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 Ads" sheetId="1" r:id="rId5"/>
    <sheet state="visible" name="Meta Ads" sheetId="2" r:id="rId6"/>
    <sheet state="visible" name="Insta reel research" sheetId="3" r:id="rId7"/>
    <sheet state="visible" name="Linkedin ad research" sheetId="4" r:id="rId8"/>
  </sheets>
  <definedNames/>
  <calcPr/>
</workbook>
</file>

<file path=xl/sharedStrings.xml><?xml version="1.0" encoding="utf-8"?>
<sst xmlns="http://schemas.openxmlformats.org/spreadsheetml/2006/main" count="103303" uniqueCount="8789">
  <si>
    <t>#</t>
  </si>
  <si>
    <t>Company</t>
  </si>
  <si>
    <t>Category of Ad</t>
  </si>
  <si>
    <t>Ad / Landing Page Link</t>
  </si>
  <si>
    <t>Advertiser / Brand</t>
  </si>
  <si>
    <t>Advertiser</t>
  </si>
  <si>
    <t>Ad Summary</t>
  </si>
  <si>
    <t>Meta Ad Library Link</t>
  </si>
  <si>
    <t>Meta Ad ID</t>
  </si>
  <si>
    <t>Source / Google Ads Transparency Link</t>
  </si>
  <si>
    <t>Additional Ad Information</t>
  </si>
  <si>
    <t>Advertiser / Account</t>
  </si>
  <si>
    <t>Ad ID</t>
  </si>
  <si>
    <t>Ad Format</t>
  </si>
  <si>
    <t>Last Shown Date</t>
  </si>
  <si>
    <t>Date Range (First - Last Shown)</t>
  </si>
  <si>
    <t>Ad Number</t>
  </si>
  <si>
    <t>Ad Link</t>
  </si>
  <si>
    <t>Ad Headline</t>
  </si>
  <si>
    <t>Primary Ad Text / Caption</t>
  </si>
  <si>
    <t>Item Number</t>
  </si>
  <si>
    <t>Hashtags</t>
  </si>
  <si>
    <t>Title / Hook</t>
  </si>
  <si>
    <t>Keywords / Topics</t>
  </si>
  <si>
    <t>What the Reel Is About</t>
  </si>
  <si>
    <t>Creative Type</t>
  </si>
  <si>
    <t>Reel Content Summary</t>
  </si>
  <si>
    <t>Image / Video / Creative Link</t>
  </si>
  <si>
    <t>Content Type</t>
  </si>
  <si>
    <t>CTA</t>
  </si>
  <si>
    <t>Key Topics</t>
  </si>
  <si>
    <t>Paid For By</t>
  </si>
  <si>
    <t>Views</t>
  </si>
  <si>
    <t>run date</t>
  </si>
  <si>
    <t>Likes</t>
  </si>
  <si>
    <t>Impressions</t>
  </si>
  <si>
    <t>Comments</t>
  </si>
  <si>
    <t>Verification Status</t>
  </si>
  <si>
    <t>Reel Link</t>
  </si>
  <si>
    <t>Verification Notes</t>
  </si>
  <si>
    <t>Caption</t>
  </si>
  <si>
    <t>Software / AI</t>
  </si>
  <si>
    <t>https://www.tryprofound.com/</t>
  </si>
  <si>
    <t>Important Observations</t>
  </si>
  <si>
    <t>Semrush</t>
  </si>
  <si>
    <t>Peec AI (@peec__ai)</t>
  </si>
  <si>
    <t>Non-Reel Post / Carousel</t>
  </si>
  <si>
    <t>TDDeepDive, TechDogs, GEO, AEO</t>
  </si>
  <si>
    <t>Not visible</t>
  </si>
  <si>
    <t>TryProfound</t>
  </si>
  <si>
    <t>App / Software / AI</t>
  </si>
  <si>
    <t>https://www.tryprofound.com/customers/mongodb</t>
  </si>
  <si>
    <t>Document Ad</t>
  </si>
  <si>
    <t>No explicit headline</t>
  </si>
  <si>
    <t>A durable visibility strategy needs a true operating model. Get the blueprint for aligned people, processes, and teams for coordinated execution.</t>
  </si>
  <si>
    <t>No hashtags</t>
  </si>
  <si>
    <t>Ever wondered if your brand even shows up when someone asks ChatGPT or Gemini for advice?   These 7 GEO and AEO tools help you find out, and fix it before your competitors take the spotlight.   Profound gives enterprise teams a deep look at how AI systems crawl and present their brand, while Peec AI keeps things simple with clean prompt-level track</t>
  </si>
  <si>
    <t>Search Visibility</t>
  </si>
  <si>
    <t>Tagged non-reel item (carousel/photo) at grid position #1.</t>
  </si>
  <si>
    <t>DISCOVERED</t>
  </si>
  <si>
    <t>Not publicly exposed</t>
  </si>
  <si>
    <t>Grid item #1. Discovered from Tagged page grid in sequential order.</t>
  </si>
  <si>
    <t>Learn more</t>
  </si>
  <si>
    <t>Semrush Inc</t>
  </si>
  <si>
    <t>Ran from Sep 4, 2026 to Sep 8, 2026</t>
  </si>
  <si>
    <t>Reel</t>
  </si>
  <si>
    <t>AI Search &amp; GEO, Digital Marketing, Startup &amp; Growth</t>
  </si>
  <si>
    <t>&lt; 1k</t>
  </si>
  <si>
    <t>VERIFIED</t>
  </si>
  <si>
    <t>Discovered at visual grid position #1. Verified Ad Details URL. Format: Document Ad.</t>
  </si>
  <si>
    <t>Cooper Square Technologies, Inc</t>
  </si>
  <si>
    <t>AI brand visibility and answer engine optimization</t>
  </si>
  <si>
    <t>https://adstransparency.google.com/advertiser/AR01693402396748677121/creative/CR04181039139535192065?region=anywhere</t>
  </si>
  <si>
    <t>Ein Startup stellt Werbetafeln direkt vor die Büros der eigenen Konkurrenz 😏  @peec__ai 16 Monate alt. 5 auf 10 Mio. $ Umsatz in nur 5 Monaten.  Eine Werbefläche, zwei Zielgruppen: die Talente der Konkurrenz UND deren Kunden, die vorbeifahren.  Mein Business-IQ Score: 8/10! Mut, den den meisten B2B-Startups fehlt.  Was würdest du geben?  #Startup #Marketing #GEO #B2B</t>
  </si>
  <si>
    <t>#Startup, #Marketing, #GEO, #B2B</t>
  </si>
  <si>
    <t>Tagged video reel at grid position #2.</t>
  </si>
  <si>
    <t>Clicked item #2 from Tagged grid. Opened reel popup. Link obtained via Instagram Three Dot -&gt; Copy Link. Video and caption verified.</t>
  </si>
  <si>
    <t>AI Search &amp; GEO, Startup &amp; Growth</t>
  </si>
  <si>
    <t>MongoDB used Profound Agents to cut schema markup update time by almost 30%, while keeping expert review in the loop.</t>
  </si>
  <si>
    <t>https://www.facebook.com/ads/library/?active_status=all&amp;ad_type=all&amp;country=ALL&amp;is_targeted_country=false&amp;media_type=all&amp;search_type=page&amp;sort_data[direction]=desc&amp;sort_data[mode]=total_impressions&amp;view_all_page_id=1091907147349154</t>
  </si>
  <si>
    <t>AI shapes which brands get discovered, trusted, and recommended. Get the strategic framework for building lasting visibility.</t>
  </si>
  <si>
    <t>3 days in Berlin exploring the startup ecosystem with @start_berlin 🩵  Coming back with lots of insights and even more motivation to build after amazing visits to Peec AI, Superchat, b2venture and the delta campus!</t>
  </si>
  <si>
    <t>Tagged video reel at grid position #3.</t>
  </si>
  <si>
    <t>Clicked item #3 from Tagged grid. Opened reel popup. Link obtained via Instagram Three Dot -&gt; Copy Link. Video and caption verified.</t>
  </si>
  <si>
    <t>Ran from Sep 4, 2026 to Sep 7, 2026</t>
  </si>
  <si>
    <t>AI Search &amp; GEO, Video Marketing</t>
  </si>
  <si>
    <t>Discovered at visual grid position #2. Verified Ad Details URL. Format: Document Ad.</t>
  </si>
  <si>
    <t>In January, I had the pleasure of animating the official launch for @peec__ai  My focus was on the full visual execution,turning their tech-driven vision into a seamless, high-end motion experience. Great to see this project out in the world!  #motiondesign #motiongraphics #app #vfx #launch</t>
  </si>
  <si>
    <t>#motiondesign, #motiongraphics, #app, #vfx, #launch</t>
  </si>
  <si>
    <t>Tagged video reel at grid position #4.</t>
  </si>
  <si>
    <t>Clicked item #4 from Tagged grid. Opened reel popup. Link obtained via Instagram Three Dot -&gt; Copy Link. Video and caption verified.</t>
  </si>
  <si>
    <t>Single Image Ad</t>
  </si>
  <si>
    <t>+373% visibility for ZoomInfo Dominating their GTM category</t>
  </si>
  <si>
    <t>tum, cseeBatch26</t>
  </si>
  <si>
    <t>Search visibility can shape how an entire market sees your brand.  ZoomInfo used Semrush Enterprise to benchmark competitors, identify high-potential topics, optimize content, and track its progress in real time—helping increase its share of voice for GTM-related keywords by 373%.  Now, Enterprise AIO brings that same data-led approach to AI search: track your brand, uncover competitive gaps, and prioritize what to optimize next.</t>
  </si>
  <si>
    <t>AI Search &amp; GEO, Search Visibility, Enterprise &amp; GTM, Content Strategy, Competitive Intelligence</t>
  </si>
  <si>
    <t>CR04181039139535192065</t>
  </si>
  <si>
    <t>50 engineers. One mission: solve industry challenges and ship fast.  No toy projects. Only systems that have to work. Built by CS professionals at #tum: from slides to products.  Huge shoutout to our project partners for bringing ambitious challenges: Peec AI, Lio, CHECK24, FGS Global, CSMM. Special shoutout to Guy, our program manager and lecturer</t>
  </si>
  <si>
    <t>2193572328042545</t>
  </si>
  <si>
    <t>#tum</t>
  </si>
  <si>
    <t>Text</t>
  </si>
  <si>
    <t>Tagged non-reel item (carousel/photo) at grid position #5.</t>
  </si>
  <si>
    <t>Status: Active | Started: 26 Aug 2026 | Platforms: Meta | Format: Video | CTA: TryProfound</t>
  </si>
  <si>
    <t>Grid item #5. Discovered from Tagged page grid in sequential order.</t>
  </si>
  <si>
    <t>AI Search &amp; GEO, Industry Event</t>
  </si>
  <si>
    <t>Last shown 08 Sep 2026</t>
  </si>
  <si>
    <t>Status: Active | Started: 25 Aug 2026 | Platforms: Meta | Format: Video | CTA: TryProfound</t>
  </si>
  <si>
    <t>Product / Autonomous AI</t>
  </si>
  <si>
    <t>Ran from Aug 27, 2026 to Aug 28, 2026</t>
  </si>
  <si>
    <t>https://www.tryprofound.com/features/aim</t>
  </si>
  <si>
    <t>Demo / Consultation</t>
  </si>
  <si>
    <t>Discovered at visual grid position #3. Verified Ad Details URL. Format: Single Image Ad.</t>
  </si>
  <si>
    <t>https://www.tryprofound.com/contact-sales</t>
  </si>
  <si>
    <t>Web Performance Summit 2026 🚀  We just wrapped up a very successful fourth edition of the Web Performance Summit, actually the most energetic, focused and best attended edition to date.  100+ corporate web professionals from BASF, Bayer, Roche, Unilever, Volkswagen and many more met for a day and discussed the state of the corporate website.  Lots of networking and great on-point presentations inc</t>
  </si>
  <si>
    <t>#corporatewebsite, #ai, #webperformance, #event</t>
  </si>
  <si>
    <t>Tagged video reel at grid position #6.</t>
  </si>
  <si>
    <t>Clicked item #6 from Tagged grid. Opened reel popup. Link obtained via Instagram Three Dot -&gt; Copy Link. Video and caption verified.</t>
  </si>
  <si>
    <t>Marketing, AI, SaaS, Tagged Content</t>
  </si>
  <si>
    <t>Profound Aim - Autonomous AI marketer and background agent that transforms AI search and prompt data into marketing execution and content workflows.</t>
  </si>
  <si>
    <t>https://adstransparency.google.com/advertiser/AR01693402396748677121/creative/CR01392095460088348673?region=anywhere</t>
  </si>
  <si>
    <t>Most marketers are treating AI search like another SEO update.  I think that's a mistake.  The old job was getting your page to rank when someone searched for something relevant to your business.  The new job is getting your brand to exist inside the answer when someone asks ChatGPT, Google AI, an agent or whatever comes next.  And that's a much bigger change than swapping one set of SEO tactics for another.  Because these systems aren't just deciding which websites deserve position 1, 2 or 3.  They're deciding which brands to mention.  Which sources to trust.  Which products to recommend.  And sometimes they're doing all of that without the user ever clicking through to a website.  Which changes who owns the problem.  This isn't just a case of:  'SEO needs to learn GEO'  Brand matters.  PR matters.  Content matters.  Authority matters.  What the rest of the internet says about you matters.  If your entire AI search strategy is buying another tool and asking the SEO team to sort it... Good luck.  I also don't need another conference where 14 people sit on a panel and agree that 'AI is changing marketing.'  We know.  I don’t want another panel telling me AI is changing marketing.  I want Marcus Tober to tell me what replaces clicks when search goes zero-click.  I want Lily Ray to explain what real authority looks like when synthetic expertise is everywhere.  I want Frederick Vallaeys to show how agents and MCPs actually work inside PPC workflows.  I want Daniel Hulme to tell me what happens when the customer making the choice isn’t human.  That’s the kind of conversation I’m interested in.  Which is why I’m partnering with Semrush for Spotlight in London on October 13th.  If you work in SEO, growth or marketing and you're still trying to work out what the hell happens next, this is probably a useful room to be in.  Get tickets at https://bit.ly/3S1oWeN using SPOTLIGHT25 promo code for 25% discount until September 1st.  #Ad | Paid partnership with Semrush.</t>
  </si>
  <si>
    <t>Profound helps SEO leaders and professionals improve AI visibility, which transl - TRYPROFOUND.COM Book a Free AEO Audit Call for Your Company Currently available through customized enterprise pricing. P</t>
  </si>
  <si>
    <t>#Ad</t>
  </si>
  <si>
    <t>SEO, AI Search &amp; GEO, Content Strategy, Industry Event, Growth Marketing</t>
  </si>
  <si>
    <t>𝗥𝗲𝗰𝗮𝗽 𝗳𝗿𝗼𝗺 𝗥𝗧𝗦𝗦 𝗕𝗲𝗿𝗹𝗶𝗻 𝟮𝟬𝟮𝟲 🚀  An evening in Berlin focused on what it really takes to build.  We opened the event with Axel Täubert, Head of Startups Northern &amp; Eastern Europe at Google, sharing his perspective on building startups in the AI era. From working with hundreds of early-stage companies, his message was clear: innovation is accelerating</t>
  </si>
  <si>
    <t>Tagged non-reel item (carousel/photo) at grid position #7.</t>
  </si>
  <si>
    <t>2551656428642731</t>
  </si>
  <si>
    <t>Status: Active | Started: 28 Aug 2026 | Platforms: Meta | Format: Image | CTA: TryProfound</t>
  </si>
  <si>
    <t>Grid item #7. Discovered from Tagged page grid in sequential order.</t>
  </si>
  <si>
    <t>Hinterland26, Hinterland26, HinterlandOfThings, Founders</t>
  </si>
  <si>
    <t>1386806943543749</t>
  </si>
  <si>
    <t>No explicit CTA</t>
  </si>
  <si>
    <t>-</t>
  </si>
  <si>
    <t>Founders. Operators. Builders. Investors.  At #Hinterland26, the stage belongs to those who actually build. Here’s a small sneak peek of the founders joining us on stage. And trust us, there’s much more to come.  Dr. Annika von Mutius, Co-Founder &amp; CEO of Empion. Mathematician, robotics background in Silicon Valley, board member of the German Feder</t>
  </si>
  <si>
    <t>Status: Active | Started: 29 Aug 2026 | Platforms: Meta | Format: Image | CTA: TryProfound</t>
  </si>
  <si>
    <t>#Hinterland26</t>
  </si>
  <si>
    <t>Discovered at visual grid position #4. Verified Ad Details URL. Format: Single Image Ad.</t>
  </si>
  <si>
    <t>Tagged non-reel item (carousel/photo) at grid position #8.</t>
  </si>
  <si>
    <t>Grid item #8. Discovered from Tagged page grid in sequential order.</t>
  </si>
  <si>
    <t>1290800953023341</t>
  </si>
  <si>
    <t>CR01392095460088348673</t>
  </si>
  <si>
    <t>24 Aug 2026 - 08 Sep 2026</t>
  </si>
  <si>
    <t>Profound helps SEO leaders and professionals improve AI visibility, which translates into more traffic, leads, and customers. Book a free AEO audit ca</t>
  </si>
  <si>
    <t>Comparison / Case Study</t>
  </si>
  <si>
    <t>Optimizing your brand in AI search shouldn’t be based on guesswork. Power your brand visibility strategy with proven data and connected optimization tools for SEO and GEO.</t>
  </si>
  <si>
    <t>1607587394341398</t>
  </si>
  <si>
    <t>SEO, AI Search &amp; GEO, Search Visibility</t>
  </si>
  <si>
    <t>Ran from Sep 1, 2026 to Sep 8, 2026</t>
  </si>
  <si>
    <t>5k-10k</t>
  </si>
  <si>
    <t>We recently sat down with Daniel, Co-Founder of Peec AI, to talk about what’s next for AI search, and how brands should be preparing as discovery shifts away from traditional engines.  From why he’s so confident the future of discovery won’t look like Google as we know it, to what visibility means in an AI-mediated world, the landscape is moving fast.  We’re excited to be partnering with Peec AI a</t>
  </si>
  <si>
    <t>Discovered at visual grid position #5. Verified Ad Details URL. Format: Single Image Ad.</t>
  </si>
  <si>
    <t>Tagged video reel at grid position #9.</t>
  </si>
  <si>
    <t>Clicked item #9 from Tagged grid. Opened reel popup. Link obtained via Instagram Three Dot -&gt; Copy Link. Video and caption verified.</t>
  </si>
  <si>
    <t>1744120120231993</t>
  </si>
  <si>
    <t>Video Ad</t>
  </si>
  <si>
    <t>Enterprise Case Study - How MongoDB increased AI search visibility by 50% and captured top recommendations in answer engines using Profound Agents.</t>
  </si>
  <si>
    <t>See you at Spotlight London</t>
  </si>
  <si>
    <t>Ready to go all in on AI search? Learn from OpenAI, Spotify, Uber, and 80+ speakers at Spotlight.</t>
  </si>
  <si>
    <t>https://adstransparency.google.com/advertiser/AR01693402396748677121/creative/CR17355288782378631169?region=anywhere</t>
  </si>
  <si>
    <t>Numbers don’t lie. Marius Meiners from Peec AI saw the spikes in week-on-week growth and realized: demand was real, and the timing was perfect. Listen to the full episode now. Link in bio. . . . #vc #venturecapital #tech #founder</t>
  </si>
  <si>
    <t>#vc, #venturecapital, #tech, #founder</t>
  </si>
  <si>
    <t>Tagged video reel at grid position #10.</t>
  </si>
  <si>
    <t>Clicked item #10 from Tagged grid. Opened reel popup. Link obtained via Instagram Three Dot -&gt; Copy Link. Video and caption verified.</t>
  </si>
  <si>
    <t>Profound Aim runs in the background to surface ranked AI Search opportunities and turn accepted ideas into projects.</t>
  </si>
  <si>
    <t>1382574330647842</t>
  </si>
  <si>
    <t>Status: Inactive | Started: 25 Aug 2026 | Platforms: Meta | Format: Video | CTA: TryProfound</t>
  </si>
  <si>
    <t>Sign Up</t>
  </si>
  <si>
    <t>Discovered at visual grid position #6. Verified Ad Details URL. Format: Video Ad.</t>
  </si>
  <si>
    <t>Harmonic Hot 25 Startups 🔥🚀 Powered by Harmonic  This latest batch highlights where capital is flowing across AI, enterprise software, data infrastructure, and next-gen platforms as investors continue to back scale, speed, and defensibility.  From foundational AI to verticalized software and breakout platforms, here are the companies defining this</t>
  </si>
  <si>
    <t>Tagged non-reel item (carousel/photo) at grid position #11.</t>
  </si>
  <si>
    <t>Grid item #11. Discovered from Tagged page grid in sequential order.</t>
  </si>
  <si>
    <t>1735434897721169</t>
  </si>
  <si>
    <t>SEO, AI Search &amp; GEO, Content Marketing</t>
  </si>
  <si>
    <t>Profound helps SEO leaders and professionals improve AI visibility, which transl - TRYPROFOUND.COM Book a Free AEO Audit Call for Your Company Learn more</t>
  </si>
  <si>
    <t>CR17355288782378631169</t>
  </si>
  <si>
    <t>Video</t>
  </si>
  <si>
    <t>1570197064841669</t>
  </si>
  <si>
    <t>30 Jul 2026 - 04 Sep 2026</t>
  </si>
  <si>
    <t>Subscription / Pricing</t>
  </si>
  <si>
    <t>https://www.tryprofound.com/pricing</t>
  </si>
  <si>
    <t>Brand discovery used to be dependent on social media + SEO.  AI search has changed that. And I'm still figuring it out.  If you're trying to work out what AI search actually means for your marketing, rather than just reading another article about it, this is well worth attending...  Instead of searching on Google, people are now asking AI chatbots like Claude and ChatGPT for recommendations and comparisons.  But marketers and brands are still playing by the old playbook, optimising their presence to increase rankings, traffic and click-through rates.  But if the answer is being generated by AI before someone ever sees a search results page, there’s a different question to think about:  Does AI actually know your brand well enough to mention it?  That’s why I’m attending Semrush's Spotlight Conference this year. (use my discount code below)  When is it?: October 13, 2026  Who's attending?: Marketers who can’t afford to be invisible. SEOs, digital marketers, growth leads, and CMOs navigating the shift to AI-driven discovery.  Where?: Old Billingsgate, London.  → 1,000+ Attendees → 700+ top companies under one roof: Amazon, OpenAI, Google, TikTok, Meta, Adidas → 80+ best-in-class speakers from OpenAI, Visa, Uber, Wix, Spotify, and more → 30+ Keynote presentations → 100+ Masterminds &amp; Workshops  The conference is focused specifically on what happens to brand visibility when AI runs the search layer.  Grab your ticket: https://bit.ly/45gIS0c, use code SPOTLIGHT25 for 25% off.  Looking forward to seeing you there... Come say hello!  #SemrushPartner</t>
  </si>
  <si>
    <t>Suchanfragen wandern von Google zu ChatGPT: Geschwindigkeit entscheidet ⚡ @peec__ai @smxmunich  Navigation? Google. Preis checken? Google oder Idealo. Aber Research? Immer mehr Leute nutzen Chat gpt. Einfach weil's schneller zur Antwort führt.  Google hat das Problem erkannt. Deshalb AI Overviews, um die Migration zu stoppen. Aber viele User sind schon gewechselt. Die Plattform, die schneller lief</t>
  </si>
  <si>
    <t>#SemrushPartner</t>
  </si>
  <si>
    <t>#podcast, #woxow, #seo, #llm, #research</t>
  </si>
  <si>
    <t>SEO, AI Search &amp; GEO, Search Visibility, Industry Event, Growth Marketing</t>
  </si>
  <si>
    <t>2299616247465481</t>
  </si>
  <si>
    <t>Tagged video reel at grid position #12.</t>
  </si>
  <si>
    <t>Clicked item #12 from Tagged grid. Opened reel popup. Link obtained via Instagram Three Dot -&gt; Copy Link. Video and caption verified.</t>
  </si>
  <si>
    <t>2078825322994361</t>
  </si>
  <si>
    <t>Lead Generation / Whitepaper</t>
  </si>
  <si>
    <t>Reddit's share of AI citations grew by at least 73% across every industry studie - FB.ME Reddit Is Reshaping AI Visibility Download</t>
  </si>
  <si>
    <t>Profound Platform Pricing - Tiered subscription plans and enterprise pricing for AEO tracking, prompt volume analytics, and autonomous marketing agents.</t>
  </si>
  <si>
    <t>1610847857322588</t>
  </si>
  <si>
    <t>LLMs sind manipulierbar und das wird gerade massiv ausgenutzt | Malte Landwehr 🚨 @peec__ai @smxmunich  Perplexity und AI Overviews? Schlucken es. Such mal 'best SEO Agency' bei Perplexity. Namen, die du NIE erwartet hättest, tauchen auf. LLM-Spam ist gerade erschreckend einfach.  Siehst du das als Opportunity oder als Warnsignal?  Keyfacts zur Podcastfolge: - AI Search wird zum neuen Google - Mark</t>
  </si>
  <si>
    <t>#podcast, #woxow, #seo, #warnsignal, #smx</t>
  </si>
  <si>
    <t>Status: Inactive | Started: 16 Aug 2026 | Platforms: Meta | Format: Image | CTA: TryProfound</t>
  </si>
  <si>
    <t>Tagged video reel at grid position #13.</t>
  </si>
  <si>
    <t>Clicked item #13 from Tagged grid. Opened reel popup. Link obtained via Instagram Three Dot -&gt; Copy Link. Video and caption verified.</t>
  </si>
  <si>
    <t>AI Search &amp; GEO, Keyword Research, Content Marketing</t>
  </si>
  <si>
    <t>AI is no longer just helping travelers search. It is shaping where they go, what they book, and which brands they consider. Profound analyzed 4,352 re</t>
  </si>
  <si>
    <t>Discovered at visual grid position #7. Verified Ad Details URL. Format: Single Image Ad.</t>
  </si>
  <si>
    <t>1076188218194563</t>
  </si>
  <si>
    <t>https://adstransparency.google.com/advertiser/AR01693402396748677121/creative/CR04939526515718094849?region=anywhere</t>
  </si>
  <si>
    <t>1085831481030517</t>
  </si>
  <si>
    <t>How to Influence AI Citations (and why 90% of what you're doing probably doesn't matter)  If you want ChatGPT or Perplexity to recommend your brand, you need to know which pages they're actually looking at. We track 4,000 prompts daily using @peec__ai and here's what matters:  There are usually 1-5 directories that get cited consistently in your industry. Not 1,000. Find those and ignore the rest.</t>
  </si>
  <si>
    <t>#AIMarketing, #GEO, #DigitalMarketing, #ContentStrategy, #ChatGPT</t>
  </si>
  <si>
    <t>Tagged video reel at grid position #14.</t>
  </si>
  <si>
    <t>https://www.tryprofound.com/profound-index</t>
  </si>
  <si>
    <t>Clicked item #14 from Tagged grid. Opened reel popup. Link obtained via Instagram Three Dot -&gt; Copy Link. Video and caption verified.</t>
  </si>
  <si>
    <t>Berlin, Germany, VentureCapital, PeecAI</t>
  </si>
  <si>
    <t>Peec AI, a Berlin-based startup helping brands optimize visibility in AI-powered searches, has raised $21 million in a Series A led by European VC firm Singular, just four months after its seed round. CEO Marius Meiners said the company’s valuation has more than tripled to over $100 million, driven by rapid growth to $4M ARR in 10 months and adopti</t>
  </si>
  <si>
    <t>Tagged non-reel item (carousel/photo) at grid position #15.</t>
  </si>
  <si>
    <t>Grid item #15. Discovered from Tagged page grid in sequential order.</t>
  </si>
  <si>
    <t>AI Search has a leaderboard. Your brand is on it. Most teams have no idea where  - TRYPROFOUND.COM Find out where your brand ranks in AI search Learn More</t>
  </si>
  <si>
    <t>Discovered at visual grid position #8. Verified Ad Details URL. Format: Single Image Ad.</t>
  </si>
  <si>
    <t>CR04939526515718094849</t>
  </si>
  <si>
    <t>2108848979732331</t>
  </si>
  <si>
    <t>Status: Inactive | Started: 15 Aug 2026 | Platforms: Meta | Format: Image | CTA: TryProfound</t>
  </si>
  <si>
    <t>21 Jul 2026 - 09 Sep 2026</t>
  </si>
  <si>
    <t>Demo / Consultation / Free Trial</t>
  </si>
  <si>
    <t>Free Brand Audit &amp; Demo - Get real-time visibility data and brand citation analysis across 10+ major LLMs (ChatGPT, Perplexity, Gemini, Claude, Grok).</t>
  </si>
  <si>
    <t>1077916658141905</t>
  </si>
  <si>
    <t>https://adstransparency.google.com/advertiser/AR01693402396748677121/creative/CR04290836370684903425?region=anywhere</t>
  </si>
  <si>
    <t>Brands brace for the ChatGPT era: Peec AI raises $21M to reinvent online visibility.</t>
  </si>
  <si>
    <t>Status: Inactive | Started: 11 Aug 2026 | Platforms: Meta | Format: Image | CTA: TryProfound</t>
  </si>
  <si>
    <t>Tagged non-reel item (carousel/photo) at grid position #16.</t>
  </si>
  <si>
    <t>Grid item #16. Discovered from Tagged page grid in sequential order.</t>
  </si>
  <si>
    <t>Discover how ChatGPT and Google AI Mode differ in the brands they mention, the sources they trust, and the competitive sets they create.</t>
  </si>
  <si>
    <t>AI Search &amp; GEO</t>
  </si>
  <si>
    <t>Discovered at visual grid position #9. Verified Ad Details URL. Format: Document Ad.</t>
  </si>
  <si>
    <t>AI Search has a leaderboard. Your brand is on it. Most teams have no idea where they rank or who's beating them. Book a call to see where you stand.</t>
  </si>
  <si>
    <t>1075273415003404</t>
  </si>
  <si>
    <t>Status: Inactive | Started: 14 Aug 2026 | Platforms: Meta | Format: Video | CTA: TryProfound</t>
  </si>
  <si>
    <t>https://www.tryprofound.com/aeo-report</t>
  </si>
  <si>
    <t>Fast 1/4 aller User finden Brands über ChatGPT, aber die Attribution fehlt | Malte Landwehr @peec__ai 🕵️ Das @smxmunich -Special!  Viele der User-Journeys starten bei LLMs. Aber es gibt keinen Link. User tippen URL direkt ein oder googeln danach. Dein Analytics: 'Direct Traffic' oder 'Google'.  Weißt du, wie oft z.B. ChatGPT deine Brand empfiehlt?  Keyfacts zur Podcastfolge: - AI Search wird zum n</t>
  </si>
  <si>
    <t>#podcast, #woxow, #seo, #llm, #suche, #userjourney, #smx</t>
  </si>
  <si>
    <t>Tagged video reel at grid position #17.</t>
  </si>
  <si>
    <t>Clicked item #17 from Tagged grid. Opened reel popup. Link obtained via Instagram Three Dot -&gt; Copy Link. Video and caption verified.</t>
  </si>
  <si>
    <t>SocialMediaStrategy, DigitalMarketing, BrandBuilding</t>
  </si>
  <si>
    <t>CR04290836370684903425</t>
  </si>
  <si>
    <t>B2B / Agency Services</t>
  </si>
  <si>
    <t>White-Label AEO Platform for Agencies - Purpose-built tools for digital agencies to monitor client AI search visibility, multi-client dashboards, and agent analytics.</t>
  </si>
  <si>
    <t>https://adstransparency.google.com/advertiser/AR01693402396748677121/creative/CR08972781457005084673?region=anywhere</t>
  </si>
  <si>
    <t>It’s been eight years since I last went to @brightonseo and this year felt like the right time to go back.  2025 has brought more changes to the digital marketing world than I’ve seen in any other year.  Fast, disruptive, but exciting changes.  There were so many talks on the packed agenda and I wish I could’ve gone to all of them but I kept my cho</t>
  </si>
  <si>
    <t>Tagged non-reel item (carousel/photo) at grid position #18.</t>
  </si>
  <si>
    <t>AI Search has a leaderboard. Your brand is on it. Most teams have no idea where  - Find out where your brand ranks in AI search Learn More</t>
  </si>
  <si>
    <t>Grid item #18. Discovered from Tagged page grid in sequential order.</t>
  </si>
  <si>
    <t>1688691402207375</t>
  </si>
  <si>
    <t>Ran from Aug 28, 2026 to Aug 28, 2026</t>
  </si>
  <si>
    <t>Discovered at visual grid position #10. Verified Ad Details URL. Format: Single Image Ad.</t>
  </si>
  <si>
    <t>1720020179252388</t>
  </si>
  <si>
    <t>Comparison / Review</t>
  </si>
  <si>
    <t>The AI Startup to Watch 🚀 Peec AI’s Vision for the Future of Search 👀. . . . #ai #tech #founder #startup</t>
  </si>
  <si>
    <t>AI Search has a leaderboard. Your brand is on it. Most teams have no idea where  - TRYPROFOUND.COM Find out where your brand ranks in AI search See how your brand performs across AI search platforms with</t>
  </si>
  <si>
    <t>#ai, #tech, #founder, #startup</t>
  </si>
  <si>
    <t>Tagged video reel at grid position #19.</t>
  </si>
  <si>
    <t>2133413324726904</t>
  </si>
  <si>
    <t>Clicked item #19 from Tagged grid. Opened reel popup. Link obtained via Instagram Three Dot -&gt; Copy Link. Video and caption verified.</t>
  </si>
  <si>
    <t>TagDerDeutschenEinheit, ZukunftDeutschland, Innovation, Wirtschaft</t>
  </si>
  <si>
    <t>CR08972781457005084673</t>
  </si>
  <si>
    <t>1049684564555194</t>
  </si>
  <si>
    <t>Discovered at visual grid position #11. Verified Ad Details URL. Format: Document Ad.</t>
  </si>
  <si>
    <t>Comparison / Competitor Positioning</t>
  </si>
  <si>
    <t>Profound vs. Searchable &amp; Scrunch - Competitive comparison campaign promoting Profound as G2's definitive leader in AEO (Answer Engine Optimization).</t>
  </si>
  <si>
    <t>https://adstransparency.google.com/advertiser/AR01693402396748677121/creative/CR03874070199028154369?region=anywhere</t>
  </si>
  <si>
    <t>1742252403498553</t>
  </si>
  <si>
    <t>🇩🇪35 Jahre Deutsche Einheit.  Zeit für Rückblick und Aufbruch!  Gestern ist unsere neue Ausgabe „Zukunft Deutschland“ erschienen. Pünktlich zum Tag der Deutschen Einheit. Wir werfen nicht nur einen Blick zurück auf die Errungenschaften der Einheit, sondern vor allem nach vorn: 👉 Wie bleibt Deutschland wirtschaftlich stark? 👉 Welche Rolle spielen KI</t>
  </si>
  <si>
    <t>Status: Inactive | Started: 15 Aug 2026 | Platforms: Meta | Format: Video | CTA: TryProfound</t>
  </si>
  <si>
    <t>Tagged non-reel item (carousel/photo) at grid position #20.</t>
  </si>
  <si>
    <t>Grid item #20. Discovered from Tagged page grid in sequential order.</t>
  </si>
  <si>
    <t>Explore how AI search platforms influence retail brand visibility, recommendations, and discovery across the customer journey.</t>
  </si>
  <si>
    <t>1998161760854466</t>
  </si>
  <si>
    <t>AI Search &amp; GEO, Search Visibility</t>
  </si>
  <si>
    <t>Ran from Sep 4, 2026 to Sep 5, 2026</t>
  </si>
  <si>
    <t>Discovered at visual grid position #12. Verified Ad Details URL. Format: Document Ad.</t>
  </si>
  <si>
    <t>1755556305594417</t>
  </si>
  <si>
    <t>Status: Inactive | Started: 26 Aug 2026 | Platforms: Meta | Format: Video | CTA: TryProfound</t>
  </si>
  <si>
    <t>Profound helps SEO leaders and professionals improve AI visibility, which transl - Book a Free AEO Audit Call for Your Company Learn More</t>
  </si>
  <si>
    <t>How do you raise funding while building in Europe? Insights from Marius, founder of Peec AI, on navigating the ecosystem 👊. . . . #tech #ai #funding #founder #venturecapital</t>
  </si>
  <si>
    <t>#tech, #ai, #funding, #founder, #venturecapital</t>
  </si>
  <si>
    <t>1614020516903917</t>
  </si>
  <si>
    <t>Tagged video reel at grid position #21.</t>
  </si>
  <si>
    <t>Clicked item #21 from Tagged grid. Opened reel popup. Link obtained via Instagram Three Dot -&gt; Copy Link. Video and caption verified.</t>
  </si>
  <si>
    <t>fotografberlin, editorialphotography, teamfotos, leica</t>
  </si>
  <si>
    <t>Even a couple of years ago, the idea of an AI choosing products for us still sounded very sci-fi (I’m picturing a robot clutching a shopping basket down at Tesco).  But that future is already here - within our laptops and phones.  We’re already asking AI questions, comparing options, getting recommendations, and increasingly letting AI shape what we choose and buy.  That shift in the path to purchase is exactly what Ric Rodriguez will be digging into at Spotlight by Semrush in October.  And what should marketers do to make sure AI recommends us, so that we become 'the chosen ones'?   The temptation is to just throw AI at this problem, but I don’t think it’s as simple as just thinking like a robot (side note I love that one of the other Spotlight talks by Mark Williams-Cook is called Do !not think like a robot!)  I’m excited to hear what my industry peers have to say on this and to work out how we prepare brands for a future that’s powered by AI recommendations - I hope you’ll also be at Spotlight on 13th October!  Here are the deets: 📍Old Billingsgate, London 📅 13th October  SPOTLIGHT25 gets you 25% off until September 1st over here: https://bit.ly/3UojFyk  #ad #semrushpartner</t>
  </si>
  <si>
    <t>#ad, #semrushpartner</t>
  </si>
  <si>
    <t>Industry Event</t>
  </si>
  <si>
    <t>1372208731551142</t>
  </si>
  <si>
    <t>CR03874070199028154369</t>
  </si>
  <si>
    <t>1272943938163429</t>
  </si>
  <si>
    <t>Status: Inactive | Started: 13 Aug 2026 | Platforms: Meta | Format: Image | CTA: TryProfound</t>
  </si>
  <si>
    <t>26 Jan 2026 - 09 Sep 2026</t>
  </si>
  <si>
    <t>🚀✨ New team spirit, new momentum!  I had the pleasure of photographing the growing team of Peec AI – one of Berlin’s most exciting startups shaping the future of AI. Their energy, creativity, and vision truly come alive in front of the camera.  From group portraits to individual team photos, we captured not just faces, but the strong sense of colla</t>
  </si>
  <si>
    <t>Tagged non-reel item (carousel/photo) at grid position #22.</t>
  </si>
  <si>
    <t>Ecommerce / Healthcare</t>
  </si>
  <si>
    <t>Grid item #22. Discovered from Tagged page grid in sequential order.</t>
  </si>
  <si>
    <t>https://hmesus.com/products/glucose-meter</t>
  </si>
  <si>
    <t>Profound (@try.profound)</t>
  </si>
  <si>
    <t>2563944004068632</t>
  </si>
  <si>
    <t>Discovered at visual grid position #13. Verified Ad Details URL. Format: Video Ad.</t>
  </si>
  <si>
    <t>AI Search &amp; GEO, Content Marketing, Digital Marketing</t>
  </si>
  <si>
    <t>m</t>
  </si>
  <si>
    <t>1043174098488688</t>
  </si>
  <si>
    <t>Creator-First AEO is finally here 🎉  Influencer is partnering with @try.profound to put creator marketing at the center of AI search 🤖  When someone asks ChatGPT for a recommendation, the answer is built from the reviews, comparisons and real experiences made by the creators already taking over your feed.  Put simply 👉 your content doesn’t stop working when the campaign ends. It keeps shaping what</t>
  </si>
  <si>
    <t>#creatoreconomy, #artificialintelligence, #marketingnews, #creatormarketing, #marketinginsights</t>
  </si>
  <si>
    <t>Tagged video reel at grid position #1.</t>
  </si>
  <si>
    <t>27874636818852275</t>
  </si>
  <si>
    <t>Clicked item #1 from Tagged grid. Opened reel popup. Link obtained via Instagram Three Dot -&gt; Copy Link. Video and caption verified.</t>
  </si>
  <si>
    <t>Non-Invasive Smart Glucose Meter - Promotional video campaign for portable health monitor device tracking multiple wellness indicators.</t>
  </si>
  <si>
    <t>https://adstransparency.google.com/advertiser/AR01693402396748677121/creative/CR04966302690461089793?region=anywhere</t>
  </si>
  <si>
    <t>3345934952463935</t>
  </si>
  <si>
    <t>Picture perfect night for this networking event! @nineorchard @sarahmerianscorporate  @try.profound</t>
  </si>
  <si>
    <t>Tagged non-reel item (carousel/photo) at grid position #2.</t>
  </si>
  <si>
    <t>2357809675025253</t>
  </si>
  <si>
    <t>Grid item #2. Discovered from Tagged page grid in sequential order.</t>
  </si>
  <si>
    <t>Discovered at visual grid position #14. Verified Ad Details URL. Format: Single Image Ad.</t>
  </si>
  <si>
    <t>2219364648826143</t>
  </si>
  <si>
    <t>Promotional graphic for Women in Tech SEO Festival Philadelphia on October 1, 2026. Four featured speakers: Krystal Taing, “AI Picks the Shortlist. Are You Even Showing Up Locally?”; Wil Reynolds, “How to Build the Brand Trust That Actually Gets You Chosen”; Hana Hajebian, “Marketing in the Age of AI”; and Heather Hamilton, “Progress not Perfection</t>
  </si>
  <si>
    <t>Tagged non-reel item (carousel/photo) at grid position #3.</t>
  </si>
  <si>
    <t>CR04966302690461089793</t>
  </si>
  <si>
    <t>Status: Active | Started: 1 Sep 2026 | Platforms: Meta | Format: Video | CTA: TryProfound</t>
  </si>
  <si>
    <t>Grid item #3. Discovered from Tagged page grid in sequential order.</t>
  </si>
  <si>
    <t>insta, instagram, explorepage, reelsinstagram</t>
  </si>
  <si>
    <t>Discovered at visual grid position #15. Verified Ad Details URL. Format: Document Ad.</t>
  </si>
  <si>
    <t>2912013725826017</t>
  </si>
  <si>
    <t>Last shown 15 Dec 2025</t>
  </si>
  <si>
    <t>Display Banner: "#1 Answer Engine Optimization Platform - Stop guessing. Get real-time visibility data across LLMs"</t>
  </si>
  <si>
    <t>https://adstransparency.google.com/advertiser/AR01693402396748677121/creative/CR15387676578028716033?region=anywhere</t>
  </si>
  <si>
    <t>Also from Meta awaregujarat • Jay DwarikaDish 🔥 #insta #instagram #explorepage #reelsinstagram #trending 125K</t>
  </si>
  <si>
    <t>#insta, #instagram, #explorepage, #reelsinstagram, #trending</t>
  </si>
  <si>
    <t>Tagged non-reel item (carousel/photo) at grid position #4.</t>
  </si>
  <si>
    <t>Grid item #4. Discovered from Tagged page grid in sequential order.</t>
  </si>
  <si>
    <t>Discovered at visual grid position #16. Verified Ad Details URL. Format: Single Image Ad.</t>
  </si>
  <si>
    <t>2120717638860427</t>
  </si>
  <si>
    <t>On stage with Profound on how to win in the age of AI with Asymmetric Principles: Budgeting a 90% failure rate on shots with 100x upsides.  Check out the full video below.</t>
  </si>
  <si>
    <t>Tagged video reel at grid position #5.</t>
  </si>
  <si>
    <t>Clicked item #5 from Tagged grid. Opened reel popup. Link obtained via Instagram Three Dot -&gt; Copy Link. Video and caption verified.</t>
  </si>
  <si>
    <t>TheGlasshouse, NYC, Corporateevents, EventSpace</t>
  </si>
  <si>
    <t>CR15387676578028716033</t>
  </si>
  <si>
    <t>2849216802103801</t>
  </si>
  <si>
    <t>Image</t>
  </si>
  <si>
    <t>Status: Inactive | Started: 29 Aug 2026 | Platforms: Meta | Format: Image | CTA: TryProfound</t>
  </si>
  <si>
    <t>Last shown 09 Sep 2026</t>
  </si>
  <si>
    <t>I’ve been saying it a lot lately, and I’ll say it again. Brand is no longer top of funnel, brand fuels the whole funnel. Why? Because AI can't recommend a brand it doesn't know exists.  As marketers, we've spent far too much time making the case for PR, thought leadership, social content and customer reviews, simply because they can be the hardest to measure.   Funnily enough, it’s now come full circle and all the things we've been fighting to invest in are the ones unlocking LLM discoverability. Hallelujah, we can now prove impact.   That's exactly why I'm heading back to Semrush's Spotlight Conference this October.  Last year, I ran a Mastermind session on scaling in B2B (think intimate, face-to-face roundtable for networking, sharing ideas, and receiving advice that’s actually useful), and that alone gave me so much personal value because it was practical. This year feels even more relevant.  It is one day that shows you what marketing actually looks like when AI runs the search layer, and how the best brands are already winning in it, including OpenAi, Spotify, Elevenlabs and more!  If you're trying to figure out AI visibility, agentic search, or how your brand gets discovered in a world that's changing fast, it'll be a day well spent.  📍 Old Billingsgate, London  📅 October 13  Grab your ticket at https://bit.ly/4wS7Oao using SPOTLIGHT25 for a 25% discount until September 1st.  If you're coming, please do let me know. I'd love to say hello.👋  ps: Semrush asked me to share this. Thankfully they picked an event I was already planning to go back to. #ad</t>
  </si>
  <si>
    <t>#ad</t>
  </si>
  <si>
    <t>AI Search &amp; GEO, Search Visibility, Enterprise &amp; GTM, Content Strategy, Industry Event</t>
  </si>
  <si>
    <t>Responsive Display Ad: Enterprise AI Search Optimization &amp; Visibility Platform</t>
  </si>
  <si>
    <t>https://adstransparency.google.com/advertiser/AR01693402396748677121/creative/CR05727557494461431809?region=anywhere</t>
  </si>
  <si>
    <t>1373714984737387</t>
  </si>
  <si>
    <t>Highlights from MozCon ’26 at The Glasshouse🗽✨  The brightest minds in SEO gathered against the backdrop of the NYC skyline for two full days of networking and conversations about all things marketing.  Venue: @theglasshouse.nyc AV Production: @studio_productions_nyc Catering: @gpfood Vinyl Branding: @luminaeproductions Photographer: @kelseyvanmook</t>
  </si>
  <si>
    <t>Tagged non-reel item (carousel/photo) at grid position #6.</t>
  </si>
  <si>
    <t>Grid item #6. Discovered from Tagged page grid in sequential order.</t>
  </si>
  <si>
    <t>2123163821606273</t>
  </si>
  <si>
    <t>Status: Inactive | Started: 12 Aug 2026 | Platforms: Meta | Format: Video | CTA: TryProfound</t>
  </si>
  <si>
    <t>Discovered at visual grid position #17. Verified Ad Details URL. Format: Single Image Ad.</t>
  </si>
  <si>
    <t>1036705479366425</t>
  </si>
  <si>
    <t>your brand isn’t showing up in AI answers yet? i’ll be real … you’re cooked 🫠  Last month, got to hang out with the @try.profound team at Zero Click and then their office to see not only how the product works but learn more about ChatGPT, Claude, and Gemini when it comes to visibility.  I walked out with a full bank of Q4 ideas but the real question is, are you ready?   #ProfoundPartner</t>
  </si>
  <si>
    <t>#ProfoundPartner</t>
  </si>
  <si>
    <t>Tagged video reel at grid position #7.</t>
  </si>
  <si>
    <t>Clicked item #7 from Tagged grid. Opened reel popup. Link obtained via Instagram Three Dot -&gt; Copy Link. Video and caption verified.</t>
  </si>
  <si>
    <t>1681906049573193</t>
  </si>
  <si>
    <t>CR05727557494461431809</t>
  </si>
  <si>
    <t>30 Jul 2026 - 09 Sep 2026</t>
  </si>
  <si>
    <t>Search Text Ad: "Try Profound Instead - Get Your Brand Mentioned by ChatGPT &amp; Perplexity"</t>
  </si>
  <si>
    <t>The night before the final, we took over a Tribeca penthouse for one night only.  Fashion Meets Football brought together the people who live for the beautiful game — multiple floors, butler-passed cocktails, and back-to-back DJ sets that kept the energy going all night.  No better way to spend the eve of a final.  Thank you to @try.profound   📸: @</t>
  </si>
  <si>
    <t>1403114708440972</t>
  </si>
  <si>
    <t>Status: Inactive | Started: 16 Aug 2026 | Platforms: Meta | Format: Video | CTA: TryProfound</t>
  </si>
  <si>
    <t>Search Text Ad: "AI Visibility Platform - More Than Citations - Free Brand Audit"</t>
  </si>
  <si>
    <t>https://adstransparency.google.com/advertiser/AR01693402396748677121/creative/CR11550465659485814785?region=anywhere</t>
  </si>
  <si>
    <t>Digital Marketing, Brand Visibility</t>
  </si>
  <si>
    <t>2290117041818665</t>
  </si>
  <si>
    <t>Ran from Aug 27, 2026 to Aug 27, 2026</t>
  </si>
  <si>
    <t>Discovered at visual grid position #18. Verified Ad Details URL. Format: Single Image Ad.</t>
  </si>
  <si>
    <t>Eve of the Cup final. Tribeca penthouse. Good drinks, better DJs, the right people. This was Fashion Meets Football. 🥂⚽️  Thank you to our sponsor @try.profound</t>
  </si>
  <si>
    <t>1405665768195306</t>
  </si>
  <si>
    <t>Status: Active | Started: 27 Aug 2026 | Platforms: Meta | Format: Video | CTA: TryProfound</t>
  </si>
  <si>
    <t>1948302682793828</t>
  </si>
  <si>
    <t>Celebrated the eve of the @fifaworldcup finals with @fmfhq x @mundialpartners Always grateful for creative third spaces and the people who make them happen🧱❣️!! thank you @violetsw0rld !!</t>
  </si>
  <si>
    <t>Tagged non-reel item (carousel/photo) at grid position #10.</t>
  </si>
  <si>
    <t>Grid item #10. Discovered from Tagged page grid in sequential order.</t>
  </si>
  <si>
    <t>CR11550465659485814785</t>
  </si>
  <si>
    <t>AI Search &amp; GEO, Digital Marketing, Video Marketing</t>
  </si>
  <si>
    <t>Search Text Ad: "Profound Platform Pricing - Compare Subscription &amp; Enterprise Plans"</t>
  </si>
  <si>
    <t>Discovered at visual grid position #19. Verified Ad Details URL. Format: Single Image Ad.</t>
  </si>
  <si>
    <t>1413594953982957</t>
  </si>
  <si>
    <t>This is the next gen of growth marketing.  I took this video at a private briefing at @try.profound’s office in NYC.  It was the first time I could actually SEE what AI is doing in the background… and why it is the next big platform for marketers to master.  Tell me:  Have you started building your org for AI Search yet?  #ProfoundPartner #Ad</t>
  </si>
  <si>
    <t>#ProfoundPartner, #Ad</t>
  </si>
  <si>
    <t>Tagged video reel at grid position #11.</t>
  </si>
  <si>
    <t>Clicked item #11 from Tagged grid. Opened reel popup. Link obtained via Instagram Three Dot -&gt; Copy Link. Video and caption verified.</t>
  </si>
  <si>
    <t>https://adstransparency.google.com/advertiser/AR01693402396748677121/creative/CR04064468367002566657?region=anywhere</t>
  </si>
  <si>
    <t>AI Search &amp; GEO, Digital Marketing</t>
  </si>
  <si>
    <t>Discovered at visual grid position #20. Verified Ad Details URL. Format: Document Ad.</t>
  </si>
  <si>
    <t>1042948092071841</t>
  </si>
  <si>
    <t>2137416597205038</t>
  </si>
  <si>
    <t>A new marketing role pays $200K+.  It’s called a Marketing Engineer and it’s specifically for marketers.  AI insights + system level thinking + marketing ability   Comment “Profound” and I’ll send you a link to the job board and training for free!  #ProfoundPartner</t>
  </si>
  <si>
    <t>1029902879863784</t>
  </si>
  <si>
    <t>Discovered at visual grid position #21. Verified Ad Details URL. Format: Document Ad.</t>
  </si>
  <si>
    <t>CR04064468367002566657</t>
  </si>
  <si>
    <t>1754425169160505</t>
  </si>
  <si>
    <t>Are you Team AI or Team Human?  Soon, all marketers will have to make this choice.  Let’s get the glaring caveat out of the way. I think a majority of people here will say, “Obviously, I’m Team Human, but I use AI to support my work.”  That’s not what this means.  In the very near future, marketing is going to be split between two very different goals:  1. Create content for humans  2. Create cont</t>
  </si>
  <si>
    <t>#ProfoundPartner, #ad</t>
  </si>
  <si>
    <t>https://adstransparency.google.com/advertiser/AR01693402396748677121/creative/CR02187132526923874305?region=anywhere</t>
  </si>
  <si>
    <t>2327372357802469</t>
  </si>
  <si>
    <t>Discovered at visual grid position #22. Verified Ad Details URL. Format: Document Ad.</t>
  </si>
  <si>
    <t>Today’s brands aren’t just marketing to humans anymore…🤖  Consumers are counting on AI more than ever, and that includes for their shopping and purchasing recommendations. The brands that aren’t understanding how to market to AI, and become at the top of its citations, will quickly become invisible. 👻  We dive into all the details in our latest rep</t>
  </si>
  <si>
    <t>Tagged non-reel item (carousel/photo) at grid position #14.</t>
  </si>
  <si>
    <t>Grid item #14. Discovered from Tagged page grid in sequential order.</t>
  </si>
  <si>
    <t>1378082360421987</t>
  </si>
  <si>
    <t>AI Search &amp; GEO, Content Marketing</t>
  </si>
  <si>
    <t>CR02187132526923874305</t>
  </si>
  <si>
    <t>21 Aug 2026 - 09 Sep 2026</t>
  </si>
  <si>
    <t>1761636431706371</t>
  </si>
  <si>
    <t>Discovered at visual grid position #23. Verified Ad Details URL. Format: Document Ad.</t>
  </si>
  <si>
    <t>https://adstransparency.google.com/advertiser/AR01693402396748677121/creative/CR00727154533196627969?region=anywhere</t>
  </si>
  <si>
    <t>If you aren’t publishing fresh content consistently, AI doesn’t know you exist 🤖📉  90% of AI citations are under 37 days old… aka if your organic social goes quiet for a month, you drop out of the AI conversation entirely.  We partnered with @try.profound to pull the data and create The CMO’s Guide to AEO.  🔗 Download the free report now (link in bio!)</t>
  </si>
  <si>
    <t>4318532801697033</t>
  </si>
  <si>
    <t>Tagged video reel at grid position #15.</t>
  </si>
  <si>
    <t>Clicked item #15 from Tagged grid. Opened reel popup. Link obtained via Instagram Three Dot -&gt; Copy Link. Video and caption verified.</t>
  </si>
  <si>
    <t>3638340306318838</t>
  </si>
  <si>
    <t>1052286700896663</t>
  </si>
  <si>
    <t>Thanks to Profound for hosting another amazing Zero Click 26 event - we had a blast at The Garret for Zero Click Eve.  #1 topic? Agentic search. #1 drink? The Mike Drop.  See ya at the next event</t>
  </si>
  <si>
    <t>#1, #1</t>
  </si>
  <si>
    <t>Tagged video reel at grid position #16.</t>
  </si>
  <si>
    <t>Clicked item #16 from Tagged grid. Opened reel popup. Link obtained via Instagram Three Dot -&gt; Copy Link. Video and caption verified.</t>
  </si>
  <si>
    <t>CR00727154533196627969</t>
  </si>
  <si>
    <t>1578417810492857</t>
  </si>
  <si>
    <t>Product / Workflow</t>
  </si>
  <si>
    <t>Discovered at visual grid position #24. Verified Ad Details URL. Format: Single Image Ad.</t>
  </si>
  <si>
    <t>Search Text Ad: "Create AEO Content Fast - Proven Workflows &amp; LLM Prompts"</t>
  </si>
  <si>
    <t>https://adstransparency.google.com/advertiser/AR01693402396748677121/creative/CR12635184663980146689?region=anywhere</t>
  </si>
  <si>
    <t>🍸 Zero Click Eve is tomorrow.  Join @VeryWellVersed, @shanstagramss, and the iPullRank team at The Garret in NYC's West Village before Zero Click NY kicks off  AI search, marketing, drinks, smart people  📍 The Garret, NYC 📅 June 10 🕖 7-10pm 🎟️ Free  Link in story</t>
  </si>
  <si>
    <t>Tagged non-reel item (carousel/photo) at grid position #17.</t>
  </si>
  <si>
    <t>Grid item #17. Discovered from Tagged page grid in sequential order.</t>
  </si>
  <si>
    <t>Mangools (@mangools_com)</t>
  </si>
  <si>
    <t>1064411253006111</t>
  </si>
  <si>
    <t>Ran from Aug 19, 2026 to Aug 20, 2026</t>
  </si>
  <si>
    <t>Discovered at visual grid position #25. Verified Ad Details URL. Format: Document Ad.</t>
  </si>
  <si>
    <t>1995778877787455</t>
  </si>
  <si>
    <t>CR12635184663980146689</t>
  </si>
  <si>
    <t>Beste Alternativen zu Ahrefs</t>
  </si>
  <si>
    <t>16 Jan 2026 - 09 Sep 2026</t>
  </si>
  <si>
    <t>1621718589744448</t>
  </si>
  <si>
    <t>Display Banner: "Track AI Visibility Now - Full visibility into how AI sees your website. Free report"</t>
  </si>
  <si>
    <t>SEO, AI Search &amp; GEO, Keyword Research</t>
  </si>
  <si>
    <t>https://adstransparency.google.com/advertiser/AR01693402396748677121/creative/CR05172016050388074497?region=anywhere</t>
  </si>
  <si>
    <t>ChatGPT and AI Mode often favor different sources and recommend different brands. Find out how to target each and grow your brand visibility.</t>
  </si>
  <si>
    <t>1705144470539372</t>
  </si>
  <si>
    <t>Status: Inactive | Started: 12 Aug 2026 | Platforms: Meta | Format: Image | CTA: TryProfound</t>
  </si>
  <si>
    <t>Ran from Aug 19, 2026 to Aug 19, 2026</t>
  </si>
  <si>
    <t>Discovered at visual grid position #26. Verified Ad Details URL. Format: Document Ad.</t>
  </si>
  <si>
    <t>Quick follow-up to last Friday’s bagel and lox example 🥯  This is the behind-the-scenes part using keyword research to understand organic search behavior with tools like Mangools, before spending a dollar on ads.  If a business actually offers the product, those long-tail keywords need to live on the website. A phrase like “bagel and lox” might have lower search volume, but locally, the intent is</t>
  </si>
  <si>
    <t>#LocalSEO, #Mangools, #KeywordResearch, #LongTailKeywords, #SearchIntent</t>
  </si>
  <si>
    <t>viral, love, explore</t>
  </si>
  <si>
    <t>1786140316078848</t>
  </si>
  <si>
    <t>AI search is rewriting retail discovery. See which brands lead across ChatGPT, Gemini, AI Mode, and AI Overviews, plus tactics to put you on top.</t>
  </si>
  <si>
    <t>CR05172016050388074497</t>
  </si>
  <si>
    <t>Discovered at visual grid position #27. Verified Ad Details URL. Format: Document Ad.</t>
  </si>
  <si>
    <t>2181639216083313</t>
  </si>
  <si>
    <t>#viral #love #explore #fashion #explorepage #trending #tiktok #اكسبلور #travel #instagram #instagood #photography #nature #reels #العراق #adventure #photooftheday #فولو #لايك #تصميمي #دبي #wanderlust #الكويت #exploremore #السعودية #بغداد #تصميم #beautiful #travelgram #music</t>
  </si>
  <si>
    <t>#viral, #love, #explore, #fashion, #explorepage, #trending, #tiktok, #اكسبلور, #travel, #instagram, #instagood, #photography, #nature, #reels, #العراق, #adventure, #photooftheday, #فولو, #لايك, #تصميمي, #دبي, #wanderlust, #الكويت, #exploremore, #السعودية, #بغداد, #تصميم, #beautiful, #travelgram, #music</t>
  </si>
  <si>
    <t>https://adstransparency.google.com/advertiser/AR01693402396748677121/creative/CR04264440944792698881?region=anywhere</t>
  </si>
  <si>
    <t>AI Search has a leaderboard. Your brand is on it. Most teams have no idea where  - Low impression count</t>
  </si>
  <si>
    <t>Keyword Research</t>
  </si>
  <si>
    <t>1594018002095791</t>
  </si>
  <si>
    <t>Discovered at visual grid position #28. Verified Ad Details URL. Format: Document Ad.</t>
  </si>
  <si>
    <t>1089855183472459</t>
  </si>
  <si>
    <t>Internet Girl / katseyeworld  keywords research tool google keyword planner keyword planner keyword tool keyword research google ads keyword planner google keyword tool ubersuggest free keyword research tool google keyword research tool google keyword planner free google keyword search semrush pricing keyword finder kwfinder keyword planner tool google adwords keyword planner keyword research goog</t>
  </si>
  <si>
    <t>CR04264440944792698881</t>
  </si>
  <si>
    <t>Stop managing visibility channel by channel. Build the teams, workflows, and feedback loops that turn strategy into impact.</t>
  </si>
  <si>
    <t>https://adstransparency.google.com/advertiser/AR01693402396748677121/creative/CR03069138764493225985?region=anywhere</t>
  </si>
  <si>
    <t>Discovered at visual grid position #29. Verified Ad Details URL. Format: Document Ad.</t>
  </si>
  <si>
    <t>AI is no longer just helping travelers search. It is shaping where they go, what - Low impression count</t>
  </si>
  <si>
    <t>1078236241524789</t>
  </si>
  <si>
    <t>Status: Inactive | Started: 17 Aug 2026 | Platforms: Meta | Format: Video | CTA: TryProfound</t>
  </si>
  <si>
    <t>بهترین ابزارهای سئو ۲۰۲۵</t>
  </si>
  <si>
    <t>Profound helps SEO leaders and professionals improve AI visibility, which transl - Low impression count Book a Free AEO Audit Call for Your Company Learn More</t>
  </si>
  <si>
    <t>SEO alone is no longer enough. Learn how CMOs can unite SEO and AI search to strengthen brand discovery, authority, and revenue.</t>
  </si>
  <si>
    <t>SEO, Keyword Research, Content Marketing</t>
  </si>
  <si>
    <t>1584119236582834</t>
  </si>
  <si>
    <t>SEO, AI Search &amp; GEO</t>
  </si>
  <si>
    <t>Discovered at visual grid position #30. Verified Ad Details URL. Format: Document Ad.</t>
  </si>
  <si>
    <t>2176952463231794</t>
  </si>
  <si>
    <t>CR03069138764493225985</t>
  </si>
  <si>
    <t>Just out here saving websites one keyword at a time 💻 But seriously, Search is such an under appreciated channel! While I do think Tik Tok and Chat GPT are becoming the go to search engines, the reality is that Google is still the most used search engine in the world! Want to know where to start with SEO? Use google search console to see what terms are already driving traffic to your site and use</t>
  </si>
  <si>
    <t>#seo, #ecommerce, #ecommercetips, #shopifytips</t>
  </si>
  <si>
    <t>1078764027834726</t>
  </si>
  <si>
    <t>dailytool, toolmate, startup, entrepreneur</t>
  </si>
  <si>
    <t>MongoDB used Profound Agents to cut schema markup update time by almost 30%, whi - Low impression count</t>
  </si>
  <si>
    <t>https://adstransparency.google.com/advertiser/AR01693402396748677121/creative/CR02838025543503314945?region=anywhere</t>
  </si>
  <si>
    <t>1081073147690042</t>
  </si>
  <si>
    <t>Discovered at visual grid position #31. Verified Ad Details URL. Format: Document Ad.</t>
  </si>
  <si>
    <t>1943003626370731</t>
  </si>
  <si>
    <t>New #dailytool 313  KW FINDER Find long tail keywords with low SEO difficulty  Just go for the keywords that you can easily rank for. A keyword research tool that will help you find and analyze keywords you should target for ranking.   · Category : SEO · Functionality : SEO keyword ideas · Mode : online, extension · Device : win, mac, linux · Licen</t>
  </si>
  <si>
    <t>#dailytool</t>
  </si>
  <si>
    <t>SEO, Keyword Research</t>
  </si>
  <si>
    <t>2674246492990679</t>
  </si>
  <si>
    <t>Which retailers are recommended by AI search time and time again? Explore the brands, sources, and platform-specific trends shaping retail discovery.</t>
  </si>
  <si>
    <t>Discovered at visual grid position #32. Verified Ad Details URL. Format: Document Ad.</t>
  </si>
  <si>
    <t>4352359935006143</t>
  </si>
  <si>
    <t>CR02838025543503314945</t>
  </si>
  <si>
    <t>Wie wäre es mit ein wenig Unterstützung bei deiner SEO-Keyword-Recherche? 🧐  Hier sind drei Tools im Vergleich. Mehr Infos und weitere Tools findest du natürlich auf unserer Website!  #omrreviews #tooltipp</t>
  </si>
  <si>
    <t>#omrreviews, #tooltipp</t>
  </si>
  <si>
    <t>Tagged video reel at grid position #8.</t>
  </si>
  <si>
    <t>Clicked item #8 from Tagged grid. Opened reel popup. Link obtained via Instagram Three Dot -&gt; Copy Link. Video and caption verified.</t>
  </si>
  <si>
    <t>1081630177650097</t>
  </si>
  <si>
    <t>Status: Inactive | Started: 14 Aug 2026 | Platforms: Meta | Format: Image | CTA: TryProfound</t>
  </si>
  <si>
    <t>https://adstransparency.google.com/advertiser/AR01693402396748677121/creative/CR06546054016265093121?region=anywhere</t>
  </si>
  <si>
    <t>AI Search has a leaderboard. Your brand is on it. Most teams have no idea where  - Low impression count TRYPROFOUND.COM Find out where your brand ranks in AI search</t>
  </si>
  <si>
    <t>1231181669141697</t>
  </si>
  <si>
    <t>SEO Strategies from a leading SEO agency  in Cyprus</t>
  </si>
  <si>
    <t>Tagged non-reel item (carousel/photo) at grid position #9.</t>
  </si>
  <si>
    <t>Profound helps SEO leaders and professionals improve AI visibility, which transl - Low impression count</t>
  </si>
  <si>
    <t>Grid item #9. Discovered from Tagged page grid in sequential order.</t>
  </si>
  <si>
    <t>1675182156907125</t>
  </si>
  <si>
    <t>Discovered at visual grid position #33. Verified Ad Details URL. Format: Document Ad.</t>
  </si>
  <si>
    <t>dynamisers, googleranking, keywordresearch, onpageoptimization</t>
  </si>
  <si>
    <t>Profound helps SEO leaders and professionals improve AI visibility, which transl - Low impression count TRYPROFOUND.COM Book a Free AEO Audit Call for Your Company</t>
  </si>
  <si>
    <t>1773598824091516</t>
  </si>
  <si>
    <t>CR06546054016265093121</t>
  </si>
  <si>
    <t>22 Aug 2026 - 09 Sep 2026</t>
  </si>
  <si>
    <t>The secret ingredient to online success? You guessed it— SEO by dynamisers!  Watch your traffic soar like never before, Not believing? Experience our dynamic strategies! 📈  Leave your competitors in the dust with our precision-targeted keyword optimization! 🎯   Harness the power of 45 advanced SEO tools to conquer the digital frontier.  A Journey o</t>
  </si>
  <si>
    <t>AI Search has a leaderboard. Your brand is on it. Most teams have no idea where  - Low impression count Find out where your brand ranks in AI search Learn More</t>
  </si>
  <si>
    <t>https://adstransparency.google.com/advertiser/AR01693402396748677121/creative/CR02446427330445312001?region=anywhere</t>
  </si>
  <si>
    <t>Move from fragmented marketing to true Brand Visibility Orchestration. Get the operating model for people, processes, and workflows completely free.</t>
  </si>
  <si>
    <t>1764954531309146</t>
  </si>
  <si>
    <t>Search Visibility, Growth Marketing</t>
  </si>
  <si>
    <t>Discovered at visual grid position #34. Verified Ad Details URL. Format: Document Ad.</t>
  </si>
  <si>
    <t>1067918715612975</t>
  </si>
  <si>
    <t>SEO Backlink Checker</t>
  </si>
  <si>
    <t>1080349927977083</t>
  </si>
  <si>
    <t>Discovered at visual grid position #35. Verified Ad Details URL. Format: Document Ad.</t>
  </si>
  <si>
    <t>CR02446427330445312001</t>
  </si>
  <si>
    <t>31 Jul 2026 - 09 Sep 2026</t>
  </si>
  <si>
    <t>Lead Generation</t>
  </si>
  <si>
    <t>Are you ready to take your SEO game to the next level? Today, I want to introduce you to my absolute favorite keyword research tool: Mangools.com! 🌟  When it comes to finding the perfect keywords for your website, Mangools.com is an absolute game-changer. With its user-friendly interface and powerful features, it has become an essential tool in my digital marketing arsenal. Here’s why I can’t get</t>
  </si>
  <si>
    <t>1107909201666899</t>
  </si>
  <si>
    <t>#KeywordResearch, #SEOTool, #Mangools, #DigitalMarketingExpert, #SEOStrategy, #ecommercebusiness</t>
  </si>
  <si>
    <t>Search Text Ad: "SEO Is Changing: AEO Is Here - Get Mentioned in AI Search Engines"</t>
  </si>
  <si>
    <t>https://adstransparency.google.com/advertiser/AR01693402396748677121/creative/CR11321927082411294721?region=anywhere</t>
  </si>
  <si>
    <t>weddingpro, weddingcreative, weddingplanner, weddingphotographer</t>
  </si>
  <si>
    <t>AI is no longer just helping travelers search. It is shaping where they go, what - Low impression count FB.ME See How Travelers Are Using AI</t>
  </si>
  <si>
    <t>1458266089474679</t>
  </si>
  <si>
    <t>Discovered at visual grid position #36. Verified Ad Details URL. Format: Document Ad.</t>
  </si>
  <si>
    <t>2089099715326409</t>
  </si>
  <si>
    <t>Let's put an end to the 'Search and Scroll' method of figuring out where you rank on Google. 🙅‍♀️ ⠀⠀⠀⠀⠀⠀⠀⠀⠀ When you sit down at your own computer or pull out your phone and search for yourself, you may not actually be seeing accurate results. ⠀⠀⠀⠀⠀⠀⠀⠀⠀ Instead, I recommend using an SEO tool to find out where you rank for a specific keyword. ⠀⠀⠀⠀⠀⠀</t>
  </si>
  <si>
    <t>Tagged non-reel item (carousel/photo) at grid position #13.</t>
  </si>
  <si>
    <t>Grid item #13. Discovered from Tagged page grid in sequential order.</t>
  </si>
  <si>
    <t>1066227629192963</t>
  </si>
  <si>
    <t>CR11321927082411294721</t>
  </si>
  <si>
    <t>29 Jul 2026 - 09 Sep 2026</t>
  </si>
  <si>
    <t>Discovered at visual grid position #37. Verified Ad Details URL. Format: Document Ad.</t>
  </si>
  <si>
    <t>1095521516484401</t>
  </si>
  <si>
    <t>Responsive Case Study Ad: MongoDB achieves 50% AI search visibility with Profound</t>
  </si>
  <si>
    <t>Google search engine ranking tool</t>
  </si>
  <si>
    <t>2158411681755769</t>
  </si>
  <si>
    <t>SEO, Digital Marketing</t>
  </si>
  <si>
    <t>Display Banner: "Get Mentioned In Claude - Reach Millions of Consumers Using AI to Discover Brands"</t>
  </si>
  <si>
    <t>https://adstransparency.google.com/advertiser/AR01693402396748677121/creative/CR10217646322949816321?region=anywhere</t>
  </si>
  <si>
    <t>Discovered at visual grid position #38. Verified Ad Details URL. Format: Document Ad.</t>
  </si>
  <si>
    <t>Boss ek pro tool toh me bhi deserve krta hu... Tag your Boss/manager and let them know which SEO Tool you want.  #fridaymood #seo #ahrefs #moz #similarweb #screamingfrog #semrush #spyfu #deepcrawl #buzzsumo #ubersuggest #crackitup #crackmedia #mediahumor #mediamemes #seohumor #seoexpert #seomarketing #seomarketingagency #digitalmarketingexpert #digitalmarketingagency #digitalmarketing</t>
  </si>
  <si>
    <t>#fridaymood, #seo, #ahrefs, #moz, #similarweb, #screamingfrog, #semrush, #spyfu, #deepcrawl, #buzzsumo, #ubersuggest, #crackitup, #crackmedia, #mediahumor, #mediamemes, #seohumor, #seoexpert, #seomarketing, #seomarketingagency, #digitalmarketingexpert, #digitalmarketingagency, #digitalmarketing</t>
  </si>
  <si>
    <t>1099627502500453</t>
  </si>
  <si>
    <t>seotools, tools, seo, tool</t>
  </si>
  <si>
    <t>2081442279122137</t>
  </si>
  <si>
    <t>Is your brand visible and trusted across AI search? Use this CMO framework to assess maturity and set your strategy into motion.</t>
  </si>
  <si>
    <t>Discovered at visual grid position #39. Verified Ad Details URL. Format: Document Ad.</t>
  </si>
  <si>
    <t>Status: Inactive | Started: 17 Aug 2026 | Platforms: Meta | Format: Image | CTA: TryProfound</t>
  </si>
  <si>
    <t>𝗗𝗶𝗲𝘀𝗲 𝗦𝗘𝗢-𝗧𝗼𝗼𝗹𝘀 𝘀𝗼𝗹𝗹𝘁𝗲𝘀𝘁 𝗗𝘂 𝗸𝗲𝗻𝗻𝗲𝗻!😮  Auf unserer Toolseite sind die wichtigsten SEO-Tools im Vergleich Mithilfe unterschiedlicher Filter, User-Bewertungen und der Meinung der OMT-Club-Mitglieder helfen wir Dir, die Entscheidung für den richtigen SEO-Tool-Anbieter zu vereinfachen.  Das sind die am besten bewerteten SEO Tools:  𝗦𝗜𝗦𝗧𝗥𝗜𝗫: Die Erfinder</t>
  </si>
  <si>
    <t>Profound Aim runs in the background to surface ranked AI Search opportunities an - Low impression count</t>
  </si>
  <si>
    <t>learnseo, seo, seowriting, seowritingtips</t>
  </si>
  <si>
    <t>1049956044701798</t>
  </si>
  <si>
    <t>CR10217646322949816321</t>
  </si>
  <si>
    <t>30 Jul 2026 - 08 Sep 2026</t>
  </si>
  <si>
    <t>1364073045248633</t>
  </si>
  <si>
    <t>👀'SEO is the reality of any successful endeavor: It will take strategic, consistent, and sufficient efforts to rank well.'🎯  ➡️It doesn't happen in a vacuum, every situation offers a unique set of variables, and almost everything can be improved.🎯  ➡️Hence keeping updated about SEO is also very important.🎯  ➡️Here are the websites that help you to</t>
  </si>
  <si>
    <t>Discovered at visual grid position #40. Verified Ad Details URL. Format: Document Ad.</t>
  </si>
  <si>
    <t>https://adstransparency.google.com/advertiser/AR01693402396748677121/creative/CR13114570840337285121?region=anywhere</t>
  </si>
  <si>
    <t>1511872094028917</t>
  </si>
  <si>
    <t>1755608772233866</t>
  </si>
  <si>
    <t>1570143394657405</t>
  </si>
  <si>
    <t>Discovered at visual grid position #41. Verified Ad Details URL. Format: Document Ad.</t>
  </si>
  <si>
    <t>SEO is a crucial aspect of any modern marketing plan, so it’s important to have the right tools to aid in your efforts. In this post, we list the 15 best SEO tools you can try to take your marketing campaigns to the next level.  For a comprehensive overview of these tools, read the full article on the Narrato blog - https://narrato.io/blog/15-best-seo-tools-for-content-planning/  #content #content</t>
  </si>
  <si>
    <t>#content, #contentcreation, #contentcreationprocess, #contentstrategy, #contentplan, #contentplanning, #contentmarketing, #marketing, #marketingstrategy, #contentcreationtips, #SEO, #search, #engine, #optimization, #searchengineoptimization, #SEOtips</t>
  </si>
  <si>
    <t>Tagged video reel at grid position #18.</t>
  </si>
  <si>
    <t>Clicked item #18 from Tagged grid. Opened reel popup. Link obtained via Instagram Three Dot -&gt; Copy Link. Video and caption verified.</t>
  </si>
  <si>
    <t>seo, keywordresearch, blogging, bloggingtips</t>
  </si>
  <si>
    <t>2554775551663172</t>
  </si>
  <si>
    <t>CR13114570840337285121</t>
  </si>
  <si>
    <t>30 Jul 2026 - 03 Sep 2026</t>
  </si>
  <si>
    <t>2099044213982111</t>
  </si>
  <si>
    <t>https://adstransparency.google.com/advertiser/AR01693402396748677121/creative/CR17139634969753157633?region=anywhere</t>
  </si>
  <si>
    <t>Keyword research is a foundation of a successful SEO campaign. These are the best keyword research tools you can use to identify profitable keywords for your blog.  . . . #seo #keywordresearch #blogging #bloggingtips #bloggerlife #blogginglife #blog #bloggers #semrush #ahrefs #kwfinder #seranking #longtailpro #answerthepublic #shoutmeloud</t>
  </si>
  <si>
    <t>#seo, #keywordresearch, #blogging, #bloggingtips, #bloggerlife, #blogginglife, #blog, #bloggers, #semrush, #ahrefs, #kwfinder, #seranking, #longtailpro, #answerthepublic, #shoutmeloud</t>
  </si>
  <si>
    <t>Tagged non-reel item (carousel/photo) at grid position #19.</t>
  </si>
  <si>
    <t>Grid item #19. Discovered from Tagged page grid in sequential order.</t>
  </si>
  <si>
    <t>2134151480497369</t>
  </si>
  <si>
    <t>searchengineoptimization, googlechromeextension, digitalmarketing, digitalmarketinglearning</t>
  </si>
  <si>
    <t>Discovered at visual grid position #42. Verified Ad Details URL. Format: Single Image Ad.</t>
  </si>
  <si>
    <t>Save these awesome 21 chrome extensions 💥💥💥  Extensions are really helpful to ease your work.  I will share one incident in my professional life. our vice-president asked me, to know the competitors' website traffic monthly basis.  if it is 1-3 competitors' website traffic we can track it, but the requirement is huge, I need to track 100 competitor</t>
  </si>
  <si>
    <t>1216492857312247</t>
  </si>
  <si>
    <t>SEO, Digital Marketing, Video Marketing</t>
  </si>
  <si>
    <t>CR17139634969753157633</t>
  </si>
  <si>
    <t>1058479040161851</t>
  </si>
  <si>
    <t>https://adstransparency.google.com/advertiser/AR01693402396748677121/creative/CR03593266336727302145?region=anywhere</t>
  </si>
  <si>
    <t>Discovered at visual grid position #43. Verified Ad Details URL. Format: Document Ad.</t>
  </si>
  <si>
    <t>Majú vplyv PPC reklamy na SEO? 🤨  Nie. ❌ Môžeš sa vďaka PPC reklamám zobrazovať na popredných miestach na Google, avšak to nemá žiadny majú vplyv na organické zobrazovanie. 🤯  💡 Viac o téme SEO sa dozvieš v našich Marketingových digiTALKov, kde nám o tom bol porozprávať @maroskortis z @mangools_com 🔥  👉 Celý diel nájdeš na našom Facebooku a YouTube. Dostupný je aj vo forme podcastu na Spotify, Goo</t>
  </si>
  <si>
    <t>#digitalnauniverzita, #marketingovedigitalky, #marketingjepsycho, #expertinadigitalnymarketing, #digitalnymarketing, #vzdelavanie, #studium, #mba, #marketing, #marketingstudium, #marketingtips, #marketingvpraxi, #slovakia, #bratislava, #slovakmarketing, #podcast, #marketingpodcast, #onlinekurz, #onlinestudium, #certifikat, #seo, #seomarketing, #seomarketingtips, #seomarketingstrategy, #ppc</t>
  </si>
  <si>
    <t>seo, seoberlin, seogermany, googlemybusiness</t>
  </si>
  <si>
    <t>2049163505698446</t>
  </si>
  <si>
    <t>Discovered at visual grid position #44. Verified Ad Details URL. Format: Document Ad.</t>
  </si>
  <si>
    <t>Fresh content is on the site. Go visit our website www.weydinger.com or click the link in bio 💣 New article about KWFinder is online 🙌 . . . .  #seo #seoberlin #seogermany #googlemybusiness #digitalmarketing #onlinemarketing #berlinwebsitedesign #mangools #marketing #featuresnippets #googlerank #googleranking #digitalagency #searchengineoptimisatio</t>
  </si>
  <si>
    <t>1346081323909152</t>
  </si>
  <si>
    <t>#seo, #seoberlin, #seogermany, #googlemybusiness, #digitalmarketing, #onlinemarketing, #berlinwebsitedesign, #mangools, #marketing, #featuresnippets, #googlerank, #googleranking, #digitalagency, #searchengineoptimisatio</t>
  </si>
  <si>
    <t>CR03593266336727302145</t>
  </si>
  <si>
    <t>1481468257336298</t>
  </si>
  <si>
    <t>https://adstransparency.google.com/advertiser/AR01693402396748677121/creative/CR04321292567896391681?region=anywhere</t>
  </si>
  <si>
    <t>Two leading AI search experiences don't see brands the same. Discover the sources and signals shaping their responses, and how to show up more.</t>
  </si>
  <si>
    <t>1089506966837029</t>
  </si>
  <si>
    <t>Discovered at visual grid position #45. Verified Ad Details URL. Format: Document Ad.</t>
  </si>
  <si>
    <t>Gute SEO-Texte schreiben ohne lästiges Keyword-Stuffing ☝️  Damit Eure Texte von Suchmaschinen besser verstanden und als relevanter Content eingestuft werden können, sind SEO-Tools bei der Content-Erstellung und -Optimierung unumgänglich. 💯  Wir haben Euch daher die 10 besten SEO-Tools für bessere SEO-Texte in unserem aktuellen Artikel aufgelistet! 🤩  1. Yoast 2. XOVI 3. Sistrix 4. Semrush 5. Ryte</t>
  </si>
  <si>
    <t>#omrreviews, #artikel, #seo, #seotools, #softwarereviews, #onlinebusiness, #onlinemarketing, #digitalbusiness</t>
  </si>
  <si>
    <t>Tagged video reel at grid position #23.</t>
  </si>
  <si>
    <t>1530403284952009</t>
  </si>
  <si>
    <t>Clicked item #23 from Tagged grid. Opened reel popup. Link obtained via Instagram Three Dot -&gt; Copy Link. Video and caption verified.</t>
  </si>
  <si>
    <t>edlyf, seotipsandtricks, seotools, seo</t>
  </si>
  <si>
    <t>1798503711593883</t>
  </si>
  <si>
    <t>CR04321292567896391681</t>
  </si>
  <si>
    <t>Discovered at visual grid position #46. Verified Ad Details URL. Format: Document Ad.</t>
  </si>
  <si>
    <t>✨You Know About Best Keywords ??  🌟 4 Best Keyword Research Tools 🌟   🌟 Develope New Skills with Us         Drop a ❤️ for more posts . . . . . #edlyf #seotipsandtricks #seotools #seo #seotrends #keywords #keyword #keywordresearch #keywordresearchtools #googleanalytics #google #googletrends #contentcreator #content #contentmarketing #contentwriter #</t>
  </si>
  <si>
    <t>2062975864592111</t>
  </si>
  <si>
    <t>#edlyf, #seotipsandtricks, #seotools, #seo, #seotrends, #keywords, #keyword, #keywordresearch, #keywordresearchtools, #googleanalytics, #google, #googletrends, #contentcreator, #content, #contentmarketing, #contentwriter</t>
  </si>
  <si>
    <t>Tagged non-reel item (carousel/photo) at grid position #24.</t>
  </si>
  <si>
    <t>Grid item #24. Discovered from Tagged page grid in sequential order.</t>
  </si>
  <si>
    <t>https://adstransparency.google.com/advertiser/AR01693402396748677121/creative/CR11685880686928986113?region=anywhere</t>
  </si>
  <si>
    <t>seotips, digitalmarketing, searchengineoptimization, marketingtips</t>
  </si>
  <si>
    <t>2555470644907299</t>
  </si>
  <si>
    <t>3119574871570409</t>
  </si>
  <si>
    <t>Discovered at visual grid position #47. Verified Ad Details URL. Format: Document Ad.</t>
  </si>
  <si>
    <t>Top SEO tool pick right here...⁠ ⁠ Do you publish blog posts and content that you're hoping will rank on Google? ⁠ ⁠ This tool will save you hours of research and manual work. ⁠ ⁠ First, use the @mangools_com suite to search for your (or upload) top keywords and find related keywords on KW Finder. Search for keywords with low keyword difficulty (un</t>
  </si>
  <si>
    <t>Tagged non-reel item (carousel/photo) at grid position #25.</t>
  </si>
  <si>
    <t>Grid item #25. Discovered from Tagged page grid in sequential order.</t>
  </si>
  <si>
    <t>Keyword Research, Digital Marketing, Video Marketing</t>
  </si>
  <si>
    <t>1974920723214515</t>
  </si>
  <si>
    <t>CR11685880686928986113</t>
  </si>
  <si>
    <t>2226236441557883</t>
  </si>
  <si>
    <t>Discovered at visual grid position #48. Verified Ad Details URL. Format: Document Ad.</t>
  </si>
  <si>
    <t>𝐇𝐄𝐑𝐄 𝐀𝐑𝐄 𝐓𝐇𝐄 𝐌𝐎𝐒𝐓 𝐄𝐅𝐅𝐄𝐂𝐓𝐈𝐕𝐄 𝐊𝐄𝐘𝐖𝐎𝐑𝐃 𝐓𝐎𝐎𝐋𝐒 𝐘𝐎𝐔 𝐒𝐇𝐎𝐔𝐋𝐃 𝐔𝐒𝐄! Marketing has become more complicated with the everchanging trends but with the right keywords, you can reach your potential customers in a better way. Here are 5 keyword tools you can trust for digital marketing! 1) UBERSUGGEST BY Neil Patel 2) Google Keywrod Planner 3) SEMRush 4) Answer The Public 5) KW Finder  Let us know if you have mor</t>
  </si>
  <si>
    <t>#thebloomingtales, #TBT, #reels, #viralreels, #videomarketing, #digitalmarketingagency, #keywords, #keywordresearch, #keywordtool, #conentmarketing, #marketing101, #ubersuggest, #kwfinder, #googlekeywordplanner, #semrush, #keyword, #advertisement</t>
  </si>
  <si>
    <t>https://adstransparency.google.com/advertiser/AR01693402396748677121/creative/CR13024239363045720065?region=anywhere</t>
  </si>
  <si>
    <t>Tagged video reel at grid position #26.</t>
  </si>
  <si>
    <t>Clicked item #26 from Tagged grid. Opened reel popup. Link obtained via Instagram Three Dot -&gt; Copy Link. Video and caption verified.</t>
  </si>
  <si>
    <t>seotips, contentstrategy, searchengineoptimization, seospecialist</t>
  </si>
  <si>
    <t>Move first before your competitors start rising up the leaderboards. Get proven insights based on industry benchmarks and 126M prompts.</t>
  </si>
  <si>
    <t>Competitive Intelligence</t>
  </si>
  <si>
    <t>1848371902806328</t>
  </si>
  <si>
    <t>Ran from Aug 10, 2026 to Sep 6, 2026</t>
  </si>
  <si>
    <t>Discovered at visual grid position #49. Verified Ad Details URL. Format: Document Ad.</t>
  </si>
  <si>
    <t>How does your content calendar for January look?⁠ ⁠ Here's a tip -- add in 2-3 optimizations instead of brand new blog posts. Why? They already have organic traffic, so by optimizing with SEO best practices, they can become more visible online more quickly.⁠ ⁠ When thinking about which of your existing blog content to optimize, look at the posts th</t>
  </si>
  <si>
    <t>Tagged non-reel item (carousel/photo) at grid position #27.</t>
  </si>
  <si>
    <t>Grid item #27. Discovered from Tagged page grid in sequential order.</t>
  </si>
  <si>
    <t>28071830889115331</t>
  </si>
  <si>
    <t>digitalmarketing, digitalmarketingtips, digitalmarketingagency, digitamkarketingservices</t>
  </si>
  <si>
    <t>CR13024239363045720065</t>
  </si>
  <si>
    <t>1547604770446776</t>
  </si>
  <si>
    <t>Get seen everywhere they are, Google or ChatGPT, and win the evolution of product discovery.</t>
  </si>
  <si>
    <t>https://adstransparency.google.com/advertiser/AR01693402396748677121/creative/CR00931357481974628353?region=anywhere</t>
  </si>
  <si>
    <t>Le SEO fait partie des enfants terribles du digital marketing! C'est compliqué oui, technique, souvent considéré comme cher comme service! Comment en effet mesurer les retours si on maîtrise mal les indicateurs de mesure? Avant tout, ce qu'il faut comprendre, c'est que le SEO repose sur 3 pilliers :    ✅ les performances techniques d'un site web (r</t>
  </si>
  <si>
    <t>1595466245422358</t>
  </si>
  <si>
    <t>Tagged non-reel item (carousel/photo) at grid position #28.</t>
  </si>
  <si>
    <t>Grid item #28. Discovered from Tagged page grid in sequential order.</t>
  </si>
  <si>
    <t>signumai_blog, ai, artificialintelligence, startup</t>
  </si>
  <si>
    <t>38001316252817343</t>
  </si>
  <si>
    <t>Ran from Aug 17, 2026 to Aug 26, 2026</t>
  </si>
  <si>
    <t>Discovered at visual grid position #50. Verified Ad Details URL. Format: Single Image Ad.</t>
  </si>
  <si>
    <t>Are you dreaming of high profits and an efficient team working well together? Every AI startup does.⠀ ⠀ But how can a founder free his team from repetitive manual tasks, keep everyone on the same page, and attract investors?⠀ ⠀ Find 50 automation instruments that can help you on our blog. Link in bio 🚀⠀ ⠀ #signumai_blog #ai #artificialintelligence</t>
  </si>
  <si>
    <t>#signumai_blog, #ai, #artificialintelligence</t>
  </si>
  <si>
    <t>Tagged non-reel item (carousel/photo) at grid position #29.</t>
  </si>
  <si>
    <t>Grid item #29. Discovered from Tagged page grid in sequential order.</t>
  </si>
  <si>
    <t>2086772921914247</t>
  </si>
  <si>
    <t>CR00931357481974628353</t>
  </si>
  <si>
    <t>4481367392120432</t>
  </si>
  <si>
    <t>https://adstransparency.google.com/advertiser/AR01693402396748677121/creative/CR03810105216729088001?region=anywhere</t>
  </si>
  <si>
    <t>What's an 'emerging keyword'?  An emerging keyword is a trending topic or key phrase that is on the rise, but doesn't have a lot of search volume on Google yet. In a word? Opportunity.  For brands, owning emerging keywords can lead to some serious traffic down the line once everyone starts searching for it and you have great content about it.  Here's an example - for one of our favorite clients, @</t>
  </si>
  <si>
    <t>1351423767104764</t>
  </si>
  <si>
    <t>#contentmarketingstrategy, #keywords, #keywordresearch, #seostrategy, #marketingresearch, #marketingtipsandtricks, #contentmarketingagency, #freelancewriting, #marketingcontent, #searchengineoptimization, #searchengineoptimizationtips</t>
  </si>
  <si>
    <t>Tagged video reel at grid position #30.</t>
  </si>
  <si>
    <t>Clicked item #30 from Tagged grid. Opened reel popup. Link obtained via Instagram Three Dot -&gt; Copy Link. Video and caption verified.</t>
  </si>
  <si>
    <t>1382467060692944</t>
  </si>
  <si>
    <t>Discovered at visual grid position #51. Verified Ad Details URL. Format: Single Image Ad.</t>
  </si>
  <si>
    <t>1571701114588444</t>
  </si>
  <si>
    <t>Want to know a secret about SEO? (Save this post!!)  It’s all about people. Google’s algorithm tries to surface the content that is the most relevant, readable, skimmable, and conversational for those first few coveted slots on the SERP (search engine results page). They want to match Google searches with the content that best serves to educate about the search entered.  Using tools like @moz_hq @</t>
  </si>
  <si>
    <t>#contentstrategytips, #seotips, #seotools, #searchengineoptimization, #searchenginemarketing, #optimization, #reelsforbusiness, #marketingtips101, #marketingreels, #marketingresearch, #contentmarketingtips, #contentmarketingstrategies, #contentmarketingagency, #trendingaudio</t>
  </si>
  <si>
    <t>Tagged video reel at grid position #31.</t>
  </si>
  <si>
    <t>1594200395753185</t>
  </si>
  <si>
    <t>Clicked item #31 from Tagged grid. Opened reel popup. Link obtained via Instagram Three Dot -&gt; Copy Link. Video and caption verified.</t>
  </si>
  <si>
    <t>SEO, Keyword Research, Digital Marketing</t>
  </si>
  <si>
    <t>1039086222326545</t>
  </si>
  <si>
    <t>CR03810105216729088001</t>
  </si>
  <si>
    <t>2059098001377748</t>
  </si>
  <si>
    <t>Rank tracking tools help in tracking websites’ SEO positions for specific keywords.  It shows you changes in keyword positions and allows you to compare them with your competitors.  Tools Mentioned in the Video:  1. SEMrush (@semrush) 2. AccuRanker (@accuranker) 3. Ahrefs (@ahrefscom) 4. SERPWatcher (by @mangools_com) 5. RankWatch (@rankwatch_seo)  Our SEO expert, Shweta Gharat (@shwezzyy), lists</t>
  </si>
  <si>
    <t>#SEMRush, #AccuRanker, #Aherfs, #SERPRankWatcher, #SeoTools, #SEO, #SEOTips, #DigitalMarketing, #SearchEngineOptimization, #SEOExpert, #SEOServices, #SEOMarketing, #SEOStrategy, #SEOAgency, #DigitalMarketingtips, #SEOCompany, #OnlineMarketing, #SEOConsultant, #OnPageSEO, #Keywords, #OffPageSEO</t>
  </si>
  <si>
    <t>Tagged video reel at grid position #32.</t>
  </si>
  <si>
    <t>Clicked item #32 from Tagged grid. Opened reel popup. Link obtained via Instagram Three Dot -&gt; Copy Link. Video and caption verified.</t>
  </si>
  <si>
    <t>Discovered at visual grid position #52. Verified Ad Details URL. Format: Single Image Ad.</t>
  </si>
  <si>
    <t>https://adstransparency.google.com/advertiser/AR01693402396748677121/creative/CR18205662345294774273?region=anywhere</t>
  </si>
  <si>
    <t>1012655085149884</t>
  </si>
  <si>
    <t>AI has moved from experiment to operating system. In a survey of 100 CMOs, 90% u - Low impression count FB.ME 90% of CMOs Use LLMs Daily</t>
  </si>
  <si>
    <t>1464918972329109</t>
  </si>
  <si>
    <t>What are backlinks and why are they important? 🤔 A backlink is a link to your website from another website. In the eyes of search engines, backlinks are a bit like votes for your site. The more links you have, the higher your site is likely to rank in search engines. 💪   🚨 Not all backlinks are created equal, though. 🚨  The best backlinks are ones</t>
  </si>
  <si>
    <t>Tagged non-reel item (carousel/photo) at grid position #33.</t>
  </si>
  <si>
    <t>Grid item #33. Discovered from Tagged page grid in sequential order.</t>
  </si>
  <si>
    <t>2222544481811723</t>
  </si>
  <si>
    <t>social, finance, businessoperations, businesstools</t>
  </si>
  <si>
    <t>4061048754196138</t>
  </si>
  <si>
    <t>We spent 10+ hours last weekend setting up our @notionhq project management board + business wiki. (With the help of @bethanyhcartwright, operations kween + @rspark7, who we are excited to share has joined our team as a project manager (project management kween)!)  Since we did it, it's been hella worth it. Our fave views are the calendar view (Kat</t>
  </si>
  <si>
    <t>Tagged non-reel item (carousel/photo) at grid position #34.</t>
  </si>
  <si>
    <t>Grid item #34. Discovered from Tagged page grid in sequential order.</t>
  </si>
  <si>
    <t>Discovered at visual grid position #53. Verified Ad Details URL. Format: Single Image Ad.</t>
  </si>
  <si>
    <t>SEO, Keyword Research, Video Marketing</t>
  </si>
  <si>
    <t>Holiday shoppers are already asking AI what to buy - and most of those conversat - Low impression count FB.ME How Will Shoppers Find You in AI?</t>
  </si>
  <si>
    <t>1372792384297148</t>
  </si>
  <si>
    <t>CR18205662345294774273</t>
  </si>
  <si>
    <t>Do research on keywords 😍 #dealdegreels #dealdeg #knowledge #seo #searchengineoptimization #keywordresearch #semrush #webdeveloper #seoexpert #semexpert #adsense #adsexpert #reelsinstagram #reelsindia #reels #reelsvideo</t>
  </si>
  <si>
    <t>#dealdegreels, #dealdeg, #knowledge, #seo, #searchengineoptimization, #keywordresearch, #semrush, #webdeveloper, #seoexpert, #semexpert, #adsense, #adsexpert, #reelsinstagram, #reelsindia, #reels, #reelsvideo</t>
  </si>
  <si>
    <t>https://adstransparency.google.com/advertiser/AR01693402396748677121/creative/CR14779284221348282369?region=anywhere</t>
  </si>
  <si>
    <t>Tagged video reel at grid position #35.</t>
  </si>
  <si>
    <t>Clicked item #35 from Tagged grid. Opened reel popup. Link obtained via Instagram Three Dot -&gt; Copy Link. Video and caption verified.</t>
  </si>
  <si>
    <t>affiliatemarketers, onsiteservice, searchengineadvertising, onpageseo</t>
  </si>
  <si>
    <t>1017323667973759</t>
  </si>
  <si>
    <t>Ran from Aug 17, 2026 to Aug 28, 2026</t>
  </si>
  <si>
    <t>Top 6 SEO Tools that you need in 2021  Exploring your way through SEO is hard, especially if you are just starting out!  Worry not I have collated a list of SEO tools that will easy your task, you just have to figure out which one works best for your business.  Ahrefs: SEO Keyword Tool  Google Search Console   SEMRush: SEO Marketing Tool  KWFinder</t>
  </si>
  <si>
    <t>Discovered at visual grid position #54. Verified Ad Details URL. Format: Single Image Ad.</t>
  </si>
  <si>
    <t>1052586527263407</t>
  </si>
  <si>
    <t>Tagged non-reel item (carousel/photo) at grid position #36.</t>
  </si>
  <si>
    <t>Grid item #36. Discovered from Tagged page grid in sequential order.</t>
  </si>
  <si>
    <t>Reddit's share of AI citations grew by at least 73% across every industry studie - Low impression count FB.ME Reddit Is Reshaping AI Visibility</t>
  </si>
  <si>
    <t>CR14779284221348282369</t>
  </si>
  <si>
    <t>1059975886765155</t>
  </si>
  <si>
    <t>https://adstransparency.google.com/advertiser/AR01693402396748677121/creative/CR05149462318123319297?region=anywhere</t>
  </si>
  <si>
    <t>1384882870448063</t>
  </si>
  <si>
    <t>It seems like on a daily basis on The CMO Circle there's a version of the same conversation:   “How do I get found in 2026? “ That’s from the perspective of both the brand and the individual.   We're also hearing the same thing in the briefs landing at Here On Up right now too.  Agentic search is already deciding which brands get seen, when someone asks ChatGPT or Claude a question instead of typing it into Google (which of course is now becoming quickly gemini powered), It's already reshaping who gets seen and how.  Should we be doubling down on the solid SEO fundamentals we've spent years getting right, or is this different enough that the old playbook just doesn't transfer?   The fundamentals still clearly matter (being genuinely useful, structured content with real authority) but what's changed is the entire distribution layer sitting on top of them.   Being technically correct on a page nobody's model ever reads counts for nothing now.  I'm heading over to Spotlight by Semrush on October 13th in London for a day of deep immersion into this topic: a day with people who've actually rebuilt their approach to discovery around this shift, hearing what broke, what worked, and what they'd do differently.   The speaker list is A1, (OpenAI, Uber, Wix and Spotify among them) walking through what they've actually shipped this year, across keynotes, masterclasses and workshops &amp; as always, a great opportunity to network with other Marketing leaders  If you're a marketer who can't afford to be invisible right now, that's most of us, get your ticket at https://bit.ly/4hDdMqK with code SPOTLIGHT25 for a 25% discount until September 1st.  Full disclosure: Spotlight gave me a code to share. Everything above is still what I actually think.</t>
  </si>
  <si>
    <t>Tagged non-reel item (carousel/photo) at grid position #37.</t>
  </si>
  <si>
    <t>Grid item #37. Discovered from Tagged page grid in sequential order.</t>
  </si>
  <si>
    <t>zoekwoordenonderzoek, zoekwoorden, zzper, bloggernl</t>
  </si>
  <si>
    <t>1557862646069705</t>
  </si>
  <si>
    <t>1615957743529537</t>
  </si>
  <si>
    <t>Hier doe ik jaren zoekwoorden onderzoek via KWFinder en heb er nu een uitgebreide review over geschreven + video 😁👍  -  Zie bio link en dan laatste review of ga naar www.veelreviews.nl 🎈  -  #zoekwoordenonderzoek #zoekwoorden #zzper #bloggernl #geldverdienenonline #geldverdienen #ondernemer #dutchblogger #dutchie #internetmarketing #marketing #kwfi</t>
  </si>
  <si>
    <t>#zoekwoordenonderzoek, #zoekwoorden, #zzper, #bloggernl, #geldverdienenonline, #geldverdienen, #ondernemer, #dutchblogger, #dutchie, #internetmarketing, #marketing, #kwfi</t>
  </si>
  <si>
    <t>Tagged non-reel item (carousel/photo) at grid position #38.</t>
  </si>
  <si>
    <t>Grid item #38. Discovered from Tagged page grid in sequential order.</t>
  </si>
  <si>
    <t>BlackFriday, Deals, CyberMonday, offer</t>
  </si>
  <si>
    <t>Discovered at visual grid position #55. Verified Ad Details URL. Format: Single Image Ad.</t>
  </si>
  <si>
    <t>2299372237498469</t>
  </si>
  <si>
    <t>CR05149462318123319297</t>
  </si>
  <si>
    <t>SoftwareSuggest's Black Friday Deals Part - 4.  Deals that you simply cannot say no to! Grab it at a never-before-price. Stay tuned for more deals!  Get Coupons &gt;&gt; Link In Bio  #BlackFriday #Deals #CyberMonday #offer #SaaS #Products #Software #BestOffer #Discounts #SoftwareSuggest</t>
  </si>
  <si>
    <t>#BlackFriday, #Deals, #CyberMonday, #offer, #SaaS, #Products, #Software, #BestOffer, #Discounts, #SoftwareSuggest</t>
  </si>
  <si>
    <t>Search Text Ad: "Scale Agency Client AI Search Visibility - Multi-Client Dashboards"</t>
  </si>
  <si>
    <t>Tagged non-reel item (carousel/photo) at grid position #39.</t>
  </si>
  <si>
    <t>Grid item #39. Discovered from Tagged page grid in sequential order.</t>
  </si>
  <si>
    <t>2917859355218162</t>
  </si>
  <si>
    <t>1, contenthacker, contentcreator, contentmarketing</t>
  </si>
  <si>
    <t>Peec ai</t>
  </si>
  <si>
    <t>AI search is rewriting customer journeys. Get the tactics needed to be recommended your category's audiences.</t>
  </si>
  <si>
    <t>Search Text Ad: "Official Site - Boost AI Visibility - Create AI Content Workflows"</t>
  </si>
  <si>
    <t>Ran from Aug 10, 2026 to Sep 8, 2026</t>
  </si>
  <si>
    <t>https://adstransparency.google.com/advertiser/AR01693402396748677121/creative/CR04765412570217578497?region=anywhere</t>
  </si>
  <si>
    <t>Discovered at visual grid position #56. Verified Ad Details URL. Format: Document Ad.</t>
  </si>
  <si>
    <t>Not found</t>
  </si>
  <si>
    <t>Take a look at this list of the top DIY SEO tools compiled by Julia McCoy, so that you can plan your way to the #1 position in Google. 🙌  We’ll look at: * A list of the best free DIY SEO tools out there * Step-by-step guidance on how to use each tool * Free SEO tools you should never use * Plus, her favorite paid tools (for when you’re growing and</t>
  </si>
  <si>
    <t>#1</t>
  </si>
  <si>
    <t>Tagged non-reel item (carousel/photo) at grid position #40.</t>
  </si>
  <si>
    <t>Building AIO and SEO prompt strategy Learn what it takes to get found, trusted, and chosen. Everywhere search happens. September 9th 2026 / 5pm CET / 4pm UTC / 9 AM PDT / 8 AM PST / 11 AM EST Save your seat</t>
  </si>
  <si>
    <t>Mangools</t>
  </si>
  <si>
    <t>Grid item #40. Discovered from Tagged page grid in sequential order.</t>
  </si>
  <si>
    <t>Your audience no longer searches in one place. They move between Google, ChatGPT, Gemini, and Perplexity—while most teams still measure SEO and AI visibility separately. Join our practitioner webinar to learn how to benchmark visibility across both, identify prompt gaps, and create content designed to earn rankings and citations.</t>
  </si>
  <si>
    <t>SEO, AI Search &amp; GEO, Search Visibility, Content Strategy, Competitive Intelligence</t>
  </si>
  <si>
    <t>contenthacker, contentmarketing, contentcreator, contentcreation</t>
  </si>
  <si>
    <t>CR04765412570217578497</t>
  </si>
  <si>
    <t>25 Nov 2025 - 09 Sep 2026</t>
  </si>
  <si>
    <t>https://mangools.com/ai-search-watcher/</t>
  </si>
  <si>
    <t>If you’re new to content writing, the term “SEO techniques” can be intimidating.  But the truth is, it’s not.  All SEO stands for is to give users the best experience when they search online.  In this brand new Youtube video + blog, Julia McCoy gives her top techniques to rank in the top of Google in no time! 📈  With 6 billion searches a day that n</t>
  </si>
  <si>
    <t>Tagged non-reel item (carousel/photo) at grid position #41.</t>
  </si>
  <si>
    <t>Grid item #41. Discovered from Tagged page grid in sequential order.</t>
  </si>
  <si>
    <t>https://adstransparency.google.com/advertiser/AR01693402396748677121/creative/CR12684558989539672065?region=anywhere</t>
  </si>
  <si>
    <t>To understand how to do keyword research, you first need to know the basic terms and concepts. In this blog, Julia McCoy starts from the beginning and goes in-depth and step by step to show you how important keyword research is and how to do it. 👩‍💻  If you ever wanted to know what seed keywords, searcher intent, search volume, competition, CPC, ke</t>
  </si>
  <si>
    <t>Tagged non-reel item (carousel/photo) at grid position #42.</t>
  </si>
  <si>
    <t>Grid item #42. Discovered from Tagged page grid in sequential order.</t>
  </si>
  <si>
    <t>mangools, freeseocourse, mangoolscertification, mangoolsseo</t>
  </si>
  <si>
    <t>AI Overviews are rewriting the search game. - Are you showing up in them? 20% of Google searches now display AI Overviews, and most SEOs have no idea if their content</t>
  </si>
  <si>
    <t>https://www.facebook.com/ads/library/?active_status=all&amp;ad_type=all&amp;country=ALL&amp;is_targeted_country=false&amp;media_type=all&amp;search_type=page&amp;sort_data[direction]=desc&amp;sort_data[mode]=total_impressions&amp;view_all_page_id=1736362296643133</t>
  </si>
  <si>
    <t>Mangools Free SEO Course With Certification for Beginners  https://knowonlinemarketing.com/mangools-free-seo-course-with-certification-for-beginners/  #mangools #freeseocourse #mangoolscertification #mangoolsseo #knowonlinemarketing</t>
  </si>
  <si>
    <t>#mangools, #freeseocourse, #mangoolscertification, #mangoolsseo, #knowonlinemarketing</t>
  </si>
  <si>
    <t>CR12684558989539672065</t>
  </si>
  <si>
    <t>Tagged non-reel item (carousel/photo) at grid position #43.</t>
  </si>
  <si>
    <t>Grid item #43. Discovered from Tagged page grid in sequential order.</t>
  </si>
  <si>
    <t>SHOPLINE, 電商, 品牌, 創業</t>
  </si>
  <si>
    <t>Ran from Aug 20, 2026 to Sep 8, 2026</t>
  </si>
  <si>
    <t>https://adstransparency.google.com/advertiser/AR01693402396748677121/creative/CR14513259100994797569?region=anywhere</t>
  </si>
  <si>
    <t>Discovered at visual grid position #57. Verified Ad Details URL. Format: Single Image Ad.</t>
  </si>
  <si>
    <t>6⃣ 個超實用行銷工具存起來！  身為行銷人或是電商老闆的你，是不是常常要身兼多務，校長兼撞鐘？我們一天都一樣只有 24 個小時，要找到有效率的方法一次處理很多事情的話，就應該要好好善用「工具 」🧰 今天就讓小編你推薦 6 個好用的行銷工具，分別是內容行銷類、電子報行銷類以及 SEO 分析類（明天還有另外三個類別喔 😏），趕快收藏貼文以便不時之需！  🛠 內容行銷類－Buzzsumo 可以找到網路上特定主題最熱門的內容，無論是分享、按讚較高的文章或網頁。同時找出過去哪些的內容以及哪些來源表現良好，在進行接下來的內容行銷規劃前，充分了解受眾喜歡的內容。  🛠 內容行銷類－Mix 同樣透過關鍵字搜尋，Mix 就會整理出一份推薦的熱門文章清單，對於內容研究來說很有幫助，可以藉由這些資訊產出相關熱門</t>
  </si>
  <si>
    <t>Tagged non-reel item (carousel/photo) at grid position #44.</t>
  </si>
  <si>
    <t>Grid item #44. Discovered from Tagged page grid in sequential order.</t>
  </si>
  <si>
    <t>The AI Visibility Index just launched its biggest update yet, scaling up our data analysis to 126M prompts, 22 industries, and 4 platforms.</t>
  </si>
  <si>
    <t>Having great content is more important than ever! These days, the market is flooded with content marketing platforms and tools. In this blog, Julia McCoy shares her favorite ones that help make her marketing awesome. 🔥  Check out the blog which includes brands like Trello, CoSchedule, SEMrush, WordPress, Canva, Slack, Dropbox, Ahrefs, Mangools, and</t>
  </si>
  <si>
    <t>Tagged non-reel item (carousel/photo) at grid position #45.</t>
  </si>
  <si>
    <t>Discovered at visual grid position #58. Verified Ad Details URL. Format: Document Ad.</t>
  </si>
  <si>
    <t>CR14513259100994797569</t>
  </si>
  <si>
    <t>Grid item #45. Discovered from Tagged page grid in sequential order.</t>
  </si>
  <si>
    <t>1463431462030707</t>
  </si>
  <si>
    <t>Status: Active | Started: 20 Mar 2026 | Platforms: Meta | Format: Image | CTA: Mangools</t>
  </si>
  <si>
    <t>slovakbusinessagency, sbagency, SBA, sbateam</t>
  </si>
  <si>
    <t>App / Software</t>
  </si>
  <si>
    <t>https://mangools.com/kwfinder/</t>
  </si>
  <si>
    <t>https://adstransparency.google.com/advertiser/AR01693402396748677121/creative/CR16511273145450102785?region=anywhere</t>
  </si>
  <si>
    <t>From the Universal 36 brands that dominate visibility every month on every platform, to industry-targeted tactics. Get data-backed insights for free.</t>
  </si>
  <si>
    <t>Konferencia ZÁKAZNÍK 2018: TRENDY - TIPY - NÁPADY 💡 sa blíži 😉. Ešte ste sa neprihlásili 🙋 ale máte záujem zúčastniť sa? Tak poďte na našu webstránku 🔗 www.sbagency.sk ✋ Účasť na konferencii je BEZPLATNÁ 🤗 stačí sa len prihlásiť, je to super easy👌. Tešíme sa na Vás 6.11.2018 v našom Coworkingu v Bratislave 🎆 #slovakbusinessagency #sbagency #SBA #sb</t>
  </si>
  <si>
    <t>#slovakbusinessagency, #sbagency, #SBA, #sb</t>
  </si>
  <si>
    <t>Tagged non-reel item (carousel/photo) at grid position #46.</t>
  </si>
  <si>
    <t>Grid item #46. Discovered from Tagged page grid in sequential order.</t>
  </si>
  <si>
    <t>Ran from Aug 10, 2026 to Aug 19, 2026</t>
  </si>
  <si>
    <t>contentmarketingstrategy, keywords, keywordresearch, seostrategy</t>
  </si>
  <si>
    <t>Discovered at visual grid position #59. Verified Ad Details URL. Format: Document Ad.</t>
  </si>
  <si>
    <t>KWFinder just got a major upgrade. - More insights, cleaner view, zero clutter. We've redesigned the keyword table to pack everything you need into a single</t>
  </si>
  <si>
    <t>2137057677147232</t>
  </si>
  <si>
    <t>https://mangools.com/reddit-threads-finder</t>
  </si>
  <si>
    <t>What's an 'emerging keyword'?  An emerging keyword is a trending topic or key phrase that is on the rise, but doesn't have a lot of search volume on Google yet. In a word? Opportunity.  For brands, owning emerging keywords can lead to some serious traffic down the line once everyone starts searching for it and you have great content about it.  Here</t>
  </si>
  <si>
    <t>Tagged non-reel item (carousel/photo) at grid position #47.</t>
  </si>
  <si>
    <t>Grid item #47. Discovered from Tagged page grid in sequential order.</t>
  </si>
  <si>
    <t>CR16511273145450102785</t>
  </si>
  <si>
    <t>1, 2, 1, SEO</t>
  </si>
  <si>
    <t>https://adstransparency.google.com/advertiser/AR01693402396748677121/creative/CR10679961825371488257?region=anywhere</t>
  </si>
  <si>
    <t>Your competitors are already showing up inside Reddit discussions tied to your k - Our free Reddit Threads Finder helps you discover the conversations already ranking in Google, spot content opportunitie</t>
  </si>
  <si>
    <t>1355634713329795</t>
  </si>
  <si>
    <t>Status: Active | Started: 3 Jul 2026 | Platforms: Threads | Format: Image | CTA: Mangools</t>
  </si>
  <si>
    <t>I've got a NEW Content Hacker Ultimate guide out for you today! 🔥 We published this a year ago, and just updated it this week.  Link in Stories: 23+ Free DIY SEO Tools: All You Need to Strategically Plan Your Way to #1 Position on Google’s SERPs  Did you know?  There are now six billion searches per day on Google. (Up ‪from 3.5‬ billion in 2019!)</t>
  </si>
  <si>
    <t>Tagged non-reel item (carousel/photo) at grid position #48.</t>
  </si>
  <si>
    <t>https://mangools.com/ai-search-grader</t>
  </si>
  <si>
    <t>Ran from Aug 18, 2026 to Aug 24, 2026</t>
  </si>
  <si>
    <t>Grid item #48. Discovered from Tagged page grid in sequential order.</t>
  </si>
  <si>
    <t>Discovered at visual grid position #60. Verified Ad Details URL. Format: Single Image Ad.</t>
  </si>
  <si>
    <t>CR10679961825371488257</t>
  </si>
  <si>
    <t>https://adstransparency.google.com/advertiser/AR01693402396748677121/creative/CR04511338204955148289?region=anywhere</t>
  </si>
  <si>
    <t>Newly updated blog on Content Hacker is out today! This one is key for your SEO strategies and getting to the top of Google. 📈  The problem is SEO won’t work if you approach it in a hit-and-miss manner. Guesswork and “publish and pray” will do nothing to get you a top position on Google.  What you DO need for great SEO is hard data and a strategic</t>
  </si>
  <si>
    <t>How visible is your brand in AI search results? - Mangools AI Search Grader gives you a clear score based on your appearance and ranking across multiple AI search engines</t>
  </si>
  <si>
    <t>Tagged non-reel item (carousel/photo) at grid position #49.</t>
  </si>
  <si>
    <t>3126888337618284</t>
  </si>
  <si>
    <t>After MONTHS of chatting with Claude about it, I finally took the plunge last week and bought a new monitor. It was defo a ‘laptop’ purchase, not a phone one (millenial vibes).   For all the headlines about AI search, this was the first time I felt it change how I buy for a purchase this size. I didn’t use a search engine once for it.  It was a loooooooooooooooong-running conversation with an AI about desk space, eye strain and other stuff.   And I think that's where a lot of us are as marketers: we can see discovery shifting, there's not much out there *practically* telling us how to think about it and implement it properly for a business, a channel, etc.  So on 13th October I'm heading to Spotlight by Semrush at Old Billingsgate in London, to hear from folks a bit further down this road on this than I am.  Their promise, in their words: the speakers 'aren't presenting trends. They're sharing what they've built, tested, and shipped. So you can do the same.'  30+ keynotes, 100+ workshops, and 1,000+ marketers. Which seems pretty good to me.  If you fancy joining, tickets are at https://bit.ly/4feSRHJ and the code KUDOS25 gets you a 25% discount until September 1st .  Hope that helps, and I'll see you there :)  Semrush Spotlight  #Ad</t>
  </si>
  <si>
    <t>Grid item #49. Discovered from Tagged page grid in sequential order.</t>
  </si>
  <si>
    <t>Status: Inactive | Started: 29 Oct 2025 | Platforms: Meta | Format: Image | CTA: Mangools</t>
  </si>
  <si>
    <t>SEO, AI Search &amp; GEO, Industry Event</t>
  </si>
  <si>
    <t>Discount / Offer</t>
  </si>
  <si>
    <t>ShoutMeLoud, SEO, Blogging</t>
  </si>
  <si>
    <t>https://mangools.com/blackfriday-2025</t>
  </si>
  <si>
    <t>Which is your favorite Keyword research tool? @semrush @ahrefscom @mangools_com   #ShoutMeLoud #SEO #Blogging</t>
  </si>
  <si>
    <t>#ShoutMeLoud, #SEO, #Blogging</t>
  </si>
  <si>
    <t>Tagged non-reel item (carousel/photo) at grid position #50.</t>
  </si>
  <si>
    <t>Grid item #50. Discovered from Tagged page grid in sequential order.</t>
  </si>
  <si>
    <t>Discovered at visual grid position #61. Verified Ad Details URL. Format: Single Image Ad.</t>
  </si>
  <si>
    <t>ShoutMeLoud, SEO, searchengineoptimization, searchengineoptimizationtools</t>
  </si>
  <si>
    <t>🚀 Black Friday ‘25 is on! - Make your business visible in both Google &amp; AI Search with Mangools — trusted by 2.8M+ SEO pros. ✅ -35% off proven SEO t</t>
  </si>
  <si>
    <t>1390094732666278</t>
  </si>
  <si>
    <t>Status: Inactive | Started: 26 Nov 2025 | Platforms: Meta | Format: Image | CTA: Mangools</t>
  </si>
  <si>
    <t>CR04511338204955148289</t>
  </si>
  <si>
    <t>Search Text Ad: "Profound vs. Searchable - Definitive G2 Leader in AEO"</t>
  </si>
  <si>
    <t>https://adstransparency.google.com/advertiser/AR01693402396748677121/creative/CR15627384269096091649?region=anywhere</t>
  </si>
  <si>
    <t>Which of these tools do you use for backlink checking? Comment below 👇🏻 #ShoutMeLoud  @semrush @mangools_com @ahrefscom  @moz_hq  #SEO #searchengineoptimization #searchengineoptimizationtools #digitalmarketing #blogger #blogging</t>
  </si>
  <si>
    <t>#ShoutMeLoud, #SEO, #searchengineoptimization, #searchengineoptimizationtools, #digitalmarketing, #blogger, #blogging</t>
  </si>
  <si>
    <t>Status: Inactive | Started: 17 Nov 2025 | Platforms: Meta | Format: Image | CTA: Mangools</t>
  </si>
  <si>
    <t>Tagged non-reel item (carousel/photo) at grid position #51.</t>
  </si>
  <si>
    <t>Grid item #51. Discovered from Tagged page grid in sequential order.</t>
  </si>
  <si>
    <t>https://mangools.com/ai-search-watcher</t>
  </si>
  <si>
    <t>Discovered at visual grid position #62. Verified Ad Details URL. Format: Single Image Ad.</t>
  </si>
  <si>
    <t>Tagged non-reel item (carousel/photo) at grid position #52.</t>
  </si>
  <si>
    <t>Grid item #52. Discovered from Tagged page grid in sequential order.</t>
  </si>
  <si>
    <t>CR15627384269096091649</t>
  </si>
  <si>
    <t>👻 Are you a ghost to AI search results? - Use AI Search Watcher to compare your brand against competitors, get tailored prompts, and receive detailed reports that</t>
  </si>
  <si>
    <t>29 Jul 2026 - 08 Sep 2026</t>
  </si>
  <si>
    <t>coronavirus, pandemic, savvybusinessowner, marketingstrategy</t>
  </si>
  <si>
    <t>Status: Inactive | Started: 27 Nov 2025 | Platforms: Meta | Format: Image | CTA: Mangools</t>
  </si>
  <si>
    <t>https://adstransparency.google.com/advertiser/AR01693402396748677121/creative/CR02840804559142518785?region=anywhere</t>
  </si>
  <si>
    <t>1223173589843991</t>
  </si>
  <si>
    <t>Content tools for marketing can get confusing – fast.  Which ones are must-haves?  Do features overlap?  Do you really need more than one SEO tool?  Trust me, even seasoned strategists don’t have all the answers and often get confused over the features.  Here’s the thing. I can’t answer these questions. Everyone’s content marketing strategy is diff</t>
  </si>
  <si>
    <t>Tagged non-reel item (carousel/photo) at grid position #53.</t>
  </si>
  <si>
    <t>Check your AI search visibility in seconds! - With AI Search Watcher, monitor exactly where your brand is mentioned on ChatGPT, Gemini, Claude, and more. Get started</t>
  </si>
  <si>
    <t>Grid item #53. Discovered from Tagged page grid in sequential order.</t>
  </si>
  <si>
    <t>Status: Inactive | Started: 7 Nov 2025 | Platforms: Meta | Format: Image | CTA: Mangools</t>
  </si>
  <si>
    <t>https://mangools.com/kwfinder/features/keyword-gap-analysis-tool/</t>
  </si>
  <si>
    <t>Ran from Aug 18, 2026 to Aug 28, 2026</t>
  </si>
  <si>
    <t>Discovered at visual grid position #63. Verified Ad Details URL. Format: Single Image Ad.</t>
  </si>
  <si>
    <t>Tagged non-reel item (carousel/photo) at grid position #54.</t>
  </si>
  <si>
    <t>CR02840804559142518785</t>
  </si>
  <si>
    <t>Grid item #54. Discovered from Tagged page grid in sequential order.</t>
  </si>
  <si>
    <t>Display Banner: AI Search Visibility Dashboard &amp; Multi-Engine Citations</t>
  </si>
  <si>
    <t>https://adstransparency.google.com/advertiser/AR01693402396748677121/creative/CR03785380155157905409?region=anywhere</t>
  </si>
  <si>
    <t>Want to know which keywords your competitors are ranking for? - Now you can, for free! ✅ Compare your site vs. 5 competitors ✅ Discover hidden keyword opportunities</t>
  </si>
  <si>
    <t>Status: Inactive | Started: 3 Nov 2025 | Platforms: Meta | Format: Image | CTA: Mangools</t>
  </si>
  <si>
    <t>Tagged non-reel item (carousel/photo) at grid position #55.</t>
  </si>
  <si>
    <t>Grid item #55. Discovered from Tagged page grid in sequential order.</t>
  </si>
  <si>
    <t>contenthacker, marketingtools, contentcreators, marketingstrategy</t>
  </si>
  <si>
    <t>Discovered at visual grid position #64. Verified Ad Details URL. Format: Single Image Ad.</t>
  </si>
  <si>
    <t>Julia McCoy updated her list of must-have content marketing tools for 2020! 💥  She has tried and tested all of these. These are the ones Julia trusts to give her all the help, data, and edge she needs to make her marketing awesome. 🔥  Some of the tools include @coschedule, @semrush, @mangools_com, @trelloapp, @wordpressdotcom, @canva, @grammarly, @</t>
  </si>
  <si>
    <t>Tagged non-reel item (carousel/photo) at grid position #56.</t>
  </si>
  <si>
    <t>CR03785380155157905409</t>
  </si>
  <si>
    <t>Grid item #56. Discovered from Tagged page grid in sequential order.</t>
  </si>
  <si>
    <t>Your competitors have keywords.You have opportunities. - With Mangools’ Free Keyword Gap Tool, you can: 🔍 Spot what you’re missing 🎯Target easy-to-rank terms</t>
  </si>
  <si>
    <t>25688583560753843</t>
  </si>
  <si>
    <t>webiness, webforyourbusiness, seo, startup</t>
  </si>
  <si>
    <t>https://adstransparency.google.com/advertiser/AR01693402396748677121/creative/CR17616439836405661697?region=anywhere</t>
  </si>
  <si>
    <t>1194677379379499</t>
  </si>
  <si>
    <t>Status: Inactive | Started: 4 Nov 2025 | Platforms: Meta | Format: Image | CTA: Mangools</t>
  </si>
  <si>
    <t>Today is the big day where I present to you some SEO TOOLS that you need to crush in 2020 to get your website well ranked and positioned, but the most important thing is to be more informed about your competitors.  I know ranking in google these days it’s getting harder than before and to remind you “THE CONTENT IS THE KING” which is true 🙌. With n</t>
  </si>
  <si>
    <t>Tagged non-reel item (carousel/photo) at grid position #57.</t>
  </si>
  <si>
    <t>Grid item #57. Discovered from Tagged page grid in sequential order.</t>
  </si>
  <si>
    <t>1110228210989679</t>
  </si>
  <si>
    <t>contenthacker, contentmarketing, seo, contentcreation</t>
  </si>
  <si>
    <t>4379284078966752</t>
  </si>
  <si>
    <t>As a marketer, is there any bigger frustration than this?  When one of the C-suite searches Google and pops over to ask:  'Why aren't we ranking for this?' 'What about this keyword?' 'Where are we?'  Bang. Bang. Bang.  I used to spend ages pulling together detailed analysis.  Explaining why manually searching Google isn't the best way to judge marketing performance.  Then showing where we were ranking. Looking at trends over time. Sharing lead data, conversions and commercial outcomes.  Not anymore.  Now I ask a different question.  'Why are you still judging visibility by manually searching Google?'  Don't get me wrong. Google still matters. Probably more than ever. But the way people use it is changing.  ChatGPT Gemini Claude Perplexity  Even Google is moving beyond ten blue links.  AI Overviews and AI Mode are increasingly answering the question rather than simply returning a list of websites.  The conversation is shifting from search engines to answer engines.  That's why I'll be at Spotlight by Semrush in October.  Not because I want another conference full of predictions. But because I want to learn from the marketers who are already adapting to this new reality.  The people who aren't talking about what might happen. They're sharing what they've already built, tested and shipped.  Those platforms won't just rank websites. They'll synthesise information. Recommend brands. Cite sources.  Sometimes without anyone ever visiting your website.  That's a completely different game.  SEO still matters. But so does brand. So does authority. So does becoming a source AI chooses to reference. The way customers discover businesses is changing fast.  The goal is simple.  Leave with a plan you can put into practice the very next day. For me, that's what makes Spotlight essential.  With speakers from OpenAI, Google, Visa, Uber, Spotify, Wix and many more, it's one of the few conferences this year that feels focused on what marketers need to do next, rather than simply talking about what's coming.  📍 Spotlight, 13 October Old Billingsgate, London  This is one of the rooms you have to be in.  If you're coming too, get tickets at https://lnkd.in/d97uH9Qs using the code : KUDOS25 to receive 25% off (valid until 1 September).</t>
  </si>
  <si>
    <t>Status: Inactive | Started: 6 Nov 2025 | Platforms: Meta | Format: Image | CTA: Mangools</t>
  </si>
  <si>
    <t>As Julia McCoy says in this blog, SEO tools are the online marketer’s best friend. It’s going to be hard to compete in the content crowd without at least a few in-depth, data-mining, keyword tracking, research-handling superstars in your SEO kit.  Research, planning, and strategy are located at the bottom of the content success ladder. Check out he</t>
  </si>
  <si>
    <t>Tagged non-reel item (carousel/photo) at grid position #58.</t>
  </si>
  <si>
    <t>Grid item #58. Discovered from Tagged page grid in sequential order.</t>
  </si>
  <si>
    <t>No more SEO guessing games. - Use the Mangools Keyword Gap Tool to: - Find missed keyword opportunities - Compare rankings side by side</t>
  </si>
  <si>
    <t>CR17616439836405661697</t>
  </si>
  <si>
    <t>1482528279639361</t>
  </si>
  <si>
    <t>SEOTools, SEO, PosicionamientoWeb, WebsiteOptimization</t>
  </si>
  <si>
    <t>Status: Inactive | Started: 11 Nov 2025 | Platforms: Meta | Format: Image | CTA: Mangools</t>
  </si>
  <si>
    <t>https://adstransparency.google.com/advertiser/AR01693402396748677121/creative/CR11383007152357507073?region=anywhere</t>
  </si>
  <si>
    <t>¿Qué herramientas SEO consideras imprescindibles para tu proyecto o negocio?🔥 . ➡️Existen muchas herramientas SEO que no solo te ayudan a ser más productivos, sino que también te aportan datos precisos que de forma natural sería casi imposible de conseguir🔝 . . El inconveniente es que hay miles de herramientas en Internet. Por eso, @bocardod ha cre</t>
  </si>
  <si>
    <t>Discovered at visual grid position #65. Verified Ad Details URL. Format: Single Image Ad.</t>
  </si>
  <si>
    <t>Tagged non-reel item (carousel/photo) at grid position #59.</t>
  </si>
  <si>
    <t>Grid item #59. Discovered from Tagged page grid in sequential order.</t>
  </si>
  <si>
    <t>1722864948386727</t>
  </si>
  <si>
    <t>contenthacker, contentmarketing, digitalmarketing, contenthacking</t>
  </si>
  <si>
    <t>1335454538050268</t>
  </si>
  <si>
    <t>This list of 37 content marketing tools is exactly what you need to improve your planning and promotions.‬ 🙌 ‪Includes @coschedule, @semrush, @mangools_com, @trelloapp, @airtable, @canva, @evernote, @reddit, @slackhq, @dropbox, @googlemarketinganalytics, @ahrefscom, @wordpressdotcom, @quora, @piktochart and much more you may not be aware of. 🔥  Che</t>
  </si>
  <si>
    <t>Tagged non-reel item (carousel/photo) at grid position #60.</t>
  </si>
  <si>
    <t>Discovered at visual grid position #66. Verified Ad Details URL. Format: Document Ad.</t>
  </si>
  <si>
    <t>Grid item #60. Discovered from Tagged page grid in sequential order.</t>
  </si>
  <si>
    <t>CR11383007152357507073</t>
  </si>
  <si>
    <t>SEO, contenthacker, blog, contentcreation</t>
  </si>
  <si>
    <t>Search Text Ad: "AI SEO Platform for Agencies - White-Label AEO Reports"</t>
  </si>
  <si>
    <t>https://adstransparency.google.com/advertiser/AR01693402396748677121/creative/CR12765300801291681793?region=anywhere</t>
  </si>
  <si>
    <t>https://www.semrush.com/</t>
  </si>
  <si>
    <t>This list of 27+ #SEO tools are everything you will need to master web page analysis, keyword research and more to increase traffic and get your page to the top.  Includes @semrush, @ahrefscom, @mangools_com, @moz_hq and much more!  Link in the bio to see the FULL list in our blog! . . . #contenthacker #blog #contentcreation #contentmarketing #list</t>
  </si>
  <si>
    <t>Discovered at visual grid position #67. Verified Ad Details URL. Format: Document Ad.</t>
  </si>
  <si>
    <t>#SEO, #contenthacker, #blog, #contentcreation, #contentmarketing, #list</t>
  </si>
  <si>
    <t>Tagged non-reel item (carousel/photo) at grid position #61.</t>
  </si>
  <si>
    <t>Grid item #61. Discovered from Tagged page grid in sequential order.</t>
  </si>
  <si>
    <t>Tagged non-reel item (carousel/photo) at grid position #62.</t>
  </si>
  <si>
    <t>Grid item #62. Discovered from Tagged page grid in sequential order.</t>
  </si>
  <si>
    <t>This is the ultimate flex - WWW.SEMRUSH.COM Semrush Learn more</t>
  </si>
  <si>
    <t>https://www.facebook.com/ads/library/?active_status=active&amp;ad_type=all&amp;country=ALL&amp;is_targeted_country=false&amp;media_type=all&amp;search_type=page&amp;sort_data[direction]=desc&amp;sort_data[mode]=total_impressions&amp;view_all_page_id=157307754299282</t>
  </si>
  <si>
    <t>CR12765300801291681793</t>
  </si>
  <si>
    <t>Recent</t>
  </si>
  <si>
    <t>Discovered at visual grid position #68. Verified Ad Details URL. Format: Single Image Ad.</t>
  </si>
  <si>
    <t>Štvoricu speakrov na konferencii ZÁKAZNÍK 2018: TRENDY - TIPY - NÁPADY 💡 uzatvára Peter Hrbáčik, zakladateľ a CEO Mangools (@mangools_com). Tvorba online nástrojov je Petrova mantra a vo svojej firme vyvíja spolu s celým teamom celosvetovo úspešné SEO nástroje. Budete mať možnosť dozvedieť sa, že dôležitá je orientácia na zákazníka, nie na produkt.</t>
  </si>
  <si>
    <t>Tagged non-reel item (carousel/photo) at grid position #63.</t>
  </si>
  <si>
    <t>https://tryprofound.com/features/aim</t>
  </si>
  <si>
    <t>Grid item #63. Discovered from Tagged page grid in sequential order.</t>
  </si>
  <si>
    <t>Ďalšou tvárou našej KONFERENCIE ZÁKAZNÍK 2018: TRENDY - TIPY - NÁPADY 💡 je Maroš Kortiš. Je marketingovým nadšencom už od študentských čias. Profesionálne sa marketingu venuje viac ako 4roky 🎆. Vo firme Mangools je zodpovedný ako inak, za marketing.  Maroš Vám prezradí ako neprísť o svojich ťažko získaných zákazníkov a ako získať ďalších 👋. Program</t>
  </si>
  <si>
    <t>Discovered at visual grid position #69. Verified Ad Details URL. Format: Document Ad.</t>
  </si>
  <si>
    <t>Tagged non-reel item (carousel/photo) at grid position #64.</t>
  </si>
  <si>
    <t>Grid item #64. Discovered from Tagged page grid in sequential order.</t>
  </si>
  <si>
    <t>keywords, searchenginemarketing, howto, linkinbio</t>
  </si>
  <si>
    <t>Responsive Product Ad: Meet Profound Aim - Autonomous AI Marketing Agent</t>
  </si>
  <si>
    <t>https://adstransparency.google.com/advertiser/AR01693402396748677121/creative/CR08006714806713188353?region=anywhere</t>
  </si>
  <si>
    <t>How the hell are you supposed to find 'the right' keywords???⠀ ⠀ Check out the latest post on the blog that runs through the 3 most important factors for finding your ideal SEO keywords. ⠀ ⠀ An what's even better.....is that the post was created especially for beginners by @mangools_com --- And they're the bees knees for SEO research. ⠀ ⠀ You serio</t>
  </si>
  <si>
    <t>Tagged non-reel item (carousel/photo) at grid position #65.</t>
  </si>
  <si>
    <t>Grid item #65. Discovered from Tagged page grid in sequential order.</t>
  </si>
  <si>
    <t>recommendation, red, ipa, allendale</t>
  </si>
  <si>
    <t>1356560579912677</t>
  </si>
  <si>
    <t>Status: Active | Started: 17 Jun 2026 | Platforms: Meta | Format: Video | CTA: Semrush</t>
  </si>
  <si>
    <t>CR08006714806713188353</t>
  </si>
  <si>
    <t>Discovered at visual grid position #70. Verified Ad Details URL. Format: Single Image Ad.</t>
  </si>
  <si>
    <t>This is what I was made for 🥹</t>
  </si>
  <si>
    <t>Oooossh! A little Sunday night keyword research, paired with a delicious Allendale Red IPA. Massive fan. Will definitely buy again. Get it on your list too! 👌 . . . #recommendation #red #ipa #allendale #northumberland #can #beertime #beerlover #beerglasshalffull #delicious #sundaynight #sundayworking #seo #marketing #asus #cheers #beerbranding #bee</t>
  </si>
  <si>
    <t>https://adstransparency.google.com/advertiser/AR01693402396748677121/creative/CR11084227649332051969?region=anywhere</t>
  </si>
  <si>
    <t>2202348857207625</t>
  </si>
  <si>
    <t>#recommendation, #red, #ipa, #allendale, #northumberland, #can, #beertime, #beerlover, #beerglasshalffull, #delicious, #sundaynight, #sundayworking, #seo, #marketing, #asus, #cheers, #beerbranding, #bee</t>
  </si>
  <si>
    <t>Status: Active | Started: 15 Jul 2026 | Platforms: Meta | Format: Video | CTA: Semrush</t>
  </si>
  <si>
    <t>Tagged non-reel item (carousel/photo) at grid position #66.</t>
  </si>
  <si>
    <t>Grid item #66. Discovered from Tagged page grid in sequential order.</t>
  </si>
  <si>
    <t>https://www.semrush.com/lp/semrush-one/en/</t>
  </si>
  <si>
    <t>Semrush (@semrush)</t>
  </si>
  <si>
    <t>Non-Reel Post (Static Photo)</t>
  </si>
  <si>
    <t>Digital Marketing</t>
  </si>
  <si>
    <t>Wir freuen uns jedes Jahr wieder über die vielen tollen Weihnachtskarten und netten Worte die bei uns eintrudeln 😍  Habt ihr schon eure Weihnachtskarten verschickt? ✉️ ⁣ ⁣ #morefirelife #agenturleben #agencylife #morefireagency #weihnachten #weihnachtskarte</t>
  </si>
  <si>
    <t>#morefirelife, #agenturleben, #agencylife, #morefireagency, #weihnachten, #weihnachtskarte</t>
  </si>
  <si>
    <t>SEO isn’t just about websites anymore 👀 - AI now reads Reddit, LinkedIn, and reviews too. SEMRUSH.COM AI reads beyond your website</t>
  </si>
  <si>
    <t>Tagged non-reel item (Static Photo) at grid position #1.</t>
  </si>
  <si>
    <t>1948048259175344</t>
  </si>
  <si>
    <t>Status: Active | Started: 5 Jun 2026 | Platforms: Meta | Format: Image | CTA: Semrush</t>
  </si>
  <si>
    <t>Ran from Aug 18, 2026 to Aug 25, 2026</t>
  </si>
  <si>
    <t>Video Marketing</t>
  </si>
  <si>
    <t>Discovered at visual grid position #71. Verified Ad Details URL. Format: Single Image Ad.</t>
  </si>
  <si>
    <t>http://spotlightconf.com/</t>
  </si>
  <si>
    <t>Tips on YouTube optimization by fashionable digital👌😎👍🌍</t>
  </si>
  <si>
    <t>Discovered at visual grid position #72. Verified Ad Details URL. Format: Document Ad.</t>
  </si>
  <si>
    <t>Spend one day with the leaders rewriting the rules of brand visibility. Join 1,0 - Lead the next era of search Get your ticket. Sign Up</t>
  </si>
  <si>
    <t>2017882722162982</t>
  </si>
  <si>
    <t>Status: Active | Started: 18 Jun 2026 | Platforms: Meta | Format: Image | CTA: Semrush</t>
  </si>
  <si>
    <t>Free Trial</t>
  </si>
  <si>
    <t>https://www.semrush.com/lp/website-audit-1/en/</t>
  </si>
  <si>
    <t>#chai #chaha #tea #3words of #love #blowbudgetfoodie #googlepixel3axl #googlepixel #google #slomo</t>
  </si>
  <si>
    <t>CR11084227649332051969</t>
  </si>
  <si>
    <t>#chai, #chaha, #tea, #3words, #love, #blowbudgetfoodie, #googlepixel3axl, #googlepixel, #google, #slomo</t>
  </si>
  <si>
    <t>11 Jun 2026 - 08 Sep 2026</t>
  </si>
  <si>
    <t>Ran from Jul 22, 2026 to Aug 10, 2026</t>
  </si>
  <si>
    <t>Content Marketing, Digital Marketing</t>
  </si>
  <si>
    <t>Discovered at visual grid position #73. Verified Ad Details URL. Format: Document Ad.</t>
  </si>
  <si>
    <t>AI can write SEO advice. But it can’t see what’s broken on your website. - Generic SEO advice won’t fix rankings Try free for 7 days. Learn More</t>
  </si>
  <si>
    <t>https://adstransparency.google.com/advertiser/AR01693402396748677121/creative/CR03825966977629814785?region=anywhere</t>
  </si>
  <si>
    <t>1553047352373933</t>
  </si>
  <si>
    <t>Status: Active | Started: 18 Aug 2026 | Platforms: Meta | Format: Video | CTA: Semrush</t>
  </si>
  <si>
    <t>Content Marketing' imp points by SEMrush😎</t>
  </si>
  <si>
    <t>Get your ticket.</t>
  </si>
  <si>
    <t>Spend one day with the leaders rewriting the rules of brand visibility. Join 1,000+ marketers at Spotlight.</t>
  </si>
  <si>
    <t>Search Visibility, Industry Event</t>
  </si>
  <si>
    <t>Hot take: Your next customer might never consider your brand. An AI agent will d - That's the reality of the Agentic Search era. Brand Visibility isn't just about rankings anymore. It's about whether AI</t>
  </si>
  <si>
    <t>Digital Marketing, Industry Event</t>
  </si>
  <si>
    <t>1911253396258693</t>
  </si>
  <si>
    <t>Status: Active | Started: 1 Jun 2026 | Platforms: Meta | Format: Video | CTA: Semrush</t>
  </si>
  <si>
    <t>https://www.semrush.com/lp/ai-toolkit/en/</t>
  </si>
  <si>
    <t>Finally @ttthe biggest SEMrush marketing show event in Bangalore😎🥳</t>
  </si>
  <si>
    <t>Tagged non-reel item (Static Photo) at grid position #5.</t>
  </si>
  <si>
    <t>Discovered at visual grid position #74. Verified Ad Details URL. Format: Single Image Ad.</t>
  </si>
  <si>
    <t>Non-Reel Post (Photo Carousel)</t>
  </si>
  <si>
    <t>SEO, Content Marketing, Digital Marketing</t>
  </si>
  <si>
    <t>Discover if AI assistants mention your brand or skip you entirely 👀 - Don’t disappear in AI Try free for 7 days. Learn More</t>
  </si>
  <si>
    <t>1248192233868613</t>
  </si>
  <si>
    <t>Be part of something great!</t>
  </si>
  <si>
    <t>Status: Active | Started: 5 Jun 2026 | Platforms: Meta | Format: Video | CTA: Semrush</t>
  </si>
  <si>
    <t>CR03825966977629814785</t>
  </si>
  <si>
    <t>Want to see how your ideas turn into impact? Join Semrush as a Digital Strategy Consultant with experience in SEO and GEO.</t>
  </si>
  <si>
    <t>@Ecosmob is Super Excited to be at #SemrushConf2019 Looking forward to catch some awesome Digital Marketing sessions and lots of Networking!  #digitalmarketing #marketing #socialmediamarketing #socialmedia #seo #business #branding #onlinemarketing #marketingdigital #entrepreneur #advertising #contentmarketing #marketingtips #marketingstrategy #webdesign #smallbusiness #digital #graphicdesign #digi</t>
  </si>
  <si>
    <t>#SemrushConf2019, #digitalmarketing, #marketing, #socialmediamarketing, #socialmedia, #seo, #business, #branding, #onlinemarketing, #marketingdigital, #entrepreneur, #advertising, #contentmarketing, #marketingtips, #marketingstrategy, #webdesign, #smallbusiness, #digital, #graphicdesign, #digitalmarketingagency, #instagram, #startup, #entrepreneurship, #design, #website, #ecommerce, #digitalmarketingtips, #internetmarketing, #webdevelopment</t>
  </si>
  <si>
    <t>Tagged non-reel item (Photo Carousel) at grid position #6.</t>
  </si>
  <si>
    <t>I tested AI-generated SEO advice against a real site audit. The difference was brutal.</t>
  </si>
  <si>
    <t>1025996553593559</t>
  </si>
  <si>
    <t>Status: Active | Started: 22 Aug 2026 | Platforms: Meta | Format: Video | CTA: Semrush</t>
  </si>
  <si>
    <t>https://adstransparency.google.com/advertiser/AR01693402396748677121/creative/CR01704522651193573377?region=anywhere</t>
  </si>
  <si>
    <t>https://www.spotlightconf.com/</t>
  </si>
  <si>
    <t>Discovered at visual grid position #75. Verified Ad Details URL. Format: Single Image Ad.</t>
  </si>
  <si>
    <t>First session by @olgandrienko at #semrushconf2019 about The State of #ContentMarketing! It's really informative and insightful for the #DigitalMarketing people... Looking forward to attend such sessions to gain the knowledge from the #Marketing experts.</t>
  </si>
  <si>
    <t>#semrushconf2019, #ContentMarketing, #DigitalMarketing, #Marketing</t>
  </si>
  <si>
    <t>Tagged non-reel item (Static Photo) at grid position #7.</t>
  </si>
  <si>
    <t>Spotlight Ad</t>
  </si>
  <si>
    <t>Expert in SQL &amp; BigQuery optimization? Join us as Senior BI Engineer.</t>
  </si>
  <si>
    <t>Semrush with Spotlightconf</t>
  </si>
  <si>
    <t>Marketing has two audiences now: people and AI agents. - How do you make sure your brand is understood, trusted, and visible to both? Come find out at Spotlight. 👀 Oh, and for t</t>
  </si>
  <si>
    <t>1775647676773946</t>
  </si>
  <si>
    <t>Create great content! At the end of the day the searcher is looking for content to entertain them or answer their questions.  Make great content and you will soar to the top of the rankings! * * * * * * * * * #content #smallbusiness #vancitybiz #vancouverbiz #abbotsford #entrepreneur #marketing #digitalmarketing #seo #greatcontent #websitedesign #socialmedia</t>
  </si>
  <si>
    <t>Status: Active | Started: 17 Aug 2026 | Platforms: Meta | Format: Video | CTA: Semrush</t>
  </si>
  <si>
    <t>Apply now</t>
  </si>
  <si>
    <t>#content, #smallbusiness, #vancitybiz, #vancouverbiz, #abbotsford, #entrepreneur, #marketing, #digitalmarketing, #seo, #greatcontent, #websitedesign, #socialmedia</t>
  </si>
  <si>
    <t>Tagged non-reel item (Static Photo) at grid position #8.</t>
  </si>
  <si>
    <t>Ran from Jul 16, 2026 to Jul 30, 2026</t>
  </si>
  <si>
    <t>CR01704522651193573377</t>
  </si>
  <si>
    <t>Discovered at visual grid position #76. Verified Ad Details URL. Format: Spotlight Ad.</t>
  </si>
  <si>
    <t>Check for 140+ technical issues with Site Audit. Find what to fix next. - Find what AI can't access Try free for 7 days. Learn More</t>
  </si>
  <si>
    <t>2188383602006319</t>
  </si>
  <si>
    <t>Status: Active | Started: 1 Jul 2026 | Platforms: Meta | Format: Video | CTA: Semrush</t>
  </si>
  <si>
    <t>https://adstransparency.google.com/advertiser/AR01693402396748677121/creative/CR03937488243011878913?region=anywhere</t>
  </si>
  <si>
    <t>October 13 is when your brand stops being invisible. - SPOTLIGHTCONF.COM Learn from marketers doing the work Get your ticket.</t>
  </si>
  <si>
    <t>1511940923367098</t>
  </si>
  <si>
    <t>Ran from Jul 6, 2026 to Sep 8, 2026</t>
  </si>
  <si>
    <t>Status: Active | Started: 6 Jul 2026 | Platforms: Meta | Format: Image | CTA: Semrush</t>
  </si>
  <si>
    <t>Maria Raybould, Content Strategist at Semrush, takes you through ten amazing tools that, when combined, can automate a great deal of your social media marketing workflow and help you develop a Swiss-Army-knife approach to your social media marketing. 🖱️ https://www.stateofdigital.com/10-tools-under-100-streamline-social-media-marketing #DigitalStateOfMind #SMM</t>
  </si>
  <si>
    <t>#DigitalStateOfMind, #SMM</t>
  </si>
  <si>
    <t>Discovered at visual grid position #77. Verified Ad Details URL. Format: Document Ad.</t>
  </si>
  <si>
    <t>Tagged non-reel item (Static Photo) at grid position #9.</t>
  </si>
  <si>
    <t>We stopped people on the street and asked them one question: What's your worst c - Missed flights. Empty booths. Technical disasters. Awkward networking moments. We've heard a few 😅 But if you're ready f</t>
  </si>
  <si>
    <t>1770154897495664</t>
  </si>
  <si>
    <t>Status: Active | Started: 3 Aug 2026 | Platforms: Meta | Format: Video | CTA: Semrush</t>
  </si>
  <si>
    <t>Analyze your competitors': - ✅ Traffic sources ✅ Top pages ✅ Audience insights</t>
  </si>
  <si>
    <t>2424426128058982</t>
  </si>
  <si>
    <t>Discovered at visual grid position #78. Verified Ad Details URL. Format: Document Ad.</t>
  </si>
  <si>
    <t>Every digital businesses💻should aware of this 3 key pillars. Without these 3 key pillars it's difficult for your brand™️ to sustain in this highly competitive market  Customer acquisition 🔍 is difficult to attain, customer satisfaction🛒 is an challenging assignment, customer retention👨‍👩‍👧 is a key.  How many of your business's are failing in this? Drop a 🙌 let's get connected on a chat immediatel</t>
  </si>
  <si>
    <t>#digitalmarketing, #customerservice, #customer, #customeracquisition, #customerappreciation, #customersatisfaction, #customerretention, #marketingdigital, #marketingquotes, #dailyquotes, #instadaily, #followforfollowback, #likeforlikes, #entrepreneurlife, #entrepreneurship, #whoisdigitalnaveen, #digitalnaveen</t>
  </si>
  <si>
    <t>Tagged non-reel item (Static Photo) at grid position #10.</t>
  </si>
  <si>
    <t>Everyone is figuring out AI search. Be the one who shows up with a playbook. - Lead the next era of search Get your ticket. Sign Up</t>
  </si>
  <si>
    <t>CR03937488243011878913</t>
  </si>
  <si>
    <t>1649191229473732</t>
  </si>
  <si>
    <t>31 Jul 2026 - 08 Sep 2026</t>
  </si>
  <si>
    <t>Want proven AI search tactics? The AI Visibility Index keeps you ahead of competitors by sharing the strategies of winning brands.</t>
  </si>
  <si>
    <t>Introducing…the team 🤝 - #digitalmarketing #marketingdigital #marketingteam</t>
  </si>
  <si>
    <t>AI Search &amp; GEO, Search Visibility, Competitive Intelligence</t>
  </si>
  <si>
    <t>https://adstransparency.google.com/advertiser/AR01693402396748677121/creative/CR14395915303068368897?region=anywhere</t>
  </si>
  <si>
    <t>1657936028843025</t>
  </si>
  <si>
    <t>Status: Active | Started: 7 Jul 2026 | Platforms: Meta | Format: Video | CTA: Semrush</t>
  </si>
  <si>
    <t>This is a process in social media🌍and it is popularly determined as Lead Nurturing. How many of you have done lead nurturing before❓  Your business pages🏷️doesn't give you conversions if your motive is to do a single post per day.  Search 🔍 for your audience in a group, create a conversation with them, follow up with them and convert them as a lead for your business.  How to find your target audie</t>
  </si>
  <si>
    <t>#socialmedia, #socialmediamarketing, #leads, #leadnurturing, #business, #brand, #marketingdigital, #conversion, #roi, #digitalmarketing, #change, #digitaldaily, #digitalmarketer, #digitalguru, #seo, #whoisdigitalnaveen, #digitalnaveen</t>
  </si>
  <si>
    <t>Tagged non-reel item (Static Photo) at grid position #11.</t>
  </si>
  <si>
    <t>AI can write SEO advice. But it can’t see what’s broken on your website. - WWW.SEMRUSH.COM SEO advice without site data is useless Try free for 7 days.</t>
  </si>
  <si>
    <t>2197375631187304</t>
  </si>
  <si>
    <t>Status: Active | Started: 11 Jul 2026 | Platforms: Meta | Format: Video | CTA: Semrush</t>
  </si>
  <si>
    <t>Ran from Jul 3, 2026 to Jul 21, 2026</t>
  </si>
  <si>
    <t>Discovered at visual grid position #79. Verified Ad Details URL. Format: Single Image Ad.</t>
  </si>
  <si>
    <t>Neil Armstrong went to the moon and took 1 photo. This is us on a normal Wednesday.</t>
  </si>
  <si>
    <t>1548074943444829</t>
  </si>
  <si>
    <t>Status: Active | Started: 10 Jul 2026 | Platforms: Meta | Format: Video | CTA: Semrush</t>
  </si>
  <si>
    <t>Why a user friendly URL is important for your website ❓ What will happen if your URL is not SEO friendly❓. Create URL's that converts your website visitors. URL's without keywords 💻 doesn't create any value for your website.  URL'S with underscores and other complex characters are even considered as spammy⁉️links by Google.  Aren't you not aware of creating a URL structure? Drop your website links</t>
  </si>
  <si>
    <t>If AI search is changing your world, this day is for you. - SPOTLIGHTCONF.COM Brand visibility starts here Get your ticket.</t>
  </si>
  <si>
    <t>#url, #urlstructure, #website, #websiteoptimization, #seo, #seofriendly, #business, #brand, #searchengineoptimization, #digitalmarketing, #advertising, #websitedesign, #conversion, #enterpreneur, #entrepreneurship, #mba, #marketing, #marketingdigital, #marketingguru, #whoisdigitalnaveen, #digitalnaveen</t>
  </si>
  <si>
    <t>Tagged non-reel item (Static Photo) at grid position #12.</t>
  </si>
  <si>
    <t>AI search is splintered across ChatGPT, Gemini, Google AI Mode, and AI Overviews. Each needs a tailored strategy to thrive. We show you how.</t>
  </si>
  <si>
    <t>1554028476502347</t>
  </si>
  <si>
    <t>Status: Active | Started: 24 Jul 2026 | Platforms: Meta | Format: Image | CTA: Semrush</t>
  </si>
  <si>
    <t>Grid item #12. Discovered from Tagged page grid in sequential order.</t>
  </si>
  <si>
    <t>Ran from Jul 22, 2026 to Sep 8, 2026</t>
  </si>
  <si>
    <t>Discovered at visual grid position #80. Verified Ad Details URL. Format: Document Ad.</t>
  </si>
  <si>
    <t>CR14395915303068368897</t>
  </si>
  <si>
    <t>The AI Visibility Index 2026 reveals which brands are leading the conversation a - It’s the key to evaluating which brands you should be following to rise in the AI search rankings. Use it to benchmark p</t>
  </si>
  <si>
    <t>1032657065786901</t>
  </si>
  <si>
    <t>https://www.semrush.com/lp/product-keyword-magic-tool-7/en/</t>
  </si>
  <si>
    <t>https://adstransparency.google.com/advertiser/AR01693402396748677121/creative/CR09409414979142025217?region=anywhere</t>
  </si>
  <si>
    <t>SEO (Search Engine Optimization) Services from Golden Era Software Solutions &amp; Consultancy Pvt Ltd provides you the complete and best opportunities for your online business.  We team having experts, especially in Search Engines more than 8+ years who they very good at organic ranking so the ranking would not get down.  Contact us for SEO Services info@goldenerasoftware.com www.goldenerasoftware.co</t>
  </si>
  <si>
    <t>#software, #SEO, #GERG, #SearchEngine, #OnlineMarketing, #DigitalMarketing, #InternetMarketing</t>
  </si>
  <si>
    <t>Tagged non-reel item (Static Photo) at grid position #13.</t>
  </si>
  <si>
    <t>Discovered at visual grid position #81. Verified Ad Details URL. Format: Single Image Ad.</t>
  </si>
  <si>
    <t>Find the right keywords for SEO and AI search visibility 🔎 - See Keyword Magic Tool in action ⚡ Try free for 7 days. Learn More</t>
  </si>
  <si>
    <t>Status: Active | Started: 23 Jul 2026 | Platforms: Meta | Format: Video | CTA: Semrush</t>
  </si>
  <si>
    <t>Cheers to Learning  #featuredsnippet  #featuredsnippets  #googlerankingfactor  #googlerankingfactors  #googlerankingkeywords  #googlerankingtips  #keywordresearchandanalysis  #keywordresearchmadeeasy  #keywordresearchtips  #searchenginemarketingspecialist  #searchenginemarketingstrategy  #searchenginemarketingtrends  #searchengineoptimizationexpert  #searchengineoptimizationhelp  #searchengineopti</t>
  </si>
  <si>
    <t>#featuredsnippet, #featuredsnippets, #googlerankingfactor, #googlerankingfactors, #googlerankingkeywords, #googlerankingtips, #keywordresearchandanalysis, #keywordresearchmadeeasy, #keywordresearchtips, #searchenginemarketingspecialist, #searchenginemarketingstrategy, #searchenginemarketingtrends, #searchengineoptimizationexpert, #searchengineoptimizationhelp, #searchengineoptimizationmarketing, #searchengineoptimizationprofessionals, #searchengineoptimizationtechniques, #semoptimization, #semrush, #semrushacademy, #semrushcertification, #semrushcertified, #semstrategy, #seomadeeasy, #seomadesimple, #seostrategist, #topongoogle, #topongooglesearch, #mishraditi, #inboundmarketing</t>
  </si>
  <si>
    <t>Tagged non-reel item (Static Photo) at grid position #14.</t>
  </si>
  <si>
    <t>CR09409414979142025217</t>
  </si>
  <si>
    <t>“We should grab a coffee sometime” is much better when you’re actually in the sa - At Spotlight, you’ll get the chance to meet 1,000+ marketers, senior leaders, speakers, and people dealing with the same</t>
  </si>
  <si>
    <t>SEO, AI Search &amp; GEO, Digital Marketing</t>
  </si>
  <si>
    <t>3811605978979346</t>
  </si>
  <si>
    <t>Status: Active | Started: 25 Aug 2026 | Platforms: Meta | Format: Image | CTA: Semrush</t>
  </si>
  <si>
    <t>https://adstransparency.google.com/advertiser/AR01693402396748677121/creative/CR13974492012473221121?region=anywhere</t>
  </si>
  <si>
    <t>Ran from Jul 6, 2026 to Aug 19, 2026</t>
  </si>
  <si>
    <t>1010541228191694</t>
  </si>
  <si>
    <t>Discovered at visual grid position #82. Verified Ad Details URL. Format: Document Ad.</t>
  </si>
  <si>
    <t>Estreando na plenária do #CASE2019 a head de Growth Marketing da SEMrush, Anna Lebedeva, num #keynote imperdível sobre ranqueamento, SEO, tráfego orgânico e mais coisinhas que a Rulez ama 💟  #abstartups #somosrulez #conteudo #top #seo #google #evento #startups #sextou #sp #empreendedorismo</t>
  </si>
  <si>
    <t>AI isn't just reading your site. It's reading Reddit, G2, and every review ever  - SEMRUSH.COM How AI finds your brand Try free for 7 days.</t>
  </si>
  <si>
    <t>#CASE2019, #keynote, #abstartups, #somosrulez, #conteudo, #top, #seo, #google, #evento, #startups, #sextou, #sp, #empreendedorismo</t>
  </si>
  <si>
    <t>1312698180459891</t>
  </si>
  <si>
    <t>Get a full breakdown of your AI presence. From share of voice to narrative and s - SEMRUSH.COM Lead in AI search Try free for 7 days.</t>
  </si>
  <si>
    <t>1721243322632397</t>
  </si>
  <si>
    <t>Status: Active | Started: 27 Jun 2026 | Platforms: Meta | Format: Image | CTA: Semrush</t>
  </si>
  <si>
    <t>Spend one day with the leaders rewriting the rules of brand visibility. Join 1,0 - SPOTLIGHTCONF.COM Lead the next era of search Get your ticket.</t>
  </si>
  <si>
    <t>It’s been a torrid few weeks work wise (I know, I know, I make it look so easy - but you just see the swan gliding on the surface, not the frantic paddling beneath) - there have been tears, existential crises, and brainstorming about plan Bs. So it’s really lovely to see a piece of mine about #BlackFriday, that I thought had bitten the dust entirely, rise phoenix-like to be the cover of @dailymail</t>
  </si>
  <si>
    <t>#BlackFriday, #journalism, #journalismrealtalk, #shopping, #bagabargain, #bargainhunting, #howtoshop, #shoppingscams, #whichreport, #blackfridaybargains, #caveatemptor, #whenisadealnotadeal, #christmasshopping, #buyonegetonetree</t>
  </si>
  <si>
    <t>Tagged non-reel item (Photo Carousel) at grid position #16.</t>
  </si>
  <si>
    <t>1577273150527996</t>
  </si>
  <si>
    <t>Status: Active | Started: 15 Jul 2026 | Platforms: Meta | Format: Image | CTA: Semrush</t>
  </si>
  <si>
    <t>CR13974492012473221121</t>
  </si>
  <si>
    <t>October 13 is when your brand stops being invisible. - SPOTLIGHTCONF.COM Brand visibility starts here Get your ticket.</t>
  </si>
  <si>
    <t>Discovered at visual grid position #83. Verified Ad Details URL. Format: Single Image Ad.</t>
  </si>
  <si>
    <t>1730750138341776</t>
  </si>
  <si>
    <t>Status: Active | Started: 19 Jun 2026 | Platforms: Meta | Format: Image | CTA: Semrush</t>
  </si>
  <si>
    <t>https://adstransparency.google.com/advertiser/AR01693402396748677121/creative/CR03870846430935515137?region=anywhere</t>
  </si>
  <si>
    <t>Your visitors won't tell you what's broken. They'll just leave. - Audit before you publish Get started for free. Learn More</t>
  </si>
  <si>
    <t>The 4 P'S 🔥 and 4 C'S 🔥 are obviously creating more value to the marketing mix.  A market 👨‍👩‍👧 doesn't exist when there are no consumers/ products/services.  Sameway a marketing strategy 💻 doesn't exist when you fail to define the 4 P'S 🔥and 4 C'S 🔥of your brand.  How to create a marketing strategy for  your business? Leave your queries below 👇👇👇 . . . @digital_naveen  #digitalmarketing #marketin</t>
  </si>
  <si>
    <t>#digitalmarketing, #marketingstrategy, #seo, #4ps, #4cs, #marketing, #marketingmix, #marketingguru, #conversion, #consumer, #products, #services, #brand, #entrepreneurlife, #entrepreneurship, #dailyquotes, #quoteoftheday, #marketingdigital, #marketingquotes, #entrepreneur, #solopreneur, #startup, #mba, #whoisdigitalnaveen, #digitalnaveen</t>
  </si>
  <si>
    <t>2237306460454961</t>
  </si>
  <si>
    <t>Tagged non-reel item (Static Photo) at grid position #17.</t>
  </si>
  <si>
    <t>Own the way you work!</t>
  </si>
  <si>
    <t>Looking for a team that moves as one? Join us as Senior Project Manager with 5+ years' experience on digital projects.</t>
  </si>
  <si>
    <t>Trying to beat competitors online… but not sure what they’re doing? - That’s exactly what Semrush fixes. WWW.SEMRUSH.COM Outsmart the competition</t>
  </si>
  <si>
    <t>4503614023293836</t>
  </si>
  <si>
    <t>Status: Active | Started: 6 Jun 2026 | Platforms: Meta | Format: Video | CTA: Semrush</t>
  </si>
  <si>
    <t>3 reasons AI isn't mentioning your brand (and how to fix it) 👇 - ✅ Your content isn't structured for AI to read easily ✅ Your brand strengths aren't repeated consistently ✅ You're missi</t>
  </si>
  <si>
    <t>1685130469367639</t>
  </si>
  <si>
    <t>Status: Active | Started: 15 Jun 2026 | Platforms: Meta | Format: Image | CTA: Semrush</t>
  </si>
  <si>
    <t>Obbserv wholeheartedly welcomes the team @semrush to India and we are proud to be a part of the biggest digital marketing show.  #obbserv #SEMrushConf2019 #proudtobeindian #digitalmarketing #SEMrush</t>
  </si>
  <si>
    <t>#obbserv, #SEMrushConf2019, #proudtobeindian, #digitalmarketing, #SEMrush</t>
  </si>
  <si>
    <t>Ran from Jul 9, 2026 to Jul 23, 2026</t>
  </si>
  <si>
    <t>Discovered at visual grid position #84. Verified Ad Details URL. Format: Single Image Ad.</t>
  </si>
  <si>
    <t>Right now, AI Search expertise is rare. And we’re handing you the unfair advanta - We built the AI Search OS you need to go from SEO to AI search leader. Enroll now to get ahead of your peers - totally f</t>
  </si>
  <si>
    <t>CR03870846430935515137</t>
  </si>
  <si>
    <t>1336175658619649</t>
  </si>
  <si>
    <t>Status: Active | Started: 8 Jun 2026 | Platforms: Meta | Format: Image | CTA: Semrush</t>
  </si>
  <si>
    <t>Discover if AI assistants mention your brand or skip you entirely 👀 - SEMRUSH.COM Invisible in AI search? Not anymore Try free for 7 days.</t>
  </si>
  <si>
    <t>https://adstransparency.google.com/advertiser/AR01693402396748677121/creative/CR13796671020569985025?region=anywhere</t>
  </si>
  <si>
    <t>1387470919932293</t>
  </si>
  <si>
    <t>How many of you are optimising your website based on the search intent? Around 70%of the online business💻fails in this.🙆‍♂️ Keyword is a important term which will give you a huge ROI💰 when it gets ranked on top of search results.  We shouldn't underestimate the power of keywords. Leave your website link below to know more about keyword optimization. 👇👇👇 . . . Follow:👉@digital_naveen  #digitalmarke</t>
  </si>
  <si>
    <t>Status: Active | Started: 26 Jul 2026 | Platforms: Meta | Format: Image | CTA: Semrush</t>
  </si>
  <si>
    <t>#digitalmarketing, #website, #websiteoptimization, #seo, #keywords, #searchintent, #searchresults, #contentmarketing, #contentstrategy, #keywordresearch, #digitalmarketer, #dailyquotes, #digitaldaily, #quotestoliveby, #entrepreneurlife, #entrepreneurship, #whoisdigitalnaveen, #mba, #digitalnaveen</t>
  </si>
  <si>
    <t>Tagged non-reel item (Static Photo) at grid position #19.</t>
  </si>
  <si>
    <t>I tested AI-generated SEO advice against a real site audit. The difference was b - WWW.SEMRUSH.COM The site audit changed everything Try free for 7 days.</t>
  </si>
  <si>
    <t>Content Marketing, Digital Marketing, Video Marketing</t>
  </si>
  <si>
    <t>1751948722484673</t>
  </si>
  <si>
    <t>Status: Active | Started: 30 Jul 2026 | Platforms: Meta | Format: Video | CTA: Semrush</t>
  </si>
  <si>
    <t>http://www.semrush.com/lp/semrush-one/en/</t>
  </si>
  <si>
    <t>Discovered at visual grid position #85. Verified Ad Details URL. Format: Single Image Ad.</t>
  </si>
  <si>
    <t>In 2020, content marketing will shift its focus to give audiences more of what they want: shoppable posts, AR or VR, 360 degree video, quizzes and polls are just a few examples of interactive content! . . . #digitalmarketing #digitalmarketingagency #contentwriting #contentwriters #contentservices #2020trends #trends #socialmedia #marketingagency #marketig #webdevelopment #onlinetools #designtools</t>
  </si>
  <si>
    <t>#digitalmarketing, #digitalmarketingagency, #contentwriting, #contentwriters, #contentservices, #2020trends, #trends, #socialmedia, #marketingagency, #marketig, #webdevelopment, #onlinetools, #designtools, #design, #designing, #graphicdesigner, #graphicdesigning, #ninishadigital, #appdevelopment, #contentservices</t>
  </si>
  <si>
    <t>Tagged non-reel item (Photo Carousel) at grid position #20.</t>
  </si>
  <si>
    <t>CR13796671020569985025</t>
  </si>
  <si>
    <t>Eager to improve workflows and coordinate cross-functional teams?</t>
  </si>
  <si>
    <t>Special AI rewrites? Content chunking? Google says they aren’t ranking shortcuts - Google debunks 5 GEO tactics Own every search result. Learn More</t>
  </si>
  <si>
    <t>1444569264393626</t>
  </si>
  <si>
    <t>Status: Active | Started: 19 Aug 2026 | Platforms: Meta | Format: Image | CTA: Semrush</t>
  </si>
  <si>
    <t>Most important mistake nowadays most of the brand's™️ makes is not defining thier target audience.  Position your audience🔥before you enter in to a Market. Target audience are the valuable asset for a firm.  If you're not sure about how to grab your Target audience interests. Leave a comment below: 👇👇👇 . . . Follow: 👉 @digital_naveen  #digitalmarketing #conversion #emailmarketing #contentmarketing</t>
  </si>
  <si>
    <t>#digitalmarketing, #conversion, #emailmarketing, #contentmarketing, #business, #seo, #advertising, #leads, #marketing, #godigital, #quoteoftheday, #quotestoliveby, #marketingguru, #entrepreneur, #entrepreneurship, #entrepreneurlife, #whoisdigitalnaveen, #digitalmarketer, #digitalnaveen</t>
  </si>
  <si>
    <t>https://adstransparency.google.com/advertiser/AR01693402396748677121/creative/CR08276946727274020865?region=anywhere</t>
  </si>
  <si>
    <t>Tagged non-reel item (Static Photo) at grid position #21.</t>
  </si>
  <si>
    <t>Grid item #21. Discovered from Tagged page grid in sequential order.</t>
  </si>
  <si>
    <t>Discovered at visual grid position #86. Verified Ad Details URL. Format: Spotlight Ad.</t>
  </si>
  <si>
    <t>BOOM! Our HUGE Black Friday Sale starts now! #blackfriday #seo #digitalmarketing #digitalmarketingagency #digitalmarketing2019 #digitalmarketing2020  for more information please visit our website link: https://oxygenites.com/deals/  or contact us at skype: rocky_4_all or support@oxygenites.com</t>
  </si>
  <si>
    <t>#blackfriday, #seo, #digitalmarketing, #digitalmarketingagency, #digitalmarketing2019, #digitalmarketing2020</t>
  </si>
  <si>
    <t>Tagged non-reel item (Static Photo) at grid position #22.</t>
  </si>
  <si>
    <t>Built for marketers who can’t afford to be invisible. - SPOTLIGHTCONF.COM Build a plan for AI search Get your ticket.</t>
  </si>
  <si>
    <t>Join Semrush!</t>
  </si>
  <si>
    <t>Want to own the way you work? Become a Senior BI Engineer with 5 years of experience in data analytics and SQL knowledge.</t>
  </si>
  <si>
    <t>1345851751061652</t>
  </si>
  <si>
    <t>Status: Active | Started: 23 Jun 2026 | Platforms: Meta | Format: Image | CTA: Semrush</t>
  </si>
  <si>
    <t>Imagine writing the perfect article... for a broken website. - WWW.SEMRUSH.COM One scan. 140+ SEO and AI checks. Get started for free.</t>
  </si>
  <si>
    <t>1034944045913057</t>
  </si>
  <si>
    <t>Status: Active | Started: 19 Aug 2026 | Platforms: Meta | Format: Video | CTA: Semrush</t>
  </si>
  <si>
    <t>#semrushconf2019 is your crash course on digital marketing. At this most awaited International Digital Marketing Conference, get the latest information about growth marketing, SEO, online ads &amp; more.  Sign up using the promo code ‘Startup’ and get 40% off: bit.ly/32D7wFn</t>
  </si>
  <si>
    <t>#semrushconf2019</t>
  </si>
  <si>
    <t>Tagged non-reel item (Static Photo) at grid position #23.</t>
  </si>
  <si>
    <t>1849020902724831</t>
  </si>
  <si>
    <t>Grid item #23. Discovered from Tagged page grid in sequential order.</t>
  </si>
  <si>
    <t>Discovered at visual grid position #87. Verified Ad Details URL. Format: Single Image Ad.</t>
  </si>
  <si>
    <t>CR08276946727274020865</t>
  </si>
  <si>
    <t>Do you actually know if AI agents can crawl your website? - Because if ChatGPT, Perplexity, or Claude can’t access your content, they can’t include it in their answers either. Semr</t>
  </si>
  <si>
    <t>1270268598597318</t>
  </si>
  <si>
    <t>Status: Active | Started: 22 May 2026 | Platforms: Meta | Format: Image | CTA: Semrush</t>
  </si>
  <si>
    <t>https://adstransparency.google.com/advertiser/AR01693402396748677121/creative/CR03688027334050316289?region=anywhere</t>
  </si>
  <si>
    <t>Are unknown website issues holding you back? ❌ - Run a full website audit now and find out. Run a full website audit in minutes Try free for 7 days.</t>
  </si>
  <si>
    <t>The future of businesses 📈 lies on social media. The number of users 👨‍👩‍👧who are using social media will definitely increase in the future.  Change the way you use social media. Social media is a platform to generate leads 🔥 for businesses.  How to grow your business with social media? Leave a 🙌 to know more about social media. . . . Follow 👉 @digital_naveen  #digitalmarketing #socialmedia #socia</t>
  </si>
  <si>
    <t>#digitalmarketing, #socialmedia, #socialmediamarketing, #influencer, #mba, #marketing, #digitalmarketer, #business, #onlinemarketing, #leads, #seo, #advertising, #entrepreneur, #entrepreneurship, #quoteoftheday, #beyourownboss, #quotestoliveby, #entrepreneurlife, #whoisdigitalnaveen, #digitalnaveen</t>
  </si>
  <si>
    <t>1022726980539166</t>
  </si>
  <si>
    <t>Tagged non-reel item (Static Photo) at grid position #24.</t>
  </si>
  <si>
    <t>Content Marketing</t>
  </si>
  <si>
    <t>Get a full breakdown of your AI presence. From share of voice to narrative and s - WWW.SEMRUSH.COM Lead in AI search Try free for 7 days.</t>
  </si>
  <si>
    <t>1480388636630152</t>
  </si>
  <si>
    <t>Discovered at visual grid position #88. Verified Ad Details URL. Format: Single Image Ad.</t>
  </si>
  <si>
    <t>Consumers 👨‍👩‍👧 will get attracted to your brand only if you have a unique and eye-catching content on your website .  Content that you create for your website should convert your visitors. Do you know how to optimise your website with the right search queries? .  If yes leave a message below 👇 👇👇</t>
  </si>
  <si>
    <t>Status: Active | Started: 10 Jun 2026 | Platforms: Meta | Format: Video | CTA: Semrush</t>
  </si>
  <si>
    <t>Tagged non-reel item (Static Photo) at grid position #25.</t>
  </si>
  <si>
    <t>https://www.semrush.com/lp/traffic-analytics-7-new/en/</t>
  </si>
  <si>
    <t>AI Search &amp; GEO, Digital Marketing, Industry Event</t>
  </si>
  <si>
    <t>CR03688027334050316289</t>
  </si>
  <si>
    <t>https://adstransparency.google.com/advertiser/AR01693402396748677121/creative/CR10253017886893277185?region=anywhere</t>
  </si>
  <si>
    <t>The biggest and the most awaited International Digital Marketing Conference — Now in India 📢#semrushconf2019 #semrushpeople#semrush_10#semrush_people#semrushawards#marketingbangalore#marketingevent#webmarketingacademy#sharetongrand🙂👍🌍</t>
  </si>
  <si>
    <t>#semrushconf2019, #semrushpeople, #semrush_10, #semrush_people, #semrushawards, #marketingbangalore, #marketingevent, #webmarketingacademy, #sharetongrand</t>
  </si>
  <si>
    <t>Tagged non-reel item (Static Photo) at grid position #26.</t>
  </si>
  <si>
    <t>Grid item #26. Discovered from Tagged page grid in sequential order.</t>
  </si>
  <si>
    <t>Instantly see any competitor's traffic sources, channels, and top pages. No more - Analyze traffic on any website Try free for 7 days. Learn More</t>
  </si>
  <si>
    <t>Discovered at visual grid position #89. Verified Ad Details URL. Format: Single Image Ad.</t>
  </si>
  <si>
    <t>1349890893755559</t>
  </si>
  <si>
    <t>Google just called out 5 GEO tactics you can skip. Here’s what actually matters  - SEMRUSH.COM What Google says about GEO Own every search result.</t>
  </si>
  <si>
    <t>Hey you biz owners out there! How many of you are aware of the digital transformation of businesses?📈 .  Digital transformation can make your business to succeed in terms of revenue, customer acquisition, and lot more . 💰  If your business wants to survive in the near future then digitalisation is must .  Drop a 🙌 if you agree to this 👇👇👇</t>
  </si>
  <si>
    <t>Tagged non-reel item (Static Photo) at grid position #27.</t>
  </si>
  <si>
    <t>1090274223475735</t>
  </si>
  <si>
    <t>Data Governance Engineer needed. Strong SQL &amp; Python is a must.</t>
  </si>
  <si>
    <t>SEO</t>
  </si>
  <si>
    <t>https://www.semrush.com/lp/product-competitive-research-new/en/</t>
  </si>
  <si>
    <t>Ran from Jun 23, 2026 to Jun 26, 2026</t>
  </si>
  <si>
    <t>CR10253017886893277185</t>
  </si>
  <si>
    <t>Discovered at visual grid position #90. Verified Ad Details URL. Format: Spotlight Ad.</t>
  </si>
  <si>
    <t>How many of you are thinking that SEO can be accomplished with in a day or month?📆 .  Businesses are moving towards digital and the chances of getting featured on the top page of search results is way too less due to the heavy competition.📈 .  SEO is a long term process and there is no endpoint for it .  What do you know about SEO? Comment below 👇👇👇</t>
  </si>
  <si>
    <t>Tagged non-reel item (Static Photo) at grid position #28.</t>
  </si>
  <si>
    <t>https://adstransparency.google.com/advertiser/AR01693402396748677121/creative/CR12997705467407892481?region=anywhere</t>
  </si>
  <si>
    <t>bellecose, job, tantaroba</t>
  </si>
  <si>
    <t>Falling behind your competition? See what's working for them and use it to grow  - Uncover your competitors' strategy Try free for 7 days. Learn More</t>
  </si>
  <si>
    <t>Appuntamento oggi alle ore 11.00 per ascoltare questo interessante webinar sull`editoria e l`intervento del Direttore.  Qui per iscriversi https://it.semrush.com/webinars/editoria-digitale-oggi-e-domani-cosa-ci-aspetta/ #bellecose #job #tantaroba</t>
  </si>
  <si>
    <t>#bellecose, #job, #tantaroba</t>
  </si>
  <si>
    <t>Tagged non-reel item (Static Photo) at grid position #29.</t>
  </si>
  <si>
    <t>Trying to beat competitors online… but not sure what they’re doing? - That’s exactly what Semrush fixes. Get insights on competitors Try free for 7 days.</t>
  </si>
  <si>
    <t>1019820830900805</t>
  </si>
  <si>
    <t>https://www.semrush.com/lp/product-free-trial/</t>
  </si>
  <si>
    <t>Discovered at visual grid position #91. Verified Ad Details URL. Format: Single Image Ad.</t>
  </si>
  <si>
    <t>Über kurz oder lang…solltest du bei der Content-Produktion definitiv nachdenken! 🤔💭 . Guter Content, wie er in den Top 3 rankt, ist nicht pauschal 500 oder 1500 Wörter lang. Auf das Thema kommt es an: Der Text muss lang genug sein, um wirklich alle Fragen vollständig abzudecken und kurz genug, um trotzdem interessant zu bleiben! . Und wie haltet ihr es so mit der Content-Länge? . . . . . #evergree</t>
  </si>
  <si>
    <t>#evergreenmediagmbh, #seoagentur, #contentmarketing, #seostrategy, #semrush, #content, #contentcreation, #google, #seohacks</t>
  </si>
  <si>
    <t>Tagged non-reel item (Static Photo) at grid position #30.</t>
  </si>
  <si>
    <t>CR12997705467407892481</t>
  </si>
  <si>
    <t>Grid item #30. Discovered from Tagged page grid in sequential order.</t>
  </si>
  <si>
    <t>AI is reshaping how brands get discovered. Do you know where you stand? 126 million real user prompts tell you exactly who's winning and why.</t>
  </si>
  <si>
    <t>Yes, you can try Semrush for free. See how your brand shows up across Google and - Be found everywhere search happens Try free for 7 days. Learn More</t>
  </si>
  <si>
    <t>https://adstransparency.google.com/advertiser/AR01693402396748677121/creative/CR13710177388615172097?region=anywhere</t>
  </si>
  <si>
    <t>Discovered at visual grid position #92. Verified Ad Details URL. Format: Document Ad.</t>
  </si>
  <si>
    <t>1066827865860152</t>
  </si>
  <si>
    <t>Tout ce qu'il faut savoir sur le #SEO pour son #Ecommerce ! 🔎 . . . ▶️ SEO &amp; #SEA ▶️ Les différentes stratégies SEO ▶️ Les outils à choisir ▶️ Les dates clés . . #search #searchengine #searchmarketing #searchengineoptimization #digitalmarketing #digitalmarketingexpert #creativity #marketing #marketingstrategy #contentmarketing #marketingdigital #webmarketing #digital #infographie #infographic #Goo</t>
  </si>
  <si>
    <t>#SEO, #Ecommerce, #SEA, #search, #searchengine, #searchmarketing, #searchengineoptimization, #digitalmarketing, #digitalmarketingexpert, #creativity, #marketing, #marketingstrategy, #contentmarketing, #marketingdigital, #webmarketing, #digital, #infographie, #infographic, #Google, #digitalmarketer</t>
  </si>
  <si>
    <t>Tagged non-reel item (Photo Carousel) at grid position #31.</t>
  </si>
  <si>
    <t>Grid item #31. Discovered from Tagged page grid in sequential order.</t>
  </si>
  <si>
    <t>A reminder that you are whoever you want to be ⭐ - WWW.SEMRUSH.COM Semrush See details</t>
  </si>
  <si>
    <t>1405438091495454</t>
  </si>
  <si>
    <t>Ran from Jul 6, 2026 to Jul 19, 2026</t>
  </si>
  <si>
    <t>Want to show up in AI Overviews? Start with the questions your audience is alrea - Find SEO &amp; AI issues fast Try free for 7 days. Learn More</t>
  </si>
  <si>
    <t>Discovered at visual grid position #93. Verified Ad Details URL. Format: Document Ad.</t>
  </si>
  <si>
    <t>1029332126694559</t>
  </si>
  <si>
    <t>Discover best practices from brands like Google, Linkedin, Microsoft, Uber &amp; many more, &amp; the strategies they follow around growth marketing, SEO, and Online Ads at #semrushconf2019.  Dec 5, Bengaluru @semrush  https://bit.ly/32D7wFn</t>
  </si>
  <si>
    <t>Tagged non-reel item (Static Photo) at grid position #32.</t>
  </si>
  <si>
    <t>https://www.semrush.com/lp/position-tracking-new/en/</t>
  </si>
  <si>
    <t>Grid item #32. Discovered from Tagged page grid in sequential order.</t>
  </si>
  <si>
    <t>As Julia McCoy says in this blog, SEO tools are the online marketer’s best friend. It’s going to be hard to compete in the content crowd without at least a few in-depth, data-mining, keyword tracking, research-handling superstars in your SEO kit.  Research, planning, and strategy are located at the bottom of the content success ladder. Check out her list of these SEO tools that are worth the money</t>
  </si>
  <si>
    <t>#contenthacker, #contentmarketing, #seo, #contentcreation, #searchenginemarketing, #searchengineoptimization, #seotips, #socialmedia, #digitalmarketing, #marketingdigital, #keywords, #analytics, #googleanalytics, #contentcreator, #websitetraffic, #onlinemarketing, #marketingstrategies, #marketingstrategy, #marketing101, #blog, #writing, #marketingtips, #contentstrategy, #contentstrategist, #contentwriting, #worthit, #research, #advertising, #salesandmarketing, #digitalmarketingtips</t>
  </si>
  <si>
    <t>Tagged non-reel item (Static Photo) at grid position #33.</t>
  </si>
  <si>
    <t>Discovered at visual grid position #94. Verified Ad Details URL. Format: Single Image Ad.</t>
  </si>
  <si>
    <t>CR13710177388615172097</t>
  </si>
  <si>
    <t>What if your rankings are up, but your AI visibility is down? 👀 - Is your AI visibility falling? Try free for 7 days. Learn More</t>
  </si>
  <si>
    <t>27493593763644231</t>
  </si>
  <si>
    <t>https://adstransparency.google.com/advertiser/AR01693402396748677121/creative/CR15650275139113713665?region=anywhere</t>
  </si>
  <si>
    <t>Hoje começa esta série de #webinar sobre #Marketing de Conteúdo da @semrush e @rockcontent. De 18 a 22/11 eles trarão tendências de marketing de conteúdo para o ano que vem, novos formatos, adaptação para as regras de #SEO, escalabilidade e mais dicas práticas para quem quer aprender a fazer o conteúdo que vai bombar na SERP: https://events.genndi.com/register/169105139238473819/8bb0f4e3b1?mindbox</t>
  </si>
  <si>
    <t>#webinar, #Marketing, #SEO</t>
  </si>
  <si>
    <t>Tagged non-reel item (Photo Carousel) at grid position #34.</t>
  </si>
  <si>
    <t>What people search for will surprise you. - Which topic is bigger? Try free for 7 days. Learn More</t>
  </si>
  <si>
    <t>1750829956051133</t>
  </si>
  <si>
    <t>Status: Active | Started: 13 Aug 2026 | Platforms: Meta | Format: Video | CTA: Semrush</t>
  </si>
  <si>
    <t>Ran from Jul 6, 2026 to Jul 21, 2026</t>
  </si>
  <si>
    <t>Discovered at visual grid position #95. Verified Ad Details URL. Format: Document Ad.</t>
  </si>
  <si>
    <t>Is your content shaping AI answers without being cited? - Know where your brand shows up Get started for free. Learn More</t>
  </si>
  <si>
    <t>1073506831687646</t>
  </si>
  <si>
    <t>Duplicate content is content that appears on the Internet in more than one place. That “one place” is defined as a location with a unique website address, so if the same content appears at more than one web address, you’ve got duplicate content. . 'Duplicate content on a site is not grounds for action on that site unless it appears that the intent of the duplicate content is to be deceptive and ma</t>
  </si>
  <si>
    <t>#digitalmarketing, #marketing, #projectsio, #socialmediamarketing, #seo, #business, #branding, #onlinemarketing, #marketingdigital, #contentmarketing, #marketingtips, #marketingstrategy, #webdesign, #smallbusiness, #graphicdesign, #startup, #digitalmarketingtips, #internetmarketing, #webdevelopment, #bhfyp</t>
  </si>
  <si>
    <t>Tagged non-reel item (Static Photo) at grid position #35.</t>
  </si>
  <si>
    <t>Make confident decisions with SEO and AI search data you can trust. Backed by 17 - Win every search with Semrush One Try free for 7 days. Learn More</t>
  </si>
  <si>
    <t>Grid item #35. Discovered from Tagged page grid in sequential order.</t>
  </si>
  <si>
    <t>2584398658652659</t>
  </si>
  <si>
    <t>Some of the biggest opportunities start with the most unexpected searches. - WWW.SEMRUSH.COM Wait, that's popular? Try free for 7 days.</t>
  </si>
  <si>
    <t>CR15650275139113713665</t>
  </si>
  <si>
    <t>1619881129840622</t>
  </si>
  <si>
    <t>Status: Active | Started: 31 Aug 2026 | Platforms: Meta | Format: Video | CTA: Semrush</t>
  </si>
  <si>
    <t>https://adstransparency.google.com/advertiser/AR01693402396748677121/creative/CR05485526535324565505?region=anywhere</t>
  </si>
  <si>
    <t>New Blog Post; Structuring Your Enterprise SEO Team.  Read more: www.sefati.net</t>
  </si>
  <si>
    <t>1353839110108937</t>
  </si>
  <si>
    <t>Tagged non-reel item (Static Photo) at grid position #36.</t>
  </si>
  <si>
    <t>http://ww.semrush.com/lp/semrush-one/en/</t>
  </si>
  <si>
    <t>Discovered at visual grid position #96. Verified Ad Details URL. Format: Single Image Ad.</t>
  </si>
  <si>
    <t>Join the biggest and the most awaited International #DigitalMarketing Conference in #India! ✌️ Get your Conference Pass for #SEMrushConf2019 With the Best Price Ever! Use code 'AmitPanchal' &amp; Get 35% off now: https://semrushconf.in/register/  #SEMRush</t>
  </si>
  <si>
    <t>#DigitalMarketing, #India, #SEMrushConf2019, #SEMRush</t>
  </si>
  <si>
    <t>Tagged non-reel item (Static Photo) at grid position #37.</t>
  </si>
  <si>
    <t>Want your work to actually move the needle? Join us as an Onboarding Consultant to support new and upgraded customers.</t>
  </si>
  <si>
    <t>AI may mention your competitors more than you. Here’s how to benchmark your bran - WW.SEMRUSH.COM How often does AI mention you? Try free for 7 days.</t>
  </si>
  <si>
    <t>1597744391950502</t>
  </si>
  <si>
    <t>Status: Active | Started: 18 Aug 2026 | Platforms: Meta | Format: Image | CTA: Semrush</t>
  </si>
  <si>
    <t>CR05485526535324565505</t>
  </si>
  <si>
    <t>Google Algorithm Update</t>
  </si>
  <si>
    <t>Tagged non-reel item (Static Photo) at grid position #38.</t>
  </si>
  <si>
    <t>Ever wonder if ChatGPT mentions your brand? 🤔 - Check your AI Visibility Score now. What's your AI Visibility Score? Try free for 7 days.</t>
  </si>
  <si>
    <t>4400932170173391</t>
  </si>
  <si>
    <t>https://adstransparency.google.com/advertiser/AR01693402396748677121/creative/CR12090125757607575553?region=anywhere</t>
  </si>
  <si>
    <t>https://www.semrush.com/lp/ai-toolkit/</t>
  </si>
  <si>
    <t>Discovered at visual grid position #97. Verified Ad Details URL. Format: Single Image Ad.</t>
  </si>
  <si>
    <t>The biggest and most awaited International Digital Marketing Conference is going to be conducted in Bangalore on December 5, 2019. Don't miss the opportunity to meet digital marketing experts from top notch companies. Book your tickets now.  @semrush #semrushconf2019 #WMA #webmarketingacademy</t>
  </si>
  <si>
    <t>#semrushconf2019, #WMA, #webmarketingacademy</t>
  </si>
  <si>
    <t>Tagged non-reel item (Static Photo) at grid position #39.</t>
  </si>
  <si>
    <t>Ready to move fast? Join us as a Senior QA Automation Engineer skilled in API and UI Test Automation with Java and Kotlin.</t>
  </si>
  <si>
    <t>Discover if AI assistants mention your brand or skip you entirely 👀 - Don’t disappear in AI Control your AI presence. Learn More</t>
  </si>
  <si>
    <t>it's never a quick amend - WWW.SEMRUSH.COM Semrush See details</t>
  </si>
  <si>
    <t>Hello everyone here is India's largest Digital marketing @SEMrush event going to happen on #Banglore on Dec 5th.. Don't miss the opportunity to meet top Digital Marketers all around the world book your tickets now..#WMA#SEMrush#Digitalmarketing#SEMrushconf2019...</t>
  </si>
  <si>
    <t>#Banglore, #WMA, #SEMrush, #Digitalmarketing, #SEMrushconf2019</t>
  </si>
  <si>
    <t>1316578793650513</t>
  </si>
  <si>
    <t>Tagged non-reel item (Static Photo) at grid position #40.</t>
  </si>
  <si>
    <t>Status: Active | Started: 5 Aug 2026 | Platforms: Meta | Format: Video | CTA: Semrush</t>
  </si>
  <si>
    <t>Bigger brand = bigger AI presence, right? This ranking says otherwise. - Guess the AI visibility ranking Try free for 7 days. Learn More</t>
  </si>
  <si>
    <t>Ran from Jun 17, 2026 to Jun 23, 2026</t>
  </si>
  <si>
    <t>4671843459715954</t>
  </si>
  <si>
    <t>Discovered at visual grid position #98. Verified Ad Details URL. Format: Single Image Ad.</t>
  </si>
  <si>
    <t>CR12090125757607575553</t>
  </si>
  <si>
    <t>Follow @digital_praful  #digitalmarketing #digitalmarketingtips #digitalmarketing #digitalmarketingagency #digitalmarketingtips #digitalmarketingagency #digitalart #digitalmarketingstrategy #digitalsketchbook #digitalpraful</t>
  </si>
  <si>
    <t>#digitalmarketing, #digitalmarketingtips, #digitalmarketing, #digitalmarketingagency, #digitalmarketingtips, #digitalmarketingagency, #digitalart, #digitalmarketingstrategy, #digitalsketchbook, #digitalpraful</t>
  </si>
  <si>
    <t>Tagged non-reel item (Static Photo) at grid position #41.</t>
  </si>
  <si>
    <t>https://adstransparency.google.com/advertiser/AR01693402396748677121/creative/CR14136941419503288321?region=anywhere</t>
  </si>
  <si>
    <t>https://www.semrush.com/lp/product-seo-challenges/</t>
  </si>
  <si>
    <t>Grab the 'OPPORTUNITY'😎🙂👍#semrushconf2019#wma#webmarketingacademy</t>
  </si>
  <si>
    <t>#semrushconf2019, #wma, #webmarketingacademy</t>
  </si>
  <si>
    <t>Tagged non-reel item (Static Photo) at grid position #42.</t>
  </si>
  <si>
    <t>Remember when SEO was just… Google? Those were simpler times  😅 - SEO used to be easier Try free for 7 days. Learn More</t>
  </si>
  <si>
    <t>1416553277311252</t>
  </si>
  <si>
    <t>Discovered at visual grid position #99. Verified Ad Details URL. Format: Single Image Ad.</t>
  </si>
  <si>
    <t>Everyone's chasing AI hacks. The smartest marketers are doubling down on what wo - Be found everywhere search happens Control your AI presence. Learn More</t>
  </si>
  <si>
    <t>1061173406308722</t>
  </si>
  <si>
    <t>CR14136941419503288321</t>
  </si>
  <si>
    <t>Do you want to scale your business digitally? Then register for the #semrushconf2019, one of the most awaited international digital marketing conferences. Get 40% off, use this promo code - ‘Startup’  https://bit.ly/32D7wFn</t>
  </si>
  <si>
    <t>Tagged non-reel item (Static Photo) at grid position #43.</t>
  </si>
  <si>
    <t>AI Is Reshaping Search. Is Your Measurement Up to Date?</t>
  </si>
  <si>
    <t>Zero-click search isn’t killing content. It’s changing what winning looks like.  - SEMRUSH.COM How to win without the click Try free for 7 days.</t>
  </si>
  <si>
    <t>AI is changing how buyers find brands. Join senior marketing leaders live from Cannes Lions on June 25 to rethink what success looks like</t>
  </si>
  <si>
    <t>https://adstransparency.google.com/advertiser/AR01693402396748677121/creative/CR06609746525838901249?region=anywhere</t>
  </si>
  <si>
    <t>Growth Marketing</t>
  </si>
  <si>
    <t>1539268484003198</t>
  </si>
  <si>
    <t>EspressoMartinis, FeelingExtra</t>
  </si>
  <si>
    <t>Stop manually researching competitors. Analyze any website's traffic in seconds: - Where do competitors get their traffic? Try free for 7 days. Learn More</t>
  </si>
  <si>
    <t>2117644262505622</t>
  </si>
  <si>
    <t>Two awards galas in less than a week. I don’t know who this gown wearing fancy pants is but I am all about it! #EspressoMartinis #FeelingExtra</t>
  </si>
  <si>
    <t>#EspressoMartinis, #FeelingExtra</t>
  </si>
  <si>
    <t>A website in 2006. Bitcoin in 2016. AI visibility in 2026. “Later” has a pretty  - SEMRUSH.COM Don’t wait on AI visibility Control your AI presence.</t>
  </si>
  <si>
    <t>Tagged non-reel item (Static Photo) at grid position #44.</t>
  </si>
  <si>
    <t>2091209914814347</t>
  </si>
  <si>
    <t>Register</t>
  </si>
  <si>
    <t>Ran from Jun 12, 2026 to Jun 24, 2026</t>
  </si>
  <si>
    <t>Discovered at visual grid position #100. Verified Ad Details URL. Format: Single Image Ad.</t>
  </si>
  <si>
    <t>It’s always the marketing department ☺️</t>
  </si>
  <si>
    <t>2167025434091208</t>
  </si>
  <si>
    <t>Ready to go all in on AI search? Learn from OpenAI, Spotify, Uber, and 80+ speak - Low impression count SPOTLIGHTCONF.COM See you at Spotlight London</t>
  </si>
  <si>
    <t>CR06609746525838901249</t>
  </si>
  <si>
    <t>1371559274480584</t>
  </si>
  <si>
    <t>Una delle caratteristiche fondamentali per un copywriter è disporre di un vocabolario ampio.📚 ⠀ ⠀ ⠀ ⠀  Questo è molto utile perché, scrivendo numerosi articoli e creando diversi contenuti per i social media, il rischio di ripetersi e quindi di rendere un testo noioso è abbastanza probabile. 📝 ⠀ ⠀  Come imparare quindi più termini possibili da usare nel nostro lavoro di copy? 💡 ⠀ 1️⃣ Potete se</t>
  </si>
  <si>
    <t>Status: Active | Started: 20 Aug 2026 | Platforms: Meta | Format: Video | CTA: Semrush</t>
  </si>
  <si>
    <t>#copywriting, #copywriter, #seo, #seocopywriter, #seocopywriting, #webwriting, #webwriter, #webcontentwriter, #digitalmarketing, #storytellingaziendale, #scrittura, #scritturaperilweb, #narrare, #narrando, #elenaschirru, #DiarioDiUnaCopywriter</t>
  </si>
  <si>
    <t>Tagged non-reel item (Photo Carousel) at grid position #45.</t>
  </si>
  <si>
    <t>Ready to learn quickly and raise the bar? We are hiring an Insights Analyst with experience in data and product analytics.</t>
  </si>
  <si>
    <t>https://adstransparency.google.com/advertiser/AR01693402396748677121/creative/CR01156005299715309569?region=anywhere</t>
  </si>
  <si>
    <t>Adobe Brand Visibility has officially entered the chat! - Good timing because your customers are already in one. Right now, someone is asking AI about your brand, and the only qu</t>
  </si>
  <si>
    <t>spreadInfo, searchengineoptimization, tools</t>
  </si>
  <si>
    <t>1557245936103449</t>
  </si>
  <si>
    <t>Status: Active | Started: 4 Aug 2026 | Platforms: Meta | Format: Video | CTA: Semrush</t>
  </si>
  <si>
    <t>ChatGPT is leading AI search today. - Google AI Mode could soon become the default search experience for millions more people. So we wanted to know: how diffe</t>
  </si>
  <si>
    <t>1412850140697852</t>
  </si>
  <si>
    <t>Status: Active | Started: 27 Aug 2026 | Platforms: Meta | Format: Image | CTA: Semrush</t>
  </si>
  <si>
    <t>Please, comment your suggestions of tools and help us spread useful information.  #spreadInfo #searchengineoptimization #tools</t>
  </si>
  <si>
    <t>#spreadInfo, #searchengineoptimization, #tools</t>
  </si>
  <si>
    <t>Rank scale AI</t>
  </si>
  <si>
    <t>Tagged non-reel item (Static Photo) at grid position #46.</t>
  </si>
  <si>
    <t>Ran from Jun 12, 2026 to Jun 26, 2026</t>
  </si>
  <si>
    <t>Discovered at visual grid position #101. Verified Ad Details URL. Format: Single Image Ad.</t>
  </si>
  <si>
    <t>CR01156005299715309569</t>
  </si>
  <si>
    <t>&gt; The #Best #DigitalMarketing #Institute in #Bangalore #BTM_Layout. &gt; #seo #sem #ppc #smo #smm #email_marketing, #googleanalytics #wordpress. &gt;Live projects, professional trainers, small-batch, affordable fees. &gt; www.theskilldesk.com Contact us:9739270716</t>
  </si>
  <si>
    <t>#Best, #DigitalMarketing, #Institute, #Bangalore, #BTM_Layout, #seo, #sem, #ppc, #smo, #smm, #email_marketing, #googleanalytics, #wordpress</t>
  </si>
  <si>
    <t>Tagged non-reel item (Static Photo) at grid position #47.</t>
  </si>
  <si>
    <t>Want to own the way you work? Join us as a Senior BI Engineer with 5 years of experience in data analytics and SQL knowledge.</t>
  </si>
  <si>
    <t>Accu Ranker</t>
  </si>
  <si>
    <t>https://adstransparency.google.com/advertiser/AR01693402396748677121/creative/CR10285197912178688001?region=anywhere</t>
  </si>
  <si>
    <t>Scrunch</t>
  </si>
  <si>
    <t>Otterly AI</t>
  </si>
  <si>
    <t>🚀Esse conjunto de ferramentas tem como objetivo gerenciar a produção, distribuição e otimização de conteúdo da sua empresa de maneira simples e ágil. ⠀ 🙌A utilização de um CMS facilita a criação e a atualização de páginas, e aplica as técnicas de otimização para a busca orgânica. ⠀ 👏O WordPress é o CMS mais utilizado no mundo e a pesquisa da Rock Content reflete esse dado. ⠀ 🔥O Marketing de Conteú</t>
  </si>
  <si>
    <t>#googleoptimize, #cro, #seo, #marketingdigitalbrasil, #rkisoferramentas, #rockcontent, #wordpress, #semrush</t>
  </si>
  <si>
    <t>Tagged non-reel item (Photo Carousel) at grid position #48.</t>
  </si>
  <si>
    <t>Ran from May 30, 2026 to Jun 12, 2026</t>
  </si>
  <si>
    <t>Discovered at visual grid position #102. Verified Ad Details URL. Format: Single Image Ad.</t>
  </si>
  <si>
    <t>https://otterly.ai/geo-guide/</t>
  </si>
  <si>
    <t>Last week our National Head of SEM and Ecommerce, Jonathan, joined SEM Rush for their Global Marketing Day 👍🏻 #marketing #sem #globalmarketingday</t>
  </si>
  <si>
    <t>#marketing, #sem, #globalmarketingday</t>
  </si>
  <si>
    <t>Tagged non-reel item (Static Photo) at grid position #49.</t>
  </si>
  <si>
    <t>CR10285197912178688001</t>
  </si>
  <si>
    <t>Ready to сode? Join us as Senior Golang Developer with 5+ years of experience in a backend programming environment.</t>
  </si>
  <si>
    <t>https://adstransparency.google.com/advertiser/AR01693402396748677121/creative/CR00818376065150877697?region=anywhere</t>
  </si>
  <si>
    <t>Otterly.AI</t>
  </si>
  <si>
    <t>#PartnershipAlert  Growth Folks X SEMRush Marketing Conference  We are more than proud &amp; excited to announce that Growth Folks is partnering with @semrush for the SEMrush Marketing Show happening on 5th December in Bangalore.🤩 This is the first time SEMrush is doing such a big event and we are overwhelmed to partner with them.No doubt, SEMrush has empowered the Digital Marketers to Drive Marketing</t>
  </si>
  <si>
    <t>#PartnershipAlert, #GrowthFolks, #Community, #Collaboration, #Growth, #Conference, #semrush, #event, #startup, #startupevent</t>
  </si>
  <si>
    <t>Tagged non-reel item (Static Photo) at grid position #50.</t>
  </si>
  <si>
    <t>Ran from May 30, 2026 to Jun 3, 2026</t>
  </si>
  <si>
    <t>Discovered at visual grid position #103. Verified Ad Details URL. Format: Single Image Ad.</t>
  </si>
  <si>
    <t>Rank #1 on ChatGPT, Perplexity &amp; More - Learn More</t>
  </si>
  <si>
    <t>https://www.facebook.com/ads/library/?active_status=all&amp;ad_type=all&amp;country=ALL&amp;is_targeted_country=false&amp;media_type=all&amp;search_type=page&amp;sort_data[direction]=desc&amp;sort_data[mode]=total_impressions&amp;view_all_page_id=506263759226274</t>
  </si>
  <si>
    <t>More than 50K marketers worldwide celebrated #GlobalMarketingDay hosted by @semrush.  The 24-hour live event was broadcasted from studios in Sydney, London, New York, and San Francisco.  And needless to say, it was an absolute smash! 🔥 18,231 Viewers 🔥 1,440 Minutes Streamed 🔥 120 Countries 🔥 5,768 Tweets  It was so much fun hanging out with the SF crew. The livestream was flawless thanks to the a</t>
  </si>
  <si>
    <t>CR00818376065150877697</t>
  </si>
  <si>
    <t>#GlobalMarketingDay, #GlobalMarketingDay, #LightsCameraLive, #HeyStephanie, #SocialMedia, #Livestreaming</t>
  </si>
  <si>
    <t>Tagged non-reel item (Photo Carousel) at grid position #51.</t>
  </si>
  <si>
    <t>https://adstransparency.google.com/advertiser/AR01693402396748677121/creative/CR11826517844848279553?region=anywhere</t>
  </si>
  <si>
    <t>This was THE most fun to do! Thank you @semrush for organising such an amazing event (a 24-hour live stream from 4 locations around the world is no easy tech feat 🌎) and for choosing to shoot our NYC panel from a studio where Barack Obama and J-Lo have been before because 🤩what legends🤩 #GlobalMarketingDay</t>
  </si>
  <si>
    <t>#GlobalMarketingDay</t>
  </si>
  <si>
    <t>Tagged non-reel item (Photo Carousel) at grid position #52.</t>
  </si>
  <si>
    <t>Discovered at visual grid position #104. Verified Ad Details URL. Format: Single Image Ad.</t>
  </si>
  <si>
    <t>🤣😂 #Repost @tomfishburne with @get_repost ・・・ A happy Halloween cartoon from the archives I drew in 2015. #marketing #cartoon</t>
  </si>
  <si>
    <t>Status: Inactive | Started: 23 Sep 2025 | Platforms: Meta | Format: Image | CTA: Otterly.AI</t>
  </si>
  <si>
    <t>#Repost, #marketing, #cartoon</t>
  </si>
  <si>
    <t>Tagged non-reel item (Static Photo) at grid position #53.</t>
  </si>
  <si>
    <t>CR11826517844848279553</t>
  </si>
  <si>
    <t>https://otterly.ai/</t>
  </si>
  <si>
    <t>https://adstransparency.google.com/advertiser/AR01693402396748677121/creative/CR12053678458975289345?region=anywhere</t>
  </si>
  <si>
    <t>It has never before been easier to start a business.  Call us for assistance on +1 (917)-7322-303 Visit us for detail: http://www.bhanafyltd.com B-Hanafy-Ltd  #digitalmarketing #SEO #SMO #SEM</t>
  </si>
  <si>
    <t>#digitalmarketing, #SEO, #SMO, #SEM</t>
  </si>
  <si>
    <t>Tagged non-reel item (Static Photo) at grid position #54.</t>
  </si>
  <si>
    <t>Start Your Free Trial - Learn More</t>
  </si>
  <si>
    <t>1192086029609975</t>
  </si>
  <si>
    <t>Status: Inactive | Started: 30 Sep 2025 | Platforms: Meta | Format: Video | CTA: Otterly.AI</t>
  </si>
  <si>
    <t>Discovered at visual grid position #105. Verified Ad Details URL. Format: Single Image Ad.</t>
  </si>
  <si>
    <t>Ad by Otterly.AI</t>
  </si>
  <si>
    <t>1164101805634682</t>
  </si>
  <si>
    <t>Status: Inactive | Started: 23 Feb 2026 | Platforms: Meta | Format: Video | CTA: Otterly.AI</t>
  </si>
  <si>
    <t>SEM leverages the power of search engines like Google to reach potential customers at the perfect time and place. Results are immediate with SEM.  Also, the fastest way to drive traffic to a website.  Call us for assistance on +1 (917)-7322-303 Visit us for detail: http://www.bhanafyltd.com  @B-Hanafy-Ltd  #digitalmarketing #SEO #SMO #SEM</t>
  </si>
  <si>
    <t>https://otterly.ai/geo-guide/?utm_campaign=facebookads</t>
  </si>
  <si>
    <t>Tagged non-reel item (Static Photo) at grid position #55.</t>
  </si>
  <si>
    <t>CR12053678458975289345</t>
  </si>
  <si>
    <t>Search Text Ad: "Profound vs. Scrunch - Autonomous Marketing Agents &amp; Analytics"</t>
  </si>
  <si>
    <t>https://adstransparency.google.com/advertiser/AR01693402396748677121/creative/CR12433819829591343105?region=anywhere</t>
  </si>
  <si>
    <t>#lunchbreak #globalmarketingday powered by #semrush; #workingfromhome</t>
  </si>
  <si>
    <t>#lunchbreak, #globalmarketingday, #semrush, #workingfromhome</t>
  </si>
  <si>
    <t>Tagged non-reel item (Static Photo) at grid position #56.</t>
  </si>
  <si>
    <t>How to rank #1 your brand on ChatGPT and other LLMs/AI searches. - Download this 70-pages GEO Guide (Generative Engines Optimization) from Otterly.AI.</t>
  </si>
  <si>
    <t>1476922263740546</t>
  </si>
  <si>
    <t>Discovered at visual grid position #106. Verified Ad Details URL. Format: Single Image Ad.</t>
  </si>
  <si>
    <t>Status: Inactive | Started: 3 Aug 2025 | Platforms: Meta | Format: Image | CTA: Otterly.AI</t>
  </si>
  <si>
    <t>1858593708096248</t>
  </si>
  <si>
    <t>Status: Inactive | Started: 16 Dec 2025 | Platforms: Meta | Format: Video | CTA: Otterly.AI</t>
  </si>
  <si>
    <t>Today's the day! Join us for Global Marketing Day 2019 today at 4pm ET by SEMrush and I'll be filming a bit behind the scenes before that on #LinkedInLive #globalmarketingday</t>
  </si>
  <si>
    <t>#LinkedInLive, #globalmarketingday</t>
  </si>
  <si>
    <t>Tagged non-reel item (Static Photo) at grid position #57.</t>
  </si>
  <si>
    <t>Status: Inactive | Started: 30 Jul 2025 | Platforms: Meta | Format: Image | CTA: Otterly.AI</t>
  </si>
  <si>
    <t>CR12433819829591343105</t>
  </si>
  <si>
    <t>1587573599405514</t>
  </si>
  <si>
    <t>Status: Inactive | Started: 17 Aug 2026 | Platforms: Meta | Format: Video | CTA: Otterly.AI</t>
  </si>
  <si>
    <t>https://adstransparency.google.com/advertiser/AR01693402396748677121/creative/CR05781273172963753985?region=anywhere</t>
  </si>
  <si>
    <t>Hanging out in the green room before the #globalmarketingday presentation. Looking forward to a great session sponsored by @semrush #seo #digitalmarketing #globalmarketing</t>
  </si>
  <si>
    <t>#globalmarketingday, #seo, #digitalmarketing, #globalmarketing</t>
  </si>
  <si>
    <t>Tagged non-reel item (Static Photo) at grid position #58.</t>
  </si>
  <si>
    <t>Start Your Free Trial - See Details</t>
  </si>
  <si>
    <t>Ran from Jun 13, 2026 to Jun 26, 2026</t>
  </si>
  <si>
    <t>Discovered at visual grid position #107. Verified Ad Details URL. Format: Single Image Ad.</t>
  </si>
  <si>
    <t>2449998992088562</t>
  </si>
  <si>
    <t>Status: Inactive | Started: 2 Jun 2026 | Platforms: Meta | Format: Video | CTA: Otterly.AI</t>
  </si>
  <si>
    <t>1062660806186849</t>
  </si>
  <si>
    <t>Status: Inactive | Started: 15 Jul 2026 | Platforms: Meta | Format: Video | CTA: Otterly.AI</t>
  </si>
  <si>
    <t>We are very excited to participate as marketeers in this world event!  We hope you can participate #globalmarketingday  Estamos muy emociononados participando como marketeros en este evento mundial! Esperamos que puedas participar #globalmarketingday</t>
  </si>
  <si>
    <t>#globalmarketingday, #globalmarketingday</t>
  </si>
  <si>
    <t>Tagged non-reel item (Photo Carousel) at grid position #59.</t>
  </si>
  <si>
    <t>https://otterly.ai/get-a-free-brand-report</t>
  </si>
  <si>
    <t>Expert in SQL &amp; BigQuery dashboards? Join us as Senior BI Engineer.</t>
  </si>
  <si>
    <t>fucktheambiance, eatthefood, dalkhichadi</t>
  </si>
  <si>
    <t>CR05781273172963753985</t>
  </si>
  <si>
    <t>Ran from May 29, 2026 to Jun 15, 2026</t>
  </si>
  <si>
    <t>https://adstransparency.google.com/advertiser/AR01693402396748677121/creative/CR04176038285774159873?region=anywhere</t>
  </si>
  <si>
    <t>#fucktheambiance #eatthefood Just for 340 RS this meal is for 4 people with extra #dalkhichadi  Where? #rajasthanidhaba #tuljapur What all in 340 Bucks: #daaltadka #chawali #8rotis #dalkhichdi #shevbhaji #burnsideunlimited on your #toungue #teekhi_mircheee #tikhat #teekha #spicy #spicymemes #spicyfood #spicymafia</t>
  </si>
  <si>
    <t>The #1 AI Search Analytics Tool - OTTERLY.AI Get a Free Brand Report Get offer</t>
  </si>
  <si>
    <t>Discovered at visual grid position #108. Verified Ad Details URL. Format: Spotlight Ad.</t>
  </si>
  <si>
    <t>#fucktheambiance, #eatthefood, #dalkhichadi, #rajasthanidhaba, #tuljapur, #daaltadka, #chawali, #8rotis, #dalkhichdi, #shevbhaji, #burnsideunlimited, #toungue, #teekhi_mircheee, #tikhat, #teekha, #spicy, #spicymemes, #spicyfood, #spicymafia</t>
  </si>
  <si>
    <t>Tagged non-reel item (Static Photo) at grid position #60.</t>
  </si>
  <si>
    <t>1415808463848949</t>
  </si>
  <si>
    <t>Status: Active | Started: 31 Aug 2026 | Platforms: Meta | Format: Video | CTA: Otterly.AI</t>
  </si>
  <si>
    <t>1414235477078216</t>
  </si>
  <si>
    <t>Status: Inactive | Started: 3 Feb 2026 | Platforms: Meta | Format: Video | CTA: Otterly.AI</t>
  </si>
  <si>
    <t>Our Digital Marketing #apprenticeship course is tailored to you or your staff to upskill them and develop them today, for tomorrows workplace.💻 🌐#Digital Marketing is growing and evolving daily and its important to stay up to date with new trends and ways to promote your #business. 📈  If you would #like to talk to us about our courses or find out more information. Please contact us.  The #GlobalMa</t>
  </si>
  <si>
    <t>#apprenticeship, #Digital, #business, #like, #GlobalMarketingday, #marketing</t>
  </si>
  <si>
    <t>Tagged non-reel item (Static Photo) at grid position #61.</t>
  </si>
  <si>
    <t>1554156569122651</t>
  </si>
  <si>
    <t>Status: Inactive | Started: 29 Jan 2026 | Platforms: Meta | Format: Video | CTA: Otterly.AI</t>
  </si>
  <si>
    <t>CR04176038285774159873</t>
  </si>
  <si>
    <t>Status: Inactive | Started: 19 Jan 2026 | Platforms: Meta | Format: Video | CTA: Otterly.AI</t>
  </si>
  <si>
    <t>breakfast with 20oz coffee and i’m back at er; #globalmarketingday powered by the awesome #semrush; #workingfromhome</t>
  </si>
  <si>
    <t>#globalmarketingday, #semrush, #workingfromhome</t>
  </si>
  <si>
    <t>https://adstransparency.google.com/advertiser/AR01693402396748677121/creative/CR05779390946495954945?region=anywhere</t>
  </si>
  <si>
    <t>Tagged non-reel item (Static Photo) at grid position #62.</t>
  </si>
  <si>
    <t>Discovered at visual grid position #109. Verified Ad Details URL. Format: Single Image Ad.</t>
  </si>
  <si>
    <t>1063467416073328</t>
  </si>
  <si>
    <t>1839846393391355</t>
  </si>
  <si>
    <t>Status: Inactive | Started: 24 Feb 2026 | Platforms: Meta | Format: Video | CTA: Otterly.AI</t>
  </si>
  <si>
    <t>Traffic, rankings, impressions — are you measuring the right things? Top CMOs share their AI-era frameworks in this free webinar.</t>
  </si>
  <si>
    <t>🚨 ALERTA DE SPOILER: é pra shippar muito esse casalzão. Não adianta “agorar”! ⠀ ⠀ Acompanhe cenas dos próximos capítulos...</t>
  </si>
  <si>
    <t>Tagged non-reel item (Static Photo) at grid position #63.</t>
  </si>
  <si>
    <t>CR05779390946495954945</t>
  </si>
  <si>
    <t>Status: Inactive | Started: 4 Sep 2025 | Platforms: Meta | Format: Image | CTA: Otterly.AI</t>
  </si>
  <si>
    <t>We are live!  #globalmarketingday #semrush</t>
  </si>
  <si>
    <t>2334092293738962</t>
  </si>
  <si>
    <t>#globalmarketingday, #semrush</t>
  </si>
  <si>
    <t>Tagged non-reel item (Static Photo) at grid position #64.</t>
  </si>
  <si>
    <t>Discovered at visual grid position #110. Verified Ad Details URL. Format: Single Image Ad.</t>
  </si>
  <si>
    <t>2124421934995841</t>
  </si>
  <si>
    <t>https://adstransparency.google.com/advertiser/AR01693402396748677121/creative/CR07543249352567816193?region=anywhere</t>
  </si>
  <si>
    <t>Status: Inactive | Started: 17 Feb 2026 | Platforms: Meta | Format: Video | CTA: Otterly.AI</t>
  </si>
  <si>
    <t>Multi-tasking but mostly being present at the #globalmarketingday2019. Been to Australia and London now coming up to New York... phenomenal speakers and content. Thank you @semrush</t>
  </si>
  <si>
    <t>#globalmarketingday2019</t>
  </si>
  <si>
    <t>Tagged non-reel item (Static Photo) at grid position #65.</t>
  </si>
  <si>
    <t>Status: Inactive | Started: 30 Jan 2026 | Platforms: Meta | Format: Video | CTA: Otterly.AI</t>
  </si>
  <si>
    <t>Stop Being Invisible on AI Search.</t>
  </si>
  <si>
    <t>2479114715895444</t>
  </si>
  <si>
    <t>Status: Inactive | Started: 30 Jun 2026 | Platforms: Meta | Format: Video | CTA: Otterly.AI</t>
  </si>
  <si>
    <t>The #GlobalMarketingDay conference brought to you by @semrush is LIVE right now🎥 See more info about the conference below. . . #Repost @semrush | What is #GlobalMarketingDay conference and why there is so much buzz around it? 🌎 . We’re bringing experts from all across the globe to your screens in a 24-hour live streaming special. What makes it so cool? Just take a look at the numbers: . ▪️ 30,000+</t>
  </si>
  <si>
    <t>#GlobalMarketingDay, #Repost, #GlobalMarketingDay</t>
  </si>
  <si>
    <t>Tagged video reel discovered from Tagged grid position #66.</t>
  </si>
  <si>
    <t>Digital Marketing, Industry Event, Video Marketing</t>
  </si>
  <si>
    <t>1910675906244485</t>
  </si>
  <si>
    <t>1242148274148455</t>
  </si>
  <si>
    <t>Just a selfie of getting my make-up done before going on set at @semrush Global Marketing Day! Don't judge me, but my skin looks fabulous 🤣🤣 #globalmarketingday #videomarketing #livestream #marketingconference</t>
  </si>
  <si>
    <t>#globalmarketingday, #videomarketing, #livestream, #marketingconference</t>
  </si>
  <si>
    <t>Tagged non-reel item (Static Photo) at grid position #67.</t>
  </si>
  <si>
    <t>Grid item #67. Discovered from Tagged page grid in sequential order.</t>
  </si>
  <si>
    <t>Discovered at visual grid position #111. Verified Ad Details URL. Format: Single Image Ad.</t>
  </si>
  <si>
    <t>Status: Inactive | Started: 18 Feb 2026 | Platforms: Meta | Format: Video | CTA: Otterly.AI</t>
  </si>
  <si>
    <t>CR07543249352567816193</t>
  </si>
  <si>
    <t>1428591852178443</t>
  </si>
  <si>
    <t>Did you watch @lsherran on the live stream for #globalmarketingday  What are your top tips for cross platform content</t>
  </si>
  <si>
    <t>#globalmarketingday</t>
  </si>
  <si>
    <t>https://adstransparency.google.com/advertiser/AR01693402396748677121/creative/CR00020225181385490433?region=anywhere</t>
  </si>
  <si>
    <t>Tagged non-reel item (Static Photo) at grid position #68.</t>
  </si>
  <si>
    <t>Grid item #68. Discovered from Tagged page grid in sequential order.</t>
  </si>
  <si>
    <t>Brought to you by the wonderful people @semrush Global Marketing Day 2019, is a first of its kind webinar where you can learn first-hand from the industry's brightest and most experienced minds; those working for big brands like SAP, Lego, Microsoft, Uber, BBC, LinkedIn, WeWork, Outbrain, Vodafone, Unicef, and many more .  This event is more than just another marketing conference; it's a chance to</t>
  </si>
  <si>
    <t>#semrush, #seo, #globalmarketingday, #globalmarketingday2019, #digitalclarity, #marketing, #ppc, #socialmediamarketing, #digitalmarketingagency, #digitalagency, #digitalmarketing, #guildford, #surrey, #london, #analytics, #googleads</t>
  </si>
  <si>
    <t>Tagged non-reel item (Static Photo) at grid position #69.</t>
  </si>
  <si>
    <t>Grid item #69. Discovered from Tagged page grid in sequential order.</t>
  </si>
  <si>
    <t>2220266915493742</t>
  </si>
  <si>
    <t>Status: Inactive | Started: 10 Aug 2026 | Platforms: Meta | Format: Video | CTA: Otterly.AI</t>
  </si>
  <si>
    <t>CR00020225181385490433</t>
  </si>
  <si>
    <t>Status: Inactive | Started: 22 Jun 2026 | Platforms: Meta | Format: Video | CTA: Otterly.AI</t>
  </si>
  <si>
    <t>How Blockchain Will Impact the Ad Business in the Coming Years The 7 C’s of Smart Content You Can't Ignore The Role of #Marketing in Delivering an Exceptional Customer Experience How to Build a Metrics-driven Marketing Department And much more! Don't miss your chance to learn about new tactics, the most useful tools, and unique insights. Travel around the marketing world without leaving your home</t>
  </si>
  <si>
    <t>Discovered at visual grid position #112. Verified Ad Details URL. Format: Single Image Ad.</t>
  </si>
  <si>
    <t>Low impression count - Start Your Free Trial Learn More</t>
  </si>
  <si>
    <t>#Marketing, #Upcomingevent, #Business, #Marketingtips, #GlobalMarketingDay, #event, #marketingstrategy, #marketingtips, #businesses, #enterpreneur, #2019, #conference, #onlinemarketingconference, #semrush, #globalmarketing, #globalmarketingnetwork, #registernow, #digtalmarketing, #influencers, #marketingexperts, #experts, #socailmediamarketing, #marketingideas, #marketing101, #marketingtools, #marketingstrategies</t>
  </si>
  <si>
    <t>https://adstransparency.google.com/advertiser/AR01693402396748677121/creative/CR11969251908880695297?region=anywhere</t>
  </si>
  <si>
    <t>Tagged non-reel item (Static Photo) at grid position #70.</t>
  </si>
  <si>
    <t>Grid item #70. Discovered from Tagged page grid in sequential order.</t>
  </si>
  <si>
    <t>Status: Inactive | Started: 12 Jan 2026 | Platforms: Meta | Format: Video | CTA: Otterly.AI</t>
  </si>
  <si>
    <t>Low impression count</t>
  </si>
  <si>
    <t>1749516226467006</t>
  </si>
  <si>
    <t>Status: Inactive | Started: 23 Jun 2026 | Platforms: Meta | Format: Video | CTA: Otterly.AI</t>
  </si>
  <si>
    <t>#globalmarketingday2019 is 50 mins away for an international 24 hours of seminars... live from sydney, london, nyc and san francisco #semrush #livestream</t>
  </si>
  <si>
    <t>#globalmarketingday2019, #semrush, #livestream</t>
  </si>
  <si>
    <t>Tagged non-reel item (Static Photo) at grid position #71.</t>
  </si>
  <si>
    <t>1816654772809872</t>
  </si>
  <si>
    <t>Grid item #71. Discovered from Tagged page grid in sequential order.</t>
  </si>
  <si>
    <t>Status: Inactive | Started: 31 Aug 2026 | Platforms: Meta | Format: Video | CTA: Otterly.AI</t>
  </si>
  <si>
    <t>SEO, Digital Marketing, Industry Event</t>
  </si>
  <si>
    <t>Stop Being Invisible on AI Search. - Low impression count</t>
  </si>
  <si>
    <t>1071198982564975</t>
  </si>
  <si>
    <t>CR11969251908880695297</t>
  </si>
  <si>
    <t>28580344048256115</t>
  </si>
  <si>
    <t>Got Invited as a Guest Expert by @semrush at the Bangalore Event. I will be there at the Event and will be solving your queries in consultation round, you guys can meet me there at the Conference on 5th December 2019.  Use Coupon Code: AmitMishra to get 30% Off on Your tickets. Book Your Event tickets via this link: http://www.semrushconf.in/. check ticket booking link inside the bio linktree link</t>
  </si>
  <si>
    <t>https://adstransparency.google.com/advertiser/AR01693402396748677121/creative/CR12288295548645015553?region=anywhere</t>
  </si>
  <si>
    <t>Status: Active | Started: 1 Sep 2026 | Platforms: Meta | Format: Video | CTA: Otterly.AI</t>
  </si>
  <si>
    <t>#bloggers, #youtubers, #event, #latestevent, #semrush, #blogger, #digitalmarketing, #seo</t>
  </si>
  <si>
    <t>Tagged non-reel item (Static Photo) at grid position #72.</t>
  </si>
  <si>
    <t>Discovered at visual grid position #113. Verified Ad Details URL. Format: Single Image Ad.</t>
  </si>
  <si>
    <t>Grid item #72. Discovered from Tagged page grid in sequential order.</t>
  </si>
  <si>
    <t>1043898988353059</t>
  </si>
  <si>
    <t>Laut einer Studie von @socialmediatoday in Zusammenarbeit mit @semrush nutzen 81% der Befragten die Story-Funktion für ihr Marketing. Wenn du also darüber nachgedacht hast in Stories einzusteigen, bist du nicht allein.  Mit der Teilnahme von 800 Online-Marketern zeichnet sich dieser Wert als starker Indikator für zunehmende Relevanz der Funktion aus - welches Facebook selbst seit langem als Zukunf</t>
  </si>
  <si>
    <t>#cbsocial, #instagrammarketing, #instagramstories, #igtv, #instagramlive</t>
  </si>
  <si>
    <t>Tagged non-reel item (Static Photo) at grid position #73.</t>
  </si>
  <si>
    <t>Grid item #73. Discovered from Tagged page grid in sequential order.</t>
  </si>
  <si>
    <t>Build funnels, find insights &amp; drive real change.</t>
  </si>
  <si>
    <t>1701442824487064</t>
  </si>
  <si>
    <t>CR12288295548645015553</t>
  </si>
  <si>
    <t>Low impression count - Start Your Free Trial See Details</t>
  </si>
  <si>
    <t>1367866885540871</t>
  </si>
  <si>
    <t>https://adstransparency.google.com/advertiser/AR01693402396748677121/creative/CR17760527261812916225?region=anywhere</t>
  </si>
  <si>
    <t>Mentions</t>
  </si>
  <si>
    <t>Dias 30 e 31/10, acontece o #GlobalMarketingDay, uma conferência online e gratuita dedicada aos profissionais de #marketing, inovadores, #CMOs e para todos que querem aprender mais. O evento vai abordar sobre como maximizar os investimentos em #marketingdigital com as últimas tendências, ferramentas, idéias e habilidades com palestras do pessoal do #Google, #Uber e outras. Já vou me inscrever aqui</t>
  </si>
  <si>
    <t>#GlobalMarketingDay, #marketing, #CMOs, #marketingdigital, #Google, #Uber</t>
  </si>
  <si>
    <t>Tagged non-reel item (Static Photo) at grid position #74.</t>
  </si>
  <si>
    <t>Grid item #74. Discovered from Tagged page grid in sequential order.</t>
  </si>
  <si>
    <t>Discovered at visual grid position #114. Verified Ad Details URL. Format: Spotlight Ad.</t>
  </si>
  <si>
    <t>#sportsmarketing reviewing the lit topics and speakers for #semrush #globalmarketingday online oct. 29-30 #unitedliverpool #dazn #unitedsucks #nowayinhellreddevils #macbookpro #mancave #imbusydear</t>
  </si>
  <si>
    <t>#sportsmarketing, #semrush, #globalmarketingday, #unitedliverpool, #dazn, #unitedsucks, #nowayinhellreddevils, #macbookpro, #mancave, #imbusydear</t>
  </si>
  <si>
    <t>Tagged non-reel item (Static Photo) at grid position #75.</t>
  </si>
  <si>
    <t>Grid item #75. Discovered from Tagged page grid in sequential order.</t>
  </si>
  <si>
    <t>CR17760527261812916225</t>
  </si>
  <si>
    <t>https://adstransparency.google.com/advertiser/AR01693402396748677121/creative/CR11854265051567357953?region=anywhere</t>
  </si>
  <si>
    <t>Website_analytics_tools_gdc</t>
  </si>
  <si>
    <t>Tagged non-reel item (Static Photo) at grid position #76.</t>
  </si>
  <si>
    <t>Grid item #76. Discovered from Tagged page grid in sequential order.</t>
  </si>
  <si>
    <t>Conhecida por ser a época do ano mais movimentada para os canais de TV americanos, com a chegada de diversas séries e lançamentos de novas temporadas, a fall season representa o período que se inicia no segundo semestre, entre setembro e outubro, e termina só no ano seguinte. . Pensando nisso, a SEMrush, empresa especializada em marketing digital, preparou um levantamento das séries mais pesquisad</t>
  </si>
  <si>
    <t>#lucifer, #strangerthings, #fallseason, #riverdale, #thewalkingdead, #greysanatomy, #thegooddoctor, #supernatural, #supergirl, #americanhorrorstory, #arrow, #theflash, #legacies, #series, #caixadeseries</t>
  </si>
  <si>
    <t>Tagged non-reel item (Static Photo) at grid position #77.</t>
  </si>
  <si>
    <t>Discovered at visual grid position #115. Verified Ad Details URL. Format: Single Image Ad.</t>
  </si>
  <si>
    <t>Grid item #77. Discovered from Tagged page grid in sequential order.</t>
  </si>
  <si>
    <t>CR11854265051567357953</t>
  </si>
  <si>
    <t>https://adstransparency.google.com/advertiser/AR01693402396748677121/creative/CR10838247244428214273?region=anywhere</t>
  </si>
  <si>
    <t>How do you get ranked higher than number 1 on Google? This guy will tell you! See Fernando Angulo at 3XE Search next week 👍</t>
  </si>
  <si>
    <t>Ready to win together? Bring your 5+ years Golang expertise.</t>
  </si>
  <si>
    <t>Tagged non-reel item (Photo Carousel) at grid position #78.</t>
  </si>
  <si>
    <t>Grid item #78. Discovered from Tagged page grid in sequential order.</t>
  </si>
  <si>
    <t>Conheça 6 ferramentas de marketing digital usadas pela Gokit. 🚀⠀ ⠀ 👉 Link na bio⠀ ⠀ #agênciademarketingdigital #inboundmarketing #midiasociais #inboundmarketing #planejamento #analisederesultados #rdstation #analytics #palavraschave #resultados</t>
  </si>
  <si>
    <t>#agênciademarketingdigital, #inboundmarketing, #midiasociais, #inboundmarketing, #planejamento, #analisederesultados, #rdstation, #analytics, #palavraschave, #resultados</t>
  </si>
  <si>
    <t>Tagged non-reel item (Static Photo) at grid position #79.</t>
  </si>
  <si>
    <t>Grid item #79. Discovered from Tagged page grid in sequential order.</t>
  </si>
  <si>
    <t>Ran from May 29, 2026 to Jun 9, 2026</t>
  </si>
  <si>
    <t>Discovered at visual grid position #116. Verified Ad Details URL. Format: Spotlight Ad.</t>
  </si>
  <si>
    <t>CR10838247244428214273</t>
  </si>
  <si>
    <t>Because the learning never ceases.  #featuredsnippet  #featuredsnippets  #googlerankingfactor  #googlerankingfactors  #googlerankingkeywords  #googlerankingtips  #keywordresearchandanalysis  #keywordresearchmadeeasy  #keywordresearchtips  #searchenginemarketingspecialist  #searchenginemarketingstrategy  #searchenginemarketingtrends  #searchengineoptimizationexpert  #searchengineoptimizationhelp  #</t>
  </si>
  <si>
    <t>https://adstransparency.google.com/advertiser/AR01693402396748677121/creative/CR05492363710942937089?region=anywhere</t>
  </si>
  <si>
    <t>Tagged non-reel item (Static Photo) at grid position #80.</t>
  </si>
  <si>
    <t>Grid item #80. Discovered from Tagged page grid in sequential order.</t>
  </si>
  <si>
    <t>Use Our Tried And Tested Framework To Achieve Your Digital Marketing Goals. Call us for assistance on +1 (917)-7322-303 Visit us for detail: http://www.bhanafyltd.com B-Hanafy-Ltd  #SEO #digitalmarketing #internetmarketinglifestyle</t>
  </si>
  <si>
    <t>#SEO, #digitalmarketing, #internetmarketinglifestyle</t>
  </si>
  <si>
    <t>Tagged non-reel item (Static Photo) at grid position #81.</t>
  </si>
  <si>
    <t>Grid item #81. Discovered from Tagged page grid in sequential order.</t>
  </si>
  <si>
    <t>Discovered at visual grid position #117. Verified Ad Details URL. Format: Single Image Ad.</t>
  </si>
  <si>
    <t>CR05492363710942937089</t>
  </si>
  <si>
    <t>Quora is a highly relevant platform for several industries and is often unseen by many brands.  Here's a useful webinar on the growth strategies using Quora.  On 16th October, you can register here: https://www.semrush.com/webinars/epic-growth-strategies-from-gautam-shewakramani-quora/?mindbox-click-id=2c655c85-c765-431b-9d69-650308070b09&amp;utm_source=mindbox&amp;utm_medium=Email&amp;utm_campaign=en_Gautam1</t>
  </si>
  <si>
    <t>#aarrrrmor, #teamaarrrmor, #semrush, #webinar, #quora, #digitalmarketing, #marketing, #advertising, #digitalmarketingtools, #semrushwebinars, #quoratips, #socialmedia</t>
  </si>
  <si>
    <t>Tagged non-reel item (Static Photo) at grid position #82.</t>
  </si>
  <si>
    <t>https://adstransparency.google.com/advertiser/AR01693402396748677121/creative/CR09403963050735697921?region=anywhere</t>
  </si>
  <si>
    <t>Grid item #82. Discovered from Tagged page grid in sequential order.</t>
  </si>
  <si>
    <t>A plus conference swag this year. Plus, it’s not every day you get a custom shirt quoting your twitter account. #pubcon</t>
  </si>
  <si>
    <t>#pubcon</t>
  </si>
  <si>
    <t>Tagged non-reel item (Static Photo) at grid position #83.</t>
  </si>
  <si>
    <t>Grid item #83. Discovered from Tagged page grid in sequential order.</t>
  </si>
  <si>
    <t>SEO Tools You Can't live without which has time-saving solution. Try these tools to beat your competitor.⁣ ⁣ Google Keyword Planner: Keyword Planner to get keyword ideas of traffic volume for specific keywords. You can generate keyword ideas, organize them with keyword traffic estimates⁣ ⁣ Google Search Console: Essential part of any SEO's toolkit. It can give you insights into the health of your</t>
  </si>
  <si>
    <t>#SEMrush, #SEOQuake, #SEO, #Ubersuggest, #Mozbar, #PageSpeed</t>
  </si>
  <si>
    <t>Tagged non-reel item (Static Photo) at grid position #84.</t>
  </si>
  <si>
    <t>CR09403963050735697921</t>
  </si>
  <si>
    <t>Grid item #84. Discovered from Tagged page grid in sequential order.</t>
  </si>
  <si>
    <t>Ran from Jun 18, 2026 to Jun 23, 2026</t>
  </si>
  <si>
    <t>Discovered at visual grid position #118. Verified Ad Details URL. Format: Single Image Ad.</t>
  </si>
  <si>
    <t>https://adstransparency.google.com/advertiser/AR01693402396748677121/creative/CR01009422532668817409?region=anywhere</t>
  </si>
  <si>
    <t>🔎Spotted a pretty sweet ads from @semrush today. Not a fan of the tool, but I do dig this ad! ⁣ ⁣ Visit 👉 fbswipes.com 👈 for the full analysis (link in bio)⁣ ⁣ #facebookads #semrush #gifads #swipes #copywriting #advertising #copywriter #ads</t>
  </si>
  <si>
    <t>#facebookads, #semrush, #gifads, #swipes, #copywriting, #advertising, #copywriter, #ads</t>
  </si>
  <si>
    <t>Tagged video reel discovered from Tagged grid position #85.</t>
  </si>
  <si>
    <t>Grid item #85. Discovered from Tagged page grid in sequential order.</t>
  </si>
  <si>
    <t>I'm taking part in Global Marketing Day on 30th October, a live 24 hour marketing event. Hosted by @semrush it's taking place across Sydney, London, New York and San Francisco and includes over 50 speakers from amazing companies like Google, Microsoft, Lego and Disney to name drop just a few.</t>
  </si>
  <si>
    <t>Tagged video reel discovered from Tagged grid position #86.</t>
  </si>
  <si>
    <t>Grid item #86. Discovered from Tagged page grid in sequential order.</t>
  </si>
  <si>
    <t>Discovered at visual grid position #119. Verified Ad Details URL. Format: Single Image Ad.</t>
  </si>
  <si>
    <t>CR01009422532668817409</t>
  </si>
  <si>
    <t>https://adstransparency.google.com/advertiser/AR01693402396748677121/creative/CR03880906275134898177?region=anywhere</t>
  </si>
  <si>
    <t>We are joining @semrush for #globalmarketingday  Cant wait to share some knowledge bombs with you all!</t>
  </si>
  <si>
    <t>Tagged video reel discovered from Tagged grid position #87.</t>
  </si>
  <si>
    <t>Grid item #87. Discovered from Tagged page grid in sequential order.</t>
  </si>
  <si>
    <t>#herewithsemrush #pubconpro @semrush 360 video. Follow the fox being thrown in the video.</t>
  </si>
  <si>
    <t>#herewithsemrush, #pubconpro</t>
  </si>
  <si>
    <t>Tagged video reel discovered from Tagged grid position #88.</t>
  </si>
  <si>
    <t>Discovered at visual grid position #120. Verified Ad Details URL. Format: Spotlight Ad.</t>
  </si>
  <si>
    <t>Grid item #88. Discovered from Tagged page grid in sequential order.</t>
  </si>
  <si>
    <t>CR03880906275134898177</t>
  </si>
  <si>
    <t>herewithsemrush, pubconpro</t>
  </si>
  <si>
    <t>https://adstransparency.google.com/advertiser/AR01693402396748677121/creative/CR02678739843743219713?region=anywhere</t>
  </si>
  <si>
    <t>#herewithsemrush #pubconpro @semrush</t>
  </si>
  <si>
    <t>Tagged non-reel item (Static Photo) at grid position #89.</t>
  </si>
  <si>
    <t>Grid item #89. Discovered from Tagged page grid in sequential order.</t>
  </si>
  <si>
    <t>Want to see how your ideas turn into impact? Join us as a Senior Events Marketing Manager with 8+ years of experience.</t>
  </si>
  <si>
    <t>Industry Event, Growth Marketing</t>
  </si>
  <si>
    <t>At the @semrush booth #herewithsemrush #pubconpro</t>
  </si>
  <si>
    <t>Tagged non-reel item (Static Photo) at grid position #90.</t>
  </si>
  <si>
    <t>Grid item #90. Discovered from Tagged page grid in sequential order.</t>
  </si>
  <si>
    <t>CR02678739843743219713</t>
  </si>
  <si>
    <t>Ran from May 8, 2026 to May 22, 2026</t>
  </si>
  <si>
    <t>1k-5k</t>
  </si>
  <si>
    <t>https://adstransparency.google.com/advertiser/AR01693402396748677121/creative/CR17646071674774224897?region=anywhere</t>
  </si>
  <si>
    <t>Discovered at visual grid position #121. Verified Ad Details URL. Format: Single Image Ad.</t>
  </si>
  <si>
    <t>You’re not one dimensional. With the current level of competition for consumer attention, every day is #GameDay Be #Creative and make content that differentiates you from your competition. You don’t have a legitimate excuse to not be putting content out every single day. With all your habits, make this one of them 💪🏼 #SmallBusiness #Creative #content #Habits #EveryDay #TellTheWorld  #FunHouseDigit</t>
  </si>
  <si>
    <t>#GameDay, #Creative, #SmallBusiness, #Creative, #content, #Habits, #EveryDay, #TellTheWorld, #FunHouseDigital</t>
  </si>
  <si>
    <t>Tagged non-reel item (Static Photo) at grid position #91.</t>
  </si>
  <si>
    <t>Grid item #91. Discovered from Tagged page grid in sequential order.</t>
  </si>
  <si>
    <t>The @semrush marketing show is coming to Bangalore!  Will see you there?  This event will feature top digital marketing industry leaders giving sessions from four stages to over 2,000 attendees.  O3M’s Director of Client Services, @mrrobzilla will be in attendance, holding court as an Expert and a Moderator at the Online Ads stage.  To learn more or register, visit https://semrushconf.in/register/</t>
  </si>
  <si>
    <t>CR17646071674774224897</t>
  </si>
  <si>
    <t>#semrush, #semrushconference, #marketingshow, #seo, #onlineads, #google, #facebook, #linkedin, #O3MDirectionalMarketing, #digitalmarketingagency, #digitalagency, #googlepremierpartner, #socialmediaads, #googlepartnercompany</t>
  </si>
  <si>
    <t>Tagged non-reel item (Static Photo) at grid position #92.</t>
  </si>
  <si>
    <t>Grid item #92. Discovered from Tagged page grid in sequential order.</t>
  </si>
  <si>
    <t>https://adstransparency.google.com/advertiser/AR01693402396748677121/creative/CR13956194214841679873?region=anywhere</t>
  </si>
  <si>
    <t>WAIT, YOU’RE NOT GETTING LEADS FROM INSTAGRAM?! Not to worry: the marketing experts at NYMA have got you covered!  In our latest blog article, we’ll show you how to leverage Instagram as a business asset and get you on the road to creating real value and generating leads.  Learn how to:  1) Optimize your handle and profile picture  2) Use your IG headline to show up in search 3) Write a compelling</t>
  </si>
  <si>
    <t>#leadgen, #leadgenerationtips, #digitalmarketingsolutions, #instagramstrategy, #instagramtrends, #marketinginsights, #nycmarketing, #americanmarketingassociation, #newyorkmarketingassociation, #newyorkcity</t>
  </si>
  <si>
    <t>Tagged non-reel item (Static Photo) at grid position #93.</t>
  </si>
  <si>
    <t>Grid item #93. Discovered from Tagged page grid in sequential order.</t>
  </si>
  <si>
    <t>CR13956194214841679873</t>
  </si>
  <si>
    <t>https://adstransparency.google.com/advertiser/AR01693402396748677121/creative/CR17677604018991398913?region=anywhere</t>
  </si>
  <si>
    <t>Discovered at visual grid position #122. Verified Ad Details URL. Format: Single Image Ad.</t>
  </si>
  <si>
    <t>Всем привет!🤘🏻 Так вот расскажем вам про эти зелёные фонари из нашего сторис☝🏼💡 Это новая система Brain Ring⭐️ Все более организованнее и ещё интереснее😁  29 октября соревноваться в смекалке, эрудиции и скорости реакции будут от 10 до 16 команд из IT-сферы!  Если вы являетесь теми, кто всегда стремится к совершенствованию себя в команде и команды в компании, то вам - к нам!!!🥰 Что ждёт команды и в</t>
  </si>
  <si>
    <t>#workandsport, #itbrainring, #braincheck, #чтогдекогда, #корпоративныйтурнир, #квизспб, #brainring, #quiz, #битваумов, #интеллектуальнаяигра, #брейнринг, #турнирспб, #streetfoodbar</t>
  </si>
  <si>
    <t>Tagged non-reel item (Photo Carousel) at grid position #94.</t>
  </si>
  <si>
    <t>Grid item #94. Discovered from Tagged page grid in sequential order.</t>
  </si>
  <si>
    <t>The Enterprise brands winning in ChatGPT, Perplexity, and Google AI Overviews didn't get there by accident. Download the free playbook to see how they did it — and how you can too.</t>
  </si>
  <si>
    <t>AI Search &amp; GEO, Enterprise &amp; GTM</t>
  </si>
  <si>
    <t>CR17677604018991398913</t>
  </si>
  <si>
    <t>Day two of #TIOams ; Take it Offline Amsterdam was really different to the first - after lunch (sponsored by Yext) Vicky did an excellent intro game then unconference sessions, which from what we could see were all incredible. 3 tracks and as usual some people networked (4th track) before we went to Freddy's for @semrush sponsored beers</t>
  </si>
  <si>
    <t>#TIOams</t>
  </si>
  <si>
    <t>Tagged non-reel item (Photo Carousel) at grid position #95.</t>
  </si>
  <si>
    <t>Grid item #95. Discovered from Tagged page grid in sequential order.</t>
  </si>
  <si>
    <t>https://adstransparency.google.com/advertiser/AR01693402396748677121/creative/CR03958266676314636289?region=anywhere</t>
  </si>
  <si>
    <t>Political Scientist| Content Writer| Copywriter| Freelancer| SEO| Website Content  I create highest-quality content that is unique and free from plagiarism. My content is geared towards increasing your brand awareness and putting you at the top of Google ranking. With over 2 years’ experience as a content writer, I can write on different niche which ranges from Fashion, Art, Décor, Tech, Science,</t>
  </si>
  <si>
    <t>#freelancer, #contentwriter, #websitecontent, #uxwriting, #copywriter, #pressrelease</t>
  </si>
  <si>
    <t>Tagged non-reel item (Static Photo) at grid position #96.</t>
  </si>
  <si>
    <t>Grid item #96. Discovered from Tagged page grid in sequential order.</t>
  </si>
  <si>
    <t>CR03958266676314636289</t>
  </si>
  <si>
    <t>https://adstransparency.google.com/advertiser/AR01693402396748677121/creative/CR05515424936543387649?region=anywhere</t>
  </si>
  <si>
    <t>Ran from May 20, 2026 to Jun 9, 2026</t>
  </si>
  <si>
    <t>Tagged video reel discovered from Tagged grid position #97.</t>
  </si>
  <si>
    <t>Discovered at visual grid position #123. Verified Ad Details URL. Format: Single Image Ad.</t>
  </si>
  <si>
    <t>Grid item #97. Discovered from Tagged page grid in sequential order.</t>
  </si>
  <si>
    <t>CR05515424936543387649</t>
  </si>
  <si>
    <t>Your Enterprise brand visibility strategy needs to cover AI search. We built the playbook so you don't have to. Free download — no fluff, just the framework.</t>
  </si>
  <si>
    <t>That’s right- we said needs! You need to head to the link in our bio to check out who made our list (and why they’re so important)! ⠀ Featuring: @shopify, @semrush, @talkablesoftware, @mailchimp, @powerofreviews, @livechat, @coschedule, @instapage.team, and more!  #newblog#blogpost#digitalmarketing#ecommerce#roundup#list#listicle#tools#webpush#pushnotifications</t>
  </si>
  <si>
    <t>AI Search &amp; GEO, Search Visibility, Enterprise &amp; GTM</t>
  </si>
  <si>
    <t>#newblog, #blogpost, #digitalmarketing, #ecommerce, #roundup, #list, #listicle, #tools, #webpush, #pushnotifications</t>
  </si>
  <si>
    <t>Tagged non-reel item (Static Photo) at grid position #98.</t>
  </si>
  <si>
    <t>Grid item #98. Discovered from Tagged page grid in sequential order.</t>
  </si>
  <si>
    <t>https://adstransparency.google.com/advertiser/AR01693402396748677121/creative/CR12200053143446224897?region=anywhere</t>
  </si>
  <si>
    <t>#SEMrush is coming up with the #Marketing Show on 5th December 2019 in #Bangalore where you will 👉 Discover the best #growth marketing strategies, 👉 Learn the latest trends in #SEO and #Online Ads 👉 Boost your professional growth at the dedicated workshops from #Google, #Facebook, #LinkedIn, and SEMrush. and #webmarketingacademy and Suresh Babu is happy to be a partner for this event 👍  To Registe</t>
  </si>
  <si>
    <t>Ran from May 20, 2026 to Jul 6, 2026</t>
  </si>
  <si>
    <t>#SEMrush, #Marketing, #Bangalore, #growth, #SEO, #Online, #Google, #Facebook, #LinkedIn, #webmarketingacademy, #marketing, #events, #semrush, #semrushmarketingshow, #bangalore</t>
  </si>
  <si>
    <t>Tagged non-reel item (Static Photo) at grid position #99.</t>
  </si>
  <si>
    <t>Discovered at visual grid position #124. Verified Ad Details URL. Format: Single Image Ad.</t>
  </si>
  <si>
    <t>Grid item #99. Discovered from Tagged page grid in sequential order.</t>
  </si>
  <si>
    <t>CR12200053143446224897</t>
  </si>
  <si>
    <t>Want to solve problems that really matter? Join us as Data Governance Engineer with strong SQL and Python skills.</t>
  </si>
  <si>
    <t>https://adstransparency.google.com/advertiser/AR01693402396748677121/creative/CR14050557051516485633?region=anywhere</t>
  </si>
  <si>
    <t>Um dos grandes desafios das empresas que atuam no modelo B2B, é a rápida qualificação de leads em oportunidades de vendas.  De nada adianta realizar a aquisição de um alto volume de leads, se eles não tem perfil e interesse para fazer negócios com a sua empresa, fazendo com que os esforços de marketing sejam bem pouco aproveitados.  Adotar uma estratégia de Account-Based Marketing pode ser a soluç</t>
  </si>
  <si>
    <t>#accountbasedmarketing, #b2b, #digitalmarketing, #agenciadigital, #marketing</t>
  </si>
  <si>
    <t>Tagged non-reel item (Static Photo) at grid position #100.</t>
  </si>
  <si>
    <t>Grid item #100. Discovered from Tagged page grid in sequential order.</t>
  </si>
  <si>
    <t>Publiquei meu primeiro artigo no Blog da @semrush, um dos mais importantes da área do Marketing Digital.  Nele, falei sobre um dos problemas mais difíceis de serem identificados na aquisição do Marketing das empresas.  Como identificar e o que fazer quando a conversão dos visitantes atraídos para o site/blog em vendas não evolui?  Afinal, 'acessos que não geram vendas não são investimentos, mas si</t>
  </si>
  <si>
    <t>#marketing, #growthmarketing, #growthhacking, #marketinganalytics, #funildevendas, #vendasb2b, #funildomarketing, #vendarketing, #smarketing, #marketingevendas</t>
  </si>
  <si>
    <t>Tagged non-reel item (Static Photo) at grid position #101.</t>
  </si>
  <si>
    <t>Grid item #101. Discovered from Tagged page grid in sequential order.</t>
  </si>
  <si>
    <t>Ran from May 29, 2026 to Jun 4, 2026</t>
  </si>
  <si>
    <t>Discovered at visual grid position #125. Verified Ad Details URL. Format: Single Image Ad.</t>
  </si>
  <si>
    <t>CR14050557051516485633</t>
  </si>
  <si>
    <t>Only search engine marketers can relate😍  Double tap ❤ if you feel the same 😎  Follow @misterloop for more :) ____________________________________  #seomemes #seojokes #seofunny #googleseo #seoexperts #moz #googlesearch #webmasters #bloggersofinstagram #instamarketing #sponsered #sp #collabedit #collabedits #seomarketing #seomoz #yoast #yoastseo #semrush #searchenginemarketing #searchengineland #s</t>
  </si>
  <si>
    <t>#seomemes, #seojokes, #seofunny, #googleseo, #seoexperts, #moz, #googlesearch, #webmasters, #bloggersofinstagram, #instamarketing, #sponsered, #sp, #collabedit, #collabedits, #seomarketing, #seomoz, #yoast, #yoastseo, #semrush, #searchenginemarketing, #searchengineland, #searchwww, #digitalnomad, #digitalmarketing</t>
  </si>
  <si>
    <t>Tagged non-reel item (Static Photo) at grid position #102.</t>
  </si>
  <si>
    <t>Grid item #102. Discovered from Tagged page grid in sequential order.</t>
  </si>
  <si>
    <t>https://adstransparency.google.com/advertiser/AR01693402396748677121/creative/CR14865356740349657089?region=anywhere</t>
  </si>
  <si>
    <t>Stay up to date with the changing Google algorithms to keep your SEO work on the top. These tools can help you to see the bigger picture of algorithm changes and updates. . . . . . . #Seotools #seoresources #seo #searchengineoptimization #searchengineoptimizationseo #searchengineoptimizationtips #searchenginemarketing #marketing #digitalmarketingtips #coderlife #webdeveloper #worldcode #softwareen</t>
  </si>
  <si>
    <t>#Seotools, #seoresources, #seo, #searchengineoptimization, #searchengineoptimizationseo, #searchengineoptimizationtips, #searchenginemarketing, #marketing, #digitalmarketingtips, #coderlife, #webdeveloper, #worldcode, #softwareengineer, #developer, #macbook, #macbookpro, #workspaces, #deskinspiration, #buildupdevs, #peoplewhocode, #google, #bing, #webguruz, #keywordresearch, #moz, #semrush, #neilpatel</t>
  </si>
  <si>
    <t>Tagged non-reel item (Static Photo) at grid position #103.</t>
  </si>
  <si>
    <t>Grid item #103. Discovered from Tagged page grid in sequential order.</t>
  </si>
  <si>
    <t>Discovered at visual grid position #126. Verified Ad Details URL. Format: Single Image Ad.</t>
  </si>
  <si>
    <t>CR14865356740349657089</t>
  </si>
  <si>
    <t>Seo_audit_tools_gouravdigitalclub</t>
  </si>
  <si>
    <t>Tagged non-reel item (Static Photo) at grid position #104.</t>
  </si>
  <si>
    <t>Grid item #104. Discovered from Tagged page grid in sequential order.</t>
  </si>
  <si>
    <t>https://adstransparency.google.com/advertiser/AR01693402396748677121/creative/CR16209746512622649345?region=anywhere</t>
  </si>
  <si>
    <t>Want to solve problems that matter? Join us as a Finance IT Support Specialist skilled in Oracle ERP/EPM, Zuora &amp; Ironclad.</t>
  </si>
  <si>
    <t>Business with No Passion?? Love your Business - Make more Money - Go Digital!! . . . . . #ceo #business #businesscasual #online #socialmediamarketing #passion #google #instagram #service #work #workmotivation #onlinemarketing #facebook #life #logodesigner #logo #digitalmarketing #smallbusinessowner #director #ppc #advertising#advertisingagency #advertising</t>
  </si>
  <si>
    <t>#ceo, #business, #businesscasual, #online, #socialmediamarketing, #passion, #google, #instagram, #service, #work, #workmotivation, #onlinemarketing, #facebook, #life, #logodesigner, #logo, #digitalmarketing, #smallbusinessowner, #director, #ppc, #advertising, #advertisingagency, #advertising</t>
  </si>
  <si>
    <t>Tagged non-reel item (Static Photo) at grid position #105.</t>
  </si>
  <si>
    <t>Grid item #105. Discovered from Tagged page grid in sequential order.</t>
  </si>
  <si>
    <t>CR16209746512622649345</t>
  </si>
  <si>
    <t>https://adstransparency.google.com/advertiser/AR01693402396748677121/creative/CR13162151656273477633?region=anywhere</t>
  </si>
  <si>
    <t>Our event with @semrush last night was wonderful. Many thanks to @meganlucero and @fernando1angulo for speaking and such an engaging Q&amp;A. It was great to see so many people there with such an interest in authentic Data Journalism. #semrush #datajournalism</t>
  </si>
  <si>
    <t>#semrush, #datajournalism</t>
  </si>
  <si>
    <t>Tagged non-reel item (Photo Carousel) at grid position #106.</t>
  </si>
  <si>
    <t>Grid item #106. Discovered from Tagged page grid in sequential order.</t>
  </si>
  <si>
    <t>Discovered at visual grid position #127. Verified Ad Details URL. Format: Single Image Ad.</t>
  </si>
  <si>
    <t>Book your seat today for the @semrush Marketing show in Bangalore.  It’s on 5 Dec.  Link in bio.  #Marketing #Conference #PuneMarketers #SEMrush</t>
  </si>
  <si>
    <t>#Marketing, #Conference, #PuneMarketers, #SEMrush</t>
  </si>
  <si>
    <t>Tagged non-reel item (Static Photo) at grid position #107.</t>
  </si>
  <si>
    <t>Grid item #107. Discovered from Tagged page grid in sequential order.</t>
  </si>
  <si>
    <t>canonrussia, canonphoto, photorussia</t>
  </si>
  <si>
    <t>CR13162151656273477633</t>
  </si>
  <si>
    <t>https://adstransparency.google.com/advertiser/AR01693402396748677121/creative/CR02755701122202075137?region=anywhere</t>
  </si>
  <si>
    <t>📍 День интернет рекламы 2018 . Мой первый 8-ми часовой рабочий день на конференции. Огромное количество участников, 2 больших зала с параллельными потоками выступающих, гости у пресс-воллов и множество инфоточек от бизнес-партнёров. От такого большого ТЗ я немного нервничал, бегал из зала в зал, боясь упустить важный кадр. Со временем я понял самое главное - нужно работать на качество, а не на кол</t>
  </si>
  <si>
    <t>#canonrussia, #canonphoto, #photorussia, #фотограф, #фотографспб, #спб, #санктпетербург</t>
  </si>
  <si>
    <t>Tagged non-reel item (Static Photo) at grid position #108.</t>
  </si>
  <si>
    <t>Grid item #108. Discovered from Tagged page grid in sequential order.</t>
  </si>
  <si>
    <t>SEMrushAwards, SEMrushAwards</t>
  </si>
  <si>
    <t>CONGRATULATIONS to @colleengao_ and her business bestie, @sapenation 🥂 In case you missed it, on Friday we announced the lucky winners of our #SEMrushAwards giveaway.  These two lucky women won tickets to the Australian #SEMrushAwards hosted in Sydney's iconic Opera House.  We hope they have the best time and send us lots of photos (we are equal parts happy and jealous) 😂</t>
  </si>
  <si>
    <t>#SEMrushAwards, #SEMrushAwards</t>
  </si>
  <si>
    <t>Tagged non-reel item (Static Photo) at grid position #109.</t>
  </si>
  <si>
    <t>Grid item #109. Discovered from Tagged page grid in sequential order.</t>
  </si>
  <si>
    <t>CR02755701122202075137</t>
  </si>
  <si>
    <t>NAP Name, Address, Phone. Un'emoticon dubbiosa guarda delle figure simili ma non uguali</t>
  </si>
  <si>
    <t>Tagged non-reel item (Photo Carousel) at grid position #110.</t>
  </si>
  <si>
    <t>Grid item #110. Discovered from Tagged page grid in sequential order.</t>
  </si>
  <si>
    <t>https://adstransparency.google.com/advertiser/AR01693402396748677121/creative/CR08050313054094622721?region=anywhere</t>
  </si>
  <si>
    <t>Discovered at visual grid position #128. Verified Ad Details URL. Format: Single Image Ad.</t>
  </si>
  <si>
    <t>¡El MeetUP de @web_escuela en #Barcelona fue todo un éxito! 👏  Con un lleno hasta la bandera, que sobrepasó las capacidades de La Antigua Fábrica de @estrelladamm  Además, unas charlas de muy alto nivel profesional, un público muy entregado y un catering de 5 estrellas, que hicieron de este #evento un entorno súper agradable para 🎓 la formación en #MarketingDigital y el #Networking profesional 🔝 ¡</t>
  </si>
  <si>
    <t>#Barcelona, #evento, #MarketingDigital, #Networking, #RedesSociales, #eventowebescuela, #seo, #socialmedia, #webescuela, #communitymanager, #master, #ecommerce</t>
  </si>
  <si>
    <t>Tagged non-reel item (Photo Carousel) at grid position #111.</t>
  </si>
  <si>
    <t>Grid item #111. Discovered from Tagged page grid in sequential order.</t>
  </si>
  <si>
    <t>Own the way you work</t>
  </si>
  <si>
    <t>Ready to learn quickly and raise the bar? We are hiring an Insights Analyst with experience in statistics, SQL, and Tableau.</t>
  </si>
  <si>
    <t>CR08050313054094622721</t>
  </si>
  <si>
    <t>A la hora de hacer tus campañas en Google Ads es clave tener en cuenta estos detalles para aparecer en las primeras posiciones, ten en cuenta que no siempre es mejor aparecer en primera posición en el buscador de Google ya que la reacción natural de muchos usuarios es saltar al segundo anuncio  #sem #aulacm #lamardigitalmarketing</t>
  </si>
  <si>
    <t>#sem, #aulacm, #lamardigitalmarketing</t>
  </si>
  <si>
    <t>Tagged non-reel item (Static Photo) at grid position #112.</t>
  </si>
  <si>
    <t>Grid item #112. Discovered from Tagged page grid in sequential order.</t>
  </si>
  <si>
    <t>https://adstransparency.google.com/advertiser/AR01693402396748677121/creative/CR01647437656746885121?region=anywhere</t>
  </si>
  <si>
    <t>Ran from May 9, 2026 to May 19, 2026</t>
  </si>
  <si>
    <t>Discovered at visual grid position #129. Verified Ad Details URL. Format: Single Image Ad.</t>
  </si>
  <si>
    <t>Quer se tornar bem sucedido em marketing digital, mas não sabe como? . Quer ficar atualizado neste universo digital, mas cansado de ler os mesmos blogs? . Comece hoje, seguindo os profissionais mais influentes do marketing on-line e aprenda suas fórmulas para o sucesso. . Neste post, você conhecerá os top profissionais de marketing digital no mundo com a melhor reputação, resultados e carreira em</t>
  </si>
  <si>
    <t>Tagged non-reel item (Static Photo) at grid position #113.</t>
  </si>
  <si>
    <t>Grid item #113. Discovered from Tagged page grid in sequential order.</t>
  </si>
  <si>
    <t>SEO, Industry Event</t>
  </si>
  <si>
    <t>Spent a super day in Brighton today photographing the busiest expo stand I’ve ever seen!  @semrush you were a HIT at @brightonseo  The queue for the event was down the road all morning.  Loved the smoothies and all the goodies - not that there were any left... haha! It was worth the 5am wake-up to see you all in action!! #brightonseo #semrush #foxcubs #eventphotographer  #littlehelpfrommyfriends</t>
  </si>
  <si>
    <t>CR01647437656746885121</t>
  </si>
  <si>
    <t>#brightonseo, #semrush, #foxcubs, #eventphotographer, #littlehelpfrommyfriends</t>
  </si>
  <si>
    <t>Tagged non-reel item (Static Photo) at grid position #114.</t>
  </si>
  <si>
    <t>Grid item #114. Discovered from Tagged page grid in sequential order.</t>
  </si>
  <si>
    <t>https://adstransparency.google.com/advertiser/AR01693402396748677121/creative/CR17524162223532933121?region=anywhere</t>
  </si>
  <si>
    <t>When you've come for the talks, but the freebies are 🤩 #brightonseo #freebies #flatlay</t>
  </si>
  <si>
    <t>#brightonseo, #freebies, #flatlay</t>
  </si>
  <si>
    <t>Tagged non-reel item (Static Photo) at grid position #115.</t>
  </si>
  <si>
    <t>Grid item #115. Discovered from Tagged page grid in sequential order.</t>
  </si>
  <si>
    <t>Discovered at visual grid position #130. Verified Ad Details URL. Format: Single Image Ad.</t>
  </si>
  <si>
    <t>We’re ready to engage at @brightonseo today, the biggest digital marketing event of the year in our own humble opinion! We love this event - a great chance to learn from industry peers and continue evolving our digital capabilities! Stay tuned for some key takeaways... #brightonSEO #digital #search #marketing #marketingagency #theboltway #brighton #conference #event #fridayfeeling</t>
  </si>
  <si>
    <t>#brightonSEO, #digital, #search, #marketing, #marketingagency, #theboltway, #brighton, #conference, #event, #fridayfeeling</t>
  </si>
  <si>
    <t>Tagged non-reel item (Photo Carousel) at grid position #116.</t>
  </si>
  <si>
    <t>CR17524162223532933121</t>
  </si>
  <si>
    <t>Grid item #116. Discovered from Tagged page grid in sequential order.</t>
  </si>
  <si>
    <t>https://adstransparency.google.com/advertiser/AR01693402396748677121/creative/CR04864716981514797057?region=anywhere</t>
  </si>
  <si>
    <t>Want to solve problems that matter? Join us as a Finance IT Support Specailist skilled in Oracle ERP/EPM, Zuora &amp; Ironclad.</t>
  </si>
  <si>
    <t>Love, mojitos AND our 6 Month SEO Strategy Template 🤗 . . Achieve organic site traffic domination with our free google sheet template #linkinbio . . #seo #marketing #marketingtips #digitalmarketing #marketingdigital #digitalmarketingagency #marketingtip #searchengineoptimization #searchenginemarketing</t>
  </si>
  <si>
    <t>#linkinbio, #seo, #marketing, #marketingtips, #digitalmarketing, #marketingdigital, #digitalmarketingagency, #marketingtip, #searchengineoptimization, #searchenginemarketing</t>
  </si>
  <si>
    <t>Tagged non-reel item (Static Photo) at grid position #117.</t>
  </si>
  <si>
    <t>Grid item #117. Discovered from Tagged page grid in sequential order.</t>
  </si>
  <si>
    <t>Tout plein de goodies rapportés de notre séjour de Boston pour la team Mmio ! #inbound19 #marketingmanagementio #corporategoodies #hubspotagencypartner</t>
  </si>
  <si>
    <t>#inbound19, #marketingmanagementio, #corporategoodies, #hubspotagencypartner</t>
  </si>
  <si>
    <t>Tagged non-reel item (Static Photo) at grid position #118.</t>
  </si>
  <si>
    <t>Discovered at visual grid position #131. Verified Ad Details URL. Format: Single Image Ad.</t>
  </si>
  <si>
    <t>Grid item #118. Discovered from Tagged page grid in sequential order.</t>
  </si>
  <si>
    <t>CR04864716981514797057</t>
  </si>
  <si>
    <t>https://adstransparency.google.com/advertiser/AR01693402396748677121/creative/CR18400655097483755521?region=anywhere</t>
  </si>
  <si>
    <t>👊 Today we’re sharing our 10 fave online marketing tools so you can uh, punch Monday in the face. Or the crotch. Either will do. . . Have a tool you ❤️ that’s not listed? #sharingiscaring Drop us a line below! . . #tips #free #marketing #tools #marketingdigital #marketingtips #marketingstrategy #marketingagency #marketingideas #digitalmarketing #freetools #blogger #mondaymotivation #punchtodayinth</t>
  </si>
  <si>
    <t>#sharingiscaring, #tips, #free, #marketing, #tools, #marketingdigital, #marketingtips, #marketingstrategy, #marketingagency, #marketingideas, #digitalmarketing, #freetools, #blogger, #mondaymotivation, #punchtodayintheface, #rhmedia</t>
  </si>
  <si>
    <t>Tagged non-reel item (Static Photo) at grid position #119.</t>
  </si>
  <si>
    <t>Grid item #119. Discovered from Tagged page grid in sequential order.</t>
  </si>
  <si>
    <t>This past week I had the opportunity to volunteer with @thisiscle at @cleconventions for #ContentMarketingWorld2019 🌟 Their theme this year was “Amaze Your Audience” &amp; it was a great reminder of how important visual storytelling is in marketing &amp; branding strategy 🧠 If you missed it this year, I highly recommend you attend in 2020 &amp; see what #Cleveland has to offer 😉 #Marketing #Branding #Content</t>
  </si>
  <si>
    <t>#ContentMarketingWorld2019, #Cleveland, #Marketing, #Branding, #Content, #ContentMarketing, #CMI, #ContentMarketingWorld, #Convention, #CLE, #ThisIsCLE, #ConventionCenter, #Storytelling</t>
  </si>
  <si>
    <t>Tagged non-reel item (Photo Carousel) at grid position #120.</t>
  </si>
  <si>
    <t>Grid item #120. Discovered from Tagged page grid in sequential order.</t>
  </si>
  <si>
    <t>Discovered at visual grid position #132. Verified Ad Details URL. Format: Single Image Ad.</t>
  </si>
  <si>
    <t>CR18400655097483755521</t>
  </si>
  <si>
    <t>https://adstransparency.google.com/advertiser/AR01693402396748677121/creative/CR14666114375719321601?region=anywhere</t>
  </si>
  <si>
    <t>Our Social Media services helps you to Enhance your results Enquire Now  Call us for assistance on +1 (917)-7322-303  @B-Hanafy-Ltd  #socialmediaservices #smm #smo</t>
  </si>
  <si>
    <t>#socialmediaservices, #smm, #smo</t>
  </si>
  <si>
    <t>Tagged non-reel item (Static Photo) at grid position #121.</t>
  </si>
  <si>
    <t>Grid item #121. Discovered from Tagged page grid in sequential order.</t>
  </si>
  <si>
    <t>🥂 GIVEAWAY: 2 x tickets to the #SEMRushAwards 🥂  To get you in the awards season spirit, we are giving away ✌️ tickets to the #SEMRushAwards. That is $800 in value!  The SEMrush AU Search Awards are in their 2nd year and celebrate the success of online marketing professionals in the Australian market.  How to enter: 👭 Tag your business bestie aka. the person that you want to attend the awards with</t>
  </si>
  <si>
    <t>#SEMRushAwards, #SEMRushAwards, #SEMRushAwards</t>
  </si>
  <si>
    <t>Tagged non-reel item (Static Photo) at grid position #122.</t>
  </si>
  <si>
    <t>Grid item #122. Discovered from Tagged page grid in sequential order.</t>
  </si>
  <si>
    <t>CR14666114375719321601</t>
  </si>
  <si>
    <t>Discovered at visual grid position #133. Verified Ad Details URL. Format: Single Image Ad.</t>
  </si>
  <si>
    <t>🥂 GIVEAWAY: 2 x tickets to the #SEMRushAwards 🥂  To get you in the awards season spirit, we are giving away ✌️ tickets to the #SEMRushAwards. That is $800 in value!  The @semrush AU Search Awards are in their 2nd year and celebrate the success of online marketing professionals in the Australian market.  Head over to @womenindigital and find this photo for all the information!  Ps. It isn’t too lat</t>
  </si>
  <si>
    <t>Tagged non-reel item (Static Photo) at grid position #123.</t>
  </si>
  <si>
    <t>https://adstransparency.google.com/advertiser/AR01693402396748677121/creative/CR04422433893756436481?region=anywhere</t>
  </si>
  <si>
    <t>Grid item #123. Discovered from Tagged page grid in sequential order.</t>
  </si>
  <si>
    <t>Make your digital existence with B-Hanafy-Ltd  Call us for assistance on +1 (917)-7322-303  #digitalmarketing #ebranding</t>
  </si>
  <si>
    <t>#digitalmarketing, #ebranding</t>
  </si>
  <si>
    <t>Tagged non-reel item (Static Photo) at grid position #124.</t>
  </si>
  <si>
    <t>Grid item #124. Discovered from Tagged page grid in sequential order.</t>
  </si>
  <si>
    <t>SEO, Digital Marketing, Startup &amp; Growth</t>
  </si>
  <si>
    <t>CR04422433893756436481</t>
  </si>
  <si>
    <t>https://adstransparency.google.com/advertiser/AR01693402396748677121/creative/CR18045208002113306625?region=anywhere</t>
  </si>
  <si>
    <t>We Customize Packages According To Your Needs. Contact Us Now. Increase Website Traffic. Strategies to Boost Sales. Boost Your Business ROI. Search Engine Optimized.  Call us for assistance on +1 (917)-7322-303  #startup #ppc #digitalmarketing #USA</t>
  </si>
  <si>
    <t>Discovered at visual grid position #134. Verified Ad Details URL. Format: Single Image Ad.</t>
  </si>
  <si>
    <t>#startup, #ppc, #digitalmarketing, #USA</t>
  </si>
  <si>
    <t>Tagged non-reel item (Static Photo) at grid position #125.</t>
  </si>
  <si>
    <t>Grid item #125. Discovered from Tagged page grid in sequential order.</t>
  </si>
  <si>
    <t>CR18045208002113306625</t>
  </si>
  <si>
    <t>https://adstransparency.google.com/advertiser/AR01693402396748677121/creative/CR01529700577255096321?region=anywhere</t>
  </si>
  <si>
    <t>Discovered at visual grid position #135. Verified Ad Details URL. Format: Single Image Ad.</t>
  </si>
  <si>
    <t>Our social media services are aimed at helping you listen in to what people are talking about you.  Call us for assistance on +1 (917)-7322-303  #socialmediamarketing #digitalmarketing #smm</t>
  </si>
  <si>
    <t>#socialmediamarketing, #digitalmarketing, #smm</t>
  </si>
  <si>
    <t>Tagged non-reel item (Static Photo) at grid position #126.</t>
  </si>
  <si>
    <t>Grid item #126. Discovered from Tagged page grid in sequential order.</t>
  </si>
  <si>
    <t>inbound19</t>
  </si>
  <si>
    <t>Inbound day one #inbound19</t>
  </si>
  <si>
    <t>#inbound19</t>
  </si>
  <si>
    <t>Tagged non-reel item (Photo Carousel) at grid position #127.</t>
  </si>
  <si>
    <t>Grid item #127. Discovered from Tagged page grid in sequential order.</t>
  </si>
  <si>
    <t>CR01529700577255096321</t>
  </si>
  <si>
    <t>Discovered at visual grid position #136. Verified Ad Details URL. Format: Single Image Ad.</t>
  </si>
  <si>
    <t>https://adstransparency.google.com/advertiser/AR01693402396748677121/creative/CR00639076023949852673?region=anywhere</t>
  </si>
  <si>
    <t>I wanted to provide some really great ways to build an email list and develop your brand advocates! #johndmarketingtips</t>
  </si>
  <si>
    <t>#johndmarketingtips</t>
  </si>
  <si>
    <t>Tagged non-reel item (Photo Carousel) at grid position #128.</t>
  </si>
  <si>
    <t>Grid item #128. Discovered from Tagged page grid in sequential order.</t>
  </si>
  <si>
    <t>👉 Page Rank 👇👇 . Es una métrica de Google para clasificar el valor de una web, ✅ A partir de los enlaces que recibe. ✅ Calidad. ✅ Dominios que lo enlazan. ✅ Antigüedad del Dominio. . La escala va del 1 al 10, siendo 10 la mejor puntuación 👌. . . . . . . #pagerank #seo #diccionarioseo #applicatec #sitiosweb #paginasweb #paginaswebchile #emprendedores @semrush @google @asech_ag</t>
  </si>
  <si>
    <t>#pagerank, #seo, #diccionarioseo, #applicatec, #sitiosweb, #paginasweb, #paginaswebchile, #emprendedores</t>
  </si>
  <si>
    <t>Tagged non-reel item (Static Photo) at grid position #129.</t>
  </si>
  <si>
    <t>Grid item #129. Discovered from Tagged page grid in sequential order.</t>
  </si>
  <si>
    <t>CR00639076023949852673</t>
  </si>
  <si>
    <t>Discovered at visual grid position #137. Verified Ad Details URL. Format: Single Image Ad.</t>
  </si>
  <si>
    <t>https://adstransparency.google.com/advertiser/AR01693402396748677121/creative/CR00504146499609821185?region=anywhere</t>
  </si>
  <si>
    <t>We're online! New video up now! #SEO #SEM #Junglebolt #marketing #advertising #seattle #digitalmarketing #business</t>
  </si>
  <si>
    <t>#SEO, #SEM, #Junglebolt, #marketing, #advertising, #seattle, #digitalmarketing, #business</t>
  </si>
  <si>
    <t>Tagged video reel discovered from Tagged grid position #130.</t>
  </si>
  <si>
    <t>Grid item #130. Discovered from Tagged page grid in sequential order.</t>
  </si>
  <si>
    <t>Digital Marketing, Startup &amp; Growth</t>
  </si>
  <si>
    <t>Proficient in Oracle, Zuora &amp; Ironclad? Join the Semrush team!</t>
  </si>
  <si>
    <t>Have you ever considered using digital Marketing For Real Estate Business?  Call us for assistance on +1 (917)-7322-303  #startup #business #digitalmarketing #USA</t>
  </si>
  <si>
    <t>#startup, #business, #digitalmarketing, #USA</t>
  </si>
  <si>
    <t>Tagged non-reel item (Static Photo) at grid position #131.</t>
  </si>
  <si>
    <t>Grid item #131. Discovered from Tagged page grid in sequential order.</t>
  </si>
  <si>
    <t>Discovered at visual grid position #138. Verified Ad Details URL. Format: Spotlight Ad.</t>
  </si>
  <si>
    <t>CR00504146499609821185</t>
  </si>
  <si>
    <t>https://adstransparency.google.com/advertiser/AR01693402396748677121/creative/CR16144782898887655425?region=anywhere</t>
  </si>
  <si>
    <t>Make your digital existence with B-Hanafy-Ltd  Call us for assistance on +1 (917)-7322-303  #digitalmarketingagency #onlinemarketingusa</t>
  </si>
  <si>
    <t>#digitalmarketingagency, #onlinemarketingusa</t>
  </si>
  <si>
    <t>Tagged non-reel item (Static Photo) at grid position #132.</t>
  </si>
  <si>
    <t>Grid item #132. Discovered from Tagged page grid in sequential order.</t>
  </si>
  <si>
    <t>Thanks @semrush for this cute little toy that mummy got from a conference. Time to 'play' tug of war!</t>
  </si>
  <si>
    <t>Tagged non-reel item (Static Photo) at grid position #133.</t>
  </si>
  <si>
    <t>Ran from May 8, 2026 to May 19, 2026</t>
  </si>
  <si>
    <t>Grid item #133. Discovered from Tagged page grid in sequential order.</t>
  </si>
  <si>
    <t>CR16144782898887655425</t>
  </si>
  <si>
    <t>Discovered at visual grid position #139. Verified Ad Details URL. Format: Single Image Ad.</t>
  </si>
  <si>
    <t>https://adstransparency.google.com/advertiser/AR01693402396748677121/creative/CR00037405230958116865?region=anywhere</t>
  </si>
  <si>
    <t>No matter how tempting it sounds, don’t take shortcuts by buying links. Focus on long-term strategies as it will ensure that you will do better in Google in the long run. . . . . . . #socialontipsmedia #link #linkbuilding #linking #building #connecting #socialmediamarketing #digitalmarketingagency #digitallink #sociallink #digitalmediamarketing #digitalmedia #target #targetmarket #businesswomenlin</t>
  </si>
  <si>
    <t>#socialontipsmedia, #link, #linkbuilding, #linking, #building, #connecting, #socialmediamarketing, #digitalmarketingagency, #digitallink, #sociallink, #digitalmediamarketing, #digitalmedia, #target, #targetmarket, #businesswomenlinkup, #marketingmanager, #marketingtips, #marketingdigital, #digitalmarketingtip, #media, #buildyourtribe, #businessquotes, #linkingpower</t>
  </si>
  <si>
    <t>Tagged non-reel item (Static Photo) at grid position #134.</t>
  </si>
  <si>
    <t>Grid item #134. Discovered from Tagged page grid in sequential order.</t>
  </si>
  <si>
    <t>CR00037405230958116865</t>
  </si>
  <si>
    <t>https://adstransparency.google.com/advertiser/AR01693402396748677121/creative/CR11051095515696463873?region=anywhere</t>
  </si>
  <si>
    <t>Discovered at visual grid position #140. Verified Ad Details URL. Format: Single Image Ad.</t>
  </si>
  <si>
    <t>Make your digital existence with B-Hanafy-Ltd  Call us for assistance on +1 (917)-7322-303 Visit us for detail: https://bhanafyltd.com/ #digitalmarketing #ebranding</t>
  </si>
  <si>
    <t>Tagged non-reel item (Static Photo) at grid position #135.</t>
  </si>
  <si>
    <t>Grid item #135. Discovered from Tagged page grid in sequential order.</t>
  </si>
  <si>
    <t>A turnê comemorativa dos 30 anos de carreira desde a primeira aparição no palco, intitulada “Nossa História”, chega em São Paulo dia 24 de agosto, no Allianz Parque, com todos os ingressos já esgotados.A SEMrush, líder global em marketing digital, analisou quais canções da dupla foram mais pesquisadas, em mecanismos como Google, Yahoo e Bing, pelos brasileiros desde quando a turnê foi anunciada –</t>
  </si>
  <si>
    <t>#sandy, #juniorlima, #retorno, #mariachiquinha, #anuncio, #musicamaisprocurada, #acontececuritiba</t>
  </si>
  <si>
    <t>Tagged non-reel item (Static Photo) at grid position #136.</t>
  </si>
  <si>
    <t>Grid item #136. Discovered from Tagged page grid in sequential order.</t>
  </si>
  <si>
    <t>Ran from May 20, 2026 to Jun 24, 2026</t>
  </si>
  <si>
    <t>CR11051095515696463873</t>
  </si>
  <si>
    <t>https://adstransparency.google.com/advertiser/AR01693402396748677121/creative/CR16340010328089690113?region=anywhere</t>
  </si>
  <si>
    <t>Discovered at visual grid position #141. Verified Ad Details URL. Format: Single Image Ad.</t>
  </si>
  <si>
    <t>Tip 62: Get your site speed to 3 seconds or less. ⁣ ⁣ Use SEMrush as a power tool for site audits increase organic traffic. Increase organic traffic by doing a site audit once a quarter to identify what areas of your website need to be adjusted. Using SEMrush for this can help you improve:⁣ ⁣ • Loading speed⁣ • Content issues ⁣ • Meta tags⁣ • Crawlability⁣ ⁣ What’s your favorite feature of @SEMrus</t>
  </si>
  <si>
    <t>#SEMrush, #speed, #Digital, #DigitalMarketing, #SEO, #Digital, #DigitalMarketer, #DigitalDesign, #GraphicDesign, #GraphicDesigner, #Traffic, #Insta, #Instagood, #Website, #WebsiteDesign, #Brand, #Branding, #Email, #EmailMarketing, #BrandStrategy, #InboundMarketing, #Traffic, #WebTraffic, #ContentMarketing, #Marketing, #Sales, #Biz, #Business</t>
  </si>
  <si>
    <t>Tagged non-reel item (Static Photo) at grid position #137.</t>
  </si>
  <si>
    <t>Grid item #137. Discovered from Tagged page grid in sequential order.</t>
  </si>
  <si>
    <t>It can be daunting when doing keyword research, there are so many aspects to consider, so how do you know where to start? There are many platforms that can assist you in your keyword research, each slightly tailoring their offering to differentiate themselves from their competitors. Heres a list of 5 tools you can use:  1. Google Keyword Planner - it goes without saying that the best source for ke</t>
  </si>
  <si>
    <t>CR16340010328089690113</t>
  </si>
  <si>
    <t>#keywordresearch, #seotools, #paidsearch, #digitalmarketingtools, #digitalmarketingstrategy, #Moz, #semrush, #businessowner, #entrepreneur, #successmentor, #marketinghelpful, #startup, #businessplan</t>
  </si>
  <si>
    <t>Tagged non-reel item (Photo Carousel) at grid position #138.</t>
  </si>
  <si>
    <t>Grid item #138. Discovered from Tagged page grid in sequential order.</t>
  </si>
  <si>
    <t>https://adstransparency.google.com/advertiser/AR01693402396748677121/creative/CR12290870192560406529?region=anywhere</t>
  </si>
  <si>
    <t>Discovered at visual grid position #142. Verified Ad Details URL. Format: Single Image Ad.</t>
  </si>
  <si>
    <t>#smarttools #tool #semrush #pipedrive #trello #digitaltransformation #transformacaodigital #Inovação #Produtividade #CRM #dataanalytics #salesmanagement #gestaodevendas #checklist #organização #planejamento #growthhacking #pequenasempresas #startups</t>
  </si>
  <si>
    <t>#smarttools, #tool, #semrush, #pipedrive, #trello, #digitaltransformation, #transformacaodigital, #Inovação, #Produtividade, #CRM, #dataanalytics, #salesmanagement, #gestaodevendas, #checklist, #organização, #planejamento, #growthhacking, #pequenasempresas, #startups</t>
  </si>
  <si>
    <t>Tagged non-reel item (Static Photo) at grid position #139.</t>
  </si>
  <si>
    <t>Grid item #139. Discovered from Tagged page grid in sequential order.</t>
  </si>
  <si>
    <t>CR12290870192560406529</t>
  </si>
  <si>
    <t>https://adstransparency.google.com/advertiser/AR01693402396748677121/creative/CR01955830327372939265?region=anywhere</t>
  </si>
  <si>
    <t>📌 Nouvel article @semrush « Le plan et les moyens d’un marketing brillant sur les réseaux sociaux » by @anthony_rochand - À lire ici : http://bit.ly/2Z1WPiy . . . #socialmedia #marketingdigital #marketing #contentmarketing #contentstrategy #socialstrategy #influence #marketingautomation #communication</t>
  </si>
  <si>
    <t>#socialmedia, #marketingdigital, #marketing, #contentmarketing, #contentstrategy, #socialstrategy, #influence, #marketingautomation, #communication</t>
  </si>
  <si>
    <t>Tagged non-reel item (Static Photo) at grid position #140.</t>
  </si>
  <si>
    <t>Grid item #140. Discovered from Tagged page grid in sequential order.</t>
  </si>
  <si>
    <t>Discovered at visual grid position #143. Verified Ad Details URL. Format: Single Image Ad.</t>
  </si>
  <si>
    <t>CR01955830327372939265</t>
  </si>
  <si>
    <t>what do you consider?  Comment below ?  Source: HubSpot  #digitalmarketing #digitalmarketingagency #sales #sale #productreview #discount #deal #socialproof #digitalmarketer #ecommerce #ecommercebusiness #ecommercetips #ecommercestore #conversion  #socialmediamarketing #hubspot #neilpatel #onlineshopping #onlinebusiness</t>
  </si>
  <si>
    <t>#digitalmarketing, #digitalmarketingagency, #sales, #sale, #productreview, #discount, #deal, #socialproof, #digitalmarketer, #ecommerce, #ecommercebusiness, #ecommercetips, #ecommercestore, #conversion, #socialmediamarketing, #hubspot, #neilpatel, #onlineshopping, #onlinebusiness</t>
  </si>
  <si>
    <t>Tagged non-reel item (Static Photo) at grid position #141.</t>
  </si>
  <si>
    <t>https://adstransparency.google.com/advertiser/AR01693402396748677121/creative/CR13833214157102514177?region=anywhere</t>
  </si>
  <si>
    <t>Grid item #141. Discovered from Tagged page grid in sequential order.</t>
  </si>
  <si>
    <t>Discovered at visual grid position #144. Verified Ad Details URL. Format: Single Image Ad.</t>
  </si>
  <si>
    <t>#semrush #seo #digitalgoutam #digitalmarketingagency</t>
  </si>
  <si>
    <t>#semrush, #seo, #digitalgoutam, #digitalmarketingagency</t>
  </si>
  <si>
    <t>Tagged non-reel item (Static Photo) at grid position #142.</t>
  </si>
  <si>
    <t>Grid item #142. Discovered from Tagged page grid in sequential order.</t>
  </si>
  <si>
    <t>Want to solve problems that really matter? Join Semrush as an Onboarding Consultant fluent in Spanish.</t>
  </si>
  <si>
    <t>CR13833214157102514177</t>
  </si>
  <si>
    <t>💥¿Ya tienes tu entrada? ¡Quedan pocos cupos! 💥 ¿De qué hablaremos en la #SEONight para  E-commerce?  1. Lo que hay que tener en cuenta en SEO para  E-commerce y nadie te cuenta.  2. Arquitectura web e indexación para el éxito del SEO en un E-commerce.  3. El content marketing en E-commerce para generar más ventas.  Separa tu cupo GRATIS y aprende cómo rentabilizar el trabajo digital de tu empresa</t>
  </si>
  <si>
    <t>#SEONight, #marketing, #tech, #socialmedia, #redessociales, #digitalmarketing, #innovation, #digital, #publicidad, #google, #search, #web, #colombia, #inboundmarketing, #education, #content, #automation, #world, #entrepreneur, #entrepreneurship, #media, #youtube, #facebook, #design, #lifestyle, #learn, #communitymanager, #management, #instagram, #bogota</t>
  </si>
  <si>
    <t>https://adstransparency.google.com/advertiser/AR01693402396748677121/creative/CR07756697175500783617?region=anywhere</t>
  </si>
  <si>
    <t>Tagged non-reel item (Photo Carousel) at grid position #143.</t>
  </si>
  <si>
    <t>Grid item #143. Discovered from Tagged page grid in sequential order.</t>
  </si>
  <si>
    <t>Ran from Apr 18, 2026 to Apr 30, 2026</t>
  </si>
  <si>
    <t>Discovered at visual grid position #145. Verified Ad Details URL. Format: Single Image Ad.</t>
  </si>
  <si>
    <t>Orgulho do chefe ... equipe equalizando o conhecimento!  Parabéns pela conquista: Luis, Aline e Charles.  #seo #vidadeagencia #marketing</t>
  </si>
  <si>
    <t>#seo, #vidadeagencia, #marketing</t>
  </si>
  <si>
    <t>Tagged non-reel item (Static Photo) at grid position #144.</t>
  </si>
  <si>
    <t>Grid item #144. Discovered from Tagged page grid in sequential order.</t>
  </si>
  <si>
    <t>CR07756697175500783617</t>
  </si>
  <si>
    <t>https://adstransparency.google.com/advertiser/AR01693402396748677121/creative/CR12675393228682297345?region=anywhere</t>
  </si>
  <si>
    <t>Ready to raise the bar every single day? Join Semrush as ORM Team Leaed with 5+ years of experience to improve workflows.</t>
  </si>
  <si>
    <t>Every week. Every single week.  I’m asked some kind of question about Marketing Tech Stacks.  Happy to help! . . . #artvsmath #marketingdigital #digitalmarketing #strategy #indianabanking #finance #marketingstack #software</t>
  </si>
  <si>
    <t>#artvsmath, #marketingdigital, #digitalmarketing, #strategy, #indianabanking, #finance, #marketingstack, #software</t>
  </si>
  <si>
    <t>Tagged non-reel item (Static Photo) at grid position #145.</t>
  </si>
  <si>
    <t>Grid item #145. Discovered from Tagged page grid in sequential order.</t>
  </si>
  <si>
    <t>Ran from Apr 30, 2026 to May 5, 2026</t>
  </si>
  <si>
    <t>CR12675393228682297345</t>
  </si>
  <si>
    <t>Discovered at visual grid position #146. Verified Ad Details URL. Format: Single Image Ad.</t>
  </si>
  <si>
    <t>https://adstransparency.google.com/advertiser/AR01693402396748677121/creative/CR09110064047897706497?region=anywhere</t>
  </si>
  <si>
    <t>Avoid these 6 mistakes if you want to be a successful podcaster 🚀⠀⠀⠀⠀⠀⠀⠀⠀⠀ .⠀⠀⠀⠀⠀⠀⠀⠀⠀ 👽 Don't talk to different audiences. You have an audience, talk with them, without losing focus on the topic you're talking to.⠀⠀⠀⠀⠀⠀⠀⠀⠀ .⠀⠀⠀⠀⠀⠀⠀⠀⠀ 🎛️ Don't focus too much in post-production. Everyone wants to be perfect, but sometimes it's better to be human!⠀⠀⠀⠀⠀⠀⠀⠀⠀ .⠀⠀⠀⠀⠀⠀⠀⠀⠀ 😴 Don't be boring! Try to change</t>
  </si>
  <si>
    <t>#contentmarketing, #storytellingphotography, #contentcreators, #podcastsofinstagram, #podcastcommunity, #podcastingtips, #storytellingtips, #storytellingpodcast, #contentmarketing101, #contentmarketingtip, #powervoice</t>
  </si>
  <si>
    <t>Tagged non-reel item (Static Photo) at grid position #146.</t>
  </si>
  <si>
    <t>Grid item #146. Discovered from Tagged page grid in sequential order.</t>
  </si>
  <si>
    <t>Join us now</t>
  </si>
  <si>
    <t>Want to solve problems that matter? Become our Senior Data Engineer with experience using BigQuery, Airflow, dbt, and Python.</t>
  </si>
  <si>
    <t>CR09110064047897706497</t>
  </si>
  <si>
    <t>https://adstransparency.google.com/advertiser/AR01693402396748677121/creative/CR18131561351846297601?region=anywhere</t>
  </si>
  <si>
    <t>In a recent 'joint' 😉 study with @semrush we mapped out the US states that have the biggest interest in the relatively new sector of publicly traded Pot Stocks. .. We found a clear trend: There is a direct link between the legalization of cannabis and investor interest in pot stocks. .. “What’s surprising to me is that New York and Pennsylvania - 2 states with high levels of personal marijuana use</t>
  </si>
  <si>
    <t>#investingcom, #markets, #investor, #investors, #investment, #investing, #invest, #stockmarkets, #shares, #stock, #stockexchange, #money, #opportunity, #map, #maps, #mapporn, #mapart, #weedporn, #weed, #marijuana, #Cannabis, #thc, #sativa, #indica, #semrush, #jointstudy, #legal, #Legalization, #potstocks, #weedstock</t>
  </si>
  <si>
    <t>Tagged non-reel item (Photo Carousel) at grid position #147.</t>
  </si>
  <si>
    <t>Ran from Apr 16, 2026 to Apr 28, 2026</t>
  </si>
  <si>
    <t>Grid item #147. Discovered from Tagged page grid in sequential order.</t>
  </si>
  <si>
    <t>Discovered at visual grid position #147. Verified Ad Details URL. Format: Single Image Ad.</t>
  </si>
  <si>
    <t>💪 Marketing Learning Mode 💪 . Sempre, todos os dias. Aprender é um estado de espírito que conduz a resultados contínuos. Um processo de auto-conhecimento. Em Marketing, é vital. . #gmb #googlemybusiness #seo #localseo #marketingdigital #semrush</t>
  </si>
  <si>
    <t>#gmb, #googlemybusiness, #seo, #localseo, #marketingdigital, #semrush</t>
  </si>
  <si>
    <t>Tagged non-reel item (Static Photo) at grid position #148.</t>
  </si>
  <si>
    <t>Grid item #148. Discovered from Tagged page grid in sequential order.</t>
  </si>
  <si>
    <t>Want collaboration that actually drives results? Join Semrush as a Senior Insights Analyst to design product growth funnels.</t>
  </si>
  <si>
    <t>CR18131561351846297601</t>
  </si>
  <si>
    <t>Aprimorar conhecimentos para levar mais resultados para os nossos clientes: SEMPRE!! Treinamento Semrush para a nossa equipe de SEO. #semrush #ciawebsites #marketingdigital #seo</t>
  </si>
  <si>
    <t>#semrush, #ciawebsites, #marketingdigital, #seo</t>
  </si>
  <si>
    <t>https://adstransparency.google.com/advertiser/AR01693402396748677121/creative/CR07426566086251773953?region=anywhere</t>
  </si>
  <si>
    <t>Tagged non-reel item (Photo Carousel) at grid position #149.</t>
  </si>
  <si>
    <t>Grid item #149. Discovered from Tagged page grid in sequential order.</t>
  </si>
  <si>
    <t>Ran from Apr 30, 2026 to May 14, 2026</t>
  </si>
  <si>
    <t>Discovered at visual grid position #148. Verified Ad Details URL. Format: Single Image Ad.</t>
  </si>
  <si>
    <t>MANDARE GIÙ UNA CRITICA È MOLTO DIFFICILE. Ancora più difficile diventa capire il motivo reale del perché di una cattiva recensione. Molti imprenditori per questo disegnano le recensioni e le vedono come un'arma contro di loro. Ma in realtà quando riusciamo a sfruttare le recensioni possiamo far crescere e rendere più visibile la nostra attività! Ecco le cose da fare: -usare link, QRcode e simili</t>
  </si>
  <si>
    <t>#reviews, #review, #recensioni, #reviewmarket, #riprovasociale, #googlereviews, #localguides, #marketingitalia, #imprenditoria, #businessitalia, #marketingdigitale, #digitalmarketing, #socialmedia, #socialmarketing, #socialnetwork, #socialmediamarketing, #imprenditori, #crescitainstagram, #marketingtips, #economia, #socialmediatips, #marketingtip, #pmi</t>
  </si>
  <si>
    <t>Tagged non-reel item (Static Photo) at grid position #150.</t>
  </si>
  <si>
    <t>Grid item #150. Discovered from Tagged page grid in sequential order.</t>
  </si>
  <si>
    <t>Ready to win together? Join Semrush as an Insights Analyst to evaluate product usage, feature adoption &amp; customer behavior.</t>
  </si>
  <si>
    <t>CR07426566086251773953</t>
  </si>
  <si>
    <t>https://adstransparency.google.com/advertiser/AR01693402396748677121/creative/CR16431350993846796289?region=anywhere</t>
  </si>
  <si>
    <t>On Page SEO Checker is another SEO analysis tool that can help you manage SEO data. Based on SEMRush data, it will compare your page to your competitors' keywords, the tool will provide you the suggestions with strategies, user experience, content and etc. Depending on the data collected, the potential for traffic growth, and the ease of implementation, these pages are automatically prioritized, a</t>
  </si>
  <si>
    <t>#singapore, #singaporeretail, #ecommerceinsider, #ecommercebusiness, #ecommerce, #campaign, #customer, #marketing, #onlinesale, #onlineshop, #onlineshopping, #product, #seo, #b2c, #b2b, #onlinebusinesses, #optimisation, #website, #ecommercewebsite, #onlinestore, #site, #webanalytics, #report, #tool, #insight, #data, #traffic, #semrush, #technology, #onpageseo</t>
  </si>
  <si>
    <t>Tagged non-reel item (Static Photo) at grid position #151.</t>
  </si>
  <si>
    <t>Grid item #151. Discovered from Tagged page grid in sequential order.</t>
  </si>
  <si>
    <t>Discovered at visual grid position #149. Verified Ad Details URL. Format: Single Image Ad.</t>
  </si>
  <si>
    <t>El SEO es como un leon cazando, siempre esta alerta, al pendiente, esperando el momento correcto para atraparte. Se un cazador de ventas, no seas la presa.🦁🦁 . . . Te hacemos llegar al cliente que quiere comprar tu producto. Hablanos📬📥. . . . . #seo #markering #leon #cazador #ventas</t>
  </si>
  <si>
    <t>#seo, #markering, #leon, #cazador, #ventas</t>
  </si>
  <si>
    <t>Tagged non-reel item (Static Photo) at grid position #152.</t>
  </si>
  <si>
    <t>Grid item #152. Discovered from Tagged page grid in sequential order.</t>
  </si>
  <si>
    <t>CR16431350993846796289</t>
  </si>
  <si>
    <t>Ready to raise the bar every single day? Join Semrush as ORM Team Lead with 5+ years of experience to improve workflows.</t>
  </si>
  <si>
    <t>https://adstransparency.google.com/advertiser/AR01693402396748677121/creative/CR17314572561132027905?region=anywhere</t>
  </si>
  <si>
    <t>Começar a segunda com essa dica de evento online e gratuito sobre #GrowthHacking não é nada mal, né? Nos dias 5-9 de Agosto 2019 a @SEMrush vai abandonar as estratégias de rotina e convidar 8 maiores especialistas em #GrowthHacking do Brasil para te ensinar a experimentar, usar a sua criatividade, as métricas e as táticas inovadoras para impulsionar o crescimento da sua empresa. Aproveitem: https:</t>
  </si>
  <si>
    <t>#GrowthHacking, #GrowthHacking</t>
  </si>
  <si>
    <t>Tagged non-reel item (Static Photo) at grid position #153.</t>
  </si>
  <si>
    <t>Grid item #153. Discovered from Tagged page grid in sequential order.</t>
  </si>
  <si>
    <t>sonurajputsr</t>
  </si>
  <si>
    <t>Ran from May 1, 2026 to May 5, 2026</t>
  </si>
  <si>
    <t>To Read this Blog visit on www.mirchamirchi.com  Link in Bio🌐⛓⛓  #sonurajputsr</t>
  </si>
  <si>
    <t>#sonurajputsr</t>
  </si>
  <si>
    <t>Discovered at visual grid position #150. Verified Ad Details URL. Format: Single Image Ad.</t>
  </si>
  <si>
    <t>Tagged non-reel item (Static Photo) at grid position #154.</t>
  </si>
  <si>
    <t>Grid item #154. Discovered from Tagged page grid in sequential order.</t>
  </si>
  <si>
    <t>CR17314572561132027905</t>
  </si>
  <si>
    <t>https://adstransparency.google.com/advertiser/AR01693402396748677121/creative/CR07663457859320938497?region=anywhere</t>
  </si>
  <si>
    <t>Content is at the core of any inbound marketing strategy and #SEO is dependent on content. Many publishers neglect basic SEO principles thus missing out on rankings and visitors that could have resulted in more ad 💰 Head to the link in our bio to get 5 battled tested SEO optimization tips today! 👆👆#adtech</t>
  </si>
  <si>
    <t>#SEO, #adtech</t>
  </si>
  <si>
    <t>Tagged non-reel item (Static Photo) at grid position #155.</t>
  </si>
  <si>
    <t>Grid item #155. Discovered from Tagged page grid in sequential order.</t>
  </si>
  <si>
    <t>Ready to lead, not follow? Join us as Senior Manager in Security Operations to drive incident response.</t>
  </si>
  <si>
    <t>En ocasiones, tanto en la vida como en una empresa, nos la pasamos planeando el momento perfecto para tomar acción. La realidad es que esos momentos perfectos nunca llegan, tienes que salir a crearlos. #MKT #marketingdigitalmexico #estrategiasdemarketing</t>
  </si>
  <si>
    <t>#MKT, #marketingdigitalmexico, #estrategiasdemarketing</t>
  </si>
  <si>
    <t>Tagged non-reel item (Static Photo) at grid position #156.</t>
  </si>
  <si>
    <t>Grid item #156. Discovered from Tagged page grid in sequential order.</t>
  </si>
  <si>
    <t>CR07663457859320938497</t>
  </si>
  <si>
    <t>https://adstransparency.google.com/advertiser/AR01693402396748677121/creative/CR12348112073572483073?region=anywhere</t>
  </si>
  <si>
    <t>This list of 37 content marketing tools is exactly what you need to improve your planning and promotions.‬ 🙌 ‪Includes @coschedule, @semrush, @mangools_com, @trelloapp, @airtable, @canva, @evernote, @reddit, @slackhq, @dropbox, @googlemarketinganalytics, @ahrefscom, @wordpressdotcom, @quora, @piktochart and much more you may not be aware of. 🔥  Check out the FULL list in the blog!  LINK IN BIO. .</t>
  </si>
  <si>
    <t>#contenthacker, #contentmarketing, #digitalmarketing, #contenthacking, #growth, #marketingtips, #marketingtools, #tools, #strategies, #marketing, #marketingdigital, #blog, #list, #startup, #brand, #onlinebusiness, #branding, #success, #plan, #promotion, #socialmedia, #socialmediamarketing, #hustle, #seo, #smm, #marketingstrategy, #campaign, #digitalmedia, #onlinemarketing, #business</t>
  </si>
  <si>
    <t>Tagged non-reel item (Static Photo) at grid position #157.</t>
  </si>
  <si>
    <t>Grid item #157. Discovered from Tagged page grid in sequential order.</t>
  </si>
  <si>
    <t>Ran from Apr 18, 2026 to Apr 28, 2026</t>
  </si>
  <si>
    <t>CR12348112073572483073</t>
  </si>
  <si>
    <t>#seoendías de na grandiosa apuesta que cambiará la forma de realizar esa labor en #SEO y #SEM</t>
  </si>
  <si>
    <t>#seoendías, #SEO, #SEM</t>
  </si>
  <si>
    <t>https://adstransparency.google.com/advertiser/AR01693402396748677121/creative/CR04601542276336844801?region=anywhere</t>
  </si>
  <si>
    <t>Tagged non-reel item (Static Photo) at grid position #158.</t>
  </si>
  <si>
    <t>Grid item #158. Discovered from Tagged page grid in sequential order.</t>
  </si>
  <si>
    <t>Discovered at visual grid position #151. Verified Ad Details URL. Format: Single Image Ad.</t>
  </si>
  <si>
    <t>Happy World Emoji Day</t>
  </si>
  <si>
    <t>Tagged non-reel item (Static Photo) at grid position #159.</t>
  </si>
  <si>
    <t>Grid item #159. Discovered from Tagged page grid in sequential order.</t>
  </si>
  <si>
    <t>CR04601542276336844801</t>
  </si>
  <si>
    <t>https://adstransparency.google.com/advertiser/AR01693402396748677121/creative/CR17156796877383925761?region=anywhere</t>
  </si>
  <si>
    <t>Tagged non-reel item (Static Photo) at grid position #160.</t>
  </si>
  <si>
    <t>Grid item #160. Discovered from Tagged page grid in sequential order.</t>
  </si>
  <si>
    <t>Jednou z oblastí fotografie, na které se zaměřuju, jsou firemní eventy, konference a přednášky. Tyhle fotky jsou z meetupu @semrush_cz ve skvělém prostoru @opero_prague 📷😎🌆 . #reportage #event #eventphoto #network #networking #speech #conference #business #public #opinion #news #nikon #photography #photographer #portraitphotography #photo #shoot #dominikkucera</t>
  </si>
  <si>
    <t>#reportage, #event, #eventphoto, #network, #networking, #speech, #conference, #business, #public, #opinion, #news, #nikon, #photography, #photographer, #portraitphotography, #photo, #shoot, #dominikkucera</t>
  </si>
  <si>
    <t>Tagged non-reel item (Photo Carousel) at grid position #161.</t>
  </si>
  <si>
    <t>Grid item #161. Discovered from Tagged page grid in sequential order.</t>
  </si>
  <si>
    <t>CR17156796877383925761</t>
  </si>
  <si>
    <t>https://adstransparency.google.com/advertiser/AR01693402396748677121/creative/CR03053507626156425217?region=anywhere</t>
  </si>
  <si>
    <t>Some Tips about Why Instagram stories are important.  Swipe to learn 👉🏻➡️ Book your demo class today👇🏻 https://bit.ly/2LRaWQe . . Learn from India's best and fastest-growing digital marketing training network!! @digiperform . . ✅Asia's Most Trusted Brand🇮🇳 ✅Digital Marketing Course ✅Google Certification . . #digitalmarketingtraining #digitalmarketingcourse #socialmediamarketing #digiperform #tips</t>
  </si>
  <si>
    <t>Ran from May 1, 2026 to May 14, 2026</t>
  </si>
  <si>
    <t>#digitalmarketingtraining, #digitalmarketingcourse, #socialmediamarketing, #digiperform, #tips, #tricks, #insta, #online, #digitaleducation, #leader, #entrepreneur, #wearethebest, #noida, #follow, #likeforfollow, #likeforlikes, #digital</t>
  </si>
  <si>
    <t>Tagged non-reel item (Photo Carousel) at grid position #162.</t>
  </si>
  <si>
    <t>Discovered at visual grid position #152. Verified Ad Details URL. Format: Single Image Ad.</t>
  </si>
  <si>
    <t>Grid item #162. Discovered from Tagged page grid in sequential order.</t>
  </si>
  <si>
    <t>CR03053507626156425217</t>
  </si>
  <si>
    <t>Les fondamentaux #1  75% des internautes ne font jamais défiler la première page dans les résultats de recherche.  La balise title est un champ essentiel dans le cadre d’une bonne optimisation si l’on veut bien remonter dans les classements des résultats de recherche.  Voici 6 étapes pour optimiser vos balises titre:  1. Respecter la taille idéale de la balise title 2. Faire apparaître le mot-clé</t>
  </si>
  <si>
    <t>#1, #SEO</t>
  </si>
  <si>
    <t>Tagged non-reel item (Static Photo) at grid position #163.</t>
  </si>
  <si>
    <t>Grid item #163. Discovered from Tagged page grid in sequential order.</t>
  </si>
  <si>
    <t>https://adstransparency.google.com/advertiser/AR01693402396748677121/creative/CR05942927976684322817?region=anywhere</t>
  </si>
  <si>
    <t>Ran from Apr 17, 2026 to Apr 28, 2026</t>
  </si>
  <si>
    <t>Ontem foi o Dia da Pizza e hoje nós temos uma especial da casa pra você! 😋😆 Clique no link do perfil e conheça 6 ferramentas de marketing digital. ⠀ ⠀ Você já usa alguma? Qual? ⠀ .⠀ .⠀ .⠀ #inboundmarketing #marketingconteudo #agenciamktdigital #marketingdigital #mktdigital #inbound #diadapizza #ferramentasmktdigital⠀</t>
  </si>
  <si>
    <t>Discovered at visual grid position #153. Verified Ad Details URL. Format: Single Image Ad.</t>
  </si>
  <si>
    <t>#inboundmarketing, #marketingconteudo, #agenciamktdigital, #marketingdigital, #mktdigital, #inbound, #diadapizza, #ferramentasmktdigital</t>
  </si>
  <si>
    <t>Tagged non-reel item (Static Photo) at grid position #164.</t>
  </si>
  <si>
    <t>Grid item #164. Discovered from Tagged page grid in sequential order.</t>
  </si>
  <si>
    <t>CR05942927976684322817</t>
  </si>
  <si>
    <t>Build funnels, find insights &amp; drive real changes.</t>
  </si>
  <si>
    <t>⠀ Há inúmeras ferramentas para te ajudar a criar conteúdo. Enquanto umas são fundamentais para te mostrar as palavras-chave mais pesquisadas e as maiores tendências do momento, outras são ideais para descobrires o que os teus concorrentes andam a escrever e que tópicos mais abordam. ⠀ ⠀ De uma maneira geral, todas elas são essenciais para a tua estratégia de SEO e para a produção de conteúdo 💻 Con</t>
  </si>
  <si>
    <t>https://adstransparency.google.com/advertiser/AR01693402396748677121/creative/CR08723661851914665985?region=anywhere</t>
  </si>
  <si>
    <t>#marketing, #marketingdeconteudo, #digital, #followthis, #copy, #copywriter, #copywriting, #criatividade, #empreendedorismo, #conteúdos, #mktdigital, #dicasdemarketing, #socialmedia, #redessociais, #midiassociais, #google, #trendy, #keywords, #seo, #dicas, #ideias, #onlinemarketer, #onlinebusiness</t>
  </si>
  <si>
    <t>Tagged non-reel item (Photo Carousel) at grid position #165.</t>
  </si>
  <si>
    <t>Grid item #165. Discovered from Tagged page grid in sequential order.</t>
  </si>
  <si>
    <t>NapoleonHill</t>
  </si>
  <si>
    <t>Discovered at visual grid position #154. Verified Ad Details URL. Format: Spotlight Ad.</t>
  </si>
  <si>
    <t>Obrigado Lisboa 🇵🇹 Obrigado @semrush Obrigado @fernando1angulo 🙏 “Tú gran oportunidad puede ser justo dónde estás ahora” #NapoleonHill  Con más conocimiento, menos ignorancia, más visión y menos frustración regresamos a Colombia.  Tuvimos la oportunidad de conocer gente grandiosa con experiencia y pasión por cada uno de sus temas, vimos cosas desde otra perspectiva y confirmamos que estamos en un</t>
  </si>
  <si>
    <t>#NapoleonHill</t>
  </si>
  <si>
    <t>Tagged non-reel item (Photo Carousel) at grid position #166.</t>
  </si>
  <si>
    <t>Grid item #166. Discovered from Tagged page grid in sequential order.</t>
  </si>
  <si>
    <t>Porque aprender jugando motiva la recordación y el trabajo en equipo. #semrushgame #marketingplay #aprenderparaemprender</t>
  </si>
  <si>
    <t>#semrushgame, #marketingplay, #aprenderparaemprender</t>
  </si>
  <si>
    <t>Tagged non-reel item (Photo Carousel) at grid position #167.</t>
  </si>
  <si>
    <t>CR08723661851914665985</t>
  </si>
  <si>
    <t>Grid item #167. Discovered from Tagged page grid in sequential order.</t>
  </si>
  <si>
    <t>Want to solve problems that really matter? Join Semrush as an Onboarding Consultant to lead the first 30-60 days post-sale.</t>
  </si>
  <si>
    <t>workshopday3, davidallen, ssj19</t>
  </si>
  <si>
    <t>https://adstransparency.google.com/advertiser/AR01693402396748677121/creative/CR13297424640558235649?region=anywhere</t>
  </si>
  <si>
    <t>#workshopday3 Metodo de productividad personal con #davidallen #ssj19 #aprenderparaemprender #mdalatamuniversity</t>
  </si>
  <si>
    <t>#workshopday3, #davidallen, #ssj19, #aprenderparaemprender, #mdalatamuniversity</t>
  </si>
  <si>
    <t>Tagged non-reel item (Photo Carousel) at grid position #168.</t>
  </si>
  <si>
    <t>Grid item #168. Discovered from Tagged page grid in sequential order.</t>
  </si>
  <si>
    <t>ssj19</t>
  </si>
  <si>
    <t>Discovered at visual grid position #155. Verified Ad Details URL. Format: Single Image Ad.</t>
  </si>
  <si>
    <t>CR13297424640558235649</t>
  </si>
  <si>
    <t>https://adstransparency.google.com/advertiser/AR01693402396748677121/creative/CR13973995651692756993?region=anywhere</t>
  </si>
  <si>
    <t>Terminando una jornada @fernando1angulo @joelbinsta en @semrush SummerJam #ssj19</t>
  </si>
  <si>
    <t>#ssj19</t>
  </si>
  <si>
    <t>Tagged non-reel item (Photo Carousel) at grid position #169.</t>
  </si>
  <si>
    <t>Grid item #169. Discovered from Tagged page grid in sequential order.</t>
  </si>
  <si>
    <t>Ran from Apr 17, 2026 to Apr 30, 2026</t>
  </si>
  <si>
    <t>Discovered at visual grid position #156. Verified Ad Details URL. Format: Single Image Ad.</t>
  </si>
  <si>
    <t>“Cuando eres un buen observador, todo el mundo es tu maestro” Dos personas increíbles, expertos, con trayectoria a nivel mundial. @aleyda consultora internacional #SEO autora del #libroseo “ SEO. Las claves esenciales” y  #BryanDean, todos los que amamos el #SEO conocemos su trayectoria y como con conocimiento a llevado a @backlinko y su equipo a las grandes ligas. Hoy completamente agradecido con</t>
  </si>
  <si>
    <t>CR13973995651692756993</t>
  </si>
  <si>
    <t>#SEO, #libroseo, #BryanDean, #SEO</t>
  </si>
  <si>
    <t>Tagged non-reel item (Static Photo) at grid position #170.</t>
  </si>
  <si>
    <t>Grid item #170. Discovered from Tagged page grid in sequential order.</t>
  </si>
  <si>
    <t>https://adstransparency.google.com/advertiser/AR01693402396748677121/creative/CR10069680988750872577?region=anywhere</t>
  </si>
  <si>
    <t>Aprendiendo de una gran herramienta @semrush que complementa la estrategia de marketing digital y coopera en la realización de procesos aún más efectivos #aprenderparaemprender</t>
  </si>
  <si>
    <t>#aprenderparaemprender</t>
  </si>
  <si>
    <t>Tagged non-reel item (Photo Carousel) at grid position #171.</t>
  </si>
  <si>
    <t>Grid item #171. Discovered from Tagged page grid in sequential order.</t>
  </si>
  <si>
    <t>CR10069680988750872577</t>
  </si>
  <si>
    <t>https://adstransparency.google.com/advertiser/AR01693402396748677121/creative/CR02818283056312352769?region=anywhere</t>
  </si>
  <si>
    <t>Discovered at visual grid position #157. Verified Ad Details URL. Format: Single Image Ad.</t>
  </si>
  <si>
    <t>Empowering people around the world to have a better lives! 🏝 Are you the kind of person who thinks outside the box? 🍁 Do you know the difference between passive and active income? 🏝 What's is your process of decision making? Do you usually make decisions on your own or look for input from someone else? 🍁 What are your goals for the next 2 to 5 years ? Will you be able to achieve through your curre</t>
  </si>
  <si>
    <t>#entrepreneur, #wisdomquotes, #success, #entrepreneurs, #toronto, #lifestyle, #success, #digitalmarketing, #fashion, #model, #usa, #modeling, #fitness, #beauty, #lovinglife, #newyork, #dubai, #love, #travel, #miami, #money, #partnership, #business, #scarborough, #entrepreneurlife, #yoga, #marketing, #successful, #realestate, #home</t>
  </si>
  <si>
    <t>Tagged non-reel item (Static Photo) at grid position #172.</t>
  </si>
  <si>
    <t>Grid item #172. Discovered from Tagged page grid in sequential order.</t>
  </si>
  <si>
    <t>CR02818283056312352769</t>
  </si>
  <si>
    <t>Workshop #SEO  Aprendiendo en el @semrush Summer Jam. “Que datos identificas y como realizas investigaciones competitivas” #aprenderparaemprender</t>
  </si>
  <si>
    <t>#SEO, #aprenderparaemprender</t>
  </si>
  <si>
    <t>Tagged non-reel item (Photo Carousel) at grid position #173.</t>
  </si>
  <si>
    <t>Grid item #173. Discovered from Tagged page grid in sequential order.</t>
  </si>
  <si>
    <t>https://adstransparency.google.com/advertiser/AR01693402396748677121/creative/CR04342375497200566273?region=anywhere</t>
  </si>
  <si>
    <t>Discovered at visual grid position #158. Verified Ad Details URL. Format: Single Image Ad.</t>
  </si>
  <si>
    <t>Tagged post for Semrush (@semrush)</t>
  </si>
  <si>
    <t>Tagged non-reel item (Photo Carousel) at grid position #174.</t>
  </si>
  <si>
    <t>Grid item #174. Discovered from Tagged page grid in sequential order.</t>
  </si>
  <si>
    <t>Optimize PLG funnels &amp; lead high-impact data projects.</t>
  </si>
  <si>
    <t>CR04342375497200566273</t>
  </si>
  <si>
    <t>https://adstransparency.google.com/advertiser/AR01693402396748677121/creative/CR05387930241110900737?region=anywhere</t>
  </si>
  <si>
    <t>Tagged non-reel item (Static Photo) at grid position #175.</t>
  </si>
  <si>
    <t>Discovered at visual grid position #159. Verified Ad Details URL. Format: Spotlight Ad.</t>
  </si>
  <si>
    <t>Grid item #175. Discovered from Tagged page grid in sequential order.</t>
  </si>
  <si>
    <t>Nuestro CEO David Rodriguez ya se encuentra en Lisboa Portugal en el @semrush Summer</t>
  </si>
  <si>
    <t>Tagged non-reel item (Static Photo) at grid position #176.</t>
  </si>
  <si>
    <t>CR05387930241110900737</t>
  </si>
  <si>
    <t>Grid item #176. Discovered from Tagged page grid in sequential order.</t>
  </si>
  <si>
    <t>https://adstransparency.google.com/advertiser/AR01693402396748677121/creative/CR03640791558606815233?region=anywhere</t>
  </si>
  <si>
    <t>Facebook recently said that it would start downplaying the News Feed, and after the F8 keynote, we know more about what that means. In an update that Zuckerberg calls “FB5,” Facebook will highlight groups and events, creating a prominent groups tab and a personalized feed from the groups you’ve joined — rather than a generalized update feed from your friends. Group interaction options will show up</t>
  </si>
  <si>
    <t>Discovered at visual grid position #160. Verified Ad Details URL. Format: Single Image Ad.</t>
  </si>
  <si>
    <t>#digitalmarketing, #digitalmarketingagency, #digitalmarketer, #onlinemarketing, #onlinebusiness, #internetmarketing, #internetmarketingservice, #digitalmarketingservice, #influencer, #digitalmarketinginfluencer, #sorvajain, #instagrampost, #instagramupdate, #instagramfeature, #f8developerconference, #upcomingfeature, #sociolife, #socialmediamarketing, #socialmediamanager, #letsdigi, #digitalmarketinggujarat, #digitalbusiness, #tips, #socialtips</t>
  </si>
  <si>
    <t>Tagged non-reel item (Static Photo) at grid position #177.</t>
  </si>
  <si>
    <t>Grid item #177. Discovered from Tagged page grid in sequential order.</t>
  </si>
  <si>
    <t>CR03640791558606815233</t>
  </si>
  <si>
    <t>https://adstransparency.google.com/advertiser/AR01693402396748677121/creative/CR03299414020183818241?region=anywhere</t>
  </si>
  <si>
    <t>This list of 27+ #SEO tools are everything you will need to master web page analysis, keyword research and more to increase traffic and get your page to the top.  Includes @semrush, @ahrefscom, @mangools_com, @moz_hq and much more!  Link in the bio to see the FULL list in our blog! . . . #contenthacker #blog #contentcreation #contentmarketing #list #digitalmarketing #keywords #increase #traffic #s</t>
  </si>
  <si>
    <t>#SEO, #contenthacker, #blog, #contentcreation, #contentmarketing, #list, #digitalmarketing, #keywords, #increase, #traffic, #socialmedia, #socialmarketing, #marketingtips, #startup, #business, #advertising, #onlinemarketing, #branding, #brand, #success, #hustle, #content, #journalism, #socialmediatips, #tech, #media, #onlinebusiness, #networking, #socialmediamarketing</t>
  </si>
  <si>
    <t>Tagged non-reel item (Static Photo) at grid position #178.</t>
  </si>
  <si>
    <t>Grid item #178. Discovered from Tagged page grid in sequential order.</t>
  </si>
  <si>
    <t>Credit: @semrush  #enterpreuner #entrepreneur #enterprenuership #entrepreneurs #entrepreneurlife #entrepreneurship #digitalmarketing #digitalmarketingstrategy #digitalmarketingtools #digitalmarketinginhindi #digitalmarketinghindi #marketingdigital2019 #marketingdigital #learnsocialmedia #learndigitalmarketing #learncontentmarketing #businesstips #skillmaking #semrush</t>
  </si>
  <si>
    <t>CR03299414020183818241</t>
  </si>
  <si>
    <t>#enterpreuner, #entrepreneur, #enterprenuership, #entrepreneurs, #entrepreneurlife, #entrepreneurship, #digitalmarketing, #digitalmarketingstrategy, #digitalmarketingtools, #digitalmarketinginhindi, #digitalmarketinghindi, #marketingdigital2019, #marketingdigital, #learnsocialmedia, #learndigitalmarketing, #learncontentmarketing, #businesstips, #skillmaking, #semrush</t>
  </si>
  <si>
    <t>Tagged non-reel item (Static Photo) at grid position #179.</t>
  </si>
  <si>
    <t>Grid item #179. Discovered from Tagged page grid in sequential order.</t>
  </si>
  <si>
    <t>Discovered at visual grid position #161. Verified Ad Details URL. Format: Single Image Ad.</t>
  </si>
  <si>
    <t>https://adstransparency.google.com/advertiser/AR01693402396748677121/creative/CR16547814907593097217?region=anywhere</t>
  </si>
  <si>
    <t>Ever wondered if Instagram Stories is superior to still image posts in your Instagram feed? We've got the answer. new research published today (June 29 2019) in Social Media Today says that still image posts outrank Stories, and that influencers are way down the list in terms of effectiveness. The article points out you want to include both in your strategy (Stories and feed images) but of the 800</t>
  </si>
  <si>
    <t>#skyalphabet, #skyalphabetsocial, #vancouver, #vancouverbc, #instavan, #digitalmarketing, #socialmedia, #vancouverbc, #vancouver, #yvr, #socialmedia, #socialmediamarketing, #socialmediadesign, #instajamvan, #instagrammarketing, #smm, #bcdigital, #vancitymarketing, #digitalmarketing, #instagrammarketing, #veryvancouver, #skyalphabetvancouver, #vancouverdigital, #skyalphabetsocial, #canada, #bcsocialmedia, #instagramdata, #digitalmarketingvancouver, #socialmediayvr, #socialmediavancouver, #vancouversocialmedia, #creativeproduction</t>
  </si>
  <si>
    <t>Tagged non-reel item (Static Photo) at grid position #180.</t>
  </si>
  <si>
    <t>Grid item #180. Discovered from Tagged page grid in sequential order.</t>
  </si>
  <si>
    <t>CR16547814907593097217</t>
  </si>
  <si>
    <t>https://adstransparency.google.com/advertiser/AR01693402396748677121/creative/CR17300299044777623553?region=anywhere</t>
  </si>
  <si>
    <t>Nos vamos el Lunes para Lisboa, Portugal 🇵🇹 Estuvimos en las 40 personas seleccionadas a nivel mundial por #Semrush para este entrenamiento, aprenderemos más cosas respecto a SEO y monitoreo de estrategias ✈️ #MDALatam #AprenderParaEmprender</t>
  </si>
  <si>
    <t>#Semrush, #MDALatam, #AprenderParaEmprender</t>
  </si>
  <si>
    <t>Tagged non-reel item (Static Photo) at grid position #181.</t>
  </si>
  <si>
    <t>Grid item #181. Discovered from Tagged page grid in sequential order.</t>
  </si>
  <si>
    <t>Discovered at visual grid position #162. Verified Ad Details URL. Format: Single Image Ad.</t>
  </si>
  <si>
    <t>semrush, herewithsemrush, dsden</t>
  </si>
  <si>
    <t>Hey Alexa, remind these fellas to watch Brene Brown on Netflix. 👀 . Thanks for talking to me about SEMRush for a hot second. As a blogger and marketer who continues to slowly grow, I’m on a search for improving my workflow and I’m finally at a place where I can use tools like SEMRush. 🔥 @travelbranyik @visitcripplecreek . PS. This pic is actually cute. . . . #semrush #herewithsemrush #dsden #trave</t>
  </si>
  <si>
    <t>#semrush, #herewithsemrush, #dsden, #travelbranyik</t>
  </si>
  <si>
    <t>Tagged non-reel item (Static Photo) at grid position #182.</t>
  </si>
  <si>
    <t>Grid item #182. Discovered from Tagged page grid in sequential order.</t>
  </si>
  <si>
    <t>CR17300299044777623553</t>
  </si>
  <si>
    <t>https://adstransparency.google.com/advertiser/AR01693402396748677121/creative/CR05861029753577799681?region=anywhere</t>
  </si>
  <si>
    <t>Adesso devo trovare qualcosa di importante da scrivere. Grazie.</t>
  </si>
  <si>
    <t>Tagged non-reel item (Static Photo) at grid position #183.</t>
  </si>
  <si>
    <t>Grid item #183. Discovered from Tagged page grid in sequential order.</t>
  </si>
  <si>
    <t>Discovered at visual grid position #163. Verified Ad Details URL. Format: Single Image Ad.</t>
  </si>
  <si>
    <t>It's about sharing the knowledge you possess. It's about people you meet. It's about things you learn. . #meetup #prague #contentmarketing #semrush #redorbit #digital</t>
  </si>
  <si>
    <t>#meetup, #prague, #contentmarketing, #semrush, #redorbit, #digital</t>
  </si>
  <si>
    <t>Tagged non-reel item (Photo Carousel) at grid position #184.</t>
  </si>
  <si>
    <t>Grid item #184. Discovered from Tagged page grid in sequential order.</t>
  </si>
  <si>
    <t>CR05861029753577799681</t>
  </si>
  <si>
    <t>https://adstransparency.google.com/advertiser/AR01693402396748677121/creative/CR01380828558280097793?region=anywhere</t>
  </si>
  <si>
    <t>#SEMrush ha ganado el premio a la Mejor herramienta SEO (Best #SEO Software Suite) en #EUSearchAwards 🏆 🎉</t>
  </si>
  <si>
    <t>#SEMrush, #SEO, #EUSearchAwards</t>
  </si>
  <si>
    <t>Tagged non-reel item (Static Photo) at grid position #185.</t>
  </si>
  <si>
    <t>Grid item #185. Discovered from Tagged page grid in sequential order.</t>
  </si>
  <si>
    <t>ClaruzDigital, FathersDay, Adoption</t>
  </si>
  <si>
    <t>Discovered at visual grid position #164. Verified Ad Details URL. Format: Single Image Ad.</t>
  </si>
  <si>
    <t>This Father's Day, let's not forget to wish the parents who gave a new way of life to their non-biological children!  Happy Father's Day!  #ClaruzDigital #FathersDay #Adoption #Acquisitions #DigitalDads</t>
  </si>
  <si>
    <t>#ClaruzDigital, #FathersDay, #Adoption, #Acquisitions, #DigitalDads</t>
  </si>
  <si>
    <t>Tagged non-reel item (Static Photo) at grid position #186.</t>
  </si>
  <si>
    <t>Grid item #186. Discovered from Tagged page grid in sequential order.</t>
  </si>
  <si>
    <t>CR01380828558280097793</t>
  </si>
  <si>
    <t>https://adstransparency.google.com/advertiser/AR01693402396748677121/creative/CR11030916659828228097?region=anywhere</t>
  </si>
  <si>
    <t>Its time to shift your perspective on direct-to-consumer marketing and embrace the journey within it. • The customer experience begins the moment a consumer discovers a brand and continues through each interaction they share with it. • Brands today must create a seamless approach across their platforms that communicate a series of compelling and unique stories that drive deeper engagement and stre</t>
  </si>
  <si>
    <t>#Followalong, #NeverStayStatic, #omnichannelmarketing, #easymarketing, #smallbusinesses, #growyourbrand, #brandgrowth, #seohelp, #socialgrowthmedia, #winebiz, #familywinery, #smallbuisness, #marketinganalytics</t>
  </si>
  <si>
    <t>Tagged non-reel item (Static Photo) at grid position #187.</t>
  </si>
  <si>
    <t>Grid item #187. Discovered from Tagged page grid in sequential order.</t>
  </si>
  <si>
    <t>@semrush has the questions and we have the answers! We participated in a quick Q&amp;A on Twitter about content strategy and analyses. Check out our latest tweets for more!  #lifeatBD</t>
  </si>
  <si>
    <t>#lifeatBD</t>
  </si>
  <si>
    <t>Tagged non-reel item (Static Photo) at grid position #188.</t>
  </si>
  <si>
    <t>Grid item #188. Discovered from Tagged page grid in sequential order.</t>
  </si>
  <si>
    <t>CR11030916659828228097</t>
  </si>
  <si>
    <t>https://adstransparency.google.com/advertiser/AR01693402396748677121/creative/CR10674780445545070593?region=anywhere</t>
  </si>
  <si>
    <t>Discovered at visual grid position #165. Verified Ad Details URL. Format: Single Image Ad.</t>
  </si>
  <si>
    <t>🎙 Voice search is becoming more widely used, but how do you appear for a voice search answer!? • The kind folks at @semrush studied 50,000 queries to find patterns. • Swipe left for the study’s results!!</t>
  </si>
  <si>
    <t>Tagged non-reel item (Photo Carousel) at grid position #189.</t>
  </si>
  <si>
    <t>Grid item #189. Discovered from Tagged page grid in sequential order.</t>
  </si>
  <si>
    <t>Torino. 7 e 8 giugno 2019. . Sole, una città bellissima e un grande evento di web marketing. . Una prima esperienza, ricca di contenuti e di sorprese. Bravi per averci creduto, per aver portato per la prima volta un evento simile in questa città. . È stato un momento di condivisione e confronto, intimo come i primi eventi di web marketing di qualche anno fa, ma colmo di spunti che porto a casa e n</t>
  </si>
  <si>
    <t>#deegito2019, #deegito, #mydeegito, #digitalmarketing, #digitalturinfestival, #torino, #franchisingstrategy, #localmarketing, #eventi, #igerstorino</t>
  </si>
  <si>
    <t>Tagged non-reel item (Photo Carousel) at grid position #190.</t>
  </si>
  <si>
    <t>Grid item #190. Discovered from Tagged page grid in sequential order.</t>
  </si>
  <si>
    <t>CR10674780445545070593</t>
  </si>
  <si>
    <t>Discovered at visual grid position #166. Verified Ad Details URL. Format: Single Image Ad.</t>
  </si>
  <si>
    <t>https://adstransparency.google.com/advertiser/AR01693402396748677121/creative/CR17019296789347434497?region=anywhere</t>
  </si>
  <si>
    <t>Instagram Story stickers have easily been one of the best developments the feature has had since it was released a few years back. And consider the number of updates and developments Stories have gotten since they’ve gone live, that’s impressive.  What I’m going to call “sticker effects” have now come to Instagram’s Story Ads, bringing interactivity to an ad format that previously really only was</t>
  </si>
  <si>
    <t>Tagged non-reel item (Static Photo) at grid position #191.</t>
  </si>
  <si>
    <t>Grid item #191. Discovered from Tagged page grid in sequential order.</t>
  </si>
  <si>
    <t>CR17019296789347434497</t>
  </si>
  <si>
    <t>Gli editori stanno creando dei modelli di riferimento errati che disorientano le ragazzine e i ragazzini ma talvolta è troppo spesso anche le famiglie. . Pensare che ci siano youtuber che pensano di mollare la scuola grazie ai primi guadagni che fanno o che ci siano adolescenti che hanno la velleità di diventare, in futuro, influencer, è allarmante. . Questi sono fenomeni che si esauriscono, hanno</t>
  </si>
  <si>
    <t>#aranzulla, #salvatorearanzulla, #deegito2019, #deegito, #mydeegito, #turindigitalfestival, #digitalmarketing, #influencermarketing, #verita</t>
  </si>
  <si>
    <t>Tagged non-reel item (Static Photo) at grid position #192.</t>
  </si>
  <si>
    <t>Discovered at visual grid position #167. Verified Ad Details URL. Format: Single Image Ad.</t>
  </si>
  <si>
    <t>Grid item #192. Discovered from Tagged page grid in sequential order.</t>
  </si>
  <si>
    <t>https://adstransparency.google.com/advertiser/AR01693402396748677121/creative/CR14693750531763994625?region=anywhere</t>
  </si>
  <si>
    <t>Instagram is currently beta-testing an in-app checkout, and the brands participating in these test also have access to another great feature that’s currently being evaluated: product tagging from “Creators.” This will essentially give “influencers” the ability to tag the products that they’re wearing or using on Instagram, just like brands can currently tag their own with Shoppable Posts. This wil</t>
  </si>
  <si>
    <t>Tagged non-reel item (Static Photo) at grid position #193.</t>
  </si>
  <si>
    <t>Grid item #193. Discovered from Tagged page grid in sequential order.</t>
  </si>
  <si>
    <t>SEMrush (@semrush) 👊 Sponsor Ufficiale di #Deegito2019 📊 Software di business intelligence e ricerca che fornisce tutti gli strumenti per ottenere ed elaborare dati sulle attività di marketing online di competitor e leader del settore. Dalla SEO al Content Management: un tool a 360° per i professionisti del marketing digitale. . . . #Deegito2019 #TurinDigitalFestival #Deegito #webmarketing #digita</t>
  </si>
  <si>
    <t>Discovered at visual grid position #168. Verified Ad Details URL. Format: Single Image Ad.</t>
  </si>
  <si>
    <t>#Deegito2019, #Deegito2019, #TurinDigitalFestival, #Deegito, #webmarketing, #digitalmarketing, #marketingdigitale, #webfestival, #sponsor, #SEM, #SEO, #contentmanagement, #social, #eventiformativi, #eventitorino, #torino</t>
  </si>
  <si>
    <t>Tagged non-reel item (Static Photo) at grid position #194.</t>
  </si>
  <si>
    <t>Grid item #194. Discovered from Tagged page grid in sequential order.</t>
  </si>
  <si>
    <t>CR14693750531763994625</t>
  </si>
  <si>
    <t>https://adstransparency.google.com/advertiser/AR01693402396748677121/creative/CR16038883436458409985?region=anywhere</t>
  </si>
  <si>
    <t>Ready to learn quickly and raise the bar? Join us as an Insights Analyst with foundation on statistics, SQL, and Tableau.</t>
  </si>
  <si>
    <t>Ieri abbiamo presentato a Ruffino uno dei Project Work della 6º edizione del Master in Digital Marketing - Piano di Comunicazione Strategico per il lancio del relais Ruffino.  L’analisi è stata fatta anche con i tool #semrush, Facebook audience insights e Social Baker. Dopo aver fatto un’analisi dei competitor, è stato elaborato un piano Digital che tenesse conto delle Personas, della strategia Se</t>
  </si>
  <si>
    <t>#semrush, #ruffino, #socialstrategy, #seo, #adv, #newsletter, #digitalpr, #personas, #contentmarketing, #masterdigitalmarketing, #projectwork, #communication, #brand, #brandawareness</t>
  </si>
  <si>
    <t>Tagged non-reel item (Photo Carousel) at grid position #195.</t>
  </si>
  <si>
    <t>Grid item #195. Discovered from Tagged page grid in sequential order.</t>
  </si>
  <si>
    <t>Oggi hanno bussato alla porta. Come potevamo non aprire a #SEMRUSH? 🤩  Il team c’ha svelato le ultime novità di piattaforma. Bam Bam 💥 . . #MocaInteractive @semrush #SEO #digitalmarketingagency</t>
  </si>
  <si>
    <t>#SEMRUSH, #MocaInteractive, #SEO, #digitalmarketingagency</t>
  </si>
  <si>
    <t>Tagged non-reel item (Photo Carousel) at grid position #196.</t>
  </si>
  <si>
    <t>Grid item #196. Discovered from Tagged page grid in sequential order.</t>
  </si>
  <si>
    <t>Ran from Apr 16, 2026 to Apr 30, 2026</t>
  </si>
  <si>
    <t>CR16038883436458409985</t>
  </si>
  <si>
    <t>Discovered at visual grid position #169. Verified Ad Details URL. Format: Single Image Ad.</t>
  </si>
  <si>
    <t>https://adstransparency.google.com/advertiser/AR01693402396748677121/creative/CR10895245721053691905?region=anywhere</t>
  </si>
  <si>
    <t>SEO is a phenomenal way to create Organic (aka Free)🆓 traffic to your website.  For it to be successful though you need to do extensive research on your keywords and your competitor’s strategies.  Here are 3 tools I highly recommend and use daily to optimize 🚀 my SEO strategy.👍🏽 - - •••••••••••••••••••••••••••••••• 👉🏽Follow @simplysocial_agency 👉🏽Follow @simplysocial_agency •••••••••••••••••••••••</t>
  </si>
  <si>
    <t>#seo, #keywords, #keywordresearch, #seotools, #neilpatel, #blogging, #contentstrategy, #keywordstrategy, #marketingtips, #marketingexpert, #seoexpert, #marketingguru, #onlinemarketingstrategies, #internetmarketingtips, #ecommercebusiness, #startuptips, #keyword, #optimization, #contentmarketer, #contentcreator, #bloggersofinstagram, #onlinemarketingcoach, #organictraffic</t>
  </si>
  <si>
    <t>Tagged non-reel item (Static Photo) at grid position #197.</t>
  </si>
  <si>
    <t>Grid item #197. Discovered from Tagged page grid in sequential order.</t>
  </si>
  <si>
    <t>Get More Website Traffic CrazyVisitors.com</t>
  </si>
  <si>
    <t>CR10895245721053691905</t>
  </si>
  <si>
    <t>Ran from Apr 16, 2026 to Apr 16, 2026</t>
  </si>
  <si>
    <t>Discovered at visual grid position #170. Verified Ad Details URL. Format: Single Image Ad.</t>
  </si>
  <si>
    <t>https://adstransparency.google.com/advertiser/AR01693402396748677121/creative/CR02183876666835599361?region=anywhere</t>
  </si>
  <si>
    <t>Tagged non-reel item (Static Photo) at grid position #198.</t>
  </si>
  <si>
    <t>Grid item #198. Discovered from Tagged page grid in sequential order.</t>
  </si>
  <si>
    <t>WERBUNG - EIGENWERBUNG  Negative SEO Attacken erkennen und Google Strafen überstehen... Jetzt zum Early Bird Preis bis 13. Juni 2019 im Buchladen (online und offline) als EBook. #werbung #ebook #seyboldseo #ahrefs #lrt #cognitiveseo #semrush</t>
  </si>
  <si>
    <t>#werbung, #ebook, #seyboldseo, #ahrefs, #lrt, #cognitiveseo, #semrush</t>
  </si>
  <si>
    <t>Tagged video reel discovered from Tagged grid position #199.</t>
  </si>
  <si>
    <t>Grid item #199. Discovered from Tagged page grid in sequential order.</t>
  </si>
  <si>
    <t>CR02183876666835599361</t>
  </si>
  <si>
    <t>https://adstransparency.google.com/advertiser/AR01693402396748677121/creative/CR18057657978433044481?region=anywhere</t>
  </si>
  <si>
    <t>Massive day 2 at Retail Global, so proud to be sharing stories and experiences. It never gets old!!!</t>
  </si>
  <si>
    <t>Tagged non-reel item (Photo Carousel) at grid position #200.</t>
  </si>
  <si>
    <t>Grid item #200. Discovered from Tagged page grid in sequential order.</t>
  </si>
  <si>
    <t>Always the right choice #seo #seomeme #searchengineoptimization #semrush #client</t>
  </si>
  <si>
    <t>#seo, #seomeme, #searchengineoptimization, #semrush, #client</t>
  </si>
  <si>
    <t>Wanna see how your ideas turn into impact? Join us as a Senior Influencer Relations Specialist with 5+ years of experience.</t>
  </si>
  <si>
    <t>Tagged non-reel item (Static Photo) at grid position #201.</t>
  </si>
  <si>
    <t>Grid item #201. Discovered from Tagged page grid in sequential order.</t>
  </si>
  <si>
    <t>CR18057657978433044481</t>
  </si>
  <si>
    <t>Content Marketing Meetup Greece  @semrush  #netbeegr #followthebee #digitaltransformation</t>
  </si>
  <si>
    <t>#netbeegr, #followthebee, #digitaltransformation</t>
  </si>
  <si>
    <t>Tagged non-reel item (Static Photo) at grid position #202.</t>
  </si>
  <si>
    <t>Grid item #202. Discovered from Tagged page grid in sequential order.</t>
  </si>
  <si>
    <t>https://adstransparency.google.com/advertiser/AR01693402396748677121/creative/CR14509384422018514945?region=anywhere</t>
  </si>
  <si>
    <t>Ran from Apr 10, 2026 to Apr 15, 2026</t>
  </si>
  <si>
    <t>Discovered at visual grid position #171. Verified Ad Details URL. Format: Single Image Ad.</t>
  </si>
  <si>
    <t>Digital Marketing Podcasts you should listen to 2019</t>
  </si>
  <si>
    <t>Tagged non-reel item (Photo Carousel) at grid position #203.</t>
  </si>
  <si>
    <t>Grid item #203. Discovered from Tagged page grid in sequential order.</t>
  </si>
  <si>
    <t>Looks like someone is excited to be at the @semrush event in Toronto today!! 🤪🏙 . . . . . .  #semrush #seo #event #searchengine #website #webdevelopment #webdev #toptalentcom #marketing #marketer #ceo #entrepreneur #entrepreneurlife #networking #learning #startup #success</t>
  </si>
  <si>
    <t>CR14509384422018514945</t>
  </si>
  <si>
    <t>#semrush, #seo, #event, #searchengine, #website, #webdevelopment, #webdev, #toptalentcom, #marketing, #marketer, #ceo, #entrepreneur, #entrepreneurlife, #networking, #learning, #startup, #success</t>
  </si>
  <si>
    <t>Tagged non-reel item (Static Photo) at grid position #204.</t>
  </si>
  <si>
    <t>Grid item #204. Discovered from Tagged page grid in sequential order.</t>
  </si>
  <si>
    <t>https://adstransparency.google.com/advertiser/AR01693402396748677121/creative/CR15214197763701997569?region=anywhere</t>
  </si>
  <si>
    <t>Boosting the Effectiveness of Your Ads with Twitter’s Ad Transparency Tools⁣ ⁣⁣ ⁣via @semrush ⁣ ⁣⁣ ⁣#digitalmarketing #socialmediamarketing #twitter #SEM</t>
  </si>
  <si>
    <t>Discovered at visual grid position #172. Verified Ad Details URL. Format: Single Image Ad.</t>
  </si>
  <si>
    <t>#digitalmarketing, #socialmediamarketing, #twitter, #SEM</t>
  </si>
  <si>
    <t>Tagged non-reel item (Static Photo) at grid position #205.</t>
  </si>
  <si>
    <t>Grid item #205. Discovered from Tagged page grid in sequential order.</t>
  </si>
  <si>
    <t>📈 How to keep yourself in a constant hyper growth mindset &amp; doesn’t have it to be constant? This is the topic of EMERGE panel discussion on GROWTH stage moderated by Anna Lebedeva - Head of Growth Marketing @semrush 👥  Panel participants: George Robson - Product Owner @revolutapp, London Dmitro Bilash - Co-founder CaptainGrowth, Kiyv Gabor Kiss - Head of User Growth &amp; Analytics @wetransfer, Amster</t>
  </si>
  <si>
    <t>#emergegang, #emergegang2019</t>
  </si>
  <si>
    <t>Tagged non-reel item (Static Photo) at grid position #206.</t>
  </si>
  <si>
    <t>Grid item #206. Discovered from Tagged page grid in sequential order.</t>
  </si>
  <si>
    <t>Boom.. Seo is closed today. #seo #semrush #seomeme #google #marketing #marketer</t>
  </si>
  <si>
    <t>#seo, #semrush, #seomeme, #google, #marketing, #marketer</t>
  </si>
  <si>
    <t>CR15214197763701997569</t>
  </si>
  <si>
    <t>Tagged non-reel item (Static Photo) at grid position #207.</t>
  </si>
  <si>
    <t>Grid item #207. Discovered from Tagged page grid in sequential order.</t>
  </si>
  <si>
    <t>https://adstransparency.google.com/advertiser/AR01693402396748677121/creative/CR16118858338850045953?region=anywhere</t>
  </si>
  <si>
    <t>I love my clients #seo #searchengineoptimization #marketer #semrush #sea #seomeme</t>
  </si>
  <si>
    <t>#seo, #searchengineoptimization, #marketer, #semrush, #sea, #seomeme</t>
  </si>
  <si>
    <t>Tagged non-reel item (Static Photo) at grid position #208.</t>
  </si>
  <si>
    <t>Grid item #208. Discovered from Tagged page grid in sequential order.</t>
  </si>
  <si>
    <t>Discovered at visual grid position #173. Verified Ad Details URL. Format: Single Image Ad.</t>
  </si>
  <si>
    <t>CR16118858338850045953</t>
  </si>
  <si>
    <t>So honored to guest host this week's #SEMrushchat! Thank YOU, @semrush!.. ... ... We will discuss 'how to use social media to grow one's brand?.' .. ... ... I will be sharing my 3-C model to build one's brand and talk a little about live streaming.. ... ... 📅 Wednesday, May 22, 11am EDT.. ... ... 🙋🏻‍♀️ Join us live if interested!.. ... ... #semrush #semrushchat #socialmediamarketing #socialmedia #</t>
  </si>
  <si>
    <t>#SEMrushchat, #semrush, #semrushchat, #socialmediamarketing, #socialmedia, #branding, #smallbusiness, #entrepreneurship, #education, #prprofs, #classroomwithoutwalls, #relationship</t>
  </si>
  <si>
    <t>Tagged non-reel item (Photo Carousel) at grid position #209.</t>
  </si>
  <si>
    <t>Grid item #209. Discovered from Tagged page grid in sequential order.</t>
  </si>
  <si>
    <t>https://adstransparency.google.com/advertiser/AR01693402396748677121/creative/CR16742914750496636929?region=anywhere</t>
  </si>
  <si>
    <t>SEO, Video Marketing</t>
  </si>
  <si>
    <t>Delivering powerful digital media services that create engaging experiences to collect data, track behavior, and manage leads so you can make decisions for your business with confidence. www.BettyofBoston.com #RealEstate #Construction #Finance #Hospitality #Medical #CommercialRealEstate #DigitalMedia #WebDesign #SEO #SEM #Design</t>
  </si>
  <si>
    <t>#RealEstate, #Construction, #Finance, #Hospitality, #Medical, #CommercialRealEstate, #DigitalMedia, #WebDesign, #SEO, #SEM, #Design</t>
  </si>
  <si>
    <t>Tagged non-reel item (Static Photo) at grid position #210.</t>
  </si>
  <si>
    <t>Grid item #210. Discovered from Tagged page grid in sequential order.</t>
  </si>
  <si>
    <t>SEO-Trainee.de - am 26. Mai wird unser legendärer Blog 9 Jahre alt!🎈 Das wollen wir kräftig mit Euch feiern.🥳 Macht bei unserem #mega Gewinnspiel im Wert von über 8.000 Euro mit, das Euch ✨einzigartige Preise✨ bietet. Kommentiert am Ende unseres Artikels, welchen Preis Ihr gewinnen wollt. Der Link befindet sich in unserer Bio.😎 Unter anderem zu gewinnen sind:  1x vollwertigen PRO-Zugang für zwölf</t>
  </si>
  <si>
    <t>#mega, #seotrainee, #seotraineebday, #seotraineegeburtstag, #seotraineehatgeburtstag, #artaxo, #artaxoseotrainee, #artaxoteam, #bestetrainees, #ichflippaus, #seogewinnspiel, #artaxolife</t>
  </si>
  <si>
    <t>Tagged non-reel item (Static Photo) at grid position #211.</t>
  </si>
  <si>
    <t>Grid item #211. Discovered from Tagged page grid in sequential order.</t>
  </si>
  <si>
    <t>CR16742914750496636929</t>
  </si>
  <si>
    <t>#ContentMarketing involves creating &amp; sharing online material (such as #videos, #blogs, and #socialmediaposts). This specific #contentcreationstrategy does not explicitly promote your company's #brand but instead is intended to stimulate interest in its products or services. #SocialMedia is an integral part of content marketing.</t>
  </si>
  <si>
    <t>#ContentMarketing, #videos, #blogs, #socialmediaposts, #contentcreationstrategy, #brand, #SocialMedia</t>
  </si>
  <si>
    <t>Tagged non-reel item (Static Photo) at grid position #212.</t>
  </si>
  <si>
    <t>Grid item #212. Discovered from Tagged page grid in sequential order.</t>
  </si>
  <si>
    <t>https://adstransparency.google.com/advertiser/AR01693402396748677121/creative/CR08495215109830868993?region=anywhere</t>
  </si>
  <si>
    <t>This is why we do #seo 🔎 . It is consistently the most under-appreciated, yet sought after skill set when it comes to marketing . Did you know 50% of ALL website traffic is generated by search? . Making sure your site comes up on the first page is vital to being relevant in a world 🌎 dominated by the phone 📲 . #seo #searchengineoptimization #facebook #facebookads #social #socialmediamarketing #sem</t>
  </si>
  <si>
    <t>Discovered at visual grid position #174. Verified Ad Details URL. Format: Single Image Ad.</t>
  </si>
  <si>
    <t>#seo, #seo, #searchengineoptimization, #facebook, #facebookads, #social, #socialmediamarketing, #sem, #ppc, #emailmarketing, #email, #influencer, #influencermarketing, #influencers, #marketing, #advertising, #digitalmarketing, #instagrammarketing, #facebookmarketing, #searchenginemarketing</t>
  </si>
  <si>
    <t>Tagged non-reel item (Static Photo) at grid position #213.</t>
  </si>
  <si>
    <t>Grid item #213. Discovered from Tagged page grid in sequential order.</t>
  </si>
  <si>
    <t>SEM leverages the power of search engines like Google to reach potential customers at the perfect time and place. Results are immediate with SEM. Also, the fastest way to drive traffic to a website. . . #SEM #website #traffic #byondbrandinn #digitalmarketing #research #content #socialmedia #snapchat #facebook #instagram #linkbuilding #offpageseo #googling #google #firstpage #endlesspossibilities #</t>
  </si>
  <si>
    <t>#SEM, #website, #traffic, #byondbrandinn, #digitalmarketing, #research, #content, #socialmedia, #snapchat, #facebook, #instagram, #linkbuilding, #offpageseo, #googling, #google, #firstpage, #endlesspossibilities, #websites, #development, #follow, #share, #like, #instalike, #lesson, #important, #mustfollow</t>
  </si>
  <si>
    <t>CR08495215109830868993</t>
  </si>
  <si>
    <t>Tagged non-reel item (Static Photo) at grid position #214.</t>
  </si>
  <si>
    <t>Join us now!</t>
  </si>
  <si>
    <t>Ready to move fast? Become our new Paid Search Specialist managing budgets of $1M.</t>
  </si>
  <si>
    <t>Grid item #214. Discovered from Tagged page grid in sequential order.</t>
  </si>
  <si>
    <t>https://adstransparency.google.com/advertiser/AR01693402396748677121/creative/CR15043358120879325185?region=anywhere</t>
  </si>
  <si>
    <t>Un placer contribuir a la SEMrush Academy de @semrush @semrush_es •••••• Quieres ver el vídeo donde explico la funcionalidad de Análisis de tráfico❓ 🔥 Link en BIO ••••• #semrush #marketing #academy #digitalmarketing</t>
  </si>
  <si>
    <t>#semrush, #marketing, #academy, #digitalmarketing</t>
  </si>
  <si>
    <t>Tagged non-reel item (Static Photo) at grid position #215.</t>
  </si>
  <si>
    <t>Grid item #215. Discovered from Tagged page grid in sequential order.</t>
  </si>
  <si>
    <t>Discovered at visual grid position #175. Verified Ad Details URL. Format: Single Image Ad.</t>
  </si>
  <si>
    <t>Want to find clients with +$5,000/month retainer fees? Get the scoop on the latest state of the industry data? Learn practical strategies to instantly scale your agency with new services?🤩⠀⠀ ⠀⠀ Join the world's first conference on hyper-growth business strategies for marketing agencies! 🦄⠀⠀ ⠀⠀ We are excited to announce the FREE, ONLINE Marketing Growth Agency Accelerator Summit happening on May 1</t>
  </si>
  <si>
    <t>#marketing, #agencylife, #digitalmarketing, #advertising, #creativeagency, #agency, #digitalagency, #marketingagency, #hustle, #marketingdigital, #marketingstrategy, #marketingtips, #advertisingagency, #marketingagency</t>
  </si>
  <si>
    <t>Tagged non-reel item (Photo Carousel) at grid position #216.</t>
  </si>
  <si>
    <t>CR15043358120879325185</t>
  </si>
  <si>
    <t>Grid item #216. Discovered from Tagged page grid in sequential order.</t>
  </si>
  <si>
    <t>MakeTheDecision, JUMPMAN</t>
  </si>
  <si>
    <t>https://adstransparency.google.com/advertiser/AR01693402396748677121/creative/CR06322570650057703425?region=anywhere</t>
  </si>
  <si>
    <t>Love what you do!</t>
  </si>
  <si>
    <t>Help us push you further! Join Semrush as a Data Engineer.</t>
  </si>
  <si>
    <t>Had a great time shooting this commercial for @semrush More jumps coming soon!  #MakeTheDecision #JUMPMAN</t>
  </si>
  <si>
    <t>#MakeTheDecision, #JUMPMAN</t>
  </si>
  <si>
    <t>Tagged video reel discovered from Tagged grid position #217.</t>
  </si>
  <si>
    <t>Grid item #217. Discovered from Tagged page grid in sequential order.</t>
  </si>
  <si>
    <t>Ran from Mar 27, 2026 to Apr 9, 2026</t>
  </si>
  <si>
    <t>CR06322570650057703425</t>
  </si>
  <si>
    <t>How to Sell CrazyVisitors.com</t>
  </si>
  <si>
    <t>Tagged non-reel item (Static Photo) at grid position #218.</t>
  </si>
  <si>
    <t>Discovered at visual grid position #176. Verified Ad Details URL. Format: Single Image Ad.</t>
  </si>
  <si>
    <t>Grid item #218. Discovered from Tagged page grid in sequential order.</t>
  </si>
  <si>
    <t>https://adstransparency.google.com/advertiser/AR01693402396748677121/creative/CR04213668452759502849?region=anywhere</t>
  </si>
  <si>
    <t>Nesse #StarWarsDay, diretamente de uma galáxia muito, muito distante trazemos uma lista dos personagens da franquia mais pesquisados na web!⠀ ⠀ Tem o estudo completo lá no #arrobanerd.⠀ ⠀ #maythe4thbewithyou ⠀ #MayThe4th #StarWarsDay #StarWarsBR  #StarWars</t>
  </si>
  <si>
    <t>#StarWarsDay, #arrobanerd, #maythe4thbewithyou, #MayThe4th, #StarWarsDay, #StarWarsBR, #StarWars</t>
  </si>
  <si>
    <t>Tagged non-reel item (Static Photo) at grid position #219.</t>
  </si>
  <si>
    <t>Ready to win together? Join Semrush as an Online Reputation Management Team Lead with 5+ years of experience.</t>
  </si>
  <si>
    <t>Grid item #219. Discovered from Tagged page grid in sequential order.</t>
  </si>
  <si>
    <t>Seerfest</t>
  </si>
  <si>
    <t>CR04213668452759502849</t>
  </si>
  <si>
    <t>Announcing #Seerfest 2019: We’re coming for you, Philly.  Link in bio to sign-up to be notified when Early Bird tickets go on sale 🎟. Limited seating - get on that list if you want in!</t>
  </si>
  <si>
    <t>#Seerfest</t>
  </si>
  <si>
    <t>Tagged non-reel item (Photo Carousel) at grid position #220.</t>
  </si>
  <si>
    <t>Grid item #220. Discovered from Tagged page grid in sequential order.</t>
  </si>
  <si>
    <t>https://adstransparency.google.com/advertiser/AR01693402396748677121/creative/CR15938755585441267713?region=anywhere</t>
  </si>
  <si>
    <t>Case studies, examples and courses are among the most popular search topics. @semrush . .⠀ .⠀ #contentmarketing #research #digitalmarketing #seo</t>
  </si>
  <si>
    <t>#contentmarketing, #research, #digitalmarketing, #seo</t>
  </si>
  <si>
    <t>Tagged non-reel item (Static Photo) at grid position #221.</t>
  </si>
  <si>
    <t>Grid item #221. Discovered from Tagged page grid in sequential order.</t>
  </si>
  <si>
    <t>Ran from Apr 9, 2026 to Apr 15, 2026</t>
  </si>
  <si>
    <t>Discovered at visual grid position #177. Verified Ad Details URL. Format: Single Image Ad.</t>
  </si>
  <si>
    <t>CR15938755585441267713</t>
  </si>
  <si>
    <t>Corso #INDIVIDUALE #Digital / #SocialMarketing avanzato + #CERTIFICAZIONI  Sei un professionista? Questo corso allora è indispensabile per il tuo successo! Cerchi lavoro nel digitale e nel marketing? Sei allora nel posto giusto! Questo corso ti darà tutte le competenze professionali richieste dalle aziende e anche delle certificazione internazionali! Sei il titolare di un’azienda o un dirigente? L</t>
  </si>
  <si>
    <t>#INDIVIDUALE, #Digital, #SocialMarketing, #CERTIFICAZIONI, #marketer, #marketing, #socialmarketing, #social, #INBOUNDMARKETING2019, #inbound, #google, #Formazioneaziendale, #formazione, #aziende, #academy, #digitalstrategist, #corsoinglese, #ContentMarketing, #certifications, #certificazioni, #learning</t>
  </si>
  <si>
    <t>Tagged non-reel item (Static Photo) at grid position #222.</t>
  </si>
  <si>
    <t>Grid item #222. Discovered from Tagged page grid in sequential order.</t>
  </si>
  <si>
    <t>https://adstransparency.google.com/advertiser/AR01693402396748677121/creative/CR01987036297025290241?region=anywhere</t>
  </si>
  <si>
    <t>swag</t>
  </si>
  <si>
    <t>Want to see how your ideas turn into impact? Join Semrush as Content Associate to produce videos, articles, emails, and more.</t>
  </si>
  <si>
    <t>Content Strategy</t>
  </si>
  <si>
    <t>Thanks to @semrush for my summer #swag</t>
  </si>
  <si>
    <t>#swag</t>
  </si>
  <si>
    <t>Tagged non-reel item (Static Photo) at grid position #223.</t>
  </si>
  <si>
    <t>Grid item #223. Discovered from Tagged page grid in sequential order.</t>
  </si>
  <si>
    <t>Valhall, SEMrushSearchAwards</t>
  </si>
  <si>
    <t>CR01987036297025290241</t>
  </si>
  <si>
    <t>Hurra! I veckan fick @apartforlag pris för #Valhall-kampanjen på #SEMrushSearchAwards. Jag fick klä ut mig och mamma blev superstolt! Det var kul!</t>
  </si>
  <si>
    <t>#Valhall, #SEMrushSearchAwards</t>
  </si>
  <si>
    <t>Tagged non-reel item (Photo Carousel) at grid position #224.</t>
  </si>
  <si>
    <t>https://adstransparency.google.com/advertiser/AR01693402396748677121/creative/CR03871675943739195393?region=anywhere</t>
  </si>
  <si>
    <t>Grid item #224. Discovered from Tagged page grid in sequential order.</t>
  </si>
  <si>
    <t>Discovered at visual grid position #178. Verified Ad Details URL. Format: Single Image Ad.</t>
  </si>
  <si>
    <t>Our work with a long time client Praecom was chosen as the Best B2B Campaign at the SEMrush Nordic Awards. We feel grateful and proud. 🍾  A special thank you to Praecom for trusting us. #SEMrushAwards #markkinointi</t>
  </si>
  <si>
    <t>#SEMrushAwards, #markkinointi</t>
  </si>
  <si>
    <t>Tagged non-reel item (Static Photo) at grid position #225.</t>
  </si>
  <si>
    <t>Grid item #225. Discovered from Tagged page grid in sequential order.</t>
  </si>
  <si>
    <t>Want to own the way you work? Join Semrush as a Programmatic &amp; Display Lead with 5+ years of experience in SQL and BigQuery.</t>
  </si>
  <si>
    <t>CR03871675943739195393</t>
  </si>
  <si>
    <t>https://adstransparency.google.com/advertiser/AR01693402396748677121/creative/CR12036278206429396993?region=anywhere</t>
  </si>
  <si>
    <t>We had a great night at the @semrush Nordic Search Awards 2019. s360 took home the awards for Best Content Marketing Campaign and Best SEO Campaign for our work with Arla Foods. Video highlights in our Story 😊 #semrushawards #semrush #stockholmcityhall #searchmarketing #s360digital</t>
  </si>
  <si>
    <t>#semrushawards, #semrush, #stockholmcityhall, #searchmarketing, #s360digital</t>
  </si>
  <si>
    <t>Tagged non-reel item (Photo Carousel) at grid position #226.</t>
  </si>
  <si>
    <t>Grid item #226. Discovered from Tagged page grid in sequential order.</t>
  </si>
  <si>
    <t>En la segunda franja del día, contamos con la presencia de Marc Cortés Socio y Consultor de @rocasalvatella que nos habló sobre los nuevos modelos de negocio en la economía digital y en paralelo Daniela Chaparro, Gerente General para @playgroundmag que nos argumentó porque es el momento de las historias. . . Continuamos con Carolina Castilla, Head AdSales @mercadolibrecol quien nos mostró  como es</t>
  </si>
  <si>
    <t>#marketingdigital, #publicidaddigital, #colombia, #estrategiadigital, #innovacion, #tecnologia, #marcas, #industriascreativas, #industriascreativasyculturales, #marketingdecontenidos</t>
  </si>
  <si>
    <t>Tagged non-reel item (Photo Carousel) at grid position #227.</t>
  </si>
  <si>
    <t>Grid item #227. Discovered from Tagged page grid in sequential order.</t>
  </si>
  <si>
    <t>CR12036278206429396993</t>
  </si>
  <si>
    <t>https://adstransparency.google.com/advertiser/AR01693402396748677121/creative/CR01458351824619700225?region=anywhere</t>
  </si>
  <si>
    <t>What you need to know about Google rankings in 2019.👉🏻 - Visit our latest post 🔗probella.com/blog. 🎯 _ _  Google rankings have been considered the holy grail of #SEO &amp; Digital Marketing for some time.  As the most used search engine in the world, the technology behemoth is responsible for directing the vast majority of searches to their intended destination. Though the significance of performing w</t>
  </si>
  <si>
    <t>#SEO, #Google, #contentcreator, #miamicontent, #marketingblog, #duplicatecontent, #marketingdigital, #digitalmarketing, #digitalmarketing, #miamiagency, #miamimarketing, #marketingmiami, #miamiadvertising, #miamilifestyle, #marketingguru, #marketingtips, #marketingmanager, #marketingislife, #marketinglifestyle, #digitalmarketinglife, #marketingagencylife, #marketingstrategy, #marketingstrategies, #onlinemarketingtips, #marketingcoach, #onlinemarketingstrategies</t>
  </si>
  <si>
    <t>Tagged non-reel item (Photo Carousel) at grid position #228.</t>
  </si>
  <si>
    <t>Grid item #228. Discovered from Tagged page grid in sequential order.</t>
  </si>
  <si>
    <t>Believe us it’s neither a workshop nor a seminar! It’s a fully packed 20 hours digital marketing training course with authorised certification at TNM Academy, Kannur just for the pricing of a workshop! Get your seat booked now. Call +917902442222. Note: we have dedicated female faculty for our female students. #digitalmarketing #opportunity #class #course #certificate #marketing #socialmediamarket</t>
  </si>
  <si>
    <t>#digitalmarketing, #opportunity, #class, #course, #certificate, #marketing, #socialmediamarketing, #socialmediacoach, #socialmediaguru, #googleads, #adwords, #analytics, #google, #facebook, #twitter, #pinterest, #seo, #sem, #ppc, #campaign, #design</t>
  </si>
  <si>
    <t>Tagged non-reel item (Static Photo) at grid position #229.</t>
  </si>
  <si>
    <t>Grid item #229. Discovered from Tagged page grid in sequential order.</t>
  </si>
  <si>
    <t>CR01458351824619700225</t>
  </si>
  <si>
    <t>https://adstransparency.google.com/advertiser/AR01693402396748677121/creative/CR10830720881177657345?region=anywhere</t>
  </si>
  <si>
    <t>Discovered at visual grid position #179. Verified Ad Details URL. Format: Single Image Ad.</t>
  </si>
  <si>
    <t>Tagged non-reel item (Static Photo) at grid position #230.</t>
  </si>
  <si>
    <t>Grid item #230. Discovered from Tagged page grid in sequential order.</t>
  </si>
  <si>
    <t>Prosperity Media Director James Norquay sharing his top SEO and Digital Marketing Tips with the audience at @digitalmarketersaus conference. With @ahrefscom &amp; @semrush also on the panel. Some tips included - Writing long form relevant content 5x what competitors are doing, optimising local listings, using local numbers on Google My Business, doing in-depth keyword research, focusing on quality lin</t>
  </si>
  <si>
    <t>#SEO, #digitalmarketing, #sydneySEO, #ahrefs, #semrush, #digitalmarketingagency</t>
  </si>
  <si>
    <t>Tagged non-reel item (Photo Carousel) at grid position #231.</t>
  </si>
  <si>
    <t>Grid item #231. Discovered from Tagged page grid in sequential order.</t>
  </si>
  <si>
    <t>CR10830720881177657345</t>
  </si>
  <si>
    <t>Próximamente</t>
  </si>
  <si>
    <t>https://adstransparency.google.com/advertiser/AR01693402396748677121/creative/CR15281918746441023489?region=anywhere</t>
  </si>
  <si>
    <t>🔥 #Próximamente estaremos publicando la página del 🚀 Congreso Online sobre Embudos de Ventas Inmobiliarios 🚀 que será este 05 de Junio de 2019.  Así que pendiente!!! ⏰</t>
  </si>
  <si>
    <t>#Próximamente</t>
  </si>
  <si>
    <t>Tagged non-reel item (Static Photo) at grid position #232.</t>
  </si>
  <si>
    <t>Grid item #232. Discovered from Tagged page grid in sequential order.</t>
  </si>
  <si>
    <t>Discovered at visual grid position #180. Verified Ad Details URL. Format: Single Image Ad.</t>
  </si>
  <si>
    <t>🗓 26-27 апреля 2019 / HR API @hrapiconf  Спикер: 👤​​ Наталья Килимова / SEMrush @semrush / Россия. Санкт-Петербург  Тема: 📋 Как влияет design-код компании на показатель 'Еmployee satisfaction'  В момент, когда бизнес начинает активно развиваться, расти и приносить деньги, cамое время задуматься об обустройстве офисного пространства. А в случае, если офисы открываются в разных уголках земного шара,</t>
  </si>
  <si>
    <t>CR15281918746441023489</t>
  </si>
  <si>
    <t>#HRAPI, #спикерыHRAPI2019, #ITHR, #semrush, #employeesatisfaction</t>
  </si>
  <si>
    <t>Tagged non-reel item (Static Photo) at grid position #233.</t>
  </si>
  <si>
    <t>Grid item #233. Discovered from Tagged page grid in sequential order.</t>
  </si>
  <si>
    <t>https://adstransparency.google.com/advertiser/AR01693402396748677121/creative/CR07616369968191373313?region=anywhere</t>
  </si>
  <si>
    <t>Our @brightonseo vlog is up on our YouTube channel! Find the link in bio and give us some love 🙏🏼💚 #digitalmarketing #digitalmarketingagency #brightonseo #seo #outreach #linkbuilding #linkbuildingseo #vlog #youtube #video</t>
  </si>
  <si>
    <t>#digitalmarketing, #digitalmarketingagency, #brightonseo, #seo, #outreach, #linkbuilding, #linkbuildingseo, #vlog, #youtube, #video</t>
  </si>
  <si>
    <t>Tagged non-reel item (Static Photo) at grid position #234.</t>
  </si>
  <si>
    <t>Grid item #234. Discovered from Tagged page grid in sequential order.</t>
  </si>
  <si>
    <t>CR07616369968191373313</t>
  </si>
  <si>
    <t>Weekly Wisdom with Andrea D’Ottavio: Instagram Marketing Practical Tips⁣ ⁣⁣ ⁣via @semrush ⁣ ⁣⁣ ⁣#digitalmarketing #inboundmarketing #lead #socialmedia #socialmediatips #socialmediamarketing #instagram #influencer #influencermarketing #influenster</t>
  </si>
  <si>
    <t>#digitalmarketing, #inboundmarketing, #lead, #socialmedia, #socialmediatips, #socialmediamarketing, #instagram, #influencer, #influencermarketing, #influenster</t>
  </si>
  <si>
    <t>Tagged non-reel item (Static Photo) at grid position #235.</t>
  </si>
  <si>
    <t>https://adstransparency.google.com/advertiser/AR01693402396748677121/creative/CR00668603408713777153?region=anywhere</t>
  </si>
  <si>
    <t>Grid item #235. Discovered from Tagged page grid in sequential order.</t>
  </si>
  <si>
    <t>Discovered at visual grid position #181. Verified Ad Details URL. Format: Single Image Ad.</t>
  </si>
  <si>
    <t>Sin duda alguna que Link Building es uno de los elementos que nos puede ayudar mucho al posicionamiento SEO, el detalle es que muchos utilizan esta técnica y suelen caer en algunos errores.⠀ ⠀ El listado de errores que podemos encontrar es el siguiente:⠀ ⠀ ❌Decantarnos por la cantidad en lugar de centrarnos en la calidad.⠀ ❌Enlazar únicamente a la página de inicio o principal.⠀ ❌Recibir númerosos</t>
  </si>
  <si>
    <t>#fernandoSEMrush</t>
  </si>
  <si>
    <t>Tagged non-reel item (Static Photo) at grid position #236.</t>
  </si>
  <si>
    <t>Grid item #236. Discovered from Tagged page grid in sequential order.</t>
  </si>
  <si>
    <t>CR00668603408713777153</t>
  </si>
  <si>
    <t>https://adstransparency.google.com/advertiser/AR01693402396748677121/creative/CR02254996377455034369?region=anywhere</t>
  </si>
  <si>
    <t>😉🎯💼 You gotta see it to believe it!  #digitalmarketing</t>
  </si>
  <si>
    <t>#digitalmarketing</t>
  </si>
  <si>
    <t>Tagged video reel discovered from Tagged grid position #237.</t>
  </si>
  <si>
    <t>Grid item #237. Discovered from Tagged page grid in sequential order.</t>
  </si>
  <si>
    <t>Life of SEO . — Follow @marketingpanda_ for more... . . . . . . . #seo #searchengineoptimization #searchmarketing #searchenginemarketing #serp #digitalmarketing #onlinmarketing #marketingonline #marketing #business #startups #entrepreneur #entrepreneurship #b2b #website #seotips #marketingstrategy #businessstrategy #marketingtips #freelancer #socialmediamanager #raktimjnath #postoftheday #potd #st</t>
  </si>
  <si>
    <t>#seo, #searchengineoptimization, #searchmarketing, #searchenginemarketing, #serp, #digitalmarketing, #onlinmarketing, #marketingonline, #marketing, #business, #startups, #entrepreneur, #entrepreneurship, #b2b, #website, #seotips, #marketingstrategy, #businessstrategy, #marketingtips, #freelancer, #socialmediamanager, #raktimjnath, #postoftheday, #potd, #startup, #contentmarketing, #linkbuilding, #marketingpanda</t>
  </si>
  <si>
    <t>Tagged non-reel item (Static Photo) at grid position #238.</t>
  </si>
  <si>
    <t>Grid item #238. Discovered from Tagged page grid in sequential order.</t>
  </si>
  <si>
    <t>Ran from Mar 26, 2026 to Apr 9, 2026</t>
  </si>
  <si>
    <t>Discovered at visual grid position #182. Verified Ad Details URL. Format: Single Image Ad.</t>
  </si>
  <si>
    <t>CR02254996377455034369</t>
  </si>
  <si>
    <t>Der Komplett-Leitfaden: Wie Sie Suchintentionen erkennen  via @semrush  #SEO #localSEO #SEM #SEA #SERPs #suchmaschinenoptimierung #suchmaschinen  #digitalmarketing</t>
  </si>
  <si>
    <t>https://adstransparency.google.com/advertiser/AR01693402396748677121/creative/CR17609764220277096449?region=anywhere</t>
  </si>
  <si>
    <t>#SEO, #localSEO, #SEM, #SEA, #SERPs, #suchmaschinenoptimierung, #suchmaschinen, #digitalmarketing</t>
  </si>
  <si>
    <t>Tagged non-reel item (Static Photo) at grid position #239.</t>
  </si>
  <si>
    <t>Grid item #239. Discovered from Tagged page grid in sequential order.</t>
  </si>
  <si>
    <t>It's simple. If you need more #webtraffic, then you need these 10 tools. . Wondering who made the list? We've got @linktr.ee @semrush @mailerlite @adroll @hootsuite @filmora_editor &amp; more! . Full list is live now at aimtell.com! . . #websitetraffic#traffic#blog#blogpost#newblog#marketing#digitalmarketing#socialmedia#socialmediamarketing#smm#growthhacking#webpush#email#instagram#linktree#analytics#</t>
  </si>
  <si>
    <t>#webtraffic, #websitetraffic, #traffic, #blog, #blogpost, #newblog, #marketing, #digitalmarketing, #socialmedia, #socialmediamarketing, #smm, #growthhacking, #webpush, #email, #instagram, #linktree, #analytics, #semrush, #mailerlite, #aimtell, #adroll, #retargeting, #remarketing, #hootsuite, #videomarketing, #filmora, #buzzsumo, #alexa, #seo</t>
  </si>
  <si>
    <t>Tagged non-reel item (Static Photo) at grid position #240.</t>
  </si>
  <si>
    <t>Grid item #240. Discovered from Tagged page grid in sequential order.</t>
  </si>
  <si>
    <t>HRAPI, спикерыhrapi2019, semrush</t>
  </si>
  <si>
    <t>CR17609764220277096449</t>
  </si>
  <si>
    <t>🗓 26-27 апреля 2019 / HR API @hrapiconf  Спикер: 👤 Дмитрий Дуванов / SEMrush @semrush / Россия. Санкт-Петербург  Тема: 📋 Рекрутмент в плоской компании. Кто виноват и что делать?  В компании SEMrush решение о подборе принимает целая команда. Нужно учесть мнение каждого, никого нельзя забыть. В рамках доклада рассмотрим несколько вечных для такой ситуации вопросов: - как настроить эффективный процес</t>
  </si>
  <si>
    <t>#HRAPI, #спикерыhrapi2019, #semrush, #semrushpeople, #recruitment, #ithr</t>
  </si>
  <si>
    <t>Tagged non-reel item (Static Photo) at grid position #241.</t>
  </si>
  <si>
    <t>Grid item #241. Discovered from Tagged page grid in sequential order.</t>
  </si>
  <si>
    <t>https://adstransparency.google.com/advertiser/AR01693402396748677121/creative/CR14974916270829338625?region=anywhere</t>
  </si>
  <si>
    <t>Discovered at visual grid position #183. Verified Ad Details URL. Format: Single Image Ad.</t>
  </si>
  <si>
    <t>Besoin de booster votre trafic ? 🚀  Votre site web n'est pas visible et vous souhaitez changer ça.  La première application automatisée d'acquisition en ligne vous permettra de remonter au classement Google.  Simple et gratuit vous pourrez dépasser vos concurrents en un rien de temps ! 🥇  https://www.octopulse.io/ 👈🏼 #SEO #digitalmarketing #SMM #marketingonline #business</t>
  </si>
  <si>
    <t>#SEO, #digitalmarketing, #SMM, #marketingonline, #business</t>
  </si>
  <si>
    <t>Tagged non-reel item (Static Photo) at grid position #242.</t>
  </si>
  <si>
    <t>Grid item #242. Discovered from Tagged page grid in sequential order.</t>
  </si>
  <si>
    <t>The New Season is Coming: Newsjacking the Top TV Series with SEMrush  via @semrush  #LocalSEO #SEO #SEM  #keywords #digitalmarketing #SEA</t>
  </si>
  <si>
    <t>#LocalSEO, #SEO, #SEM, #keywords, #digitalmarketing, #SEA</t>
  </si>
  <si>
    <t>Tagged non-reel item (Static Photo) at grid position #243.</t>
  </si>
  <si>
    <t>CR14974916270829338625</t>
  </si>
  <si>
    <t>Grid item #243. Discovered from Tagged page grid in sequential order.</t>
  </si>
  <si>
    <t>https://adstransparency.google.com/advertiser/AR01693402396748677121/creative/CR12106977903607021569?region=anywhere</t>
  </si>
  <si>
    <t>Discovered at visual grid position #184. Verified Ad Details URL. Format: Single Image Ad.</t>
  </si>
  <si>
    <t>A Guide To Boosting Google Display Network Performance  via @semrush  #LocalSEO #SEO #SEM #digitalmarketing #SEA #Paidsearch #Googleads</t>
  </si>
  <si>
    <t>#LocalSEO, #SEO, #SEM, #digitalmarketing, #SEA, #Paidsearch, #Googleads</t>
  </si>
  <si>
    <t>Tagged non-reel item (Static Photo) at grid position #244.</t>
  </si>
  <si>
    <t>Grid item #244. Discovered from Tagged page grid in sequential order.</t>
  </si>
  <si>
    <t>SEO, Content Marketing</t>
  </si>
  <si>
    <t>CR12106977903607021569</t>
  </si>
  <si>
    <t>@fernando1angulo from @semrush speaking about Google’s Rich SEO Content 🔥 sooo many actionable techniques!</t>
  </si>
  <si>
    <t>Tagged non-reel item (Photo Carousel) at grid position #245.</t>
  </si>
  <si>
    <t>Grid item #245. Discovered from Tagged page grid in sequential order.</t>
  </si>
  <si>
    <t>https://adstransparency.google.com/advertiser/AR01693402396748677121/creative/CR05985645102935048193?region=anywhere</t>
  </si>
  <si>
    <t>Discovered at visual grid position #185. Verified Ad Details URL. Format: Single Image Ad.</t>
  </si>
  <si>
    <t>Build your lead generation chatbot today! Build and launch in 20 minutes or less. View Pricing Details.  #business_directory #advertisingagency #lead #lead_generation #free_leads #paid_directory_listings #persian_business 🔑  Adding your website to directories can offer several benefits:  1. **Improved Visibility:**  - Directories provide an additional platform for users to discover your website, i</t>
  </si>
  <si>
    <t>#business_directory, #advertisingagency, #lead, #lead_generation, #free_leads, #paid_directory_listings, #persian_business</t>
  </si>
  <si>
    <t>Tagged non-reel item (Static Photo) at grid position #246.</t>
  </si>
  <si>
    <t>Grid item #246. Discovered from Tagged page grid in sequential order.</t>
  </si>
  <si>
    <t>6 Tools that have been a complete game changer in the Digital Marketing Industry. - There inclusion didn't have relative impact, we are talking about paradigm shift here. 📈 - COMMENT THE TOOL WHICH YOU ABSOLUTELY CANNOT LIVE WITHOUT - #digitalmarketing #webmarketing #digitalmarketingtools #marketingonline #marketingdigital #mailchimp #emailmarketing #leadgeneration #automationtools #marketingnerd</t>
  </si>
  <si>
    <t>#digitalmarketing, #webmarketing, #digitalmarketingtools, #marketingonline, #marketingdigital, #mailchimp, #emailmarketing, #leadgeneration, #automationtools, #marketingnerd, #hustle, #nomore9t05, #garyvee, #garyveequotes, #decodedigitalmarket, #seo, #socialmediaexpert, #socialmediamarketing</t>
  </si>
  <si>
    <t>CR05985645102935048193</t>
  </si>
  <si>
    <t>Tagged non-reel item (Photo Carousel) at grid position #247.</t>
  </si>
  <si>
    <t>Grid item #247. Discovered from Tagged page grid in sequential order.</t>
  </si>
  <si>
    <t>https://adstransparency.google.com/advertiser/AR01693402396748677121/creative/CR17909872319895961601?region=anywhere</t>
  </si>
  <si>
    <t>HUGE THANK YOU GUYS! Thanks everyone for coming today! IT’S been INCREDIBLE! ⚡️🔥😍❤️ #digitalolympus #digitalmarketingconference #digitalconference #digitalolympusevent</t>
  </si>
  <si>
    <t>#digitalolympus, #digitalmarketingconference, #digitalconference, #digitalolympusevent</t>
  </si>
  <si>
    <t>Tagged non-reel item (Static Photo) at grid position #248.</t>
  </si>
  <si>
    <t>Grid item #248. Discovered from Tagged page grid in sequential order.</t>
  </si>
  <si>
    <t>Discovered at visual grid position #186. Verified Ad Details URL. Format: Single Image Ad.</t>
  </si>
  <si>
    <t>@fernando1angulo at #digitalolympusevent 🔥🔥 @semrush @semrush_es @semrush_people @semrush_cz 💗  #digitalmarketingconference #digitalconference #digitalolympusevent #digitalolympus #semrush</t>
  </si>
  <si>
    <t>#digitalolympusevent, #digitalmarketingconference, #digitalconference, #digitalolympusevent, #digitalolympus, #semrush</t>
  </si>
  <si>
    <t>Tagged video reel discovered from Tagged grid position #249.</t>
  </si>
  <si>
    <t>Grid item #249. Discovered from Tagged page grid in sequential order.</t>
  </si>
  <si>
    <t>CR17909872319895961601</t>
  </si>
  <si>
    <t>https://adstransparency.google.com/advertiser/AR01693402396748677121/creative/CR04123763998296375297?region=anywhere</t>
  </si>
  <si>
    <t>Throwback to a couple weeks ago when our team hung out with all the incredible people at #SMMW19! . . . #socialmediamarketing #smmw20 #socialmedia #socialmediamarketer #socialmedialife #socialmediamanager #socialmediacampaign #socialmediatools #socialmediadesign #saas #socialmediatools #onlinecourses</t>
  </si>
  <si>
    <t>#SMMW19, #socialmediamarketing, #smmw20, #socialmedia, #socialmediamarketer, #socialmedialife, #socialmediamanager, #socialmediacampaign, #socialmediatools, #socialmediadesign, #saas, #socialmediatools, #onlinecourses</t>
  </si>
  <si>
    <t>Tagged non-reel item (Static Photo) at grid position #250.</t>
  </si>
  <si>
    <t>Grid item #250. Discovered from Tagged page grid in sequential order.</t>
  </si>
  <si>
    <t>Tagged non-reel item (Static Photo) at grid position #251.</t>
  </si>
  <si>
    <t>Discovered at visual grid position #187. Verified Ad Details URL. Format: Single Image Ad.</t>
  </si>
  <si>
    <t>Grid item #251. Discovered from Tagged page grid in sequential order.</t>
  </si>
  <si>
    <t>CR04123763998296375297</t>
  </si>
  <si>
    <t>https://adstransparency.google.com/advertiser/AR01693402396748677121/creative/CR06514224709419139073?region=anywhere</t>
  </si>
  <si>
    <t>Super stoked to join this panel lineup hosted by @semrush On 👉“How to Launch 🚀 and Promote a Product with Social Media in 2019”  What if you could simplify your next product launch, using social media to foster engagement, interaction, and eventual purchases? You can!! I’m excited to dive into this with SEMrush as well as this super smartie panel to answer your questions!  Join @rebekahradice @mrl</t>
  </si>
  <si>
    <t>#socialmediamarketing, #relationshipmarketing, #buildrelationships, #seo, #sem, #cx, #cem, #business, #marketing</t>
  </si>
  <si>
    <t>Tagged non-reel item (Static Photo) at grid position #252.</t>
  </si>
  <si>
    <t>Grid item #252. Discovered from Tagged page grid in sequential order.</t>
  </si>
  <si>
    <t>CrazyVisitors.com Website Traffic</t>
  </si>
  <si>
    <t>Tagged non-reel item (Static Photo) at grid position #253.</t>
  </si>
  <si>
    <t>Grid item #253. Discovered from Tagged page grid in sequential order.</t>
  </si>
  <si>
    <t>Discovered at visual grid position #188. Verified Ad Details URL. Format: Single Image Ad.</t>
  </si>
  <si>
    <t>CR06514224709419139073</t>
  </si>
  <si>
    <t>https://adstransparency.google.com/advertiser/AR01693402396748677121/creative/CR08963800688979083265?region=anywhere</t>
  </si>
  <si>
    <t>C O M M U N I T Y 🙌🏼 What does that word mean to you? . Don't think deeply about it; just tell me whatever random ideas or words come into your head when you think about 'Community'. For me it means:- . 🧡  Strength 🧡  Support 🧡  Sharing 🧡  Understanding 🧡  Collaboration 🧡  Nurturing 🧡  Selflessness 🧡  Giving . I can't think of one negative word associated with 'community'. . It's tough being a sta</t>
  </si>
  <si>
    <t>#CMWorld, #SocialROI, #smechat, #Digital360Chat, #TwitterSmarter, #SEMRushChat, #communitysupport, #communitybuilding, #businesscommunity, #successinbusiness, #businessinspiration, #womeninbusiness, #growyourbusinessonline, #businesstips101, #entrepreneurslife, #smallbusinesslife, #indiebusiness, #solopreneurs, #adviceoftheday, #growyourbrand, #femaleentrepreneurs, #businessnetwork, #networking, #instamotivation, #starttheweekright, #gloucestershire, #cheltenhamwomeninbusiness</t>
  </si>
  <si>
    <t>Tagged non-reel item (Static Photo) at grid position #254.</t>
  </si>
  <si>
    <t>Grid item #254. Discovered from Tagged page grid in sequential order.</t>
  </si>
  <si>
    <t>¡16 horas intensivas de puro #SEO aplicado a content marketing en inbound! 👨🏻‍💻 GRACIAS a todos nuestros estudiantes!!❤️❤️ Esperamos que hayan aprendido muchas cosas nuevas para aplicar en todos sus proyectos🤓 . . . .  #inbound #marketingdigital #marketing #seo #digital #socialmedia #bogota #trends #ads #advertising #media #redessociales #inboundmarketing #publicidad #google #workshop #entrepreneu</t>
  </si>
  <si>
    <t>#SEO, #inbound, #marketingdigital, #marketing, #seo, #digital, #socialmedia, #bogota, #trends, #ads, #advertising, #media, #redessociales, #inboundmarketing, #publicidad, #google, #workshop, #entrepreneur, #innovation, #seoweekend, #weekend, #strategist, #agencia, #work, #content, #lifestyle, #life, #friends, #learn, #startup, #business</t>
  </si>
  <si>
    <t>Tagged non-reel item (Static Photo) at grid position #255.</t>
  </si>
  <si>
    <t>Grid item #255. Discovered from Tagged page grid in sequential order.</t>
  </si>
  <si>
    <t>CR08963800688979083265</t>
  </si>
  <si>
    <t>Discovered at visual grid position #189. Verified Ad Details URL. Format: Single Image Ad.</t>
  </si>
  <si>
    <t>https://adstransparency.google.com/advertiser/AR01693402396748677121/creative/CR01663896701569597441?region=anywhere</t>
  </si>
  <si>
    <t>Podcasts are great resources to get your fill of the latest marketing trends, insights, and tips. Regardless of your expertise in marketing, you’ll find something useful in the podcasts listed here. - Marketing School with @neilpatel @ericosiu  The GaryVee Audio Experience @garyvee  @smexaminer Podcast Perpetual Traffic by @digitalmarketer - Marketing Scoop Podcast by @semrush</t>
  </si>
  <si>
    <t>Tagged non-reel item (Static Photo) at grid position #256.</t>
  </si>
  <si>
    <t>Grid item #256. Discovered from Tagged page grid in sequential order.</t>
  </si>
  <si>
    <t>A oitava edição do festival Lollapalooza se aproxima e junto com ela, a ansiedade do público aumenta. O evento será realizado em São Paulo, nos dias 5, 6 e 7 de abril. Para entender quais são as atrações mais aguardadas – de acordo com a internet – a SEMrush, empresa líder global em marketing digital, preparou um levantamento com todos os artistas que vão se apresentar no festival. Foto: Gabryel S</t>
  </si>
  <si>
    <t>#lollapalooza, #iza, #samsmith, #r, #acontececuritiba, #Semrush, #show, #festival, #música</t>
  </si>
  <si>
    <t>Tagged non-reel item (Static Photo) at grid position #257.</t>
  </si>
  <si>
    <t>Grid item #257. Discovered from Tagged page grid in sequential order.</t>
  </si>
  <si>
    <t>CR01663896701569597441</t>
  </si>
  <si>
    <t>Healthcare / Ecommerce</t>
  </si>
  <si>
    <t>Smart Health Monitor: Non-invasive portable glucose meter wellness promotion</t>
  </si>
  <si>
    <t>#DidYouKnow 79% of people online, use Facebook. Don't miss out on reaching across to billions of people, set up the Facebook page for your business and start advertising today with #MediaQart ! See our easy tutorial video to learn how Website link. In description  #FacebookAdvertising #InstagramAdvertising #DigitalAdvertising</t>
  </si>
  <si>
    <t>#DidYouKnow, #MediaQart, #FacebookAdvertising, #InstagramAdvertising, #DigitalAdvertising</t>
  </si>
  <si>
    <t>Discovered at visual grid position #190. Verified Ad Details URL. Format: Single Image Ad.</t>
  </si>
  <si>
    <t>Tagged non-reel item (Static Photo) at grid position #258.</t>
  </si>
  <si>
    <t>Grid item #258. Discovered from Tagged page grid in sequential order.</t>
  </si>
  <si>
    <t>https://adstransparency.google.com/advertiser/AR01693402396748677121/creative/CR11409546382344716289?region=anywhere</t>
  </si>
  <si>
    <t>@semrush just debuted their new custom 10x20 trade show exhibit at the Social Media Marketing World Expo! This thing turned out amazing! We love the monitors, the led lighting under the shelves, the backlit logo, the orange color, it all came together perfectly. Make sure to look at the last photo showing the rendering and how spot on the actual booth turned out to be! Crushed it! #tradeshowempori</t>
  </si>
  <si>
    <t>#tradeshowemporium, #semrush, #customtradeshowbooth, #smmw19</t>
  </si>
  <si>
    <t>Tagged non-reel item (Photo Carousel) at grid position #259.</t>
  </si>
  <si>
    <t>Grid item #259. Discovered from Tagged page grid in sequential order.</t>
  </si>
  <si>
    <t>smmw19, mytribemyvibe, workhardplayhard</t>
  </si>
  <si>
    <t>CR11409546382344716289</t>
  </si>
  <si>
    <t>https://adstransparency.google.com/advertiser/AR01693402396748677121/creative/CR11172432576646217729?region=anywhere</t>
  </si>
  <si>
    <t>Discovered at visual grid position #191. Verified Ad Details URL. Format: Single Image Ad.</t>
  </si>
  <si>
    <t>it’s the most wonderful time of the year. . . #smmw19 #mytribemyvibe #workhardplayhard #dowhatyoulovetodo #traveltimes #sandiegocalifornia #passionprojects</t>
  </si>
  <si>
    <t>#smmw19, #mytribemyvibe, #workhardplayhard, #dowhatyoulovetodo, #traveltimes, #sandiegocalifornia, #passionprojects</t>
  </si>
  <si>
    <t>Tagged non-reel item (Photo Carousel) at grid position #260.</t>
  </si>
  <si>
    <t>Grid item #260. Discovered from Tagged page grid in sequential order.</t>
  </si>
  <si>
    <t>CR11172432576646217729</t>
  </si>
  <si>
    <t>Such an awesome booth at #smmw19 you need to check them out @semrush . . #semrush #socialmedia #content #seo #trafficanalytics #ppc #compectitiveresearch</t>
  </si>
  <si>
    <t>#smmw19, #semrush, #socialmedia, #content, #seo, #trafficanalytics, #ppc, #compectitiveresearch</t>
  </si>
  <si>
    <t>Tagged non-reel item (Static Photo) at grid position #261.</t>
  </si>
  <si>
    <t>Grid item #261. Discovered from Tagged page grid in sequential order.</t>
  </si>
  <si>
    <t>smmw19, semrush</t>
  </si>
  <si>
    <t>https://adstransparency.google.com/advertiser/AR01693402396748677121/creative/CR01269360043686363137?region=anywhere</t>
  </si>
  <si>
    <t>Party was LIT last night!!! 🔥🔥🔥 #smmw19 #semrush</t>
  </si>
  <si>
    <t>#smmw19, #semrush</t>
  </si>
  <si>
    <t>Tagged non-reel item (Static Photo) at grid position #262.</t>
  </si>
  <si>
    <t>Grid item #262. Discovered from Tagged page grid in sequential order.</t>
  </si>
  <si>
    <t>smmw19</t>
  </si>
  <si>
    <t>Discovered at visual grid position #192. Verified Ad Details URL. Format: Single Image Ad.</t>
  </si>
  <si>
    <t>CR01269360043686363137</t>
  </si>
  <si>
    <t>Thanks @semrush!  Just what I wanted,  a journal. #smmw19</t>
  </si>
  <si>
    <t>#smmw19</t>
  </si>
  <si>
    <t>Tagged non-reel item (Static Photo) at grid position #263.</t>
  </si>
  <si>
    <t>https://adstransparency.google.com/advertiser/AR01693402396748677121/creative/CR01114022827620564993?region=anywhere</t>
  </si>
  <si>
    <t>Grid item #263. Discovered from Tagged page grid in sequential order.</t>
  </si>
  <si>
    <t>Wanna try something new? Become our next Online Reputation Management Team Lead and help shape the Semrush brand perception.</t>
  </si>
  <si>
    <t>The social media vending machine!! #smmw19 @semrush</t>
  </si>
  <si>
    <t>Tagged non-reel item (Static Photo) at grid position #264.</t>
  </si>
  <si>
    <t>Grid item #264. Discovered from Tagged page grid in sequential order.</t>
  </si>
  <si>
    <t>CR01114022827620564993</t>
  </si>
  <si>
    <t>https://adstransparency.google.com/advertiser/AR01693402396748677121/creative/CR10292272419099901953?region=anywhere</t>
  </si>
  <si>
    <t>I'm here at Semrush and ready to see what I get from their social media vending machine!! #smmw19 @semrush</t>
  </si>
  <si>
    <t>Tagged non-reel item (Static Photo) at grid position #265.</t>
  </si>
  <si>
    <t>Grid item #265. Discovered from Tagged page grid in sequential order.</t>
  </si>
  <si>
    <t>Discovered at visual grid position #193. Verified Ad Details URL. Format: Single Image Ad.</t>
  </si>
  <si>
    <t>It was a night of fine wine, delicious food and team building! We learnt lots about keeping up with the latest SEO and digital marketing trends. Thanks for the wonderful event, @semrush! . . . #semrush #fxwebstudio #seo #searchengineoptimisation #searchrankings #smm #ppc #websiterankings #contentmarketing #semrushlive #digitalmarketing #jonesbaywharf #onlinemarketing #entrepreneurlife #businesssuc</t>
  </si>
  <si>
    <t>#semrush, #fxwebstudio, #seo, #searchengineoptimisation, #searchrankings, #smm, #ppc, #websiterankings, #contentmarketing, #semrushlive, #digitalmarketing, #jonesbaywharf, #onlinemarketing, #entrepreneurlife, #businesssuccess, #marketinggoals</t>
  </si>
  <si>
    <t>Tagged non-reel item (Photo Carousel) at grid position #266.</t>
  </si>
  <si>
    <t>Grid item #266. Discovered from Tagged page grid in sequential order.</t>
  </si>
  <si>
    <t>CR10292272419099901953</t>
  </si>
  <si>
    <t>https://adstransparency.google.com/advertiser/AR01693402396748677121/creative/CR00530538463758385153?region=anywhere</t>
  </si>
  <si>
    <t>Different direction into Sydney ... have a fantastic weekend everyone! 🌞 #sydney #sydneyharbour #melbourne #brisbane #perth #adelaide #goldcoast #canberra #darwin #hobart #sunshinecoast #geelong #newcastle #townsville #parramatta #bondi #launceston #surfersparadise #cairns #broome #chatswood #fremantle #nsw #victoria #queensland #australia</t>
  </si>
  <si>
    <t>#sydney, #sydneyharbour, #melbourne, #brisbane, #perth, #adelaide, #goldcoast, #canberra, #darwin, #hobart, #sunshinecoast, #geelong, #newcastle, #townsville, #parramatta, #bondi, #launceston, #surfersparadise, #cairns, #broome, #chatswood, #fremantle, #nsw, #victoria, #queensland, #australia</t>
  </si>
  <si>
    <t>Tagged non-reel item (Static Photo) at grid position #267.</t>
  </si>
  <si>
    <t>Grid item #267. Discovered from Tagged page grid in sequential order.</t>
  </si>
  <si>
    <t>semrush, smmw19</t>
  </si>
  <si>
    <t>Shape the future of Tech! Lead with us as VP of Product Marketing with 12+ years of experience in a management role.</t>
  </si>
  <si>
    <t>So happy to be here with this smart lady! #semrush #smmw19</t>
  </si>
  <si>
    <t>#semrush, #smmw19</t>
  </si>
  <si>
    <t>Tagged non-reel item (Static Photo) at grid position #268.</t>
  </si>
  <si>
    <t>Grid item #268. Discovered from Tagged page grid in sequential order.</t>
  </si>
  <si>
    <t>CR00530538463758385153</t>
  </si>
  <si>
    <t>https://adstransparency.google.com/advertiser/AR01693402396748677121/creative/CR06593200842935894017?region=anywhere</t>
  </si>
  <si>
    <t>Thanks to everyone who attended my session on growing reach and engagement on Facebook Live today at Social Media Marketing World! #SMMW19 ⁣ ⁣ I sincerely appreciate your time, attention, questions, and support! You were awesome! ⁣ ⁣ If I can ever help you, please feel feee to reach out to me directly, and if you’re interested in attending my Workshop or Retreat, use code SMMW19 for an exclusive d</t>
  </si>
  <si>
    <t>#SMMW19</t>
  </si>
  <si>
    <t>Tagged non-reel item (Static Photo) at grid position #269.</t>
  </si>
  <si>
    <t>Grid item #269. Discovered from Tagged page grid in sequential order.</t>
  </si>
  <si>
    <t>Discovered at visual grid position #194. Verified Ad Details URL. Format: Single Image Ad.</t>
  </si>
  <si>
    <t>Checking out @semrush #smmw19  They have quite the “orange” booth.</t>
  </si>
  <si>
    <t>Tagged non-reel item (Static Photo) at grid position #270.</t>
  </si>
  <si>
    <t>Grid item #270. Discovered from Tagged page grid in sequential order.</t>
  </si>
  <si>
    <t>Tired of the same old routine? Then come take on the role of Senior Pentester.</t>
  </si>
  <si>
    <t>CR06593200842935894017</t>
  </si>
  <si>
    <t>https://adstransparency.google.com/advertiser/AR01693402396748677121/creative/CR05937200319967526913?region=anywhere</t>
  </si>
  <si>
    <t>I am about to win a prize..! #smmw19 @semrush</t>
  </si>
  <si>
    <t>Tagged non-reel item (Static Photo) at grid position #271.</t>
  </si>
  <si>
    <t>Grid item #271. Discovered from Tagged page grid in sequential order.</t>
  </si>
  <si>
    <t>DC team at @semrush live event. #marketingpartners #marketingagency #digitalmarketing #agencylife</t>
  </si>
  <si>
    <t>#marketingpartners, #marketingagency, #digitalmarketing, #agencylife</t>
  </si>
  <si>
    <t>Tagged non-reel item (Static Photo) at grid position #272.</t>
  </si>
  <si>
    <t>Ran from Mar 20, 2026 to Apr 3, 2026</t>
  </si>
  <si>
    <t>Grid item #272. Discovered from Tagged page grid in sequential order.</t>
  </si>
  <si>
    <t>SMMW19</t>
  </si>
  <si>
    <t>Discovered at visual grid position #195. Verified Ad Details URL. Format: Single Image Ad.</t>
  </si>
  <si>
    <t>CR05937200319967526913</t>
  </si>
  <si>
    <t>@semrush Giving away great prizes at #SMMW19!</t>
  </si>
  <si>
    <t>Tagged non-reel item (Static Photo) at grid position #273.</t>
  </si>
  <si>
    <t>https://adstransparency.google.com/advertiser/AR01693402396748677121/creative/CR00414054896241737729?region=anywhere</t>
  </si>
  <si>
    <t>Grid item #273. Discovered from Tagged page grid in sequential order.</t>
  </si>
  <si>
    <t>Ready for something big? Then come work as an Enterprise Security Engineer!</t>
  </si>
  <si>
    <t>Enterprise &amp; GTM</t>
  </si>
  <si>
    <t>Awesome meeting the great people of @semrush #SMMW19</t>
  </si>
  <si>
    <t>Tagged non-reel item (Static Photo) at grid position #274.</t>
  </si>
  <si>
    <t>Grid item #274. Discovered from Tagged page grid in sequential order.</t>
  </si>
  <si>
    <t>Coolest. Booth. Ever. @semrush #smmw19</t>
  </si>
  <si>
    <t>Tagged non-reel item (Static Photo) at grid position #275.</t>
  </si>
  <si>
    <t>Grid item #275. Discovered from Tagged page grid in sequential order.</t>
  </si>
  <si>
    <t>CR00414054896241737729</t>
  </si>
  <si>
    <t>Discovered at visual grid position #196. Verified Ad Details URL. Format: Single Image Ad.</t>
  </si>
  <si>
    <t>https://adstransparency.google.com/advertiser/AR01693402396748677121/creative/CR13247407281085087745?region=anywhere</t>
  </si>
  <si>
    <t>Tagged non-reel item (Static Photo) at grid position #276.</t>
  </si>
  <si>
    <t>Grid item #276. Discovered from Tagged page grid in sequential order.</t>
  </si>
  <si>
    <t>Transform your work life!</t>
  </si>
  <si>
    <t>Drive change in tech and become our new Senior Data Engineer!</t>
  </si>
  <si>
    <t>Big thanks to @semrush for putting this together. . LINK IN BIO . If you missed it, now is the time to check out this awesome recap of 'SEO for Bloggers Webinar: How To Optimize WordPress' that I did with  @shellyfagin and @mediawyse. . . Link in bio. #seo #WordPress #webinar #blogger #bloggingtips #bloggers #blog</t>
  </si>
  <si>
    <t>#seo, #WordPress, #webinar, #blogger, #bloggingtips, #bloggers, #blog</t>
  </si>
  <si>
    <t>Tagged non-reel item (Static Photo) at grid position #277.</t>
  </si>
  <si>
    <t>Grid item #277. Discovered from Tagged page grid in sequential order.</t>
  </si>
  <si>
    <t>How do promote music?  #indie #musicmarketing #musicstudio #musicpromotion #indiemusic #localartist #localmusic #colorado #indieartist #marketing #seo #ppc #socialmediamarketing @semrush</t>
  </si>
  <si>
    <t>#indie, #musicmarketing, #musicstudio, #musicpromotion, #indiemusic, #localartist, #localmusic, #colorado, #indieartist, #marketing, #seo, #ppc, #socialmediamarketing</t>
  </si>
  <si>
    <t>Tagged video reel discovered from Tagged grid position #278.</t>
  </si>
  <si>
    <t>Grid item #278. Discovered from Tagged page grid in sequential order.</t>
  </si>
  <si>
    <t>Content Marketing, Digital Marketing, Startup &amp; Growth</t>
  </si>
  <si>
    <t>CR13247407281085087745</t>
  </si>
  <si>
    <t>Discovered at visual grid position #197. Verified Ad Details URL. Format: Single Image Ad.</t>
  </si>
  <si>
    <t>https://adstransparency.google.com/advertiser/AR01693402396748677121/creative/CR15103675035266580481?region=anywhere</t>
  </si>
  <si>
    <t>Happy #SponsorshipSunday! Today we are highlighting another sponsor from our Career &amp; Internship Reception. @semrush is a global marketing tool that gives analytics reports, advertising tools, social media tracking, and so much more to its users. SEMrush has grown from a small startup to a world leader in online marketing competitive research services. They believe marketing tools should be simple</t>
  </si>
  <si>
    <t>#SponsorshipSunday</t>
  </si>
  <si>
    <t>Tagged non-reel item (Static Photo) at grid position #279.</t>
  </si>
  <si>
    <t>Grid item #279. Discovered from Tagged page grid in sequential order.</t>
  </si>
  <si>
    <t>Tagged non-reel item (Static Photo) at grid position #280.</t>
  </si>
  <si>
    <t>Grid item #280. Discovered from Tagged page grid in sequential order.</t>
  </si>
  <si>
    <t>Ran from Mar 26, 2026 to Apr 5, 2026</t>
  </si>
  <si>
    <t>Discovered at visual grid position #198. Verified Ad Details URL. Format: Single Image Ad.</t>
  </si>
  <si>
    <t>CR15103675035266580481</t>
  </si>
  <si>
    <t>https://adstransparency.google.com/advertiser/AR01693402396748677121/creative/CR04115567594377838593?region=anywhere</t>
  </si>
  <si>
    <t>A colorful quiz for all the bright minds out there!  Answer these 12 questions and stand a chance to win a SEMrush Holi Gift Box.  Play Quiz Now: https://goo.gl/Ahwxup (Find link in the profile bio or message us or comment below )  #SEMrushHoli #DigitalMarketing #PlayNow #EduPristine</t>
  </si>
  <si>
    <t>#SEMrushHoli, #DigitalMarketing, #PlayNow, #EduPristine</t>
  </si>
  <si>
    <t>Tagged non-reel item (Static Photo) at grid position #281.</t>
  </si>
  <si>
    <t>Grid item #281. Discovered from Tagged page grid in sequential order.</t>
  </si>
  <si>
    <t>SEO Conference terbesar di Indonesia 2019.  Banyak insight &amp; prespective yang berbeda2 dari para expert, yang mana itu semua sangat berguna &amp; menambah wawasan kita.  SEOCON akan diadakan lagi di tahun depan loh 2020.  Sabar menunggu ya guys. Hehehe  #seocon #akudigital</t>
  </si>
  <si>
    <t>#seocon, #akudigital</t>
  </si>
  <si>
    <t>Tagged non-reel item (Photo Carousel) at grid position #282.</t>
  </si>
  <si>
    <t>CR04115567594377838593</t>
  </si>
  <si>
    <t>Grid item #282. Discovered from Tagged page grid in sequential order.</t>
  </si>
  <si>
    <t>https://adstransparency.google.com/advertiser/AR01693402396748677121/creative/CR13777855876947771393?region=anywhere</t>
  </si>
  <si>
    <t>Discovered at visual grid position #199. Verified Ad Details URL. Format: Single Image Ad.</t>
  </si>
  <si>
    <t>𝓢𝓲𝓪𝓶𝓸 𝓼𝓮𝓶𝓹𝓻𝓮 𝓹𝓲ù 𝓼𝓬𝓱𝓲𝓪𝓿𝓲 𝓭𝓮𝓵 𝓬𝓮𝓵𝓵𝓾𝓵𝓪𝓻𝓮!  Il Digital In 2019 di @wearesocial ha registrato nel 2018 un forte incremento dell’utilizzo del web, con oltre un milione di nuovi utenti ogni giorno: si può affermare che gli originali “Next billion users” sono ora tutti online. Ed aspettiamo i prossimi.  Lo studio parla di:  5,11 miliardi di utenti mobile al mondo, un incremento di oltre 100 milioni (+2%)</t>
  </si>
  <si>
    <t>#digitalmarketing, #marketing, #socialmediamarketing, #seo, #socialmedia, #business, #branding, #contentmarketing, #onlinemarketing, #entrepreneur, #marketingdigital, #marketingtips, #advertising, #webdesign, #startup, #smallbusiness, #marketingstrategy, #entrepreneurship, #design, #instagram, #graphicdesign, #website, #success, #digital, #b, #smm, #emailmarketing, #marketingonline, #internetmarketing, #influencer</t>
  </si>
  <si>
    <t>Tagged non-reel item (Static Photo) at grid position #283.</t>
  </si>
  <si>
    <t>Grid item #283. Discovered from Tagged page grid in sequential order.</t>
  </si>
  <si>
    <t>CR13777855876947771393</t>
  </si>
  <si>
    <t>We learned a lot and met some great people at the #semrushlive event! #WendyandtheEmilys  #EAX2 #WendyFromScranton  #Repost @enx2marketing • • • • • Not only was the #ENX2Crew in Los Angeles, but our team recently made its way to New York City for @semrush Live NYC. ☀️ #ENX2Marketing #SEMrush #CoastToCoast #NYC #NewYork #DigitalMarketing #LegalMarketing #Marketing #Digital #B2B #Teamwork #Travel #</t>
  </si>
  <si>
    <t>#semrushlive, #WendyandtheEmilys, #EAX2, #WendyFromScranton, #Repost, #ENX2Crew, #ENX2Marketing, #SEMrush, #CoastToCoast, #NYC, #NewYork, #DigitalMarketing, #LegalMarketing, #Marketing, #Digital, #B2B, #Teamwork, #Travel, #BusinessOnTheRise, #LetsBeAmazing</t>
  </si>
  <si>
    <t>Tagged non-reel item (Static Photo) at grid position #284.</t>
  </si>
  <si>
    <t>Grid item #284. Discovered from Tagged page grid in sequential order.</t>
  </si>
  <si>
    <t>https://adstransparency.google.com/advertiser/AR01693402396748677121/creative/CR11456010919100809217?region=anywhere</t>
  </si>
  <si>
    <t>Vuoi essere un professionista nel digital marketing? Studia il Content. E usa SemRush!  Non esiste ottenere ottimi risultati come Social Media Manager o Digital Marketer se non sai usare #semrush oppure se non comprendi la potenza del #contentmarketing  #digitalmarketing #marketing #socialmediamarketing #seo #socialmedia #business #branding #contentmarketing #onlinemarketing #entrepreneur #marketi</t>
  </si>
  <si>
    <t>#semrush, #contentmarketing, #digitalmarketing, #marketing, #socialmediamarketing, #seo, #socialmedia, #business, #branding, #contentmarketing, #onlinemarketing, #entrepreneur, #marketingdigital, #marketingtips, #advertising, #webdesign, #startup, #smallbusiness, #marketingstrategy, #entrepreneurship, #design, #instagram, #graphicdesign, #website, #successo, #digital, #emailmarketing, #marketingonline, #internetmarketing</t>
  </si>
  <si>
    <t>Tagged non-reel item (Static Photo) at grid position #285.</t>
  </si>
  <si>
    <t>Grid item #285. Discovered from Tagged page grid in sequential order.</t>
  </si>
  <si>
    <t>Ran from Mar 27, 2026 to Apr 8, 2026</t>
  </si>
  <si>
    <t>Supreme, RayBan</t>
  </si>
  <si>
    <t>Discovered at visual grid position #200. Verified Ad Details URL. Format: Single Image Ad.</t>
  </si>
  <si>
    <t>CR11456010919100809217</t>
  </si>
  <si>
    <t>https://adstransparency.google.com/advertiser/AR01693402396748677121/creative/CR13068219596228526081?region=anywhere</t>
  </si>
  <si>
    <t>SEMRush’ın yaptığı bir araştırmaya göre 2018 yılında, internette taklit ürün aratmaları bir önceki yıla oranla %15 arttı. 2017 ve 2018 yılında taklidi en çok aratılan marka #Supreme oldu. Supreme’den sonra ikinci sırada #RayBan bulunuyor.</t>
  </si>
  <si>
    <t>#Supreme, #RayBan</t>
  </si>
  <si>
    <t>Tagged non-reel item (Static Photo) at grid position #286.</t>
  </si>
  <si>
    <t>Grid item #286. Discovered from Tagged page grid in sequential order.</t>
  </si>
  <si>
    <t>Ready to get to the next level? Become our new HR Analyst with experience in Workday and Excel reporting.</t>
  </si>
  <si>
    <t>Hey, hey friends and fans and welcome to Wednesday! 🤩 Are you ready for some wisdom? . I attended a webinar on SEO and its impact in our social media marketing efforts, which I do (and hope you do too 💯) to ensure that I am following best practices by authoritative figures like, @SEMRush 👍🏼 One of the topics discussed was this. Ensuring that our brand message is 100% clear and consistent across AL</t>
  </si>
  <si>
    <t>#wednesdaywisdom, #seo, #socialmediastrategy, #authenticity, #consistency, #elevateitnow, #peoplehelpingpeople, #socialmediatips, #marketing, #brandingstrategy, #marketingdigital, #communityovercompetition, #creativeagency, #inboundmarketing, #socialmediamarketing, #digitalmarketing, #contentmarketing, #marketingtips, #marketingstrategy, #marketingonline, #instagrammarketing, #businesstips, #awardwinningmarketingagency, #marketingagency, #digitalmarketingtips, #brandingagency, #marketingconsultant, #picoftheday, #digitalmarketingagency, #brandidentity</t>
  </si>
  <si>
    <t>Tagged non-reel item (Static Photo) at grid position #287.</t>
  </si>
  <si>
    <t>Grid item #287. Discovered from Tagged page grid in sequential order.</t>
  </si>
  <si>
    <t>CR13068219596228526081</t>
  </si>
  <si>
    <t>Discovered at visual grid position #201. Verified Ad Details URL. Format: Single Image Ad.</t>
  </si>
  <si>
    <t>https://adstransparency.google.com/advertiser/AR01693402396748677121/creative/CR01117695265176813569?region=anywhere</t>
  </si>
  <si>
    <t>TOP 3 MARKETING STREATGIES Swipe to Learn!🤓 - Ready to Learn the Top 3 Marketing Strategies? It’s no wonder that SEM is featured in the best ones, right?😌 - Strategies in the marketing world are multiple and vary a lot, but it’s always very important to keep in mind these three to set up a successful business model🥇 . #Repost @digitalmarketing_nyc . . . #marketingdigital #socialmedia #digitalmarke</t>
  </si>
  <si>
    <t>#Repost, #marketingdigital, #socialmedia, #digitalmarketing, #blogging, #branding, #contentmarketing, #blogger, #blog, #hustle, #marketing, #marketingtips, #contentmarketing, #socialmediamarketing, #business, #work, #startup, #brand, #entrepreneurship, #entrepreneurlife, #entrepreneur, #facts, #stats, #tips, #motivationalquotes, #motivation, #inspirationalquotes, #inspiration, #marketingpanda</t>
  </si>
  <si>
    <t>Tagged non-reel item (Photo Carousel) at grid position #288.</t>
  </si>
  <si>
    <t>Grid item #288. Discovered from Tagged page grid in sequential order.</t>
  </si>
  <si>
    <t>Thanks to all of you who came out to StudioHawk tonight to network, have a drink and listen to SEO Specialist at Optimising - Brodie Clark. It was a great night!  See you at the next SEO Meetup! - StudioHawk Team 🦅 #melbseo #seospecialist #studiohawk</t>
  </si>
  <si>
    <t>#melbseo, #seospecialist, #studiohawk</t>
  </si>
  <si>
    <t>CR01117695265176813569</t>
  </si>
  <si>
    <t>Tagged non-reel item (Photo Carousel) at grid position #289.</t>
  </si>
  <si>
    <t>Grid item #289. Discovered from Tagged page grid in sequential order.</t>
  </si>
  <si>
    <t>semrushawards, semrush</t>
  </si>
  <si>
    <t>https://adstransparency.google.com/advertiser/AR01693402396748677121/creative/CR12077864940237488129?region=anywhere</t>
  </si>
  <si>
    <t>Discovered at visual grid position #202. Verified Ad Details URL. Format: Single Image Ad.</t>
  </si>
  <si>
    <t>Cya next time Sydney #semrushawards #semrush</t>
  </si>
  <si>
    <t>#semrushawards, #semrush</t>
  </si>
  <si>
    <t>Tagged non-reel item (Static Photo) at grid position #290.</t>
  </si>
  <si>
    <t>Grid item #290. Discovered from Tagged page grid in sequential order.</t>
  </si>
  <si>
    <t>CR12077864940237488129</t>
  </si>
  <si>
    <t>PEEC</t>
  </si>
  <si>
    <t>Formación de @semrush del equipo Seo de @wamglobal #Madrid  Gracias por enseñarnos las nuevas funcionalidades de la herramienta 📈  #posicionamientodemarca #posicionamientoseo #communitymanager #redessocialesalicante #posicionamiento #redessociales #posicionamientoweb #socialmedia #marketing #marketingdigital #seo #sem #ppc #inbound #inboundmarketing</t>
  </si>
  <si>
    <t>#Madrid, #posicionamientodemarca, #posicionamientoseo, #communitymanager, #redessocialesalicante, #posicionamiento, #redessociales, #posicionamientoweb, #socialmedia, #marketing, #marketingdigital, #seo, #sem, #ppc, #inbound, #inboundmarketing</t>
  </si>
  <si>
    <t>Tagged non-reel item (Static Photo) at grid position #291.</t>
  </si>
  <si>
    <t>Grid item #291. Discovered from Tagged page grid in sequential order.</t>
  </si>
  <si>
    <t>If you want to be a content marketer: 'Write consistently and frequently'  For Academy link in bio  Per i corsi link in bio  #ContentMarketing #digitalmarketing #digital #marketer #marketing #social #socialmarketing #marketingdigital #social #hubspot #inbound #SemRush #google</t>
  </si>
  <si>
    <t>#ContentMarketing, #digitalmarketing, #digital, #marketer, #marketing, #social, #socialmarketing, #marketingdigital, #social, #hubspot, #inbound, #SemRush, #google</t>
  </si>
  <si>
    <t>Tagged non-reel item (Static Photo) at grid position #292.</t>
  </si>
  <si>
    <t>Grid item #292. Discovered from Tagged page grid in sequential order.</t>
  </si>
  <si>
    <t>Discovered at visual grid position #203. Verified Ad Details URL. Format: Single Image Ad.</t>
  </si>
  <si>
    <t>Ve víně je pravda a to také pomůže pojmout všechny Efektivní marketingové kanály podle @anna_kochegura ❤. #today #marketinglife #marketinggirl #zezivotamarketacky #marketingmonday #czechmarketing #efektivnimarketing #praha #lovemarketing #czechgirl #brnogirl #vino #svinemsetolepetahne #internetinfo #dataweps #mmprague #marketinggirl #ilovejiznimorava</t>
  </si>
  <si>
    <t>#today, #marketinglife, #marketinggirl, #zezivotamarketacky, #marketingmonday, #czechmarketing, #efektivnimarketing, #praha, #lovemarketing, #czechgirl, #brnogirl, #vino, #svinemsetolepetahne, #internetinfo, #dataweps, #mmprague, #marketinggirl, #ilovejiznimorava</t>
  </si>
  <si>
    <t>Tagged non-reel item (Static Photo) at grid position #293.</t>
  </si>
  <si>
    <t>Excited for the next step in your career? Become our new Programmatic &amp; Display Lead.</t>
  </si>
  <si>
    <t>Grid item #293. Discovered from Tagged page grid in sequential order.</t>
  </si>
  <si>
    <t>https://peec.ai/</t>
  </si>
  <si>
    <t>Struggling to come up with new article ideas? @semrush have got you covered with their Content Ideas Generator! **LINK IN BIO** . . . . . . . . . . . . #semrush #seo #semrushcontent #contentideas #contentideagenerator #contentidea #seomarketing #marketingideas #contentideas #ideasforcontent #contentwriting #freelancewriting #freelancecontentwriting</t>
  </si>
  <si>
    <t>#semrush, #seo, #semrushcontent, #contentideas, #contentideagenerator, #contentidea, #seomarketing, #marketingideas, #contentideas, #ideasforcontent, #contentwriting, #freelancewriting, #freelancecontentwriting</t>
  </si>
  <si>
    <t>Tagged non-reel item (Static Photo) at grid position #294.</t>
  </si>
  <si>
    <t>Grid item #294. Discovered from Tagged page grid in sequential order.</t>
  </si>
  <si>
    <t>Discovered at visual grid position #204. Verified Ad Details URL. Format: Single Image Ad.</t>
  </si>
  <si>
    <t>webinarshot, screenshot</t>
  </si>
  <si>
    <t>Peec AI GmbH</t>
  </si>
  <si>
    <t>Search Text Ad: "Track AI Brand Visibility - Start 7-Day Free Trial"</t>
  </si>
  <si>
    <t>https://adstransparency.google.com/advertiser/AR05016556376214732801/creative/CR12417144911122399233?region=anywhere</t>
  </si>
  <si>
    <t>#webinarshot I make crazy faces when I’m on camera and stage - I need to stop... but until then here’s my ‘caption this’ #screenshot of the @transferwise webcast (soon a podcast) My song... ‘I just called... to say... I spammed you! I just called... to say... ser-ver’s insecuuuuuuure! I just called... to say... I spaaaaaaaaaaaaaamed yoooooouuuuu..... and I did it for casinos and soooooome porn.’ 😂</t>
  </si>
  <si>
    <t>#webinarshot, #screenshot</t>
  </si>
  <si>
    <t>Tagged non-reel item (Static Photo) at grid position #295.</t>
  </si>
  <si>
    <t>Grid item #295. Discovered from Tagged page grid in sequential order.</t>
  </si>
  <si>
    <t>CR12417144911122399233</t>
  </si>
  <si>
    <t>Quali sono le venti coppie più seguite sul web in Italia? @semrush ha stilato una classifica. Al primo posto @chiaraferragni e @fedez ; al secondo posto @rosafanti @carlocracco; terzo gradino del podio per @bradley_cooper.official e @irinashayk Chi occupa le altre posizioni della classifica?  Potete leggere il mio pezzo a questo link https://alleyoop.ilsole24ore.com/2019/02/14/ferragnez/ #happyval</t>
  </si>
  <si>
    <t>#happyvalentinesday, #love, #couplegoals, #loveisintheair, #valentinesday2018, #ferragnez, #inthenameoflove, #costume, #web, #research, #picoftheday, #photooftheday, #alleyoop, #instadaily, #instagood, #journalism, #couple, #biglove, #followers, #chiaraferragni, #fedez, #irinashayk, #bradleycooper, #relationshipgoals, #relationship, #loverelationship</t>
  </si>
  <si>
    <t>Tagged non-reel item (Static Photo) at grid position #296.</t>
  </si>
  <si>
    <t>Grid item #296. Discovered from Tagged page grid in sequential order.</t>
  </si>
  <si>
    <t>Responsive Display Ad: Peec AI AEO Platform - Monitor Brand Mentions in AI Search</t>
  </si>
  <si>
    <t>https://adstransparency.google.com/advertiser/AR05016556376214732801/creative/CR14430034042231455745?region=anywhere</t>
  </si>
  <si>
    <t>regrann</t>
  </si>
  <si>
    <t>Double tap if you agree 🙌 . Reposted from @semrush @annhandley #regrann</t>
  </si>
  <si>
    <t>#regrann</t>
  </si>
  <si>
    <t>Tagged non-reel item (Static Photo) at grid position #297.</t>
  </si>
  <si>
    <t>Grid item #297. Discovered from Tagged page grid in sequential order.</t>
  </si>
  <si>
    <t>CR14430034042231455745</t>
  </si>
  <si>
    <t>#Repost @semrush with @get_repost ・・・ Double tap if you agree 🙌 @annhandley  #GoodMarketing #ethicalmarketing #marketing #contentmarketing #contentmarketer #content #goodcontent #marketingideals #marketingvalues</t>
  </si>
  <si>
    <t>#Repost, #GoodMarketing, #ethicalmarketing, #marketing, #contentmarketing, #contentmarketer, #content, #goodcontent, #marketingideals, #marketingvalues</t>
  </si>
  <si>
    <t>Tagged non-reel item (Static Photo) at grid position #298.</t>
  </si>
  <si>
    <t>Grid item #298. Discovered from Tagged page grid in sequential order.</t>
  </si>
  <si>
    <t>https://adstransparency.google.com/advertiser/AR05016556376214732801/creative/CR09057676948808925185?region=anywhere</t>
  </si>
  <si>
    <t>Cuando tus clientes potenciales están buscando, ¿te están encontrando? A alguien están encontrando en línea 🔎🧐♟🎯♟🧐🔎 #MKT #marketingdigital #googlesearch</t>
  </si>
  <si>
    <t>Discovered at visual grid position #205. Verified Ad Details URL. Format: Single Image Ad.</t>
  </si>
  <si>
    <t>#MKT, #marketingdigital, #googlesearch</t>
  </si>
  <si>
    <t>Tagged non-reel item (Static Photo) at grid position #299.</t>
  </si>
  <si>
    <t>Grid item #299. Discovered from Tagged page grid in sequential order.</t>
  </si>
  <si>
    <t>CR09057676948808925185</t>
  </si>
  <si>
    <t>Au SEMrush E-commerce Meet-up à Trocadéro ! Le #SEO monte ! Traffic booming! Avec les consultants SEO / SEA de Rankwell . . . #seoexpert #SEOexperts #seomarketing #seoagency #seoworkshop #SearchMarketing #searchagency</t>
  </si>
  <si>
    <t>#SEO, #seoexpert, #SEOexperts, #seomarketing, #seoagency, #seoworkshop, #SearchMarketing, #searchagency</t>
  </si>
  <si>
    <t>https://peec.ai/for-agencies</t>
  </si>
  <si>
    <t>Tagged non-reel item (Static Photo) at grid position #300.</t>
  </si>
  <si>
    <t>Grid item #300. Discovered from Tagged page grid in sequential order.</t>
  </si>
  <si>
    <t>Search Text Ad: "Peec AI for Agencies - White-Label AI Search Visibility Reports"</t>
  </si>
  <si>
    <t>https://adstransparency.google.com/advertiser/AR05016556376214732801/creative/CR04743430884646977537?region=anywhere</t>
  </si>
  <si>
    <t>Une partie de l'équipe Rankwell a assisté au #SEO By Night, un événement de référencement naturel technique ! Le séminaire a été intense et on en ressort inspiré ! . . . #searchagency #SearchMarketing #seoagency #agenceseo #agencesearch #agencesem #internationalseo</t>
  </si>
  <si>
    <t>#SEO, #searchagency, #SearchMarketing, #seoagency, #agenceseo, #agencesearch, #agencesem, #internationalseo</t>
  </si>
  <si>
    <t>Tagged non-reel item (Photo Carousel) at grid position #301.</t>
  </si>
  <si>
    <t>Grid item #301. Discovered from Tagged page grid in sequential order.</t>
  </si>
  <si>
    <t>Discovered at visual grid position #206. Verified Ad Details URL. Format: Single Image Ad.</t>
  </si>
  <si>
    <t>CR04743430884646977537</t>
  </si>
  <si>
    <t>¡En 10 años todo cambia! Hasta la forma de ver a las redes sociales 👩🏻‍💻Si trabajas con ellas, seguramente fuiste víctima de pensamientos muy desfasados, hasta ahora 😄😢 ¿Qué frases “Muy 2009” has escuchado? . . . . . . #10yearschallenge #bronceado #frasestristes #frases  #socialmedia #socialmediaqueen #negocio #oportunidad #marketing #communitymanager #marketingdigital #likefortags #likeforlikes #</t>
  </si>
  <si>
    <t>#10yearschallenge, #bronceado, #frasestristes, #frases, #socialmedia, #socialmediaqueen, #negocio, #oportunidad, #marketing, #communitymanager, #marketingdigital, #likefortags, #likeforlikes, #likeforfollow, #socialmediacoach, #instalike, #instagood, #socialmediafollowers, #like4likes, #likeforlikeback, #socialmediaguru, #socialmediaexpert, #ventasonline, #inspiration, #marketingtips, #inspirationalquotes, #video, #pasado</t>
  </si>
  <si>
    <t>https://peec.ai/demo</t>
  </si>
  <si>
    <t>Tagged video reel discovered from Tagged grid position #302.</t>
  </si>
  <si>
    <t>Grid item #302. Discovered from Tagged page grid in sequential order.</t>
  </si>
  <si>
    <t>Search Text Ad: "Peec AI Live Demo - Schedule a Platform Walkthrough"</t>
  </si>
  <si>
    <t>https://adstransparency.google.com/advertiser/AR05016556376214732801/creative/CR16418874655017795585?region=anywhere</t>
  </si>
  <si>
    <t>In today's world of internet and technologies, there are endless number of useful tools that can help you launch and build your start up but choosing the right online tools can be the game changer! Here are a few suggestions from #manarecommends  #tools #startups #business#DigitalMarketing #successful #marketing  #themananetwork #entrepreneur #growth #founder #technology #startuplife</t>
  </si>
  <si>
    <t>#manarecommends, #tools, #startups, #business, #DigitalMarketing, #successful, #marketing, #themananetwork, #entrepreneur, #growth, #founder, #technology, #startuplife</t>
  </si>
  <si>
    <t>Tagged non-reel item (Photo Carousel) at grid position #303.</t>
  </si>
  <si>
    <t>Grid item #303. Discovered from Tagged page grid in sequential order.</t>
  </si>
  <si>
    <t>peopleareawesome</t>
  </si>
  <si>
    <t>CR16418874655017795585</t>
  </si>
  <si>
    <t>Please share!  #peopleareawesome</t>
  </si>
  <si>
    <t>#peopleareawesome</t>
  </si>
  <si>
    <t>Discovered at visual grid position #207. Verified Ad Details URL. Format: Single Image Ad.</t>
  </si>
  <si>
    <t>Tagged non-reel item (Static Photo) at grid position #304.</t>
  </si>
  <si>
    <t>Grid item #304. Discovered from Tagged page grid in sequential order.</t>
  </si>
  <si>
    <t>Search Text Ad: "Smart AEO Analytics - Monitor ChatGPT, Perplexity &amp; Gemini Mentions"</t>
  </si>
  <si>
    <t>https://adstransparency.google.com/advertiser/AR05016556376214732801/creative/CR10003101161642524673?region=anywhere</t>
  </si>
  <si>
    <t>В первые выходные весны @Epic_skills открывает свои двери и ждёт тебя на традиционном Open Epic Day. В этот раз поговорим о работе и фрилансе в digital.  Потенциальные работодатели из digital-агентств и HR-специалисты расскажут, чего ждут от соискателей, а ребята, которые ушли из офиса, поделятся плюсами и минусами работы на фрилансе.  В программе выступления от представителей @nimax_agency, Headh</t>
  </si>
  <si>
    <t>Tagged non-reel item (Static Photo) at grid position #305.</t>
  </si>
  <si>
    <t>Grid item #305. Discovered from Tagged page grid in sequential order.</t>
  </si>
  <si>
    <t>CR10003101161642524673</t>
  </si>
  <si>
    <t>Search Text Ad: "AI Search Analytics Platform for Marketing &amp; Growth Teams"</t>
  </si>
  <si>
    <t>https://adstransparency.google.com/advertiser/AR05016556376214732801/creative/CR08771988686490304513?region=anywhere</t>
  </si>
  <si>
    <t>It's really #motivational for me to be in your #follower list @denharsh sir. Next dream is to meet you once in my life. . . . . #bloggerlife #bloggerstyle #blogging #blogger #delhiblogger #indianblogger #digitalblogger #influencer #DigitalMarketing #techblogger #motivationalspeaker #motivation #entrepreneurs #InfluencerMarketing #influencers #featured #inspiration #inspirational #praise #influence</t>
  </si>
  <si>
    <t>#motivational, #follower, #bloggerlife, #bloggerstyle, #blogging, #blogger, #delhiblogger, #indianblogger, #digitalblogger, #influencer, #DigitalMarketing, #techblogger, #motivationalspeaker, #motivation, #entrepreneurs, #InfluencerMarketing, #influencers, #featured, #inspiration, #inspirational, #praise, #influence, #ShouTech</t>
  </si>
  <si>
    <t>Tagged non-reel item (Static Photo) at grid position #306.</t>
  </si>
  <si>
    <t>Grid item #306. Discovered from Tagged page grid in sequential order.</t>
  </si>
  <si>
    <t>Discovered at visual grid position #208. Verified Ad Details URL. Format: Single Image Ad.</t>
  </si>
  <si>
    <t>#soddisfactions #webmarketing #ilgiornaledivicenza #innovazione</t>
  </si>
  <si>
    <t>#soddisfactions, #webmarketing, #ilgiornaledivicenza, #innovazione</t>
  </si>
  <si>
    <t>Tagged non-reel item (Photo Carousel) at grid position #307.</t>
  </si>
  <si>
    <t>Grid item #307. Discovered from Tagged page grid in sequential order.</t>
  </si>
  <si>
    <t>CR08771988686490304513</t>
  </si>
  <si>
    <t>https://adstransparency.google.com/advertiser/AR05016556376214732801/creative/CR08480653246552080385?region=anywhere</t>
  </si>
  <si>
    <t>Want to own the way you work? Be our new Insights Analyst with solid experience in SQ, Tableau, and statistics.</t>
  </si>
  <si>
    <t>Petit cadeau de @semrush et Miss SEO Girl pour Noël 😊 Merci * * * #patricedefago #seo #semrush #cool</t>
  </si>
  <si>
    <t>#patricedefago, #seo, #semrush, #cool</t>
  </si>
  <si>
    <t>Tagged non-reel item (Static Photo) at grid position #308.</t>
  </si>
  <si>
    <t>Grid item #308. Discovered from Tagged page grid in sequential order.</t>
  </si>
  <si>
    <t>How to Leverage Natural Syndication Networks to Earn More Links  via @semrush  #LocalSEO #SEO #SEM #linkbuilding #backlink</t>
  </si>
  <si>
    <t>#LocalSEO, #SEO, #SEM, #linkbuilding, #backlink</t>
  </si>
  <si>
    <t>Tagged non-reel item (Static Photo) at grid position #309.</t>
  </si>
  <si>
    <t>CR08480653246552080385</t>
  </si>
  <si>
    <t>Grid item #309. Discovered from Tagged page grid in sequential order.</t>
  </si>
  <si>
    <t>https://adstransparency.google.com/advertiser/AR05016556376214732801/creative/CR02617533329959813121?region=anywhere</t>
  </si>
  <si>
    <t>Discovered at visual grid position #209. Verified Ad Details URL. Format: Single Image Ad.</t>
  </si>
  <si>
    <t>Great evening with @semrush yesterday keeping us up to date with the ever changing landscape of digital marketing 💪 • • Also, it was nice to meet some new faces 👌 • #Huckletree #SEMrush #DigitalStrategy #DigitalAgencyEducation</t>
  </si>
  <si>
    <t>#Huckletree, #SEMrush, #DigitalStrategy, #DigitalAgencyEducation</t>
  </si>
  <si>
    <t>Tagged non-reel item (Static Photo) at grid position #310.</t>
  </si>
  <si>
    <t>Grid item #310. Discovered from Tagged page grid in sequential order.</t>
  </si>
  <si>
    <t>CR02617533329959813121</t>
  </si>
  <si>
    <t>https://peec.ai/visibility/platform</t>
  </si>
  <si>
    <t>🔑 Keyword research is a critical component of developing a digital marketing plan that will yield maximized ROI!  Evan explains why keyword research is crucial for your content marketing strategy!  You can view full video by visiting our link in bio!  #wearedma #dma #digitalmarketingagency #seo #searchengineoptimization #contentmarketing #seostrategy #seofact #seofacts #keywords #keywordsresearch</t>
  </si>
  <si>
    <t>#wearedma, #dma, #digitalmarketingagency, #seo, #searchengineoptimization, #contentmarketing, #seostrategy, #seofact, #seofacts, #keywords, #keywordsresearch, #semrush, #ahrefs, #moz, #yoast, #marketingstrategy, #marketing101, #business101, #digitalmarketing, #onlinemarketing, #internetmarketing</t>
  </si>
  <si>
    <t>Tagged video reel discovered from Tagged grid position #311.</t>
  </si>
  <si>
    <t>Grid item #311. Discovered from Tagged page grid in sequential order.</t>
  </si>
  <si>
    <t>Search Text Ad: "GEO Optimization Platform - Generative Engine Optimization by Peec AI"</t>
  </si>
  <si>
    <t>https://adstransparency.google.com/advertiser/AR05016556376214732801/creative/CR15077145013689253889?region=anywhere</t>
  </si>
  <si>
    <t>During your keyword research, identify all low competition keywords. Doing this will give you a better chance to rank for the keywords related to your industry. #stiganmedia</t>
  </si>
  <si>
    <t>#stiganmedia</t>
  </si>
  <si>
    <t>Tagged non-reel item (Static Photo) at grid position #312.</t>
  </si>
  <si>
    <t>Grid item #312. Discovered from Tagged page grid in sequential order.</t>
  </si>
  <si>
    <t>CR15077145013689253889</t>
  </si>
  <si>
    <t>Discovered at visual grid position #210. Verified Ad Details URL. Format: Single Image Ad.</t>
  </si>
  <si>
    <t>Search Text Ad: "Scale Agency Retainers with AI Search Services &amp; Audits"</t>
  </si>
  <si>
    <t>https://adstransparency.google.com/advertiser/AR05016556376214732801/creative/CR00023504131217948673?region=anywhere</t>
  </si>
  <si>
    <t>50% of 📱 mobile users visited local stores due to LOCAL SEARCH!  If you want to scale up 🔝 your #localbussiness you need to be #LocalSEO ready! And here's why 1️⃣30% of mobile searches 🔎 are related to a location 2️⃣28% of searches 🔍 for something nearby result in a purchase  If you're not on first page of #Google you're practically invisible!  #wearedma #dma #digitalmarketingagency #localsearch #</t>
  </si>
  <si>
    <t>#localbussiness, #LocalSEO, #Google, #wearedma, #dma, #digitalmarketingagency, #localsearch, #localsearchengineoptimization, #googlemaps, #directorylisting, #googlemybusiness, #googlemarketing, #contentmarketing, #searchengineoptimization, #seo, #seostats, #seofacts, #localseostats, #localseofacts, #marketingfact, #marketingfacts, #digitalmarketingfact, #digitalmarketingfacts, #smallbusinessmarketing, #localbusinessmarketing, #franchise, #franchisemarketing, #marketingstrategy, #marketing101, #business101</t>
  </si>
  <si>
    <t>Tagged non-reel item (Static Photo) at grid position #313.</t>
  </si>
  <si>
    <t>Grid item #313. Discovered from Tagged page grid in sequential order.</t>
  </si>
  <si>
    <t>CR00023504131217948673</t>
  </si>
  <si>
    <t>#PassesGiveAway . This is 4th Year of @blogxin and for the 4th Year Running I shall be moderating a Panel talking about  Blogs, Influencers, Brand Strategies  and how the future shall unfold. .  Come Join us BlogX 2019 and go back Enriched :-) .  8th Feb,2019 @eroshotelnewdelhi , Nehru Place. .  And Yes, There are 5 Passes to be won. If you are Interested for yourself or your friend then bas Bol d</t>
  </si>
  <si>
    <t>#PassesGiveAway, #BlogX</t>
  </si>
  <si>
    <t>Tagged non-reel item (Static Photo) at grid position #314.</t>
  </si>
  <si>
    <t>Grid item #314. Discovered from Tagged page grid in sequential order.</t>
  </si>
  <si>
    <t>Discovered at visual grid position #211. Verified Ad Details URL. Format: Single Image Ad.</t>
  </si>
  <si>
    <t>https://adstransparency.google.com/advertiser/AR05016556376214732801/creative/CR07749788419957456897?region=anywhere</t>
  </si>
  <si>
    <t>The Secret Life of Backlinks  via @semrush  #linkbuilding #LocalSEO #SEO #SEM #digitalmarketing</t>
  </si>
  <si>
    <t>#linkbuilding, #LocalSEO, #SEO, #SEM, #digitalmarketing</t>
  </si>
  <si>
    <t>Tagged non-reel item (Static Photo) at grid position #315.</t>
  </si>
  <si>
    <t>Grid item #315. Discovered from Tagged page grid in sequential order.</t>
  </si>
  <si>
    <t>AI Search &amp; GEO, Keyword Research, Digital Marketing</t>
  </si>
  <si>
    <t>CR07749788419957456897</t>
  </si>
  <si>
    <t>https://adstransparency.google.com/advertiser/AR05016556376214732801/creative/CR04501385356981043201?region=anywhere</t>
  </si>
  <si>
    <t>New technologies are increasing the accuracy of segmentation and play an integral role in targeting Hispanic audiences. Join us Thursday, Jan. 24, to hear from SEMRush, as they share with us how they have developed a solid, bilingual keyword strategy for their campaigns and how they use consumer insights to drive their strategies. Register today! . . .  #AMAHouston #EventsHouston #htx #Houston #Ho</t>
  </si>
  <si>
    <t>#AMAHouston, #EventsHouston, #htx, #Houston, #HoustonMarketing, #NetworkingHouston</t>
  </si>
  <si>
    <t>Tagged non-reel item (Static Photo) at grid position #316.</t>
  </si>
  <si>
    <t>Grid item #316. Discovered from Tagged page grid in sequential order.</t>
  </si>
  <si>
    <t>Discovered at visual grid position #212. Verified Ad Details URL. Format: Single Image Ad.</t>
  </si>
  <si>
    <t>CR04501385356981043201</t>
  </si>
  <si>
    <t>[SEMrush Research]: 15 Content Optimization Practices via @semrush ➡️ https://www.semrush.com/blog/semrush-research-15-content-optimization-practices/ • • • • • #searchenginemarketing #searchengineoptimization #digitaladvertising #seo #sem #dataanalytics #contentmarketing #blogging #content #contentoptimization</t>
  </si>
  <si>
    <t>#searchenginemarketing, #searchengineoptimization, #digitaladvertising, #seo, #sem, #dataanalytics, #contentmarketing, #blogging, #content, #contentoptimization</t>
  </si>
  <si>
    <t>Tagged non-reel item (Static Photo) at grid position #317.</t>
  </si>
  <si>
    <t>Search Text Ad: "Peec AI: The AEO Platform - Win Visibility in AI Search"</t>
  </si>
  <si>
    <t>Grid item #317. Discovered from Tagged page grid in sequential order.</t>
  </si>
  <si>
    <t>https://adstransparency.google.com/advertiser/AR05016556376214732801/creative/CR08892140044408586241?region=anywhere</t>
  </si>
  <si>
    <t>👌🏼👌🏼👌🏼On point  Write great stuff... be patient... and act like human!  Google isn't buying your products... people are!  #wearedma #dma #digitalmarketingagency #searchengineoptimization #seoquotes #seoquote #searchenginemarketing #sem #semquotes #serp #serpquotes #seofact #seofacts #searchenginemarketing #googlemarketing #bingmarketing #google #bing #digitalmarketingfact #digitalmarketingfacts #m</t>
  </si>
  <si>
    <t>#wearedma, #dma, #digitalmarketingagency, #searchengineoptimization, #seoquotes, #seoquote, #searchenginemarketing, #sem, #semquotes, #serp, #serpquotes, #seofact, #seofacts, #searchenginemarketing, #googlemarketing, #bingmarketing, #google, #bing, #digitalmarketingfact, #digitalmarketingfacts, #marketingfact, #marketingfacts, #marketingquote, #marketingquotes</t>
  </si>
  <si>
    <t>Tagged non-reel item (Static Photo) at grid position #318.</t>
  </si>
  <si>
    <t>Grid item #318. Discovered from Tagged page grid in sequential order.</t>
  </si>
  <si>
    <t>CR08892140044408586241</t>
  </si>
  <si>
    <t>https://adstransparency.google.com/advertiser/AR05016556376214732801/creative/CR10656106821095260161?region=anywhere</t>
  </si>
  <si>
    <t>Oooh! Can you join us at 5pm today?  I'm really excited to be a guest on this webinar (hosted by @semrush ), along with my good friend @iagdotme and hosted by @digitalmarketingradio and Judith Lewis.  It's going to be soooo topical as we'll be discussing social media content that converts (ie. that gets you the results you want!) Specifically, we’ll be focusing on using calls-to-action that aren’t</t>
  </si>
  <si>
    <t>Tagged non-reel item (Static Photo) at grid position #319.</t>
  </si>
  <si>
    <t>Grid item #319. Discovered from Tagged page grid in sequential order.</t>
  </si>
  <si>
    <t>Discovered at visual grid position #213. Verified Ad Details URL. Format: Single Image Ad.</t>
  </si>
  <si>
    <t>CR10656106821095260161</t>
  </si>
  <si>
    <t>Is Digital Marketing 📣📣 Investment 💰 good for you?  Manny, our VP of Marketing gives you DOPE reasons why you need to invest 💸 in #DigitalMarketing  Click on ⤴ Link in Bio and watch full video on our #YouTube channel!  #wearedma #dma #digitalmarketingagency #digitalmarketingstrategy #searchengineoptimization #seo #seostrategy #internetmarketingfacts #digitalmarketingfacts #marketingfacts #marketin</t>
  </si>
  <si>
    <t>#DigitalMarketing, #YouTube, #wearedma, #dma, #digitalmarketingagency, #digitalmarketingstrategy, #searchengineoptimization, #seo, #seostrategy, #internetmarketingfacts, #digitalmarketingfacts, #marketingfacts, #marketingstrategy, #digitalmarketingstrategy, #marketing101, #backlink, #backlinks, #contentmarketing, #yoastseo, #semrush, #ahrefs, #unitedkingdom, #unitedstates, #australia</t>
  </si>
  <si>
    <t>Tagged video reel discovered from Tagged grid position #320.</t>
  </si>
  <si>
    <t>https://adstransparency.google.com/advertiser/AR05016556376214732801/creative/CR12275662641078206465?region=anywhere</t>
  </si>
  <si>
    <t>Grid item #320. Discovered from Tagged page grid in sequential order.</t>
  </si>
  <si>
    <t>AI Search &amp; GEO, Industry Event, Video Marketing</t>
  </si>
  <si>
    <t>I love blogging. More than 12 years and 2600 published posts) in and I’m not even remotely tired of it.  I’m sharing all the tools I use to keep Everyday Reading going, from the conferences I never miss to my favorite source for music for my videos to the email provider I love with all my heart.  Basically blog nerd heaven over on Everyday Reading today.  And if you have questions about blogging -</t>
  </si>
  <si>
    <t>Tagged non-reel item (Static Photo) at grid position #321.</t>
  </si>
  <si>
    <t>Discovered at visual grid position #214. Verified Ad Details URL. Format: Single Image Ad.</t>
  </si>
  <si>
    <t>Grid item #321. Discovered from Tagged page grid in sequential order.</t>
  </si>
  <si>
    <t>CR12275662641078206465</t>
  </si>
  <si>
    <t>https://adstransparency.google.com/advertiser/AR05016556376214732801/creative/CR15141815375647211521?region=anywhere</t>
  </si>
  <si>
    <t>It's important for you to remember this!  When people go online 🌎 to search for particular treatment or service, they will barely make it to 2nd page of #Google  In fact, TOP 3️⃣ search results in #Healthcare get 50% of all the clicks!  Why is this important ⚠️⚠️ for you?  More than 72% of Internet users say they searched 🔎 on Google for health information in 2018!  Let's make it even more clear -</t>
  </si>
  <si>
    <t>#Google, #Healthcare, #wearedma, #dma, #digitalmarketingagency, #healthcaremarketing, #healthcaremarketingstrategy, #healthcaremarketingtips, #marketingstrategy, #marketingtips, #digitalmarketingstrategy, #digitalmarketingtips, #marketingfacts, #digitalmarketingfacts, #plasticsurgery, #healthcoach, #mentalcoach, #chiropractor, #chiropractors, #cosmeticsurgery, #plasticsurgery, #privateclinic, #hospital, #pediatrician, #healthinsurance, #pediatricians, #healthprofessional, #mentalhealthprofessional, #unitedstates, #unitedkingdom, #australia</t>
  </si>
  <si>
    <t>Tagged non-reel item (Static Photo) at grid position #322.</t>
  </si>
  <si>
    <t>Grid item #322. Discovered from Tagged page grid in sequential order.</t>
  </si>
  <si>
    <t>Join us on 1/16 for our second annual Ladies Lounge: Women Empowering Women! We’ll be hearing from some incredible speakers including @womeninno @semrush @femcove @ownyourworth @claraangelinadiaz @workwonderscareers 💪🏽. Link in profile. 📷 gorg design by @kayturp 💕</t>
  </si>
  <si>
    <t>Tagged non-reel item (Static Photo) at grid position #323.</t>
  </si>
  <si>
    <t>Grid item #323. Discovered from Tagged page grid in sequential order.</t>
  </si>
  <si>
    <t>CR15141815375647211521</t>
  </si>
  <si>
    <t>https://adstransparency.google.com/advertiser/AR05016556376214732801/creative/CR10482587874594127873?region=anywhere</t>
  </si>
  <si>
    <t>Tagged non-reel item (Static Photo) at grid position #324.</t>
  </si>
  <si>
    <t>Grid item #324. Discovered from Tagged page grid in sequential order.</t>
  </si>
  <si>
    <t>Discovered at visual grid position #215. Verified Ad Details URL. Format: Single Image Ad.</t>
  </si>
  <si>
    <t>Do you agree?  #wearedma #dma #digitalmarketingagency #marketingagency #digitalmarketing #digitalmarketingstrategy #contentmarketing #seo #searchengineoptimization #seostrategy #seofact #seofacts #seoquote #seoquotes #marketingquote #marketingquotes #googlemarketing #searchenginemarketing #sem #australia #unitedkingdom #unitedstates</t>
  </si>
  <si>
    <t>#wearedma, #dma, #digitalmarketingagency, #marketingagency, #digitalmarketing, #digitalmarketingstrategy, #contentmarketing, #seo, #searchengineoptimization, #seostrategy, #seofact, #seofacts, #seoquote, #seoquotes, #marketingquote, #marketingquotes, #googlemarketing, #searchenginemarketing, #sem, #australia, #unitedkingdom, #unitedstates</t>
  </si>
  <si>
    <t>Tagged non-reel item (Static Photo) at grid position #325.</t>
  </si>
  <si>
    <t>CR10482587874594127873</t>
  </si>
  <si>
    <t>Grid item #325. Discovered from Tagged page grid in sequential order.</t>
  </si>
  <si>
    <t>https://adstransparency.google.com/advertiser/AR05016556376214732801/creative/CR13758031476140539905?region=anywhere</t>
  </si>
  <si>
    <t>The world is moving towards multi-channel digital marketing, so you can’t just focus your efforts on one specific channel or one specific platform.  www.whitepixel360.com  #digitalpixel #digitalmarketing #digital #Indore360 #indorepostgram  #digital_art #marketingtips #world #update #digitalupdate #platform #socialmedia #socialmediamanager #like4likes #likeforfollow #follow4followback #followforfo</t>
  </si>
  <si>
    <t>#digitalpixel, #digitalmarketing, #digital, #Indore360, #indorepostgram, #digital_art, #marketingtips, #world, #update, #digitalupdate, #platform, #socialmedia, #socialmediamanager, #like4likes, #likeforfollow, #follow4followback, #followforfollowback, #follow, #4follow, #likesforlikes, #likesfortags</t>
  </si>
  <si>
    <t>Tagged non-reel item (Static Photo) at grid position #326.</t>
  </si>
  <si>
    <t>Grid item #326. Discovered from Tagged page grid in sequential order.</t>
  </si>
  <si>
    <t>CR13758031476140539905</t>
  </si>
  <si>
    <t>Discovered at visual grid position #216. Verified Ad Details URL. Format: Single Image Ad.</t>
  </si>
  <si>
    <t>🙏 ਕੱਚੇ ਚਾਹੇ ਪੱਕੇ ਅਾਖ਼ਿਰ ਖ਼ੁਰ ਜਾਣਾ ..    #ਨੀਵੇਂ E ਠੀਕ ਅਾਂ #ੳੁੱਚਿਅਾਂ ਨੇ ਵੀ ਤੁਰ ਜਾਣਾ ✅ #gulabiqueens #jimmysheirgill #gurjazz #gagankokri #vaddagrewal #buntybains #harsimran #bigdhillon #veetbaljit #jennyjohal #navvinder #kambi #soniamann #elly #gippygrewal #amritmaan #sonambajwa #neerubajwa #sukhsanghera #jasminsandhu #badshah #raftaar #gururandhawa #jassigill #sunandasharma #diljitdosanjh #nehakakkar</t>
  </si>
  <si>
    <t>https://peec.ai/black-friday</t>
  </si>
  <si>
    <t>#ਨ, #ੳ, #gulabiqueens, #jimmysheirgill, #gurjazz, #gagankokri, #vaddagrewal, #buntybains, #harsimran, #bigdhillon, #veetbaljit, #jennyjohal, #navvinder, #kambi, #soniamann, #elly, #gippygrewal, #amritmaan, #sonambajwa, #neerubajwa, #sukhsanghera, #jasminsandhu, #badshah, #raftaar, #gururandhawa, #jassigill, #sunandasharma, #diljitdosanjh, #nehakakkar, #mankirtaulakh, #gurwinderweaver, #whosunilgrover, #Raule_di_jameen</t>
  </si>
  <si>
    <t>Tagged non-reel item (Static Photo) at grid position #327.</t>
  </si>
  <si>
    <t>Grid item #327. Discovered from Tagged page grid in sequential order.</t>
  </si>
  <si>
    <t>Your customers have more ways to search</t>
  </si>
  <si>
    <t>Search Text Ad: "Black Friday Exclusive - Save on Annual AEO Platform Subscriptions"</t>
  </si>
  <si>
    <t>https://adstransparency.google.com/advertiser/AR05016556376214732801/creative/CR16330717161322446849?region=anywhere</t>
  </si>
  <si>
    <t>Ran from Mar 20, 2026 to Apr 24, 2026</t>
  </si>
  <si>
    <t>Discovered at visual grid position #217. Verified Ad Details URL. Format: Single Image Ad.</t>
  </si>
  <si>
    <t>A big thank you to @semrush for the bundle of @godivauk chocolates! The post-Christmas diet might need to be shifted back a couple of weeks... . . . . #agencylife #digitalmarketing #officefun #teamwork #seomarketing #digitalmarketingtools</t>
  </si>
  <si>
    <t>#agencylife, #digitalmarketing, #officefun, #teamwork, #seomarketing, #digitalmarketingtools</t>
  </si>
  <si>
    <t>Tagged non-reel item (Static Photo) at grid position #328.</t>
  </si>
  <si>
    <t>Grid item #328. Discovered from Tagged page grid in sequential order.</t>
  </si>
  <si>
    <t>CR16330717161322446849</t>
  </si>
  <si>
    <t>Search Text Ad: "Analyze Brand Sentiment in AI Search - Free 7-Day Trial"</t>
  </si>
  <si>
    <t>https://adstransparency.google.com/advertiser/AR05016556376214732801/creative/CR16556748259180150785?region=anywhere</t>
  </si>
  <si>
    <t>There's an average of 40000 searches on #Google every second. QUITE A LOT!  What's even more interesting 🤔 is that every day, 15% of that day's queries have never been asked before!  Just think 💭 about all the possibilities and keywords which you can use to rank your website!  #wearedma #dma #digitalmarketingagency #digitalagency #marketingagency #digitalmarketing #seo #searchengineoptimization #s</t>
  </si>
  <si>
    <t>#Google, #wearedma, #dma, #digitalmarketingagency, #digitalagency, #marketingagency, #digitalmarketing, #seo, #searchengineoptimization, #searchenginemarketing, #googlefacts, #googlemarketing, #seofacts, #seostats, #marketingfacts, #marketingstats, #marketingstrategy, #contentmarketingstrategy, #onpageseo, #offpageseo, #untiedstates, #unitedkingdom, #australia</t>
  </si>
  <si>
    <t>Tagged non-reel item (Static Photo) at grid position #329.</t>
  </si>
  <si>
    <t>Discovered at visual grid position #218. Verified Ad Details URL. Format: Single Image Ad.</t>
  </si>
  <si>
    <t>Grid item #329. Discovered from Tagged page grid in sequential order.</t>
  </si>
  <si>
    <t>CR16556748259180150785</t>
  </si>
  <si>
    <t>New Job, New Adventure!</t>
  </si>
  <si>
    <t>Pertenecemos a la red más grande de consultores en #marketingdigital del 🌎. Más de 180 #expertos en más de 80 países, constantemente compartiendo nuestro conocimiento y expertise colectivo. Una fuente de conocimiento inigualable. 🙌🏼🖥🌎🖥🙌🏼 #marketing #socialmedia #mexico . . . . . #ecommerce #tiendaonline #coaching #exito #tips #marketingonline #marketingstrategy #marketingestrategico #marketingcoac</t>
  </si>
  <si>
    <t>#marketingdigital, #expertos, #marketing, #socialmedia, #mexico, #ecommerce, #tiendaonline, #coaching, #exito, #tips, #marketingonline, #marketingstrategy, #marketingestrategico, #marketingcoach, #marketingplan, #redessociales, #diseñoweb, #communitymanager, #mkt, #mktdigital, #resultados, #clientes, #posicionamientoweb, #estrategia, #estrategiadigital, #estrategiasdemarketing, #businesscoach, #emprender, #duda, #googlepartner</t>
  </si>
  <si>
    <t>Dreaming of your dream job? Lead with us as Digital Art Director in web design.</t>
  </si>
  <si>
    <t>Tagged non-reel item (Static Photo) at grid position #330.</t>
  </si>
  <si>
    <t>Grid item #330. Discovered from Tagged page grid in sequential order.</t>
  </si>
  <si>
    <t>https://adstransparency.google.com/advertiser/AR05016556376214732801/creative/CR07652558537993748481?region=anywhere</t>
  </si>
  <si>
    <t>Wishing you tons of happiness, love and one LEGENDARY adventure - DMA fam!  As we're entering last week of this year, we dedicated these posts to help you #focus on the upcoming year 🎉 in order to disrupt 🤟🏻 your business!  Snippets are more impactful 💥 than ever!  Nearly a third of snippets return a snippet. Optimizing your content will be a priority!  Google displays different snippet based on t</t>
  </si>
  <si>
    <t>Ran from Mar 14, 2026 to Mar 18, 2026</t>
  </si>
  <si>
    <t>#focus, #linkinbio, #dma, #wearedma, #digitalmarketingagency, #digitalmarketing, #marketingagency, #digitalagency, #seo, #searchengineoptimization, #seostrategy, #seofact, #seofacts, #snippet, #snippets, #websitesnippet, #contentsnippet, #contentmarketing, #blog, #blogs, #blogwriting, #articlewriting, #copywriting, #copywriter, #unitedstates, #unitedkingdom, #australia</t>
  </si>
  <si>
    <t>Tagged non-reel item (Photo Carousel) at grid position #331.</t>
  </si>
  <si>
    <t>Discovered at visual grid position #219. Verified Ad Details URL. Format: Single Image Ad.</t>
  </si>
  <si>
    <t>Grid item #331. Discovered from Tagged page grid in sequential order.</t>
  </si>
  <si>
    <t>CR07652558537993748481</t>
  </si>
  <si>
    <t>Need a push? Become our new Enterprise Business Development Representative fluent in German.</t>
  </si>
  <si>
    <t>https://adstransparency.google.com/advertiser/AR05016556376214732801/creative/CR18365701485397803009?region=anywhere</t>
  </si>
  <si>
    <t>Are #metatags #metatitles and #metadescriptions still important?  ABSOLUTELY!  We create awesome 😎 descriptions that entice users to click the page... that's what you really wanna do at the end of the day!  Check out ➤ Link in Bio and view full video on our #youtube channel!  #wearedma #dma #digitalmarketingagency #digitalmarketing #marketingagency #searchengineoptimization #seo #contentmarketing</t>
  </si>
  <si>
    <t>#metatags, #metatitles, #metadescriptions, #youtube, #wearedma, #dma, #digitalmarketingagency, #digitalmarketing, #marketingagency, #searchengineoptimization, #seo, #contentmarketing, #onpageoptimization, #onpageseo, #seofacts, #seostats, #seotricks, #seoadvice, #websitecontent, #blogwriting, #articlewriting, #copywriting, #copywriter, #blogger, #blogs, #contentmarketingstrategy, #unitedstates, #unitedkingdom, #australia</t>
  </si>
  <si>
    <t>Tagged non-reel item (Static Photo) at grid position #332.</t>
  </si>
  <si>
    <t>Grid item #332. Discovered from Tagged page grid in sequential order.</t>
  </si>
  <si>
    <t>Discovered at visual grid position #220. Verified Ad Details URL. Format: Single Image Ad.</t>
  </si>
  <si>
    <t>Starting on the 26th- we will be doing a five ''business'' day countdown to the New Year with '2019 trend' articles so we all are prepared for the New Year! Happy Holidays everyone!</t>
  </si>
  <si>
    <t>Tagged non-reel item (Static Photo) at grid position #333.</t>
  </si>
  <si>
    <t>Grid item #333. Discovered from Tagged page grid in sequential order.</t>
  </si>
  <si>
    <t>CR18365701485397803009</t>
  </si>
  <si>
    <t>Your next big move starts here! Become a Tech Lead at Semrush and drive the future of SaaS.</t>
  </si>
  <si>
    <t>Search Text Ad: "Compare AEO Platforms - Why Leading Brands Choose Peec AI"</t>
  </si>
  <si>
    <t>https://adstransparency.google.com/advertiser/AR05016556376214732801/creative/CR08787300373749563393?region=anywhere</t>
  </si>
  <si>
    <t>Hoy refrescamos la tarde con @aperolspain en @Theinbounder #valencia #valenciagram</t>
  </si>
  <si>
    <t>#valencia, #valenciagram</t>
  </si>
  <si>
    <t>Tagged non-reel item (Static Photo) at grid position #334.</t>
  </si>
  <si>
    <t>Grid item #334. Discovered from Tagged page grid in sequential order.</t>
  </si>
  <si>
    <t>Ran from Mar 5, 2026 to Mar 11, 2026</t>
  </si>
  <si>
    <t>Discovered at visual grid position #221. Verified Ad Details URL. Format: Single Image Ad.</t>
  </si>
  <si>
    <t>#SEO is less of a task and more of a day-to-day activity. It's like breathing and walking!  Let's compare SEO with a 🌳 tree.  When was the best time to plant a tree? 20 years ago!  If you want to get 🤟🏻 better day by day, month by month, quarter by quarter... you need to start NOW!  Check our latest video 🎥 on our #youtube channel! ➽ Link in Bio  #dma #wearedma #digitalmarketingagency #digitalagen</t>
  </si>
  <si>
    <t>CR08787300373749563393</t>
  </si>
  <si>
    <t>#SEO, #youtube, #dma, #wearedma, #digitalmarketingagency, #digitalagency, #marketingagency, #digitalmarketing, #searchengineoptimization, #contentmarketing, #websiteranking, #websiterank, #contentmarketing, #videomarketing, #keywordsoptimization, #keywordsresearch, #digitalmarketingstrategy, #seostrategy, #seofacts, #seoadvice, #seoquotes, #seoquote, #unitedstates, #unitedkingdom, #australia</t>
  </si>
  <si>
    <t>Tagged non-reel item (Static Photo) at grid position #335.</t>
  </si>
  <si>
    <t>Grid item #335. Discovered from Tagged page grid in sequential order.</t>
  </si>
  <si>
    <t>https://adstransparency.google.com/advertiser/AR05016556376214732801/creative/CR15541951159055941633?region=anywhere</t>
  </si>
  <si>
    <t>💌Merci à  LinkedIn France , @HubSpot, @legroupelaposte , @textmasterteam , @payplug_fr , @jobteaser_ et  @semrush_france pour leurs 7 conseils pour réussir sa stratégie de croissance en 2019 ! Découvrez l'article dans notre blog ➡️ Lien en bio 💌  Thank you LinkedIn France , HubSpot, LaPoste, TextMaster, Payplug, Jobteaser and SEMrush  for contributing to '7 Tips for Successful Growth Strategy in 2</t>
  </si>
  <si>
    <t>#inboundmarketing, #inbound, #hubspotpartner, #marketingautomation, #seo, #marketingtips, #agenceparis, #marketingdigitale, #vacances, #hiver</t>
  </si>
  <si>
    <t>Tagged non-reel item (Photo Carousel) at grid position #336.</t>
  </si>
  <si>
    <t>Grid item #336. Discovered from Tagged page grid in sequential order.</t>
  </si>
  <si>
    <t>CR15541951159055941633</t>
  </si>
  <si>
    <t>https://adstransparency.google.com/advertiser/AR05016556376214732801/creative/CR07973029618728828929?region=anywhere</t>
  </si>
  <si>
    <t>It’s day 11 of #spinsucks Christmas, folks! Today, @dietrichgini gives to you...ELEVEN #software and #tools you must be using in 2019! Once again, hi @coschedule 😘</t>
  </si>
  <si>
    <t>#spinsucks, #software, #tools</t>
  </si>
  <si>
    <t>Discovered at visual grid position #222. Verified Ad Details URL. Format: Single Image Ad.</t>
  </si>
  <si>
    <t>Tagged non-reel item (Static Photo) at grid position #337.</t>
  </si>
  <si>
    <t>Grid item #337. Discovered from Tagged page grid in sequential order.</t>
  </si>
  <si>
    <t>CR07973029618728828929</t>
  </si>
  <si>
    <t>Subscription</t>
  </si>
  <si>
    <t>New niche -2month 🚀 🚀 sin enlaces - contenido original - amazon afiliados generando 100-300 usd al mes - proyecto ya sin tocar... #seo #passiveincome #income #money #house #trabajo #mexico #latino #losangeles inversión o USD - solo tiempo 🚀</t>
  </si>
  <si>
    <t>https://peec.ai/pricing</t>
  </si>
  <si>
    <t>#seo, #passiveincome, #income, #money, #house, #trabajo, #mexico, #latino, #losangeles</t>
  </si>
  <si>
    <t>Tagged non-reel item (Static Photo) at grid position #338.</t>
  </si>
  <si>
    <t>Grid item #338. Discovered from Tagged page grid in sequential order.</t>
  </si>
  <si>
    <t>Search Text Ad: "See Pricing Plans - Flexible AEO Tracking for Teams &amp; Growth"</t>
  </si>
  <si>
    <t>https://adstransparency.google.com/advertiser/AR05016556376214732801/creative/CR10434718780453027841?region=anywhere</t>
  </si>
  <si>
    <t>This article by @semrush is exactly what you need to read going into a new year, check it out! “SEM experiments that will blow your mind” 🤯➡️ https://www.semrush.com/blog/seo-experiments-that-will-blow-your-mind/ • • • • • #sem #seo #searchenginemarketing #searchengineoptimization #content #digitalmarketing</t>
  </si>
  <si>
    <t>#sem, #seo, #searchenginemarketing, #searchengineoptimization, #content, #digitalmarketing</t>
  </si>
  <si>
    <t>Tagged non-reel item (Static Photo) at grid position #339.</t>
  </si>
  <si>
    <t>Grid item #339. Discovered from Tagged page grid in sequential order.</t>
  </si>
  <si>
    <t>CR10434718780453027841</t>
  </si>
  <si>
    <t>https://adstransparency.google.com/advertiser/AR05016556376214732801/creative/CR07857169723413233665?region=anywhere</t>
  </si>
  <si>
    <t>Ran from Mar 21, 2026 to Apr 24, 2026</t>
  </si>
  <si>
    <t>Um levantamento realizado pela SEMrush, líder global de marketing digital, revelou as celebridades mais pesquisadas pelos brasileiros na internet em 2018. Neymar, atual camisa 10 do Paris Saint Germain, desta vez, ganhou o título de celebridade mais digitada nos mecanismos de buscas, como Google e Bing. Em segundo lugar, aparece o jogador Cristiano Ronaldo, com a marca de 10 milhões de buscas. Bru</t>
  </si>
  <si>
    <t>#marketingdigital, #celebridades, #famosos, #pesquisa, #busca, #google, #bing</t>
  </si>
  <si>
    <t>Tagged non-reel item (Photo Carousel) at grid position #340.</t>
  </si>
  <si>
    <t>Discovered at visual grid position #223. Verified Ad Details URL. Format: Single Image Ad.</t>
  </si>
  <si>
    <t>Grid item #340. Discovered from Tagged page grid in sequential order.</t>
  </si>
  <si>
    <t>CR07857169723413233665</t>
  </si>
  <si>
    <t>Are You Looking for Digital marketing Services? We are experts at SEO &amp; Digital marketing with clients ranking across India in the most competitive markets.  We offer full transparency and a systemized ethical approach that actually generates rankings and results. Search Engine Optimization is a crucial cornerstone for any online marketing campaign. We use dependable and reliable organic search ta</t>
  </si>
  <si>
    <t>#syntricon, #searchengineoptimization, #seo, #socialmediamarketing, #seoservices, #contentmarketing, #serp, #campaign, #traffic, #googleranking, #pagespeed, #searchconsole, #crawler, #website, #backlink, #smo, #fitch, #india, #canada, #travel, #technology, #fortnite, #universal, #digitalmarketing, #seotips, #business, #socialmediamanagement, #blogger, #seoexpert, #Instagrammarketing</t>
  </si>
  <si>
    <t>https://adstransparency.google.com/advertiser/AR05016556376214732801/creative/CR10872155152236675073?region=anywhere</t>
  </si>
  <si>
    <t>Tagged non-reel item (Static Photo) at grid position #341.</t>
  </si>
  <si>
    <t>Grid item #341. Discovered from Tagged page grid in sequential order.</t>
  </si>
  <si>
    <t>✔️ Ya es oficial, soy Gurú. Certificado y avalado por @semrush_es ¿eh?  Gracias majos! 😂  #soyguru #guru #alguruyoghurt #marketing #marketingdigital y tal</t>
  </si>
  <si>
    <t>#soyguru, #guru, #alguruyoghurt, #marketing, #marketingdigital</t>
  </si>
  <si>
    <t>Tagged non-reel item (Static Photo) at grid position #342.</t>
  </si>
  <si>
    <t>Grid item #342. Discovered from Tagged page grid in sequential order.</t>
  </si>
  <si>
    <t>Discovered at visual grid position #224. Verified Ad Details URL. Format: Single Image Ad.</t>
  </si>
  <si>
    <t>CR10872155152236675073</t>
  </si>
  <si>
    <t>Display Banner: "Agency Partner Program - Deliver High-Margin GEO Services to Clients"</t>
  </si>
  <si>
    <t>https://adstransparency.google.com/advertiser/AR05016556376214732801/creative/CR15801240834386427905?region=anywhere</t>
  </si>
  <si>
    <t>Come Drive Success!</t>
  </si>
  <si>
    <t>Ready for a big move? Come work with us as a Senior Manager in Consulting Services with 7+ years of experience.</t>
  </si>
  <si>
    <t>You may have heard of people spending months working towards coming on the ‘First Page of Google’. .  If you are a Digital Marketer, you may know of the more formal term – SEO –Search Engine Optimization. Well, today, you may realize the value of good SEO but what goes on behind it is – quality keyword research. .  Keyword research is when people use keywords to find and research actual search ter</t>
  </si>
  <si>
    <t>#seo, #marketing, #digitalmarketing, #socialmedia, #business, #socialmediamarketing, #contentmarketing, #branding, #webdesign, #marketingdigital, #entrepreneur, #onlinemarketing, #google, #marketingtips, #advertising, #startup, #sem, #smallbusiness, #website, #smm, #marketingstrategy, #instagram, #digitalagency, #socialmediatips, #webdevelopment, #content, #blogging, #digital, #internetmarketing, #sem</t>
  </si>
  <si>
    <t>Tagged non-reel item (Photo Carousel) at grid position #343.</t>
  </si>
  <si>
    <t>Grid item #343. Discovered from Tagged page grid in sequential order.</t>
  </si>
  <si>
    <t>CR15801240834386427905</t>
  </si>
  <si>
    <t>https://adstransparency.google.com/advertiser/AR05016556376214732801/creative/CR04879608672512114689?region=anywhere</t>
  </si>
  <si>
    <t>Top digital marketing tools. Are you using them? LIkE &amp; #FOLLOW DigitalRelaunch.com #marketing  #marketingtips #b2cmarketing #b2bmarketing #strategy #mktg #digitalmarketing #marketingstrategy  #mobilemarketing #socialmediamarketing #promotion</t>
  </si>
  <si>
    <t>#FOLLOW, #marketing, #marketingtips, #b2cmarketing, #b2bmarketing, #strategy, #mktg, #digitalmarketing, #marketingstrategy, #mobilemarketing, #socialmediamarketing, #promotion</t>
  </si>
  <si>
    <t>Tagged non-reel item (Static Photo) at grid position #344.</t>
  </si>
  <si>
    <t>Discovered at visual grid position #225. Verified Ad Details URL. Format: Single Image Ad.</t>
  </si>
  <si>
    <t>Grid item #344. Discovered from Tagged page grid in sequential order.</t>
  </si>
  <si>
    <t>CR04879608672512114689</t>
  </si>
  <si>
    <t>Here they are, 4 useful marketing anaytics tools for your business💁🏼</t>
  </si>
  <si>
    <t>Tagged non-reel item (Photo Carousel) at grid position #345.</t>
  </si>
  <si>
    <t>https://adstransparency.google.com/advertiser/AR05016556376214732801/creative/CR06560459585683980289?region=anywhere</t>
  </si>
  <si>
    <t>Grid item #345. Discovered from Tagged page grid in sequential order.</t>
  </si>
  <si>
    <t>What does your team do while eating lunch? We watch remarketing webinars to continue to grow our skills! 🤔</t>
  </si>
  <si>
    <t>Tagged non-reel item (Static Photo) at grid position #346.</t>
  </si>
  <si>
    <t>Grid item #346. Discovered from Tagged page grid in sequential order.</t>
  </si>
  <si>
    <t>CR06560459585683980289</t>
  </si>
  <si>
    <t>Discovered at visual grid position #226. Verified Ad Details URL. Format: Single Image Ad.</t>
  </si>
  <si>
    <t>https://adstransparency.google.com/advertiser/AR05016556376214732801/creative/CR16521296061520674817?region=anywhere</t>
  </si>
  <si>
    <t>Get together for 6th Annual Digital Marketing Summit at Hyderabad. This time will have Awesome Content i.e Open Mic, Pitching Session on Digital Marketing Challenges along with Expert Speaker Talks, Panel Discussion, etc.  ABOUT SPEAKER  Rohan Ayyar is the Regional Marketing Manager for India at SEMrush. He is an experienced digital marketer who has worked in both agency and in-house, developing d</t>
  </si>
  <si>
    <t>#hyderabad, #hyderabadcity, #hyderabadevents, #hydevents, #hyderabadtimes, #hyderabaddiaries, #hyderabadblogger, #hyderabadbloggers, #hyderabadblog, #hyderabadentrepreneurs, #hyderabadstartup, #igershyderabad, #hyderabadinsta, #entrepreneur, #digitalmarketing, #socialmedia, #semrush</t>
  </si>
  <si>
    <t>Tagged non-reel item (Static Photo) at grid position #347.</t>
  </si>
  <si>
    <t>Grid item #347. Discovered from Tagged page grid in sequential order.</t>
  </si>
  <si>
    <t>CR16521296061520674817</t>
  </si>
  <si>
    <t>https://adstransparency.google.com/advertiser/AR05016556376214732801/creative/CR01886147583961726977?region=anywhere</t>
  </si>
  <si>
    <t>Trends and changes, from mobile-first indexing to page speed. Discover what makes the difference for your business to show up in search engine results 🔍 http://ow.ly/DOfL50jPq94 / #SEO #OnlineAdvertising #Contractors #HomeServices #Professionals #GooglePartners #Bing #Inc5000</t>
  </si>
  <si>
    <t>#SEO, #OnlineAdvertising, #Contractors, #HomeServices, #Professionals, #GooglePartners, #Bing, #Inc5000</t>
  </si>
  <si>
    <t>Tagged non-reel item (Static Photo) at grid position #348.</t>
  </si>
  <si>
    <t>Grid item #348. Discovered from Tagged page grid in sequential order.</t>
  </si>
  <si>
    <t>technology, business, musthave</t>
  </si>
  <si>
    <t>Discovered at visual grid position #227. Verified Ad Details URL. Format: Single Image Ad.</t>
  </si>
  <si>
    <t>CR01886147583961726977</t>
  </si>
  <si>
    <t>19 entrepreneurs give their must have business technologies on Rescue a CEO. Check out the link in out profile for the full post. #technology #business #musthave</t>
  </si>
  <si>
    <t>#technology, #business, #musthave</t>
  </si>
  <si>
    <t>Tagged non-reel item (Photo Carousel) at grid position #349.</t>
  </si>
  <si>
    <t>https://adstransparency.google.com/advertiser/AR05016556376214732801/creative/CR07256735219577782273?region=anywhere</t>
  </si>
  <si>
    <t>Grid item #349. Discovered from Tagged page grid in sequential order.</t>
  </si>
  <si>
    <t>программирование, дети, детскоеобразование</t>
  </si>
  <si>
    <t>На прошлых выходных ученики Кодабры в Петербурге представили свои проекты в офисе SEMrush! Ребята показали реальные игры, сделанные с помощью Minecraft, Python и Unity, и доказали всем, что уже стали настоящими программистами.  А еще ребята увидели своими глазами, как функционирует международная IT-компания SEMrush, создающая незаменимые для любого маркетолога продукты. Спасибо нашему партнеру за</t>
  </si>
  <si>
    <t>#программирование, #дети, #детскоеобразование, #minecraftedu, #unity3d</t>
  </si>
  <si>
    <t>Tagged non-reel item (Photo Carousel) at grid position #350.</t>
  </si>
  <si>
    <t>CR07256735219577782273</t>
  </si>
  <si>
    <t>Grid item #350. Discovered from Tagged page grid in sequential order.</t>
  </si>
  <si>
    <t>Discovered at visual grid position #228. Verified Ad Details URL. Format: Single Image Ad.</t>
  </si>
  <si>
    <t>https://adstransparency.google.com/advertiser/AR05016556376214732801/creative/CR04805165687997726721?region=anywhere</t>
  </si>
  <si>
    <t>You have control of your future. Today you can start the change that you want to be....only you can do it.  #training  #education  #careeradvice  #resume</t>
  </si>
  <si>
    <t>#training, #education, #careeradvice, #resume</t>
  </si>
  <si>
    <t>Tagged non-reel item (Static Photo) at grid position #351.</t>
  </si>
  <si>
    <t>Grid item #351. Discovered from Tagged page grid in sequential order.</t>
  </si>
  <si>
    <t>CR04805165687997726721</t>
  </si>
  <si>
    <t>https://adstransparency.google.com/advertiser/AR05016556376214732801/creative/CR07530997975535845377?region=anywhere</t>
  </si>
  <si>
    <t>@semrush is organizing a FREE event on #brand reputation management with two industry experts ( Marcela de Vivo and @shanebarker ) @theworkshopsacramento - #Sacramento.  The topic for the workshop is: Improve Your Reputation to Grow Your #Business  RESERVE YOUR SPOT NOW! ==&gt;&gt; [Link in the Bio] . . . . .  #semrush #business #marketing #startups #socialmedia #businessideas #growthhacks #digitalmarke</t>
  </si>
  <si>
    <t>#brand, #Sacramento, #Business, #semrush, #business, #marketing, #startups, #socialmedia, #businessideas, #growthhacks, #digitalmarketing, #workshop, #businesshacks, #branding, #eventinsacramento, #thinkstodoinsacramento, #socialmedia, #socialmediamarketing, #brandmanagement, #influencermarketing, #influencers, #brands, #event, #thingstodo</t>
  </si>
  <si>
    <t>Tagged non-reel item (Static Photo) at grid position #352.</t>
  </si>
  <si>
    <t>Grid item #352. Discovered from Tagged page grid in sequential order.</t>
  </si>
  <si>
    <t>Discovered at visual grid position #229. Verified Ad Details URL. Format: Single Image Ad.</t>
  </si>
  <si>
    <t>CR07530997975535845377</t>
  </si>
  <si>
    <t>https://adstransparency.google.com/advertiser/AR05016556376214732801/creative/CR05535764802145615873?region=anywhere</t>
  </si>
  <si>
    <t>Un lunes a puro Marketing en #Madrid 😉👉 por la mañana clase de SEO en @AulaCM, por la tarde el SEMrush eCommerce Meetup de @semrush_es y finalmente por la noche, cena con los ponentes y periodistas del Meetup #rushenvivo 🔝 #seo #marketingdigital #ecommerce #ecommercebusiness #marketingonline #congreso #semrush</t>
  </si>
  <si>
    <t>#Madrid, #rushenvivo, #seo, #marketingdigital, #ecommerce, #ecommercebusiness, #marketingonline, #congreso, #semrush</t>
  </si>
  <si>
    <t>Tagged non-reel item (Photo Carousel) at grid position #353.</t>
  </si>
  <si>
    <t>Grid item #353. Discovered from Tagged page grid in sequential order.</t>
  </si>
  <si>
    <t>cookies, cookyes, customcookies</t>
  </si>
  <si>
    <t>#cookies #cookyes #customcookies 🌲🎁🌲🎁🌲🎁🌲🎁🌲🎁🌲🎁🌲🎁🌲🎁🌲🎁🌲🎁🌲🎁🌲🎁🌲🎁🌲🎁🌲🎁🌲🎁🌲🎁🌲🎁 Sta arrivando 🎅🏼.... #christmas #natale2018 #natale #biscopalle #snoopy #decoratedcookies #decoratedsugarcookies #sugarcookies  #customcookies #royalicing #royalicingcookies #edibleart #cookiesofinstagram #instasweet</t>
  </si>
  <si>
    <t>#cookies, #cookyes, #customcookies, #christmas, #natale2018, #natale, #biscopalle, #snoopy, #decoratedcookies, #decoratedsugarcookies, #sugarcookies, #customcookies, #royalicing, #royalicingcookies, #edibleart, #cookiesofinstagram, #instasweet</t>
  </si>
  <si>
    <t>Tagged non-reel item (Photo Carousel) at grid position #354.</t>
  </si>
  <si>
    <t>CR05535764802145615873</t>
  </si>
  <si>
    <t>Grid item #354. Discovered from Tagged page grid in sequential order.</t>
  </si>
  <si>
    <t>https://adstransparency.google.com/advertiser/AR05016556376214732801/creative/CR10468144389203951617?region=anywhere</t>
  </si>
  <si>
    <t>Discovered at visual grid position #230. Verified Ad Details URL. Format: Single Image Ad.</t>
  </si>
  <si>
    <t>Do we have to optimise for RankBrain? 🤔😀 ⠀ No, just give them value. ⠀ Step 1:  Understand what drives value for your customers ⠀ Talk to them, survey them, and watch their actions and reactions. In short, capture data to understand what is important to your customers and what opportunities you have to help them. ⠀ Step 2:  Understand your value proposition ⠀ The value customers receive is equal t</t>
  </si>
  <si>
    <t>#entrepreneur, #motivation, #success, #lifestyle, #digitalmarketing, #money, #seo, #inspiration, #marketing, #rankbrain, #goals, #advice, #feelings, #entrepreneur, #reality, #gold, #choices, #wise, #workhard, #englad, #london, #marketing, #socialmedia, #marketingdigital, #branding, #onlinemarketing, #business, #success, #startup, #influencer</t>
  </si>
  <si>
    <t>Tagged video reel discovered from Tagged grid position #355.</t>
  </si>
  <si>
    <t>Grid item #355. Discovered from Tagged page grid in sequential order.</t>
  </si>
  <si>
    <t>CR10468144389203951617</t>
  </si>
  <si>
    <t>DSA18, award, cheers</t>
  </si>
  <si>
    <t>https://adstransparency.google.com/advertiser/AR05016556376214732801/creative/CR01949663166652743681?region=anywhere</t>
  </si>
  <si>
    <t>Trots 😊 Onze klant @semrush wint award in categorie online tools tijdens de #DSA18 ! 🍾🎉 #award #cheers #semrush</t>
  </si>
  <si>
    <t>#DSA18, #award, #cheers, #semrush</t>
  </si>
  <si>
    <t>Tagged non-reel item (Static Photo) at grid position #356.</t>
  </si>
  <si>
    <t>Grid item #356. Discovered from Tagged page grid in sequential order.</t>
  </si>
  <si>
    <t>Discovered at visual grid position #231. Verified Ad Details URL. Format: Single Image Ad.</t>
  </si>
  <si>
    <t>CR01949663166652743681</t>
  </si>
  <si>
    <t>https://adstransparency.google.com/advertiser/AR05016556376214732801/creative/CR06178031875127246849?region=anywhere</t>
  </si>
  <si>
    <t>All-in-one marketing tool that provides intelligence data for #seo #ppc #socialmedia and #content</t>
  </si>
  <si>
    <t>#seo, #ppc, #socialmedia, #content</t>
  </si>
  <si>
    <t>Tagged non-reel item (Static Photo) at grid position #357.</t>
  </si>
  <si>
    <t>Grid item #357. Discovered from Tagged page grid in sequential order.</t>
  </si>
  <si>
    <t>Sobre trabalho: Ontem era domingo, eu e o Rafa olhamos um para o outro no meio da tarde e falamos, e aí vamos trabalhar? Haha sim, os dois são tão workaholic que o nosso hobbie é trabalhar. E o melhor de tudo, fazemos isso juntos (por isso é importante casar com quem combina com seus sonhos e propósito de vida). Eu sempre gostei de trabalhar, acho que o segredo pra você amar é ser grato, sabe? Alg</t>
  </si>
  <si>
    <t>CR06178031875127246849</t>
  </si>
  <si>
    <t>#digitalmarketing, #marketing, #digitalnomad, #nomadesdigitais, #homeoffice, #workfromanywhere, #projectmanagement</t>
  </si>
  <si>
    <t>Tagged non-reel item (Static Photo) at grid position #358.</t>
  </si>
  <si>
    <t>Grid item #358. Discovered from Tagged page grid in sequential order.</t>
  </si>
  <si>
    <t>https://adstransparency.google.com/advertiser/AR05016556376214732801/creative/CR01323660524935708673?region=anywhere</t>
  </si>
  <si>
    <t>Discovered at visual grid position #232. Verified Ad Details URL. Format: Single Image Ad.</t>
  </si>
  <si>
    <t>The Sunday Talk – SEO is changing ⠀ Watch the whole video here https://youtu.be/T6Rjqhi2l6s • • • • #marketing #socialmedia #marketingdigital #branding #entrepreneur #socialmediamarketing #onlinemarketing #business #advertising #blogger #motivation #marketingonline #entrepreneurship #success #startup #influencer #seo #entrepreneurs #digitalinfluencer #digital #marketingtips #workhard #london #engl</t>
  </si>
  <si>
    <t>#marketing, #socialmedia, #marketingdigital, #branding, #entrepreneur, #socialmediamarketing, #onlinemarketing, #business, #advertising, #blogger, #motivation, #marketingonline, #entrepreneurship, #success, #startup, #influencer, #seo, #entrepreneurs, #digitalinfluencer, #digital, #marketingtips, #workhard, #london, #england, #rankbrain, #google, #dedication, #canon, #brand, #goals</t>
  </si>
  <si>
    <t>Tagged video reel discovered from Tagged grid position #359.</t>
  </si>
  <si>
    <t>Grid item #359. Discovered from Tagged page grid in sequential order.</t>
  </si>
  <si>
    <t>CR01323660524935708673</t>
  </si>
  <si>
    <t>https://adstransparency.google.com/advertiser/AR05016556376214732801/creative/CR10344186960116973569?region=anywhere</t>
  </si>
  <si>
    <t>Buongiorno da @lancettedilusso.it , il tuo #luxury #watchmagazine . Sulla pagina #facebook di @semrush è apparsa la #classifica delle tendenze nel settore abbigliamento e moda in ambito #onlineshopping .  Come è ben evidente, l’articolo più cercato in #italia è l’#orologio , che, in ogni periodo dell’anno, si posiziona sempre al vertice.  @apple, grazie al suo #applewatch , ha sicuramente aiutato</t>
  </si>
  <si>
    <t>#luxury, #watchmagazine, #facebook, #classifica, #onlineshopping, #italia, #orologio, #applewatch, #moda, #watch, #smartwatch, #luxurylifestyle, #wrist, #rank, #ranking, #rolex, #swatch, #omega, #cartier, #seo, #onlineshop, #shopping, #shoppingonline, #clothes, #semrush, #fashion, #fashionblogger</t>
  </si>
  <si>
    <t>Tagged non-reel item (Static Photo) at grid position #360.</t>
  </si>
  <si>
    <t>Discovered at visual grid position #233. Verified Ad Details URL. Format: Single Image Ad.</t>
  </si>
  <si>
    <t>Grid item #360. Discovered from Tagged page grid in sequential order.</t>
  </si>
  <si>
    <t>CR10344186960116973569</t>
  </si>
  <si>
    <t>https://adstransparency.google.com/advertiser/AR05016556376214732801/creative/CR01692383218189205505?region=anywhere</t>
  </si>
  <si>
    <t>A Maria veio direto da Rússia para a Ilha da Magia trabalhar na feira de negócios do #RDsummit e alcançou um grande momento: o seu sonho de ser uma cidadã do mundo. Ela, que sempre quis sair de sua cidade pequena, e está amando conhecer tantos profissionais bacanas e é, claro, falar MUITO português. Maria é fluentissima!!! Ela tbem quer tomar guaraná e comer pão de queijo. A Maria pode até ser de</t>
  </si>
  <si>
    <t>#RDsummit, #HumanosDoRD, #RDSummit2018, #VuêNoRD, #SEMrush, #LiliNoRD, #LureNoRD, #LiliPorAí</t>
  </si>
  <si>
    <t>Tagged non-reel item (Static Photo) at grid position #361.</t>
  </si>
  <si>
    <t>Grid item #361. Discovered from Tagged page grid in sequential order.</t>
  </si>
  <si>
    <t>Discovered at visual grid position #234. Verified Ad Details URL. Format: Single Image Ad.</t>
  </si>
  <si>
    <t>CR01692383218189205505</t>
  </si>
  <si>
    <t>#semrush #event in #milano #italy #italy🇮🇹 #marketing #webmarketing #gala #seo #sem</t>
  </si>
  <si>
    <t>#semrush, #event, #milano, #italy, #italy, #marketing, #webmarketing, #gala, #seo, #sem</t>
  </si>
  <si>
    <t>https://adstransparency.google.com/advertiser/AR05016556376214732801/creative/CR01019464509804249089?region=anywhere</t>
  </si>
  <si>
    <t>Tagged non-reel item (Static Photo) at grid position #362.</t>
  </si>
  <si>
    <t>Grid item #362. Discovered from Tagged page grid in sequential order.</t>
  </si>
  <si>
    <t>CR01019464509804249089</t>
  </si>
  <si>
    <t>https://adstransparency.google.com/advertiser/AR05016556376214732801/creative/CR00615555202488991745?region=anywhere</t>
  </si>
  <si>
    <t>| Jeff The Alien 👽 &amp; I Came To Slay The @InternetSummit ⚔️! It Was Great Catching Up With @brooklyndecker After Her Live Panel Interview, Running Into  @amvs.theworld &amp; Then Taking @amazon_alexa Home (Thank You @semrush )❗️I Definitely Had A Great Time &amp; Look Forward To Next Years Conference‼️| #ISUM18 #ISummit2018 #Tradeshow #Conference #RDU #RaleighConventionCenter #InternetSummit #InternetSummi</t>
  </si>
  <si>
    <t>Discovered at visual grid position #235. Verified Ad Details URL. Format: Single Image Ad.</t>
  </si>
  <si>
    <t>#ISUM18, #ISummit2018, #Tradeshow, #Conference, #RDU, #RaleighConventionCenter, #InternetSummit, #InternetSummit2018, #BowTie, #BowTieGuy, #FeatherBowTie, #WoodBowTie, #Fashion, #JeffTheAlien, #SemRush, #Alexa, #AmazonAlexa, #TalkToMeAlexa, #AlexaDoYouLoveMe, #Alien, #Viral</t>
  </si>
  <si>
    <t>Tagged non-reel item (Photo Carousel) at grid position #363.</t>
  </si>
  <si>
    <t>Grid item #363. Discovered from Tagged page grid in sequential order.</t>
  </si>
  <si>
    <t>CR00615555202488991745</t>
  </si>
  <si>
    <t>https://adstransparency.google.com/advertiser/AR05016556376214732801/creative/CR11672936755010469889?region=anywhere</t>
  </si>
  <si>
    <t>In a brainy discussion with @doc.sheldon, @thegypsy66 and Jason Barnard (organised by @antonshulke via @SEMrush). ⠀ https://youtu.be/EZaatS3fiH0 ⠀ Machine Learning is the future of Digital Marketing. • • • • #digitalmarketing #digitalmarketingagency #digitalmarketingtips #digitalmarketingstrategy #digitalmarketingtraining #seo #rankbrain #google #digitalmarketinglife marketing101 #england #canon #</t>
  </si>
  <si>
    <t>#digitalmarketing, #digitalmarketingagency, #digitalmarketingtips, #digitalmarketingstrategy, #digitalmarketingtraining, #seo, #rankbrain, #google, #digitalmarketinglife, #england, #canon, #london, #semrush, #course, #learn, #tips, #education, #semrushacademy, #lifestyle, #influencer, #contentmarketing, #digitalmarketing101, #influencermarketing, #workhard, #workhardpaysoff, #digital, #wisdom, #machinelearning, #artificialintelligence</t>
  </si>
  <si>
    <t>Tagged video reel discovered from Tagged grid position #364.</t>
  </si>
  <si>
    <t>Grid item #364. Discovered from Tagged page grid in sequential order.</t>
  </si>
  <si>
    <t>Discovered at visual grid position #236. Verified Ad Details URL. Format: Single Image Ad.</t>
  </si>
  <si>
    <t>Where will your office be today? 👨🏽‍💻</t>
  </si>
  <si>
    <t>Tagged non-reel item (Static Photo) at grid position #365.</t>
  </si>
  <si>
    <t>Grid item #365. Discovered from Tagged page grid in sequential order.</t>
  </si>
  <si>
    <t>CR11672936755010469889</t>
  </si>
  <si>
    <t>Wanna Love Your Job?</t>
  </si>
  <si>
    <t>Make the move! Join us as a Customer Onboarding Consultant with 6+ years of experience and fluent in Spanish.</t>
  </si>
  <si>
    <t>https://adstransparency.google.com/advertiser/AR05016556376214732801/creative/CR15367453741695369217?region=anywhere</t>
  </si>
  <si>
    <t>Ainda absorvendo tudo, por que foi indescritível ✨ #RDSummit2018 ACTION!!</t>
  </si>
  <si>
    <t>#RDSummit2018</t>
  </si>
  <si>
    <t>Tagged non-reel item (Photo Carousel) at grid position #366.</t>
  </si>
  <si>
    <t>Grid item #366. Discovered from Tagged page grid in sequential order.</t>
  </si>
  <si>
    <t>Ran from Mar 14, 2026 to Mar 19, 2026</t>
  </si>
  <si>
    <t>Discovered at visual grid position #237. Verified Ad Details URL. Format: Single Image Ad.</t>
  </si>
  <si>
    <t>Сегодня принял участие во встрече для маркетологов, которую в очередной раз организовывает #Semrush. Сегодня разговоры были про email-маркетинг, #mindbox и интересные кейсы. Суперская цитата встречи - авангард безумной интеграции.</t>
  </si>
  <si>
    <t>#Semrush, #mindbox</t>
  </si>
  <si>
    <t>CR15367453741695369217</t>
  </si>
  <si>
    <t>Tagged non-reel item (Static Photo) at grid position #367.</t>
  </si>
  <si>
    <t>Grid item #367. Discovered from Tagged page grid in sequential order.</t>
  </si>
  <si>
    <t>https://adstransparency.google.com/advertiser/AR05016556376214732801/creative/CR06641856019171377153?region=anywhere</t>
  </si>
  <si>
    <t>Join Us Now!</t>
  </si>
  <si>
    <t>Join us LIVE this December for 'Digital Marketing in 2019', a FREE 7½ hour livestream series, featuring 120 of the world's leading digital marketers! Check out the link in our bio :)</t>
  </si>
  <si>
    <t>Tagged non-reel item (Static Photo) at grid position #368.</t>
  </si>
  <si>
    <t>Grid item #368. Discovered from Tagged page grid in sequential order.</t>
  </si>
  <si>
    <t>data, cyberattacks, breach</t>
  </si>
  <si>
    <t>Discovered at visual grid position #238. Verified Ad Details URL. Format: Single Image Ad.</t>
  </si>
  <si>
    <t>CR06641856019171377153</t>
  </si>
  <si>
    <t>https://adstransparency.google.com/advertiser/AR05016556376214732801/creative/CR04472575266115289089?region=anywhere</t>
  </si>
  <si>
    <t>If you're not thinking about it you should. How are you protecting your data? #data #cyberattacks  #breach  #cybersecurity</t>
  </si>
  <si>
    <t>#data, #cyberattacks, #breach, #cybersecurity</t>
  </si>
  <si>
    <t>Tagged non-reel item (Static Photo) at grid position #369.</t>
  </si>
  <si>
    <t>Grid item #369. Discovered from Tagged page grid in sequential order.</t>
  </si>
  <si>
    <t>Trabajando a tope con el equipo de @semrush_es en Sant Petersburgo #Rusia #marketingdigital #trabajoenequipo #seo #travel #santpetersburg</t>
  </si>
  <si>
    <t>#Rusia, #marketingdigital, #trabajoenequipo, #seo, #travel, #santpetersburg</t>
  </si>
  <si>
    <t>Tagged non-reel item (Photo Carousel) at grid position #370.</t>
  </si>
  <si>
    <t>Grid item #370. Discovered from Tagged page grid in sequential order.</t>
  </si>
  <si>
    <t>Discovered at visual grid position #239. Verified Ad Details URL. Format: Single Image Ad.</t>
  </si>
  <si>
    <t>Team looking dapper yesterday at Melbourne Cup celebrations 👌👌 #SeekMarketing • • • • • #digitalmarketing #onlinemarketing #contentmarketing #smm #seo #startuplife #emailmarketing #marketingonline #marketingtips #marketing #startup #socialmediatips #onlinebusiness #marketingdigital #startups #socialmedia #successquotes #socialmediamarketing #marketingstrategy #inspirationalquote #motivationalquote</t>
  </si>
  <si>
    <t>#SeekMarketing, #digitalmarketing, #onlinemarketing, #contentmarketing, #smm, #seo, #startuplife, #emailmarketing, #marketingonline, #marketingtips, #marketing, #startup, #socialmediatips, #onlinebusiness, #marketingdigital, #startups, #socialmedia, #successquotes, #socialmediamarketing, #marketingstrategy, #inspirationalquote, #motivationalquote, #branding, #entrepreneurship, #entrepreneurlife, #businessowner, #sem, #entrepreneur, #inspiration</t>
  </si>
  <si>
    <t>CR04472575266115289089</t>
  </si>
  <si>
    <t>Tagged non-reel item (Static Photo) at grid position #371.</t>
  </si>
  <si>
    <t>Grid item #371. Discovered from Tagged page grid in sequential order.</t>
  </si>
  <si>
    <t>SEMrushDiwali, DiwaliGift, FestivalOfLights</t>
  </si>
  <si>
    <t>https://adstransparency.google.com/advertiser/AR05016556376214732801/creative/CR02090198800135094273?region=anywhere</t>
  </si>
  <si>
    <t>Thank you so much for the lovely Diwali Gift @semrush - loved it ❤️ Proud to be associated with with you! #SEMrushDiwali #DiwaliGift #FestivalOfLights</t>
  </si>
  <si>
    <t>#SEMrushDiwali, #DiwaliGift, #FestivalOfLights</t>
  </si>
  <si>
    <t>Tagged non-reel item (Static Photo) at grid position #372.</t>
  </si>
  <si>
    <t>Grid item #372. Discovered from Tagged page grid in sequential order.</t>
  </si>
  <si>
    <t>Discovered at visual grid position #240. Verified Ad Details URL. Format: Single Image Ad.</t>
  </si>
  <si>
    <t>Dreaming of your dream job? Be our new Senior Content Strategist and architect a multi-channel content experience for Semrush.</t>
  </si>
  <si>
    <t>Initiated by a thought 💭, executed by passion and delivered with love -  Creating that exceptional experience for digital community is another example of ‘ believing and making it possible ‘  Once again a perfect example of team work @obbserv  #obbserv #semrush #googleneverdies  #google #udaipur #success #digitalmarketing #digital</t>
  </si>
  <si>
    <t>CR02090198800135094273</t>
  </si>
  <si>
    <t>#obbserv, #semrush, #googleneverdies, #google, #udaipur, #success, #digitalmarketing, #digital</t>
  </si>
  <si>
    <t>Tagged non-reel item (Photo Carousel) at grid position #373.</t>
  </si>
  <si>
    <t>Grid item #373. Discovered from Tagged page grid in sequential order.</t>
  </si>
  <si>
    <t>https://adstransparency.google.com/advertiser/AR05016556376214732801/creative/CR17795802068733132801?region=anywhere</t>
  </si>
  <si>
    <t>Ran from Feb 21, 2026 to Mar 2, 2026</t>
  </si>
  <si>
    <t>Actual results of a clients website rankings💯 . What you’re looking at is a graph that shows you an increase of the number of Organic visitors going to this website 📈 After learning they spent over $8k on a mediocre website back in 2016...that wasn’t completed, we redesigned and launched a new (#responsive) website for much less 💵 and have been helping them grow their online rankings in multiple c</t>
  </si>
  <si>
    <t>Discovered at visual grid position #241. Verified Ad Details URL. Format: Single Image Ad.</t>
  </si>
  <si>
    <t>#responsive, #algorithm, #Gastown, #Vancouver, #Marketing, #Agency, #wordpress, #Instagood, #love, #photooftheday, #instamood, #SEO, #PPC, #Websites, #digital, #googleseo, #searchengineoptimization, #riseup, #honesty, #integrity, #transparent</t>
  </si>
  <si>
    <t>Tagged non-reel item (Static Photo) at grid position #374.</t>
  </si>
  <si>
    <t>Grid item #374. Discovered from Tagged page grid in sequential order.</t>
  </si>
  <si>
    <t>CR17795802068733132801</t>
  </si>
  <si>
    <t>“The best place to hide a dead body is on the second page of Google” #SearchEngine #Google #DigitalMarketingDirector #Dweeb #Punny</t>
  </si>
  <si>
    <t>#SearchEngine, #Google, #DigitalMarketingDirector, #Dweeb, #Punny</t>
  </si>
  <si>
    <t>Tagged non-reel item (Photo Carousel) at grid position #375.</t>
  </si>
  <si>
    <t>Grid item #375. Discovered from Tagged page grid in sequential order.</t>
  </si>
  <si>
    <t>https://adstransparency.google.com/advertiser/AR05016556376214732801/creative/CR01363372093202235393?region=anywhere</t>
  </si>
  <si>
    <t>Ran from Mar 5, 2026 to Mar 20, 2026</t>
  </si>
  <si>
    <t>Ya no hay vuelta atrás! Motores a tope de revoluciones! Llega el #CEMD18!! 🤘🤘 #marketingdigital #socialmedia #badajoz</t>
  </si>
  <si>
    <t>#CEMD18, #marketingdigital, #socialmedia, #badajoz</t>
  </si>
  <si>
    <t>Tagged video reel discovered from Tagged grid position #376.</t>
  </si>
  <si>
    <t>Discovered at visual grid position #242. Verified Ad Details URL. Format: Single Image Ad.</t>
  </si>
  <si>
    <t>Grid item #376. Discovered from Tagged page grid in sequential order.</t>
  </si>
  <si>
    <t>CR01363372093202235393</t>
  </si>
  <si>
    <t>Hi beautiful, how was your day today? 🍂🍁🍂 . . It was a #busyday over here... I am taking a SEO COURSE by @hashtagjeff to improve my website! So much information...👏👏👏 . . I am so excited for improvements that my brain is finding it hard to shut down at night lately.... do YOU know any good sleep remedies to help me fall asleep faster??? I would love to hear them... 😴💤🛏 🧠 . . Todays lunch/dinner wa</t>
  </si>
  <si>
    <t>https://adstransparency.google.com/advertiser/AR05016556376214732801/creative/CR00714493107046973441?region=anywhere</t>
  </si>
  <si>
    <t>#busyday, #pitasandwich, #munchkintimeblog, #momlife, #rrmagfan, #bhgfood, #foodgawker, #eeeeeat, #whatsfordinner, #foodwinewomen, #mywilliamssonoma, #mommytime, #mommyduties, #lifeandthyme, #food4thought, #mommyoftwo, #foodrevolution, #shereadstruth, #cravingsatisfied, #thisisboise, #whatsforlunch, #mommymode, #lifeofamom, #newrecipe, #healthyeatinghabits</t>
  </si>
  <si>
    <t>Tagged non-reel item (Static Photo) at grid position #377.</t>
  </si>
  <si>
    <t>Grid item #377. Discovered from Tagged page grid in sequential order.</t>
  </si>
  <si>
    <t>‪Hoy estamos impartiendo un taller práctico de herramientas #SEO y Linkbuilding en #Madrid junto a @alexmat3o 👉un sábado a tope de formación 😉👍‬ #posicionamientoweb</t>
  </si>
  <si>
    <t>#SEO, #Madrid, #posicionamientoweb</t>
  </si>
  <si>
    <t>Tagged non-reel item (Static Photo) at grid position #378.</t>
  </si>
  <si>
    <t>Grid item #378. Discovered from Tagged page grid in sequential order.</t>
  </si>
  <si>
    <t>Discovered at visual grid position #243. Verified Ad Details URL. Format: Single Image Ad.</t>
  </si>
  <si>
    <t>CR00714493107046973441</t>
  </si>
  <si>
    <t>Great evening</t>
  </si>
  <si>
    <t>Shape the future of Tech! Be our new Senior Golang Developer.</t>
  </si>
  <si>
    <t>https://adstransparency.google.com/advertiser/AR05016556376214732801/creative/CR01899007978766336001?region=anywhere</t>
  </si>
  <si>
    <t>Tagged non-reel item (Static Photo) at grid position #379.</t>
  </si>
  <si>
    <t>Grid item #379. Discovered from Tagged page grid in sequential order.</t>
  </si>
  <si>
    <t>Wow, what a week! We were honored to attend the @semrush Australia Search Awards with @babyvillagestore for our three nominations in Best SEO Campaign, Best Online Breakthrough and Best B2C Campaign. Although we didn't take anything out this time, we are super stoked to be nominated with the best in the industry! And the views from the @sydneyoperahouse were stunning. Thanks for having us! See you</t>
  </si>
  <si>
    <t>Ran from Mar 5, 2026 to Mar 12, 2026</t>
  </si>
  <si>
    <t>Tagged non-reel item (Photo Carousel) at grid position #380.</t>
  </si>
  <si>
    <t>Grid item #380. Discovered from Tagged page grid in sequential order.</t>
  </si>
  <si>
    <t>Discovered at visual grid position #244. Verified Ad Details URL. Format: Single Image Ad.</t>
  </si>
  <si>
    <t>CR01899007978766336001</t>
  </si>
  <si>
    <t>https://adstransparency.google.com/advertiser/AR05016556376214732801/creative/CR11603393744065265665?region=anywhere</t>
  </si>
  <si>
    <t>Winner winner, chicken dinner. Huge vindication for the world class caliber of work by our Commerce Search team. Campaign award was for work delivered on Adore Beauty, and Jason scooped the big personality gong. ▫️ @semrush ▪️ @adorebeautyofficial ▫️ @overdose.digital ▪️ #overdose #digital #seo #awards #winner #campaign #adorebeauty #semrush #semrushawards #strategy #digitalmarketing #worldclass #</t>
  </si>
  <si>
    <t>CR11603393744065265665</t>
  </si>
  <si>
    <t>#overdose, #digital, #seo, #awards, #winner, #campaign, #adorebeauty, #semrush, #semrushawards, #strategy, #digitalmarketing, #worldclass, #hustle, #team, #goals, #levelup</t>
  </si>
  <si>
    <t>Tagged non-reel item (Static Photo) at grid position #381.</t>
  </si>
  <si>
    <t>Grid item #381. Discovered from Tagged page grid in sequential order.</t>
  </si>
  <si>
    <t>Display Banner: "Peec AI Dashboard - Real-time Visibility &amp; Sentiment Tracking across ChatGPT &amp; Perplexity"</t>
  </si>
  <si>
    <t>https://adstransparency.google.com/advertiser/AR05016556376214732801/creative/CR10042571773653811201?region=anywhere</t>
  </si>
  <si>
    <t>Ran from Mar 6, 2026 to Mar 11, 2026</t>
  </si>
  <si>
    <t>Apple search ads are expected to earn $500 million by the end of this year. This success is proof of the emerging Search Engine Marketing. So why wait? Get inspired to discover a whole new marketing experience. Speak to us today! website:-http://greencode.co.in/index.php  #apple #applewatch #appleinc #appleindia #digitalmarketing #seo #marketingagency #digitalsolutions #sem #iphone #appleproducts</t>
  </si>
  <si>
    <t>#apple, #applewatch, #appleinc, #appleindia, #digitalmarketing, #seo, #marketingagency, #digitalsolutions, #sem, #iphone, #appleproducts</t>
  </si>
  <si>
    <t>Discovered at visual grid position #245. Verified Ad Details URL. Format: Single Image Ad.</t>
  </si>
  <si>
    <t>Tagged non-reel item (Static Photo) at grid position #382.</t>
  </si>
  <si>
    <t>Grid item #382. Discovered from Tagged page grid in sequential order.</t>
  </si>
  <si>
    <t>CR10042571773653811201</t>
  </si>
  <si>
    <t>Check out our stud of an SEO Manager, Jason at @pubcon last week! He spoke🗣on behalf of #ottmarketing and shared his personal passion and knowledge of #FakeReviews. ⭐️⭐️⭐️⭐️⭐️ Find out how he is helping our clients generate and launch great review strategies on the #gradeus blog, 'Fake Reviews, Review Management, and the Review Site of the Future'! Visit the link on our Facebook Page! Thanks for m</t>
  </si>
  <si>
    <t>#ottmarketing, #FakeReviews, #gradeus, #OTTfamily, #seo, #seomarketing, #pubcon, #panel, #seoblog, #googlereviews, #overthetopmarketing, #agencylife, #vegas</t>
  </si>
  <si>
    <t>Tagged non-reel item (Photo Carousel) at grid position #383.</t>
  </si>
  <si>
    <t>https://adstransparency.google.com/advertiser/AR05016556376214732801/creative/CR05867077823444811777?region=anywhere</t>
  </si>
  <si>
    <t>Grid item #383. Discovered from Tagged page grid in sequential order.</t>
  </si>
  <si>
    <t>Looking to Generate REAL, QUALITY, Traffic From Your Blog Posts⁉️ - - #Linkinbio For FREE Keyword Tools We've Used For 6 Years and Counting - -  I am going to give you a sneak peek on how you can conduct keyword research utilizing some tools that are free and at a much Fiendlier subscriber $$ for the entrepreneur or someone who is building their business on a budget. - - These tools that I will wa</t>
  </si>
  <si>
    <t>#Linkinbio, #SEO, #entrepreneur, #keywords, #keywordresearch, #marketing, #business, #digital, #seo, #googleforeducation, #learn, #grow, #boss, #womensupportingwomen, #agency, #louisville, #denver, #facebook</t>
  </si>
  <si>
    <t>Tagged non-reel item (Static Photo) at grid position #384.</t>
  </si>
  <si>
    <t>Grid item #384. Discovered from Tagged page grid in sequential order.</t>
  </si>
  <si>
    <t>Discovered at visual grid position #246. Verified Ad Details URL. Format: Single Image Ad.</t>
  </si>
  <si>
    <t>SEMrush</t>
  </si>
  <si>
    <t>CR05867077823444811777</t>
  </si>
  <si>
    <t>https://adstransparency.google.com/advertiser/AR05016556376214732801/creative/CR01604472040868282369?region=anywhere</t>
  </si>
  <si>
    <t>Gather all the #SEMrush data in one engaging report for your clients!</t>
  </si>
  <si>
    <t>#SEMrush</t>
  </si>
  <si>
    <t>Tagged non-reel item (Static Photo) at grid position #385.</t>
  </si>
  <si>
    <t>Grid item #385. Discovered from Tagged page grid in sequential order.</t>
  </si>
  <si>
    <t>SEMrushAwards</t>
  </si>
  <si>
    <t>#SEMrushAwards</t>
  </si>
  <si>
    <t>Ran from Mar 5, 2026 to Mar 19, 2026</t>
  </si>
  <si>
    <t>CR01604472040868282369</t>
  </si>
  <si>
    <t>Tagged non-reel item (Static Photo) at grid position #386.</t>
  </si>
  <si>
    <t>Discovered at visual grid position #247. Verified Ad Details URL. Format: Single Image Ad.</t>
  </si>
  <si>
    <t>Grid item #386. Discovered from Tagged page grid in sequential order.</t>
  </si>
  <si>
    <t>https://adstransparency.google.com/advertiser/AR05016556376214732801/creative/CR09652827886956052481?region=anywhere</t>
  </si>
  <si>
    <t>What is SEO content? And why is it important? 🤓 - Find out all about how brands like @refinery29 keep their content on point in our new blog (in profile) - #SEO #SEOcontent #SEMrush #Google #ContentMarketing #Brighton #refinery29</t>
  </si>
  <si>
    <t>#SEO, #SEOcontent, #SEMrush, #Google, #ContentMarketing, #Brighton, #refinery29</t>
  </si>
  <si>
    <t>Tagged non-reel item (Static Photo) at grid position #387.</t>
  </si>
  <si>
    <t>Grid item #387. Discovered from Tagged page grid in sequential order.</t>
  </si>
  <si>
    <t>CR09652827886956052481</t>
  </si>
  <si>
    <t>Discovered at visual grid position #248. Verified Ad Details URL. Format: Single Image Ad.</t>
  </si>
  <si>
    <t>Our @semrush plant from @brightonseo is still going strong! 🌱 It’s good to see that our team are as good at growing plants as they are at growing our clients search visibility! 📶 Speak to us if you would like to find out more about our SEO services 🖥</t>
  </si>
  <si>
    <t>https://adstransparency.google.com/advertiser/AR05016556376214732801/creative/CR15642813715768672257?region=anywhere</t>
  </si>
  <si>
    <t>Tagged non-reel item (Static Photo) at grid position #388.</t>
  </si>
  <si>
    <t>Grid item #388. Discovered from Tagged page grid in sequential order.</t>
  </si>
  <si>
    <t>All the way from Las Vegas, a couple of our teammates are representing at this year’s Pubcon Pro 2018 conference! DM us if you’d like to meet up! #pubcon #marketingconference #lasvegas</t>
  </si>
  <si>
    <t>#pubcon, #marketingconference, #lasvegas</t>
  </si>
  <si>
    <t>Tagged non-reel item (Photo Carousel) at grid position #389.</t>
  </si>
  <si>
    <t>Grid item #389. Discovered from Tagged page grid in sequential order.</t>
  </si>
  <si>
    <t>CR15642813715768672257</t>
  </si>
  <si>
    <t>Discovered at visual grid position #249. Verified Ad Details URL. Format: Single Image Ad.</t>
  </si>
  <si>
    <t>The 30 Best Digital Marketing Blogs You Need To Follow In 2019 🤳🏻 Check the blog! Link in bio ⬆️ 🔗  Keep Your Knowledge Fresh And Never Fall Behind With The Latest News, Developments And Updates In The World Of Digital Marketing! 💻  From Breaking Headlines To In-Depth Analysis Of Emerging Trends, These Blogs Will Provide You With All The Latest News In The Digital Marketing Industry 🖥️ #marketingt</t>
  </si>
  <si>
    <t>https://adstransparency.google.com/advertiser/AR05016556376214732801/creative/CR01478605515998101505?region=anywhere</t>
  </si>
  <si>
    <t>#marketingtips, #OnlineMarketing, #DigitalMarketing, #marketingconsultant, #marketingcampaign, #websiteanalysis, #onlinemarketer, #socialmediaanalytics, #dataanalytic, #marketing101, #Marketing, #digitalmarketingtips, #bespokemarketingservice, #searchengineoptimization, #marketingmanager, #bespokemarketingservice, #marketingnews, #businesstips, #entrepreneurmarketing, #entrepreneurlifestyle, #marketinghelp, #technology, #digitalmarketingagency, #marketingconsultant</t>
  </si>
  <si>
    <t>Tagged non-reel item (Static Photo) at grid position #390.</t>
  </si>
  <si>
    <t>Grid item #390. Discovered from Tagged page grid in sequential order.</t>
  </si>
  <si>
    <t>BusinessoftheYear, Kansas, AGAGroup</t>
  </si>
  <si>
    <t>Kansas Department of Commerce and Kansas Lt. Govenor Tracey Mann present 2018 Kansas MBE of the year. #BusinessoftheYear  #Kansas  #AGAGroup  #Staffing #award</t>
  </si>
  <si>
    <t>#BusinessoftheYear, #Kansas, #AGAGroup, #Staffing, #award</t>
  </si>
  <si>
    <t>Ran from Mar 4, 2026 to Mar 20, 2026</t>
  </si>
  <si>
    <t>Tagged non-reel item (Static Photo) at grid position #391.</t>
  </si>
  <si>
    <t>Grid item #391. Discovered from Tagged page grid in sequential order.</t>
  </si>
  <si>
    <t>BusinessoftheYear, AGAGroup, Kansas</t>
  </si>
  <si>
    <t>Discovered at visual grid position #250. Verified Ad Details URL. Format: Single Image Ad.</t>
  </si>
  <si>
    <t>CR01478605515998101505</t>
  </si>
  <si>
    <t>https://adstransparency.google.com/advertiser/AR05016556376214732801/creative/CR13916836852528054273?region=anywhere</t>
  </si>
  <si>
    <t>Thank you. #BusinessoftheYear #AGAGroup #Kansas  #2018 #Awards</t>
  </si>
  <si>
    <t>#BusinessoftheYear, #AGAGroup, #Kansas, #2018, #Awards</t>
  </si>
  <si>
    <t>Tagged non-reel item (Static Photo) at grid position #392.</t>
  </si>
  <si>
    <t>Grid item #392. Discovered from Tagged page grid in sequential order.</t>
  </si>
  <si>
    <t>Own your brand’s AI search narrative</t>
  </si>
  <si>
    <t>Dominate your AI search visibility with AI Optimization from Semrush Enterprise</t>
  </si>
  <si>
    <t>Keyword Cannibalization: How to Keep it From Harming Your On-Site SEO  via @semrush  #linkbuilding #LocalSEO #SEO #SEM #digitalmarketing #inboundmarketing #lead #socialmedia #socialmediatips #socialmediamarketing #onlinemarketing #backlinks</t>
  </si>
  <si>
    <t>#linkbuilding, #LocalSEO, #SEO, #SEM, #digitalmarketing, #inboundmarketing, #lead, #socialmedia, #socialmediatips, #socialmediamarketing, #onlinemarketing, #backlinks</t>
  </si>
  <si>
    <t>Tagged non-reel item (Static Photo) at grid position #393.</t>
  </si>
  <si>
    <t>Grid item #393. Discovered from Tagged page grid in sequential order.</t>
  </si>
  <si>
    <t>Request Demo</t>
  </si>
  <si>
    <t>Ran from Mar 4, 2026 to Apr 2, 2026</t>
  </si>
  <si>
    <t>CR13916836852528054273</t>
  </si>
  <si>
    <t>Discovered at visual grid position #251. Verified Ad Details URL. Format: Single Image Ad.</t>
  </si>
  <si>
    <t>https://adstransparency.google.com/advertiser/AR05016556376214732801/creative/CR09451675601908793345?region=anywhere</t>
  </si>
  <si>
    <t>#EVENTO Chegou a hora de falar sobre conversão e vendas, com um 'super time' de palestrantes que, com certeza, terão muito a contribuir e agregar na sua trajetória de sucesso! O evento ocorre 16 de outubro a partir de 9h, na Faculdade Estácio Prado. @semrush</t>
  </si>
  <si>
    <t>#EVENTO</t>
  </si>
  <si>
    <t>Tagged non-reel item (Photo Carousel) at grid position #394.</t>
  </si>
  <si>
    <t>Grid item #394. Discovered from Tagged page grid in sequential order.</t>
  </si>
  <si>
    <t>Now we are #webinar #googlemybusiness #SEMRush #google #GMB #marketing #tips #howto</t>
  </si>
  <si>
    <t>#webinar, #googlemybusiness, #SEMRush, #google, #GMB, #marketing, #tips, #howto</t>
  </si>
  <si>
    <t>Tagged non-reel item (Photo Carousel) at grid position #395.</t>
  </si>
  <si>
    <t>Grid item #395. Discovered from Tagged page grid in sequential order.</t>
  </si>
  <si>
    <t>semrush, semrushpeople</t>
  </si>
  <si>
    <t>CR09451675601908793345</t>
  </si>
  <si>
    <t>Discovered at visual grid position #252. Verified Ad Details URL. Format: Single Image Ad.</t>
  </si>
  <si>
    <t>https://adstransparency.google.com/advertiser/AR05016556376214732801/creative/CR07077189368808472577?region=anywhere</t>
  </si>
  <si>
    <t>#semrush #semrushpeople</t>
  </si>
  <si>
    <t>#semrush, #semrushpeople</t>
  </si>
  <si>
    <t>Tagged non-reel item (Static Photo) at grid position #396.</t>
  </si>
  <si>
    <t>Grid item #396. Discovered from Tagged page grid in sequential order.</t>
  </si>
  <si>
    <t>7 Ways To Increase Your Organic Facebook Reach  via @semrush  #linkbuilding #LocalSEO #SEO #SEM #digitalmarketing #inboundmarketing #lead #socialmedia #socialmediatips #socialmediamarketing #onlinemarketing #marketers #marketingtips</t>
  </si>
  <si>
    <t>#linkbuilding, #LocalSEO, #SEO, #SEM, #digitalmarketing, #inboundmarketing, #lead, #socialmedia, #socialmediatips, #socialmediamarketing, #onlinemarketing, #marketers, #marketingtips</t>
  </si>
  <si>
    <t>Tagged non-reel item (Static Photo) at grid position #397.</t>
  </si>
  <si>
    <t>Grid item #397. Discovered from Tagged page grid in sequential order.</t>
  </si>
  <si>
    <t>CR07077189368808472577</t>
  </si>
  <si>
    <t>https://adstransparency.google.com/advertiser/AR05016556376214732801/creative/CR18174418390951657473?region=anywhere</t>
  </si>
  <si>
    <t>Discovered at visual grid position #253. Verified Ad Details URL. Format: Single Image Ad.</t>
  </si>
  <si>
    <t>What is #Amazon PPC?: A Complete Beginners Guide to Optimization  via @semrush  #PPC #SEM #digitakmarketing</t>
  </si>
  <si>
    <t>#Amazon, #PPC, #SEM, #digitakmarketing</t>
  </si>
  <si>
    <t>Tagged non-reel item (Static Photo) at grid position #398.</t>
  </si>
  <si>
    <t>Grid item #398. Discovered from Tagged page grid in sequential order.</t>
  </si>
  <si>
    <t>👉El #Monetiza18 se trata del evento online más 🔝de #marketing digital con 20 ponentes de primerísimo nivel 😎😲 Se realizó el 3 de octubre 📅 . Estos son los datos recogidos tras su monitorización 📥📈📊: .➡️Trending Topic en España. .➡️5443 tweets 🐤 y 592 participantes 👥🗣 .➡️5000 personas apuntadas como asistentes 😲 .➡️ @facchinjose aportó más de 2000 interacciones 🤤👏👏 . Sin duda se trata de uno de los</t>
  </si>
  <si>
    <t>#Monetiza18, #marketing, #metricool, #rrss, #marketingdigital, #digitalmarketing, #socialMedia, #socialmediamarketing, #socialmediatools, #metricoolers, #socialmedia, #socialmediatools, #marketing, #marketingdigital, #rrss, #summer, #summerday, #summervibes, #cool, #weekend, #friyay, #wedsnesday, #semrush, #webescuela, #prestashop, #raiola</t>
  </si>
  <si>
    <t>CR18174418390951657473</t>
  </si>
  <si>
    <t>Tagged non-reel item (Photo Carousel) at grid position #399.</t>
  </si>
  <si>
    <t>Grid item #399. Discovered from Tagged page grid in sequential order.</t>
  </si>
  <si>
    <t>https://adstransparency.google.com/advertiser/AR05016556376214732801/creative/CR05624922619494006785?region=anywhere</t>
  </si>
  <si>
    <t>Discovered at visual grid position #254. Verified Ad Details URL. Format: Single Image Ad.</t>
  </si>
  <si>
    <t>@ecommercehub è l'evento di riferimento in ambito #marketing per gli operatori #ecommerce: con @antonio_giarr, Founder &amp; CEO di #Userbot, e @jacopopaoletti, Co-Founder &amp; CMO, vi parleremo di come l'#IntelligenzaArtificiale può fare la differenza anche nel #CommercioElettronico. Scopri di più su #eh2018: https://ecommercehub.it #AI #ArtificialIntelligence #startup</t>
  </si>
  <si>
    <t>#marketing, #ecommerce, #Userbot, #IntelligenzaArtificiale, #CommercioElettronico, #eh2018, #AI, #ArtificialIntelligence, #startup</t>
  </si>
  <si>
    <t>Tagged video reel discovered from Tagged grid position #400.</t>
  </si>
  <si>
    <t>Grid item #400. Discovered from Tagged page grid in sequential order.</t>
  </si>
  <si>
    <t>CR05624922619494006785</t>
  </si>
  <si>
    <t>How to Get People to Sign Up for Your Email Newsletter  via @semrush  #emailmarketing</t>
  </si>
  <si>
    <t>#emailmarketing</t>
  </si>
  <si>
    <t>Tagged non-reel item (Static Photo) at grid position #401.</t>
  </si>
  <si>
    <t>Grid item #401. Discovered from Tagged page grid in sequential order.</t>
  </si>
  <si>
    <t>https://adstransparency.google.com/advertiser/AR05016556376214732801/creative/CR00906715914567680001?region=anywhere</t>
  </si>
  <si>
    <t>Ran from Mar 6, 2026 to Mar 12, 2026</t>
  </si>
  <si>
    <t>Start your Monday off right with some #results.  This graph is for an apartment management company based in Washington, DC.  Can you tell where we came in? (Hint: right before their organic search ranking shot up, followed by their website traffic). We’re here to help you Dominate your Market. Give us a call today to learn how.  #MoreMoneyLessProblems • • • #direction #marketing #digitalmarketing</t>
  </si>
  <si>
    <t>#results, #MoreMoneyLessProblems, #direction, #marketing, #digitalmarketing, #seo, #contentmarketing, #rankings, #search, #organic, #google, #googlepartner, #advertising, #agency, #startup, #business, #strategy, #adwords, #ppc, #webdesign, #design</t>
  </si>
  <si>
    <t>Discovered at visual grid position #255. Verified Ad Details URL. Format: Single Image Ad.</t>
  </si>
  <si>
    <t>Tagged non-reel item (Static Photo) at grid position #402.</t>
  </si>
  <si>
    <t>Grid item #402. Discovered from Tagged page grid in sequential order.</t>
  </si>
  <si>
    <t>CR00906715914567680001</t>
  </si>
  <si>
    <t>https://adstransparency.google.com/advertiser/AR05016556376214732801/creative/CR00520717514229940225?region=anywhere</t>
  </si>
  <si>
    <t>New project, 3 months of life, these are your profits, from this moment only increase .  This is the power of seo well done Passive Income #seo #google #california #sandiego #income #latin #money #pasive #marketingdigital #digitalmarketing</t>
  </si>
  <si>
    <t>#seo, #google, #california, #sandiego, #income, #latin, #money, #pasive, #marketingdigital, #digitalmarketing</t>
  </si>
  <si>
    <t>Tagged non-reel item (Static Photo) at grid position #403.</t>
  </si>
  <si>
    <t>Grid item #403. Discovered from Tagged page grid in sequential order.</t>
  </si>
  <si>
    <t>Discovered at visual grid position #256. Verified Ad Details URL. Format: Single Image Ad.</t>
  </si>
  <si>
    <t>CR00520717514229940225</t>
  </si>
  <si>
    <t>Un mal que no se lo deseo ni a mi competencia 😂😂😂. Etiqueta un amigo/a que pueda interesarle 😉 . . . . . #rimasmarketeras #estrategiadigital #Adwords #googleads #sem #marketing #marketingonline #mememarketing #marketingdigital #communitymanager #socialmedia #marketeros #mercadologo #mercadólogo #mercadeo #mercadeodigital #mercadeoenred #mercadeoonline #redessociales  #comercializacion  #mercadotec</t>
  </si>
  <si>
    <t>#rimasmarketeras, #estrategiadigital, #Adwords, #googleads, #sem, #marketing, #marketingonline, #mememarketing, #marketingdigital, #communitymanager, #socialmedia, #marketeros, #mercadologo, #mercadólogo, #mercadeo, #mercadeodigital, #mercadeoenred, #mercadeoonline, #redessociales, #comercializacion, #mercadotecnia, #publicidad, #publicidadonline, #mercadotecniasocial, #mercadotecniadigital, #mercadeoypublicidad, #publicidadymercadeo, #marketer, #piensamerca</t>
  </si>
  <si>
    <t>Tagged non-reel item (Static Photo) at grid position #404.</t>
  </si>
  <si>
    <t>Grid item #404. Discovered from Tagged page grid in sequential order.</t>
  </si>
  <si>
    <t>https://adstransparency.google.com/advertiser/AR05016556376214732801/creative/CR07907421622460481537?region=anywhere</t>
  </si>
  <si>
    <t>@semrush thanks for the stickies!! #brightonseo</t>
  </si>
  <si>
    <t>#brightonseo</t>
  </si>
  <si>
    <t>Tagged non-reel item (Photo Carousel) at grid position #405.</t>
  </si>
  <si>
    <t>Grid item #405. Discovered from Tagged page grid in sequential order.</t>
  </si>
  <si>
    <t>CR07907421622460481537</t>
  </si>
  <si>
    <t>It’s been a blast! Get me home 🏡🐺🏃🏼‍♀️😴</t>
  </si>
  <si>
    <t>Tagged non-reel item (Photo Carousel) at grid position #406.</t>
  </si>
  <si>
    <t>Grid item #406. Discovered from Tagged page grid in sequential order.</t>
  </si>
  <si>
    <t>https://adstransparency.google.com/advertiser/AR05016556376214732801/creative/CR11673893811162972161?region=anywhere</t>
  </si>
  <si>
    <t>The future belongs to SERPs, says @randderuiter. Don't fight it, embrace it! #brightonseo</t>
  </si>
  <si>
    <t>Tagged non-reel item (Static Photo) at grid position #407.</t>
  </si>
  <si>
    <t>Discovered at visual grid position #257. Verified Ad Details URL. Format: Single Image Ad.</t>
  </si>
  <si>
    <t>Grid item #407. Discovered from Tagged page grid in sequential order.</t>
  </si>
  <si>
    <t>CR11673893811162972161</t>
  </si>
  <si>
    <t>When you love what you do 🖥</t>
  </si>
  <si>
    <t>Tagged non-reel item (Static Photo) at grid position #408.</t>
  </si>
  <si>
    <t>Grid item #408. Discovered from Tagged page grid in sequential order.</t>
  </si>
  <si>
    <t>https://adstransparency.google.com/advertiser/AR05016556376214732801/creative/CR04838218820004872193?region=anywhere</t>
  </si>
  <si>
    <t>Happy 10th birthday #semrush #brightonseo 🍰🎂🍾 🎈</t>
  </si>
  <si>
    <t>#semrush, #brightonseo</t>
  </si>
  <si>
    <t>Tagged non-reel item (Static Photo) at grid position #409.</t>
  </si>
  <si>
    <t>Grid item #409. Discovered from Tagged page grid in sequential order.</t>
  </si>
  <si>
    <t>Discovered at visual grid position #258. Verified Ad Details URL. Format: Single Image Ad.</t>
  </si>
  <si>
    <t>CR04838218820004872193</t>
  </si>
  <si>
    <t>Ever wonder exactly by how much traffic to your site would increase if you worked with Direction? Here’s your answer.  This is a case study for an air conditioning company in Georgia. Can you tell the before and after?  No spin here; just putting in real work. • • • #direction #marketing #digitalmarketing #marketingagency #advertising #content #contentmarketing #blog #seo #google #search #ranking</t>
  </si>
  <si>
    <t>https://adstransparency.google.com/advertiser/AR05016556376214732801/creative/CR09213222865925570561?region=anywhere</t>
  </si>
  <si>
    <t>#direction, #marketing, #digitalmarketing, #marketingagency, #advertising, #content, #contentmarketing, #blog, #seo, #google, #search, #ranking, #strategy, #web, #googlepartner, #semrush</t>
  </si>
  <si>
    <t>Tagged non-reel item (Static Photo) at grid position #410.</t>
  </si>
  <si>
    <t>Grid item #410. Discovered from Tagged page grid in sequential order.</t>
  </si>
  <si>
    <t>So great to be home, and to have ALREADY delivered our first workshop about messenger bot strategy! 🤖🤖 Now that that’s in the bag, it’s time to refocus on guesting on @semrush’s Twitter chat (#semrushchat) tomorrow! The chat will begin at 10am CT over on Twitter, so don’t forget to come join me in a fun conversation about building your digital community! 😁😁😁 | #twittermarketing #communityfirst #so</t>
  </si>
  <si>
    <t>#semrushchat, #twittermarketing, #communityfirst, #sociallove, #smm, #socialmediamarketing, #smokedbourbon, #loveict, #wichitaks, #digitalmarketing</t>
  </si>
  <si>
    <t>Tagged non-reel item (Static Photo) at grid position #411.</t>
  </si>
  <si>
    <t>Ran from Mar 6, 2026 to Mar 19, 2026</t>
  </si>
  <si>
    <t>Grid item #411. Discovered from Tagged page grid in sequential order.</t>
  </si>
  <si>
    <t>Discovered at visual grid position #259. Verified Ad Details URL. Format: Single Image Ad.</t>
  </si>
  <si>
    <t>CR09213222865925570561</t>
  </si>
  <si>
    <t>https://adstransparency.google.com/advertiser/AR05016556376214732801/creative/CR01711398790755254273?region=anywhere</t>
  </si>
  <si>
    <t>How to Use Instagram Stories to Build Your Audience  via @semrush by @shanebarker  #digitalmarketing #inboundmarketing #lead #socialmedia #socialmediatips #socialmediamarketing #onlinemarketing #marketers #marketingtips</t>
  </si>
  <si>
    <t>#digitalmarketing, #inboundmarketing, #lead, #socialmedia, #socialmediatips, #socialmediamarketing, #onlinemarketing, #marketers, #marketingtips</t>
  </si>
  <si>
    <t>Tagged non-reel item (Static Photo) at grid position #412.</t>
  </si>
  <si>
    <t>Grid item #412. Discovered from Tagged page grid in sequential order.</t>
  </si>
  <si>
    <t>Happy to Announce @bookmycolleges as #Community #Partner  @semrush is coming to Indore!  Ticket price is ₹200. Only 100 seats are available! (Including Dinner) - 27th Sept , 6:00 Pm onwards :D  Who should you join the session: - #startups and #entrepreneurs who want to drive their #marketing #Strategy , win market share, and keep their #sales pipeline flowing - #digital Marketers who want to know</t>
  </si>
  <si>
    <t>#Community, #Partner, #startups, #entrepreneurs, #marketing, #Strategy, #sales, #digital, #DomainNames, #dinner</t>
  </si>
  <si>
    <t>Tagged non-reel item (Static Photo) at grid position #413.</t>
  </si>
  <si>
    <t>Grid item #413. Discovered from Tagged page grid in sequential order.</t>
  </si>
  <si>
    <t>CR01711398790755254273</t>
  </si>
  <si>
    <t>https://adstransparency.google.com/advertiser/AR05016556376214732801/creative/CR16588146368489455617?region=anywhere</t>
  </si>
  <si>
    <t>Discovered at visual grid position #260. Verified Ad Details URL. Format: Single Image Ad.</t>
  </si>
  <si>
    <t>Huge result for our Search &amp; Insights team, being nominated for 3 awards for their outstanding on-going execution for Adore Beauty. ▫️ @semrush ▪️ @adorebeautyofficial ▫️ @google ▪️ @overdose.digital ▫️ #semrush #seo #awards #australia #adorebeauty #ecommerce #overdose #digital #digitalmarketing #agency #onlinemarketing #content #contentmarketing #winning #hustle #grind #results</t>
  </si>
  <si>
    <t>#semrush, #seo, #awards, #australia, #adorebeauty, #ecommerce, #overdose, #digital, #digitalmarketing, #agency, #onlinemarketing, #content, #contentmarketing, #winning, #hustle, #grind, #results</t>
  </si>
  <si>
    <t>Tagged non-reel item (Static Photo) at grid position #414.</t>
  </si>
  <si>
    <t>Grid item #414. Discovered from Tagged page grid in sequential order.</t>
  </si>
  <si>
    <t>emotedigital</t>
  </si>
  <si>
    <t>Track visibility, sources, and sentiment in-depth to improve your AI search visibility</t>
  </si>
  <si>
    <t>If you needed further proof on the popularity of free shipping #emotedigital @semrush</t>
  </si>
  <si>
    <t>#emotedigital</t>
  </si>
  <si>
    <t>Tagged non-reel item (Static Photo) at grid position #415.</t>
  </si>
  <si>
    <t>CR16588146368489455617</t>
  </si>
  <si>
    <t>Grid item #415. Discovered from Tagged page grid in sequential order.</t>
  </si>
  <si>
    <t>https://adstransparency.google.com/advertiser/AR05016556376214732801/creative/CR01148763409328635905?region=anywhere</t>
  </si>
  <si>
    <t>Discovered at visual grid position #261. Verified Ad Details URL. Format: Single Image Ad.</t>
  </si>
  <si>
    <t>We are beyond ecstatic to announce that we have been shortlisted as one of the finalists for the Best Advertising Campaign in this year's SEM Rush Awards Australia! ••• Thanks to our wonderful DigitalMaas Team who made this recognition possible and to all our clients for their unyielding trust. Your support alone means the entire world to us! 💚 #DigitalMaas #DigitalMarketing #SEMRushAwards #Google</t>
  </si>
  <si>
    <t>#DigitalMaas, #DigitalMarketing, #SEMRushAwards, #GooglePartners</t>
  </si>
  <si>
    <t>Tagged non-reel item (Static Photo) at grid position #416.</t>
  </si>
  <si>
    <t>Grid item #416. Discovered from Tagged page grid in sequential order.</t>
  </si>
  <si>
    <t>so excited to announce that the world's largest online marketing platform SEMrush has launched in Australia! 🎉 They’ve got 3+ million users, 30+ tools and 140+ databases globally, this platform is continuing to grow rapidly! 💁🏻‍♀️ Such a fabulous evening at Bar Carolina, South Yarra celebrating this 🍹 @semrush #semrush @barcarolina_sthyarra @sydneypublicrelations #southyarra #launch #melbournefood</t>
  </si>
  <si>
    <t>#semrush, #southyarra, #launch, #melbournefoodie, #melbournefood, #melbournedrinks, #invitation, #agfg, #melbourneescapades</t>
  </si>
  <si>
    <t>Tagged non-reel item (Static Photo) at grid position #417.</t>
  </si>
  <si>
    <t>Grid item #417. Discovered from Tagged page grid in sequential order.</t>
  </si>
  <si>
    <t>Discovered at visual grid position #262. Verified Ad Details URL. Format: Single Image Ad.</t>
  </si>
  <si>
    <t>CR01148763409328635905</t>
  </si>
  <si>
    <t>https://adstransparency.google.com/advertiser/AR05016556376214732801/creative/CR15692211517619437569?region=anywhere</t>
  </si>
  <si>
    <t>¿Cómo crear alianzas estratégicas? • • • Escucha este episodio: https://bit.ly/2QqkMYX • • • #HazMarketing #NEO #marketinghackshow #mkt #digital #estrategias #business #tips  #lifehacks #hacks #éxito #workharder #show #newepisode #podcastlife #audio #soundcloud #spotify #picoftheday #miércoles #septiembre #emprendedores #entrepreneurship</t>
  </si>
  <si>
    <t>#HazMarketing, #NEO, #marketinghackshow, #mkt, #digital, #estrategias, #business, #tips, #lifehacks, #hacks, #éxito, #workharder, #show, #newepisode, #podcastlife, #audio, #soundcloud, #spotify, #picoftheday, #miércoles, #septiembre, #emprendedores, #entrepreneurship</t>
  </si>
  <si>
    <t>Tagged non-reel item (Static Photo) at grid position #418.</t>
  </si>
  <si>
    <t>Grid item #418. Discovered from Tagged page grid in sequential order.</t>
  </si>
  <si>
    <t>Discovered at visual grid position #263. Verified Ad Details URL. Format: Single Image Ad.</t>
  </si>
  <si>
    <t>CR15692211517619437569</t>
  </si>
  <si>
    <t>LEARN MORE ABOUT BLOG And INSTAGRAM.  We are going to make a Instagram community around the Globe.  Here You Learn Trick's And Ideas For Geting More Followers On Instagram. . 🅱🅱🅱🅱 #searchengine #seo #seotips #tips #website #indore #madhayapradesh #india #blog #blogger #instag  #how #share #love #follow #about #google #technology #webdesign #webdeveloper #websites #backend #gadget #hindi #student #</t>
  </si>
  <si>
    <t>#searchengine, #seo, #seotips, #tips, #website, #indore, #madhayapradesh, #india, #blog, #blogger, #instag, #how, #share, #love, #follow, #about, #google, #technology, #webdesign, #webdeveloper, #websites, #backend, #gadget, #hindi, #student, #italy</t>
  </si>
  <si>
    <t>Tagged non-reel item (Static Photo) at grid position #419.</t>
  </si>
  <si>
    <t>Grid item #419. Discovered from Tagged page grid in sequential order.</t>
  </si>
  <si>
    <t>https://adstransparency.google.com/advertiser/AR05016556376214732801/creative/CR06678522395495497729?region=anywhere</t>
  </si>
  <si>
    <t>The Complete Guide: How to Identify Intent in Search  via @semrush Team  #SEO #localSEO #DigitalMarketing #SEM</t>
  </si>
  <si>
    <t>#SEO, #localSEO, #DigitalMarketing, #SEM</t>
  </si>
  <si>
    <t>Tagged non-reel item (Static Photo) at grid position #420.</t>
  </si>
  <si>
    <t>Grid item #420. Discovered from Tagged page grid in sequential order.</t>
  </si>
  <si>
    <t>CR06678522395495497729</t>
  </si>
  <si>
    <t>In Magazine Issue 65, we featured Oleg Shchegolev, CEO and co-founder of @SEMrush on how he grew one of the biggest digital marketing brands on the planet. . You wouldn’t know it from SEMrush’s wild success—it’s grown into one of the world’s leading digital marketing suites, used by more than 2 million professionals—but CEO and co-founder Oleg Shchegolev launched the company at the worst time imag</t>
  </si>
  <si>
    <t>Tagged non-reel item (Static Photo) at grid position #421.</t>
  </si>
  <si>
    <t>Discovered at visual grid position #264. Verified Ad Details URL. Format: Single Image Ad.</t>
  </si>
  <si>
    <t>Grid item #421. Discovered from Tagged page grid in sequential order.</t>
  </si>
  <si>
    <t>https://adstransparency.google.com/advertiser/AR05016556376214732801/creative/CR02155252118557032449?region=anywhere</t>
  </si>
  <si>
    <t>cloud, Cloud, computing</t>
  </si>
  <si>
    <t>What was once a dream, is now a reality. Is your data in the #cloud? Improve productivity, mobility, accessibility, and security.  #Cloud  #computing  #data  #mobility  #cybersecurity  #technology #MSP  #delaware</t>
  </si>
  <si>
    <t>Innovate With Us!</t>
  </si>
  <si>
    <t>#cloud, #Cloud, #computing, #data, #mobility, #cybersecurity, #technology, #MSP, #delaware</t>
  </si>
  <si>
    <t>Excited to try something new? Then come take on the role of Programmatic &amp; Display Lead.</t>
  </si>
  <si>
    <t>Tagged non-reel item (Static Photo) at grid position #422.</t>
  </si>
  <si>
    <t>Grid item #422. Discovered from Tagged page grid in sequential order.</t>
  </si>
  <si>
    <t>CR02155252118557032449</t>
  </si>
  <si>
    <t>5 Local SEO Questions  via @semrush Team by @andrewshotland  #linkbuilding #LocalSEO #SEO #SEM #digitalmarketing</t>
  </si>
  <si>
    <t>Tagged non-reel item (Static Photo) at grid position #423.</t>
  </si>
  <si>
    <t>Grid item #423. Discovered from Tagged page grid in sequential order.</t>
  </si>
  <si>
    <t>Ran from Feb 12, 2026 to Feb 26, 2026</t>
  </si>
  <si>
    <t>Display Banner: "Track AI Brand Visibility - See exactly where your brand appears in AI search results"</t>
  </si>
  <si>
    <t>Discovered at visual grid position #265. Verified Ad Details URL. Format: Single Image Ad.</t>
  </si>
  <si>
    <t>https://adstransparency.google.com/advertiser/AR05016556376214732801/creative/CR01802740306915885057?region=anywhere</t>
  </si>
  <si>
    <t>Step-By-Step Guide: SEO Pruning with SEMrush  via @semrush  #contentmarketing #ContentStrategy #growthhack #growthhacking #growthhacker #webdesign #webdesigner #linkbuilding #LocalSEO #SEO #SEM #digitalmarketing #inboundmarketing #lead #socialmedia #socialmediatips #socialmediamarketing #onlinemarketing #marketers #marketingtips #agenturpixelportal #pixelportal #berlin #prenzlauerberg</t>
  </si>
  <si>
    <t>#contentmarketing, #ContentStrategy, #growthhack, #growthhacking, #growthhacker, #webdesign, #webdesigner, #linkbuilding, #LocalSEO, #SEO, #SEM, #digitalmarketing, #inboundmarketing, #lead, #socialmedia, #socialmediatips, #socialmediamarketing, #onlinemarketing, #marketers, #marketingtips, #agenturpixelportal, #pixelportal, #berlin, #prenzlauerberg</t>
  </si>
  <si>
    <t>Tagged non-reel item (Static Photo) at grid position #424.</t>
  </si>
  <si>
    <t>Grid item #424. Discovered from Tagged page grid in sequential order.</t>
  </si>
  <si>
    <t>Make the move! Become our new Senior Accountant with a strong knowledge of US GAAP.</t>
  </si>
  <si>
    <t>Want to make real money in your e-commerce business? Of course, you do! . Then you need to join us for @SumoMe Ecom Week starting Monday! Join 13 of the top experts in e-commerce from giants in the industry like @Yotpo @teamfizzle @bigcommerce @oberlo and more to learn effective strategies, such as, - How to turn likes into sales - Growth hacks for growing your store without blowing your budget -</t>
  </si>
  <si>
    <t>CR01802740306915885057</t>
  </si>
  <si>
    <t>#meetedgar, #socialmediamarketing, #ecommercebusiness, #digitalmarketing, #marketingstrategy, #ecommercetips, #subscriptionboxes, #entrepreneur, #startup, #startupbusiness</t>
  </si>
  <si>
    <t>Tagged non-reel item (Static Photo) at grid position #425.</t>
  </si>
  <si>
    <t>Grid item #425. Discovered from Tagged page grid in sequential order.</t>
  </si>
  <si>
    <t>https://adstransparency.google.com/advertiser/AR05016556376214732801/creative/CR03492617085270360065?region=anywhere</t>
  </si>
  <si>
    <t>Discovered at visual grid position #266. Verified Ad Details URL. Format: Single Image Ad.</t>
  </si>
  <si>
    <t>Interested in becoming a DOYO Live Sponsor? DM us today! #doyolive #inbound #cmworld #socialmediamarketing #digitalmarketing #youngstowngram #ohio</t>
  </si>
  <si>
    <t>#doyolive, #inbound, #cmworld, #socialmediamarketing, #digitalmarketing, #youngstowngram, #ohio</t>
  </si>
  <si>
    <t>Tagged non-reel item (Static Photo) at grid position #426.</t>
  </si>
  <si>
    <t>Grid item #426. Discovered from Tagged page grid in sequential order.</t>
  </si>
  <si>
    <t>CR03492617085270360065</t>
  </si>
  <si>
    <t>Y mientras tanto, me sigo formando en  #marketingdecontenidos y #SEO, con 'SEMrush Academy' 🔥 ¡Cuánto tiempo hacía que no me presentaba (y aprobaba) un examen! He aquí mi título 'SEMRUSH SEO TOOLKIT EXAM' 〰️ #semrush #sem #marketingdigital #trafficanalytics #blogger #blogging #emprendedordigital</t>
  </si>
  <si>
    <t>#marketingdecontenidos, #SEO, #semrush, #sem, #marketingdigital, #trafficanalytics, #blogger, #blogging, #emprendedordigital</t>
  </si>
  <si>
    <t>Tagged non-reel item (Static Photo) at grid position #427.</t>
  </si>
  <si>
    <t>Grid item #427. Discovered from Tagged page grid in sequential order.</t>
  </si>
  <si>
    <t>https://adstransparency.google.com/advertiser/AR05016556376214732801/creative/CR05823261391724740609?region=anywhere</t>
  </si>
  <si>
    <t>Depuis la mise à jour de l’algorithme #Google Medic, ce 1er août 2018, le blog Orson ne cesse de prendre des positions 🚀💪 #skyisthelimit #seo #referencement #whitehat #medic #content #inbound #webmarketing #traffic #serp #startup #performance #referencementnaturel #startuplifestyle #entrepreneurs @semrush</t>
  </si>
  <si>
    <t>#Google, #skyisthelimit, #seo, #referencement, #whitehat, #medic, #content, #inbound, #webmarketing, #traffic, #serp, #startup, #performance, #referencementnaturel, #startuplifestyle, #entrepreneurs</t>
  </si>
  <si>
    <t>Ran from Feb 20, 2026 to Mar 11, 2026</t>
  </si>
  <si>
    <t>Tagged non-reel item (Static Photo) at grid position #428.</t>
  </si>
  <si>
    <t>Grid item #428. Discovered from Tagged page grid in sequential order.</t>
  </si>
  <si>
    <t>Discovered at visual grid position #267. Verified Ad Details URL. Format: Single Image Ad.</t>
  </si>
  <si>
    <t>CR05823261391724740609</t>
  </si>
  <si>
    <t>Got nothing to do tomorrow morning?  Come watch me dig into an eCommerce website on SEMrush Chat (Twitter). Should be fun, the site is built on BigCommerce.  #SEO #ecommerce #bigcommerce</t>
  </si>
  <si>
    <t>#SEO, #ecommerce, #bigcommerce</t>
  </si>
  <si>
    <t>Tagged non-reel item (Static Photo) at grid position #429.</t>
  </si>
  <si>
    <t>Join Us Now</t>
  </si>
  <si>
    <t>Grid item #429. Discovered from Tagged page grid in sequential order.</t>
  </si>
  <si>
    <t>Ready for something big? Then come work as a Security Compliance Specialist for us!</t>
  </si>
  <si>
    <t>https://adstransparency.google.com/advertiser/AR05016556376214732801/creative/CR10325031431746617345?region=anywhere</t>
  </si>
  <si>
    <t>Con @userbotai ci vediamo il 5 ottobre a #Salerno per @ecommercehub! #Userbot #eh2018</t>
  </si>
  <si>
    <t>#Salerno, #Userbot, #eh2018</t>
  </si>
  <si>
    <t>Tagged non-reel item (Static Photo) at grid position #430.</t>
  </si>
  <si>
    <t>Grid item #430. Discovered from Tagged page grid in sequential order.</t>
  </si>
  <si>
    <t>Ran from Feb 19, 2026 to Mar 5, 2026</t>
  </si>
  <si>
    <t>Discovered at visual grid position #268. Verified Ad Details URL. Format: Single Image Ad.</t>
  </si>
  <si>
    <t>CR10325031431746617345</t>
  </si>
  <si>
    <t>In case it hasn’t been obvious enough, I definitely have a soft spot for meringue.. 🤤Throwback to the Melbourne Influencer Dine Event hosted by @semrush! ❤️ @barcarolina_sthyarra</t>
  </si>
  <si>
    <t>Tagged non-reel item (Static Photo) at grid position #431.</t>
  </si>
  <si>
    <t>Grid item #431. Discovered from Tagged page grid in sequential order.</t>
  </si>
  <si>
    <t>https://adstransparency.google.com/advertiser/AR05016556376214732801/creative/CR05912681760423936001?region=anywhere</t>
  </si>
  <si>
    <t>Are you at #DSDC?! Come meet the #SEMrush team and ask us all about our latest update: Mobile Data in Traffic Analytics! 📱📈 @digitalsummits  #conference #digital #analytics #dc #marketing #content #seo #ppc #pla #smm</t>
  </si>
  <si>
    <t>#DSDC, #SEMrush, #conference, #digital, #analytics, #dc, #marketing, #content, #seo, #ppc, #pla, #smm</t>
  </si>
  <si>
    <t>Tagged non-reel item (Static Photo) at grid position #432.</t>
  </si>
  <si>
    <t>Grid item #432. Discovered from Tagged page grid in sequential order.</t>
  </si>
  <si>
    <t>Ran from Feb 18, 2026 to Mar 20, 2026</t>
  </si>
  <si>
    <t>CR05912681760423936001</t>
  </si>
  <si>
    <t>Discovered at visual grid position #269. Verified Ad Details URL. Format: Single Image Ad.</t>
  </si>
  <si>
    <t>Took this during a lunch I went to with @semrush the other day!! Such a gorgeous view from @icebergsdiningroomandbar 😍💙 thanks for a fabulous lunch guys!! 💛 .  Who would you love to take to lunch here?? . . #vegan #veganfood #icebergs #semrush #beautiful #beach #bondi #bondibeach #notsponsored #view #lunch #landscape #lifestyle #oceanpools #winter #Sydneywinter #Sydney</t>
  </si>
  <si>
    <t>#vegan, #veganfood, #icebergs, #semrush, #beautiful, #beach, #bondi, #bondibeach, #notsponsored, #view, #lunch, #landscape, #lifestyle, #oceanpools, #winter, #Sydneywinter, #Sydney</t>
  </si>
  <si>
    <t>Tagged non-reel item (Static Photo) at grid position #433.</t>
  </si>
  <si>
    <t>https://adstransparency.google.com/advertiser/AR05016556376214732801/creative/CR11123426407093370881?region=anywhere</t>
  </si>
  <si>
    <t>Grid item #433. Discovered from Tagged page grid in sequential order.</t>
  </si>
  <si>
    <t>“On-page SEO is no longer satisfied by raw keyword use. Matching keywords to searcher INTENT is critical.” — Rand Fishkin . Not doing Keyword Research and publishing the blog post right away can cost you decent amount of visitors that you could have tapped otherwise. 😏  #editinstitute #digitalmarketing #onpageseo #seo #searchengineoptimization #keywordresearch #googlesearch #rankings #backlinks #k</t>
  </si>
  <si>
    <t>#editinstitute, #digitalmarketing, #onpageseo, #seo, #searchengineoptimization, #keywordresearch, #googlesearch, #rankings, #backlinks, #kwfinder, #semrush, #growthhack, #OnlineMarketing, #ig, #igers, #instadaily, #instamood, #friday, #friyay, #tweegram, #instafamous</t>
  </si>
  <si>
    <t>Tagged non-reel item (Static Photo) at grid position #434.</t>
  </si>
  <si>
    <t>Grid item #434. Discovered from Tagged page grid in sequential order.</t>
  </si>
  <si>
    <t>CR11123426407093370881</t>
  </si>
  <si>
    <t>SEMRUSH engraved copper mirror acrylic place cards for @semrush PR Event @tinazafiropoulos @sydneypublicrelations @lisamessenger @collectivehub @ashley_themadhatter</t>
  </si>
  <si>
    <t>Tagged non-reel item (Static Photo) at grid position #435.</t>
  </si>
  <si>
    <t>https://adstransparency.google.com/advertiser/AR05016556376214732801/creative/CR16763611751219462145?region=anywhere</t>
  </si>
  <si>
    <t>Grid item #435. Discovered from Tagged page grid in sequential order.</t>
  </si>
  <si>
    <t>Industry Event, Video Marketing</t>
  </si>
  <si>
    <t>Discovered at visual grid position #270. Verified Ad Details URL. Format: Single Image Ad.</t>
  </si>
  <si>
    <t>The perfect color combination 👌 for @semrush PR Event @icebergsdiningroomandbar featuring our copper mirror acrylic place cards #engraved and #personalized @360designncut . . . #Repost @tinazafiropoulos ・・・ Team SPR - PR event 2 of the week ✔️@SEMrushcom — @biancayoungx @360designncut  @icebergsdiningroomandbar  Thank you to all amazing guests + suppliers!</t>
  </si>
  <si>
    <t>#engraved, #personalized, #Repost</t>
  </si>
  <si>
    <t>Tagged non-reel item (Static Photo) at grid position #436.</t>
  </si>
  <si>
    <t>Grid item #436. Discovered from Tagged page grid in sequential order.</t>
  </si>
  <si>
    <t>CR16763611751219462145</t>
  </si>
  <si>
    <t>Win a @finconexpo Ticket! Aragon is giving away (1) pass to a rising star content creator! The contest starts today &amp; ends on the 27th! Enter the giveaway &amp; let's meet in Orlando! Link in bio!</t>
  </si>
  <si>
    <t>Tagged non-reel item (Static Photo) at grid position #437.</t>
  </si>
  <si>
    <t>https://adstransparency.google.com/advertiser/AR05016556376214732801/creative/CR03912878492722659329?region=anywhere</t>
  </si>
  <si>
    <t>Grid item #437. Discovered from Tagged page grid in sequential order.</t>
  </si>
  <si>
    <t>Mondays aren’t bad if you love where you work! 🌞</t>
  </si>
  <si>
    <t>Discovered at visual grid position #271. Verified Ad Details URL. Format: Single Image Ad.</t>
  </si>
  <si>
    <t>Tagged non-reel item (Static Photo) at grid position #438.</t>
  </si>
  <si>
    <t>Grid item #438. Discovered from Tagged page grid in sequential order.</t>
  </si>
  <si>
    <t>CR03912878492722659329</t>
  </si>
  <si>
    <t>Today’s lunch with the stunning view of Bondi Beach 🙈🙈 @semrushcom  #SEMrush</t>
  </si>
  <si>
    <t>Tagged non-reel item (Static Photo) at grid position #439.</t>
  </si>
  <si>
    <t>Grid item #439. Discovered from Tagged page grid in sequential order.</t>
  </si>
  <si>
    <t>Content Marketing, Industry Event</t>
  </si>
  <si>
    <t>https://adstransparency.google.com/advertiser/AR05016556376214732801/creative/CR10337192966652690433?region=anywhere</t>
  </si>
  <si>
    <t>GOLD DONUTS AND WINE  Recently I attended an event by @semrushcom and was absolutely enamoured with the 🍽️ table setting. Namely, this gold 🍩 donut.  Sure, it was a total blogging 👩🏼‍💻 win to see my name ✏️ written in stone. Not to mention winning 🏆 'best blog content'. . But let's face it, when you're the last to leave and they give you 6 gold 🍩 donuts. Well, hello sugar heaven. I'm ❤️ home.  Cou</t>
  </si>
  <si>
    <t>#explorewitherin, #gnomads, #foodporn, #foodgasm, #dessertsofmelbourne, #SEMRUSH, #SEMRUSHdine</t>
  </si>
  <si>
    <t>Tagged non-reel item (Static Photo) at grid position #440.</t>
  </si>
  <si>
    <t>Grid item #440. Discovered from Tagged page grid in sequential order.</t>
  </si>
  <si>
    <t>Discovered at visual grid position #272. Verified Ad Details URL. Format: Single Image Ad.</t>
  </si>
  <si>
    <t>From 0-20 Million Views On Quora And How I Did It  Do you use Quora? Maybe you have answered a few questions here and there in your spare time, but have you considered incorporating Quora into your digital marketing strategy?  A couple of years ago I had the fortune of having an answer featured in the Quora digest on Christmas day 2014 when I was in Malta. It was a question about salaries at diffe</t>
  </si>
  <si>
    <t>Tagged non-reel item (Static Photo) at grid position #441.</t>
  </si>
  <si>
    <t>Grid item #441. Discovered from Tagged page grid in sequential order.</t>
  </si>
  <si>
    <t>CR10337192966652690433</t>
  </si>
  <si>
    <t>https://adstransparency.google.com/advertiser/AR05016556376214732801/creative/CR01971120960702513153?region=anywhere</t>
  </si>
  <si>
    <t>Here are just a few of the insights shared by our wonderful speakers last night at our Future Content Session!🗣</t>
  </si>
  <si>
    <t>Tagged non-reel item (Photo Carousel) at grid position #442.</t>
  </si>
  <si>
    <t>Grid item #442. Discovered from Tagged page grid in sequential order.</t>
  </si>
  <si>
    <t>Creating lead capturing forms is like catching fish. Read the link in our bio to learn how to dangle the right bait, hook the right leads, draw them in, &amp; convert them to tasty sales 🐟🎣</t>
  </si>
  <si>
    <t>Tagged non-reel item (Static Photo) at grid position #443.</t>
  </si>
  <si>
    <t>Grid item #443. Discovered from Tagged page grid in sequential order.</t>
  </si>
  <si>
    <t>Discovered at visual grid position #273. Verified Ad Details URL. Format: Single Image Ad.</t>
  </si>
  <si>
    <t>CR01971120960702513153</t>
  </si>
  <si>
    <t>https://adstransparency.google.com/advertiser/AR05016556376214732801/creative/CR03006269376811761665?region=anywhere</t>
  </si>
  <si>
    <t>Huge thank you to our amazing speakers tonight #FutureContent. It’s been a great evening discussing the future of social media</t>
  </si>
  <si>
    <t>#FutureContent</t>
  </si>
  <si>
    <t>Tagged non-reel item (Static Photo) at grid position #444.</t>
  </si>
  <si>
    <t>Grid item #444. Discovered from Tagged page grid in sequential order.</t>
  </si>
  <si>
    <t>Finally for today here were some #twitter chats mentioned during the sit down with @nerdontherocks on #socialonsunday. Watch this space though part 2 of the interview will be aired this Sunday at 10.30 on Limerick City Community Radio.</t>
  </si>
  <si>
    <t>#twitter, #socialonsunday</t>
  </si>
  <si>
    <t>Tagged non-reel item (Static Photo) at grid position #445.</t>
  </si>
  <si>
    <t>Grid item #445. Discovered from Tagged page grid in sequential order.</t>
  </si>
  <si>
    <t>Discovered at visual grid position #274. Verified Ad Details URL. Format: Single Image Ad.</t>
  </si>
  <si>
    <t>CR03006269376811761665</t>
  </si>
  <si>
    <t>https://adstransparency.google.com/advertiser/AR05016556376214732801/creative/CR03635787818627760129?region=anywhere</t>
  </si>
  <si>
    <t>Look who won some swaggggg thanks @semrushcom! 🔥🔥🔥</t>
  </si>
  <si>
    <t>Tagged non-reel item (Static Photo) at grid position #446.</t>
  </si>
  <si>
    <t>Grid item #446. Discovered from Tagged page grid in sequential order.</t>
  </si>
  <si>
    <t>Dünyanın en gelişmiş dijital pazarlama araçlarından biri olan SEMrushtan Head of Global Marketing Olga Andrienko ve MENAT PR Manager Adam ile Türkiye pazarında büyüme stratejilerini konuştuk.  #semrush #marketing</t>
  </si>
  <si>
    <t>#semrush, #marketing</t>
  </si>
  <si>
    <t>Tagged non-reel item (Static Photo) at grid position #447.</t>
  </si>
  <si>
    <t>CR03635787818627760129</t>
  </si>
  <si>
    <t>Grid item #447. Discovered from Tagged page grid in sequential order.</t>
  </si>
  <si>
    <t>Discovered at visual grid position #275. Verified Ad Details URL. Format: Single Image Ad.</t>
  </si>
  <si>
    <t>https://adstransparency.google.com/advertiser/AR05016556376214732801/creative/CR08575078961548099585?region=anywhere</t>
  </si>
  <si>
    <t>Who else thinks it’s bullshit Google Ads is auto applying their garbage ad suggestions starting 8/14? To stop this, login to your account in new interface &gt; click settings &gt; account settings &gt; ad suggestions &gt; click don’t automatically apply ad suggestions.</t>
  </si>
  <si>
    <t>Tagged non-reel item (Static Photo) at grid position #448.</t>
  </si>
  <si>
    <t>Grid item #448. Discovered from Tagged page grid in sequential order.</t>
  </si>
  <si>
    <t>New Job, New Adventure</t>
  </si>
  <si>
    <t>Want to shape the future of tech? Join us as a Senior Backend Developer!</t>
  </si>
  <si>
    <t>3 🔑 factors for a successful project.  1️⃣ Communication. 2️⃣ Setting expectations.  3️⃣ Transparency. . . . . #Syntx #Entrepreneur #entrepreneurship #motivation #sales #seo #digitalmarketing #optimization #growth #technology #hustle #b2b #inspiration #productivity #ppc #bestoftheday #follow #work #customerlove #salestips #leaders #leadership #socialmediamarketing #business #smallbusiness #trendin</t>
  </si>
  <si>
    <t>CR08575078961548099585</t>
  </si>
  <si>
    <t>#Syntx, #Entrepreneur, #entrepreneurship, #motivation, #sales, #seo, #digitalmarketing, #optimization, #growth, #technology, #hustle, #b2b, #inspiration, #productivity, #ppc, #bestoftheday, #follow, #work, #customerlove, #salestips, #leaders, #leadership, #socialmediamarketing, #business, #smallbusiness, #trending, #marketing, #digitalmarketing, #onlinemarketing, #tuesday</t>
  </si>
  <si>
    <t>Tagged non-reel item (Static Photo) at grid position #449.</t>
  </si>
  <si>
    <t>Grid item #449. Discovered from Tagged page grid in sequential order.</t>
  </si>
  <si>
    <t>https://adstransparency.google.com/advertiser/AR05016556376214732801/creative/CR15323805672693301249?region=anywhere</t>
  </si>
  <si>
    <t>Discovered at visual grid position #276. Verified Ad Details URL. Format: Single Image Ad.</t>
  </si>
  <si>
    <t>Semrush is probably the best SEO tool you can use 🔥</t>
  </si>
  <si>
    <t>Tagged non-reel item (Static Photo) at grid position #450.</t>
  </si>
  <si>
    <t>Grid item #450. Discovered from Tagged page grid in sequential order.</t>
  </si>
  <si>
    <t>CR15323805672693301249</t>
  </si>
  <si>
    <t>How fast your #website can rank on google depends upon the difficulty of the keyword you want to rank for. Most of the times it is easier to rank for a local business than an national business if #seo is done properly. You can rank your website easily if there is less competition.</t>
  </si>
  <si>
    <t>#website, #seo</t>
  </si>
  <si>
    <t>Tagged non-reel item (Static Photo) at grid position #451.</t>
  </si>
  <si>
    <t>Grid item #451. Discovered from Tagged page grid in sequential order.</t>
  </si>
  <si>
    <t>https://adstransparency.google.com/advertiser/AR05016556376214732801/creative/CR16111946946196799489?region=anywhere</t>
  </si>
  <si>
    <t>Discovered at visual grid position #277. Verified Ad Details URL. Format: Single Image Ad.</t>
  </si>
  <si>
    <t>The Inbound Marketer Vs The Outbound Marketer !!! via @semrushcom ● ● ●  #InboundMarketing #outboudmarketing #SEO #SEM #SMO #SMM #leadgeneration #rainmakerDM #rainmakerinteractive #socialmediamarketing #DigitalMarketing #marketing #OnlineMarketing</t>
  </si>
  <si>
    <t>#InboundMarketing, #outboudmarketing, #SEO, #SEM, #SMO, #SMM, #leadgeneration, #rainmakerDM, #rainmakerinteractive, #socialmediamarketing, #DigitalMarketing, #marketing, #OnlineMarketing</t>
  </si>
  <si>
    <t>Tagged non-reel item (Static Photo) at grid position #452.</t>
  </si>
  <si>
    <t>Grid item #452. Discovered from Tagged page grid in sequential order.</t>
  </si>
  <si>
    <t>CR16111946946196799489</t>
  </si>
  <si>
    <t>Almost as good as free hugs - get your free 2 weeks trial to 2x your Facebook Ads performance!  Limited time only - Link in bio! . . . . . #Syntx #Entrepreneur #entrepreneurship #motivation #sales #seo #digitalmarketing #optimization #growth #technology #hustle #b2b #inspiration #productivity #ppc #bestoftheday #follow #work #customerlove #salestips #leaders #leadership #socialmediamarketing #busi</t>
  </si>
  <si>
    <t>https://adstransparency.google.com/advertiser/AR05016556376214732801/creative/CR08821750546948947969?region=anywhere</t>
  </si>
  <si>
    <t>#Syntx, #Entrepreneur, #entrepreneurship, #motivation, #sales, #seo, #digitalmarketing, #optimization, #growth, #technology, #hustle, #b2b, #inspiration, #productivity, #ppc, #bestoftheday, #follow, #work, #customerlove, #salestips, #leaders, #leadership, #socialmediamarketing, #business, #smallbusiness, #trending, #marketing, #digitalmarketing, #onlinemarketing</t>
  </si>
  <si>
    <t>Tagged non-reel item (Static Photo) at grid position #453.</t>
  </si>
  <si>
    <t>Grid item #453. Discovered from Tagged page grid in sequential order.</t>
  </si>
  <si>
    <t>Discovered at visual grid position #278. Verified Ad Details URL. Format: Single Image Ad.</t>
  </si>
  <si>
    <t>#dsden #semrush Partied a bit too hard at the Digital Summit Denver 😎</t>
  </si>
  <si>
    <t>#dsden, #semrush</t>
  </si>
  <si>
    <t>Tagged non-reel item (Static Photo) at grid position #454.</t>
  </si>
  <si>
    <t>Grid item #454. Discovered from Tagged page grid in sequential order.</t>
  </si>
  <si>
    <t>CR08821750546948947969</t>
  </si>
  <si>
    <t>Tired of the same old routine? Be our new Senior QA Automation Engineer.</t>
  </si>
  <si>
    <t>Won this #tshirt from the #semrush official team in the #SEMRush #meetup yesterday in #gurugram at #91springboard  #digitalmarketing #onlinemarketing #internetmarketing #influencermarketing #performancemarketing #360advertisement #360marketing #360advertising #seo #smo #sem #winner #winningspirit #ShouTech #blogger #indianblogger #writer @semrushcom @shoutech @91springboard</t>
  </si>
  <si>
    <t>https://adstransparency.google.com/advertiser/AR05016556376214732801/creative/CR18093817067579899905?region=anywhere</t>
  </si>
  <si>
    <t>#tshirt, #semrush, #SEMRush, #meetup, #gurugram, #91springboard, #digitalmarketing, #onlinemarketing, #internetmarketing, #influencermarketing, #performancemarketing, #360advertisement, #360marketing, #360advertising, #seo, #smo, #sem, #winner, #winningspirit, #ShouTech, #blogger, #indianblogger, #writer</t>
  </si>
  <si>
    <t>Tagged non-reel item (Static Photo) at grid position #455.</t>
  </si>
  <si>
    <t>Grid item #455. Discovered from Tagged page grid in sequential order.</t>
  </si>
  <si>
    <t>Ran from Feb 13, 2026 to Feb 17, 2026</t>
  </si>
  <si>
    <t>Welcome to the family @semrushcom -&gt; After some exciting meetings between Russia and Australia we will be heading the HQ expansion of SEMrush in Australia with a series of exciting events and a marketing expansion and execution strategy this year. SEMrush is the world’s largest digital marketing software and given our team’s software and tech experience we cannot wait to jump on board 👌🏽</t>
  </si>
  <si>
    <t>Tagged non-reel item (Static Photo) at grid position #456.</t>
  </si>
  <si>
    <t>Discovered at visual grid position #279. Verified Ad Details URL. Format: Single Image Ad.</t>
  </si>
  <si>
    <t>Grid item #456. Discovered from Tagged page grid in sequential order.</t>
  </si>
  <si>
    <t>CR18093817067579899905</t>
  </si>
  <si>
    <t>Display Banner: "Peec AI: The AEO Platform - Monitor brand mentions, sentiment &amp; rankings in AI. 7-Day Free Trial"</t>
  </si>
  <si>
    <t>https://adstransparency.google.com/advertiser/AR05016556376214732801/creative/CR17103325041354866689?region=anywhere</t>
  </si>
  <si>
    <t>You know what’s expensive? Custom, professional videos. ✨ You know what’s not expensive and gets just as much engagement? Instagram Stories. ✨ So don’t let that precious content go to waste! ✨ ➕Save them and share to Facebook ➕Add to you highlights ➕Upload to YouTube (you’ll need to edit to be landscape) ➕Save mentions or testimonials from clients and put them on your website ✨ Boom! Free video. ✨</t>
  </si>
  <si>
    <t>Tagged non-reel item (Static Photo) at grid position #457.</t>
  </si>
  <si>
    <t>Grid item #457. Discovered from Tagged page grid in sequential order.</t>
  </si>
  <si>
    <t>📶 Dia 19 de Julho #canoas vai receber o workshop Resultados na Era Digital, um evento para empresas e profissionais que querem acelerar resultados no ambiente online. Vagas limitadas! 🚀 @ufospacecanoas @agenciacharterhouse @resdigitais @semrushcom #marketingdigital #marketing #empreendedorismo #poa #portoalegre</t>
  </si>
  <si>
    <t>#canoas, #marketingdigital, #marketing, #empreendedorismo, #poa, #portoalegre</t>
  </si>
  <si>
    <t>Tagged non-reel item (Static Photo) at grid position #458.</t>
  </si>
  <si>
    <t>Grid item #458. Discovered from Tagged page grid in sequential order.</t>
  </si>
  <si>
    <t>SSJ18</t>
  </si>
  <si>
    <t>CR17103325041354866689</t>
  </si>
  <si>
    <t>https://adstransparency.google.com/advertiser/AR05016556376214732801/creative/CR07296207712784744449?region=anywhere</t>
  </si>
  <si>
    <t>Cooking deer medallions in a Michelin-starred restaurant in Helsinki ✅ #SSJ18</t>
  </si>
  <si>
    <t>#SSJ18</t>
  </si>
  <si>
    <t>Tagged non-reel item (Static Photo) at grid position #459.</t>
  </si>
  <si>
    <t>Grid item #459. Discovered from Tagged page grid in sequential order.</t>
  </si>
  <si>
    <t>Discovered at visual grid position #280. Verified Ad Details URL. Format: Single Image Ad.</t>
  </si>
  <si>
    <t>#digitalmarketing #ppc #cpm #socialmediamarketing #adwords #internetadvertising #affiliatemarketing #affiliatemarketingtools  #OnlineMarketing #EmailMarketing #Google #SEM #DigitalMarketing #Adwords #ContentMarketing #Blog</t>
  </si>
  <si>
    <t>#digitalmarketing, #ppc, #cpm, #socialmediamarketing, #adwords, #internetadvertising, #affiliatemarketing, #affiliatemarketingtools, #OnlineMarketing, #EmailMarketing, #Google, #SEM, #DigitalMarketing, #Adwords, #ContentMarketing, #Blog</t>
  </si>
  <si>
    <t>Tagged non-reel item (Static Photo) at grid position #460.</t>
  </si>
  <si>
    <t>Grid item #460. Discovered from Tagged page grid in sequential order.</t>
  </si>
  <si>
    <t>AI Search &amp; GEO, Content Marketing, Industry Event</t>
  </si>
  <si>
    <t>You are cordially invited to the most awaited event of the year -- ReDi Digital Dialogue 2018  to celebrate Social Media Day on June 30. Be part of  Responsibly Digital (ReDi) and participate in digital workshops designed for you, panel discussions on mental health and  digital &amp; digital trends and its impact  and keynote speakers from Government of Chattisgarh &amp; Twitter India.  If not booked alre</t>
  </si>
  <si>
    <t>#REDI2018, #ResponsiblyDigital, #Ahmedabad</t>
  </si>
  <si>
    <t>Tagged non-reel item (Static Photo) at grid position #461.</t>
  </si>
  <si>
    <t>Grid item #461. Discovered from Tagged page grid in sequential order.</t>
  </si>
  <si>
    <t>CR07296207712784744449</t>
  </si>
  <si>
    <t>https://adstransparency.google.com/advertiser/AR05016556376214732801/creative/CR03679118609805737985?region=anywhere</t>
  </si>
  <si>
    <t>Discovered at visual grid position #281. Verified Ad Details URL. Format: Single Image Ad.</t>
  </si>
  <si>
    <t>Technical SEO VS Content Optimisations 🔍  #DigitalMarketing #SocialMediaMarketing #DisplayMarketing #SEO #SMO #SMM #SEM #OnlineMarketing #InternetMarketing #GrowthHacking #ContentMarketing #ContentStrategy #InboundMarketing #DataScience #socialmedia #marketingspecialist</t>
  </si>
  <si>
    <t>#DigitalMarketing, #SocialMediaMarketing, #DisplayMarketing, #SEO, #SMO, #SMM, #SEM, #OnlineMarketing, #InternetMarketing, #GrowthHacking, #ContentMarketing, #ContentStrategy, #InboundMarketing, #DataScience, #socialmedia, #marketingspecialist</t>
  </si>
  <si>
    <t>Tagged non-reel item (Static Photo) at grid position #462.</t>
  </si>
  <si>
    <t>Grid item #462. Discovered from Tagged page grid in sequential order.</t>
  </si>
  <si>
    <t>🇩🇪⚽️👨🏻💶🐮🍼🚱🍺Wusstet ihr, der deutsche Fußball-Fan kauft Milch statt Bier? (Reimt sich auch noch!) Lustige Fakten über die deutschen Fußball-Fans haben die Datenspezialisten von  @emetriq_at_work, @socialbakers und @semrushcom herausgefunden. #worldcup #worldcup2018 #fussball #marketingstats #contentmarketing #infografik #techpr #wm2018 #wm #wmfieber #fussballwm #fussballwm2018</t>
  </si>
  <si>
    <t>#worldcup, #worldcup2018, #fussball, #marketingstats, #contentmarketing, #infografik, #techpr, #wm2018, #wm, #wmfieber, #fussballwm, #fussballwm2018</t>
  </si>
  <si>
    <t>Tagged non-reel item (Photo Carousel) at grid position #463.</t>
  </si>
  <si>
    <t>CR03679118609805737985</t>
  </si>
  <si>
    <t>Grid item #463. Discovered from Tagged page grid in sequential order.</t>
  </si>
  <si>
    <t>https://adstransparency.google.com/advertiser/AR05016556376214732801/creative/CR01624675635748143105?region=anywhere</t>
  </si>
  <si>
    <t>Discovered at visual grid position #282. Verified Ad Details URL. Format: Single Image Ad.</t>
  </si>
  <si>
    <t>↪Hoy vamos a contaros un poco acerca de las #Keywords o palabras clave🔐. Se trata de un término (o conjunto de ellos) que utilizan los usuarios de internet a la hora de buscar contenido en la web, a través de los motores de búsqueda (Google, Bing, etc) - Estas palabras clave tienen varias funcionalidades y te pueden ayudar mucho dentro de tus post, en tus descripciones etc. Aquí te mostramos algun</t>
  </si>
  <si>
    <t>#Keywords, #PalabrasClave, #longtailkeywords, #SEO, #posicionamientoweb, #socialmedia, #redessociales, #communitymanager, #Valencia, #LittleBIGIDEAS</t>
  </si>
  <si>
    <t>Tagged non-reel item (Static Photo) at grid position #464.</t>
  </si>
  <si>
    <t>Grid item #464. Discovered from Tagged page grid in sequential order.</t>
  </si>
  <si>
    <t>Ashley Ward Content Marketer at SEMrush  She will be talking about 'Content Marketing ROI'  Ashley Ward is a Corporate Speaker and Evangelist for SEMrush, the most comprehensive business intelligence platform for digital marketing. Her passion is focused on helping businesses and marketing professionals gain long-term ROI through teaching content marketing and social media marketing tips and trick</t>
  </si>
  <si>
    <t>#gdmsnigeria2018, #gdmsafrica, #gdms, #digitalmarketing, #contentmarketing, #ROI, #speaker, #conference, #summit</t>
  </si>
  <si>
    <t>CR01624675635748143105</t>
  </si>
  <si>
    <t>Tagged non-reel item (Static Photo) at grid position #465.</t>
  </si>
  <si>
    <t>Grid item #465. Discovered from Tagged page grid in sequential order.</t>
  </si>
  <si>
    <t>https://adstransparency.google.com/advertiser/AR05016556376214732801/creative/CR05428805547946147841?region=anywhere</t>
  </si>
  <si>
    <t>Discovered at visual grid position #283. Verified Ad Details URL. Format: Single Image Ad.</t>
  </si>
  <si>
    <t>Como ya saben para nosotros las métricas son muy importantes porque muestran el resultado de las técnicas SEO empleadas en nuestra estrategia. - Hoy mostramos parte de esos resultados, con el posicionamiento de nuevas palabras claves en la primera página de Google como: Servicios web y Preprodución, que se suman a Productora audiovisual y Productora audiovisual en Venezuela para búsquedas internac</t>
  </si>
  <si>
    <t>#bgcreativos, #seo, #sem, #produccionaudiovisual, #blog</t>
  </si>
  <si>
    <t>Tagged non-reel item (Static Photo) at grid position #466.</t>
  </si>
  <si>
    <t>Grid item #466. Discovered from Tagged page grid in sequential order.</t>
  </si>
  <si>
    <t>Conheça tudo sobre a ferramenta e entenda como ela trará benefícios para o seu negócio. Link para o artigo em nossa bio. 😄📊 . . . . . #marketingdigital #gearseo #semrush #digitalmarketing #business #palavrachave #learn #benefícios #seo</t>
  </si>
  <si>
    <t>#marketingdigital, #gearseo, #semrush, #digitalmarketing, #business, #palavrachave, #learn, #benefícios, #seo</t>
  </si>
  <si>
    <t>Tagged non-reel item (Static Photo) at grid position #467.</t>
  </si>
  <si>
    <t>CR05428805547946147841</t>
  </si>
  <si>
    <t>Grid item #467. Discovered from Tagged page grid in sequential order.</t>
  </si>
  <si>
    <t>https://adstransparency.google.com/advertiser/AR05016556376214732801/creative/CR08409708976756752385?region=anywhere</t>
  </si>
  <si>
    <t>#SearchEngineOptimization #DigitalMarketing #InboundMarketing #Blog #Emailmarketing #SEO #SEM  #SocialMedia #SocialMediaMarketing #SocialMarketing #PPC #Marketing #InternetMarketing #Contentmarketing #SMM #GrowthHacking #InboundMarketing #GrowthHacking #Innovation #smallbusiness #business #SMM #SEO #blogging #blog #Content #socialmedia #emailmarketing  #ContentMarketing #SmallBiz #Marketing  #Digi</t>
  </si>
  <si>
    <t>#SearchEngineOptimization, #DigitalMarketing, #InboundMarketing, #Blog, #Emailmarketing, #SEO, #SEM, #SocialMedia, #SocialMediaMarketing, #SocialMarketing, #PPC, #Marketing, #InternetMarketing, #Contentmarketing, #SMM, #GrowthHacking, #InboundMarketing, #GrowthHacking, #Innovation, #smallbusiness, #business, #SMM, #SEO, #blogging, #blog, #Content, #socialmedia, #emailmarketing, #ContentMarketing, #SmallBiz, #Marketing, #DigitalMarketing, #securityadda</t>
  </si>
  <si>
    <t>Tagged non-reel item (Static Photo) at grid position #468.</t>
  </si>
  <si>
    <t>Discovered at visual grid position #284. Verified Ad Details URL. Format: Single Image Ad.</t>
  </si>
  <si>
    <t>Grid item #468. Discovered from Tagged page grid in sequential order.</t>
  </si>
  <si>
    <t>It was great meeting Pavel Frolov and Khadisha Bekkozhina from @semrushcom Luckily they found some time to run a workshop for us whilst they were here in Sydney for the @searchsummitau .  It was awesome to learn about all the new features that SEMRush are rolling out and the 4mation team learnt a bunch of valuable stuff! 🔎✨📈 #SEO #SEM #SEMRush #SEOtips #sydneytech  #strategy #digitalmarketing #mak</t>
  </si>
  <si>
    <t>#SEO, #SEM, #SEMRush, #SEOtips, #sydneytech, #strategy, #digitalmarketing, #makingfriends, #mowingthelawn</t>
  </si>
  <si>
    <t>Tagged non-reel item (Static Photo) at grid position #469.</t>
  </si>
  <si>
    <t>CR08409708976756752385</t>
  </si>
  <si>
    <t>Grid item #469. Discovered from Tagged page grid in sequential order.</t>
  </si>
  <si>
    <t>melbournebound, hometime</t>
  </si>
  <si>
    <t>https://adstransparency.google.com/advertiser/AR05016556376214732801/creative/CR02089256681878847489?region=anywhere</t>
  </si>
  <si>
    <t>✌️ out SYDNEY ✈️ Thx SEMRush for having me on your team this week! #melbournebound #hometime</t>
  </si>
  <si>
    <t>#melbournebound, #hometime</t>
  </si>
  <si>
    <t>Tagged non-reel item (Static Photo) at grid position #470.</t>
  </si>
  <si>
    <t>Grid item #470. Discovered from Tagged page grid in sequential order.</t>
  </si>
  <si>
    <t>Discovered at visual grid position #285. Verified Ad Details URL. Format: Single Image Ad.</t>
  </si>
  <si>
    <t>Tavola rotonda notevole al #lws18  #SEO #linkbuilding #linkwebsummit #link #linking #searchengineoptimization #web #digitalmarketing #digital #webmarketing #online #strategie #strategiedigitali #digitalpr #pubblicherelazioni #Google #googlesearch #googlepenguin #qualityrater #qualityrating</t>
  </si>
  <si>
    <t>CR02089256681878847489</t>
  </si>
  <si>
    <t>#lws18, #SEO, #linkbuilding, #linkwebsummit, #link, #linking, #searchengineoptimization, #web, #digitalmarketing, #digital, #webmarketing, #online, #strategie, #strategiedigitali, #digitalpr, #pubblicherelazioni, #Google, #googlesearch, #googlepenguin, #qualityrater, #qualityrating</t>
  </si>
  <si>
    <t>Tagged non-reel item (Static Photo) at grid position #471.</t>
  </si>
  <si>
    <t>Grid item #471. Discovered from Tagged page grid in sequential order.</t>
  </si>
  <si>
    <t>https://adstransparency.google.com/advertiser/AR05016556376214732801/creative/CR17630686414725185537?region=anywhere</t>
  </si>
  <si>
    <t>Learn the secrets of mobile search dominance with breakout session leader, Maryna Hrdovich – VP Strategic Growth &amp; Development at @semrushcom 🙌</t>
  </si>
  <si>
    <t>Tagged non-reel item (Static Photo) at grid position #472.</t>
  </si>
  <si>
    <t>Grid item #472. Discovered from Tagged page grid in sequential order.</t>
  </si>
  <si>
    <t>Ran from Feb 12, 2026 to Feb 17, 2026</t>
  </si>
  <si>
    <t>Discovered at visual grid position #286. Verified Ad Details URL. Format: Single Image Ad.</t>
  </si>
  <si>
    <t>CR17630686414725185537</t>
  </si>
  <si>
    <t>Вечерний #meetup в @semrushcom #seo #semrush</t>
  </si>
  <si>
    <t>#meetup, #seo, #semrush</t>
  </si>
  <si>
    <t>Tagged non-reel item (Static Photo) at grid position #473.</t>
  </si>
  <si>
    <t>Grid item #473. Discovered from Tagged page grid in sequential order.</t>
  </si>
  <si>
    <t>https://adstransparency.google.com/advertiser/AR05016556376214732801/creative/CR15920686211350396929?region=anywhere</t>
  </si>
  <si>
    <t>Uiuiui, die #Royalwedding-Fans unter uns sind very excited! Und passend zur morgigen Hochzeit 💞hat unser Kunde @semrushcom ausgewertet, dass #meghanmarkle die Prinzessin der Suchanfragen ist, noch vor #katemiddleton und #cinderella 👑! #semrushstats #royalwedding2018 #infografik #theroyalwedding #contentmarketing #marketingstats #trendingtopic</t>
  </si>
  <si>
    <t>#Royalwedding, #meghanmarkle, #katemiddleton, #cinderella, #semrushstats, #royalwedding2018, #infografik, #theroyalwedding, #contentmarketing, #marketingstats, #trendingtopic</t>
  </si>
  <si>
    <t>Tagged non-reel item (Static Photo) at grid position #474.</t>
  </si>
  <si>
    <t>Grid item #474. Discovered from Tagged page grid in sequential order.</t>
  </si>
  <si>
    <t>CR15920686211350396929</t>
  </si>
  <si>
    <t>Discovered at visual grid position #287. Verified Ad Details URL. Format: Single Image Ad.</t>
  </si>
  <si>
    <t>FREE EBOOK! 📕 Click the link in today’s story to get your copy. Get step-by-step instructions for starting your business and marketing tips from @semrushcom 🔥</t>
  </si>
  <si>
    <t>Tagged non-reel item (Static Photo) at grid position #475.</t>
  </si>
  <si>
    <t>Grid item #475. Discovered from Tagged page grid in sequential order.</t>
  </si>
  <si>
    <t>https://adstransparency.google.com/advertiser/AR05016556376214732801/creative/CR07103511565508280321?region=anywhere</t>
  </si>
  <si>
    <t>Just recorded another episode of my #marketingbuzzword Podcast with Tim from @semrushcom All about PPC and Paid Search live from #EngagePrague with @socialbakers  Really loved recording this and cannot wait to share it!  #ppc #podcast #marketingpodcast #podcaster #paidsearch #marketing #buzzwords #semrush</t>
  </si>
  <si>
    <t>#marketingbuzzword, #EngagePrague, #ppc, #podcast, #marketingpodcast, #podcaster, #paidsearch, #marketing, #buzzwords, #semrush</t>
  </si>
  <si>
    <t>Tagged non-reel item (Photo Carousel) at grid position #476.</t>
  </si>
  <si>
    <t>Grid item #476. Discovered from Tagged page grid in sequential order.</t>
  </si>
  <si>
    <t>CR07103511565508280321</t>
  </si>
  <si>
    <t>How to Uncover Your Competitors’ Social Media Strategies via @semrushcom ➡️ https://www.semrush.com/blog/how-to-use-semrush-for-social-media-competitive-analysis/ • • • • #sem #seo #searchengineoptimization #searchenginemarketing #digitalmarketing #socialmedia #socialmediamarketing #advertising #advertisingagency #managedservices</t>
  </si>
  <si>
    <t>#sem, #seo, #searchengineoptimization, #searchenginemarketing, #digitalmarketing, #socialmedia, #socialmediamarketing, #advertising, #advertisingagency, #managedservices</t>
  </si>
  <si>
    <t>https://adstransparency.google.com/advertiser/AR05016556376214732801/creative/CR10838512982644752385?region=anywhere</t>
  </si>
  <si>
    <t>Tagged non-reel item (Static Photo) at grid position #477.</t>
  </si>
  <si>
    <t>Grid item #477. Discovered from Tagged page grid in sequential order.</t>
  </si>
  <si>
    <t>Discovered at visual grid position #288. Verified Ad Details URL. Format: Single Image Ad.</t>
  </si>
  <si>
    <t>Semrush, iceicebaby, semrush</t>
  </si>
  <si>
    <t>Save up to $1,640 on a full year of Semrush One</t>
  </si>
  <si>
    <t>Definitiv einer der Hingucker des letzten OMClubs: Die Eis Bar von #Semrush.  Wer hat sich hier auch den ein oder anderen Drink gegönnt? 🥂 ________________________________________________  #iceicebaby #semrush #sponsor #thankyou #omclub2017 #omclub #partyon #coldasice #barsponsoring</t>
  </si>
  <si>
    <t>Did you miss us? Come back with 30% off Semrush One.</t>
  </si>
  <si>
    <t>#Semrush, #iceicebaby, #semrush, #sponsor, #thankyou, #omclub2017, #omclub, #partyon, #coldasice, #barsponsoring</t>
  </si>
  <si>
    <t>Tagged non-reel item (Static Photo) at grid position #478.</t>
  </si>
  <si>
    <t>Grid item #478. Discovered from Tagged page grid in sequential order.</t>
  </si>
  <si>
    <t>CR10838512982644752385</t>
  </si>
  <si>
    <t>Thanks again @semrushcom for these t-shirts! 🔥😁</t>
  </si>
  <si>
    <t>https://adstransparency.google.com/advertiser/AR05016556376214732801/creative/CR05188027344870178817?region=anywhere</t>
  </si>
  <si>
    <t>Tagged non-reel item (Photo Carousel) at grid position #479.</t>
  </si>
  <si>
    <t>Grid item #479. Discovered from Tagged page grid in sequential order.</t>
  </si>
  <si>
    <t>Ran from Dec 23, 2025 to Dec 31, 2025</t>
  </si>
  <si>
    <t>Discovered at visual grid position #289. Verified Ad Details URL. Format: Video Ad.</t>
  </si>
  <si>
    <t>If you’re not learning and maintaining your knowledge in the digital marketing arena you are missing an opportunity. Shoutout to @semrushcom and @ericosiu for today’s webinar on Unconventional Growth Tactics for 2018 &amp; Beyond! #ProblemSolved #digitalmarketing #growth</t>
  </si>
  <si>
    <t>#ProblemSolved, #digitalmarketing, #growth</t>
  </si>
  <si>
    <t>Tagged non-reel item (Static Photo) at grid position #480.</t>
  </si>
  <si>
    <t>Drive change in Tech! Join us as a Customer Onboarding Consultant with 6+ years of experience and fluent in German.</t>
  </si>
  <si>
    <t>Grid item #480. Discovered from Tagged page grid in sequential order.</t>
  </si>
  <si>
    <t>CR05188027344870178817</t>
  </si>
  <si>
    <t>https://adstransparency.google.com/advertiser/AR05016556376214732801/creative/CR01452026196786151425?region=anywhere</t>
  </si>
  <si>
    <t>@semrushcom stats: here’s the most popular #dating #apps around.📱❤️ #badoo #tinder #grinder #marketing #tech #smm  #content #date #love #app #application #semrush #mobile #web #informatica #webmarketing #socialmedia #smm #socialmediamarketing #digital #socialmedia #semrushstats</t>
  </si>
  <si>
    <t>#dating, #apps, #badoo, #tinder, #grinder, #marketing, #tech, #smm, #content, #date, #love, #app, #application, #semrush, #mobile, #web, #informatica, #webmarketing, #socialmedia, #smm, #socialmediamarketing, #digital, #socialmedia, #semrushstats</t>
  </si>
  <si>
    <t>Tagged non-reel item (Static Photo) at grid position #481.</t>
  </si>
  <si>
    <t>Grid item #481. Discovered from Tagged page grid in sequential order.</t>
  </si>
  <si>
    <t>Ran from Jan 21, 2026 to Jan 28, 2026</t>
  </si>
  <si>
    <t>Discovered at visual grid position #290. Verified Ad Details URL. Format: Single Image Ad.</t>
  </si>
  <si>
    <t>BLOG TOOLS  You’ve got a business to run and you’ve got ideas for your blog. . Overwhelm takes over! . A blogger needs to be productive and efficient with creating their content. What’s the blog secret? Tools! Lots of magical tools that can help any blogger become a better blogger. . We've got our favorites listed in this post! Check to see if your favorite tool made the list at http://bit.ly/tool</t>
  </si>
  <si>
    <t>#blogging, #blogtools, #bloggers, #entrepreneurship, #creativepreneur, #communityovercompetition, #entrepreneurlife</t>
  </si>
  <si>
    <t>Tagged non-reel item (Static Photo) at grid position #482.</t>
  </si>
  <si>
    <t>Grid item #482. Discovered from Tagged page grid in sequential order.</t>
  </si>
  <si>
    <t>CR01452026196786151425</t>
  </si>
  <si>
    <t>https://adstransparency.google.com/advertiser/AR05016556376214732801/creative/CR15615681273488474113?region=anywhere</t>
  </si>
  <si>
    <t>With @SEMRushCom #Tonight #SEO #SEM #Marketing</t>
  </si>
  <si>
    <t>#Tonight, #SEO, #SEM, #Marketing</t>
  </si>
  <si>
    <t>Tagged non-reel item (Static Photo) at grid position #483.</t>
  </si>
  <si>
    <t>Grid item #483. Discovered from Tagged page grid in sequential order.</t>
  </si>
  <si>
    <t>An Evening with @SEMRushCom !!! #SEO #SEM #Marketing</t>
  </si>
  <si>
    <t>#SEO, #SEM, #Marketing</t>
  </si>
  <si>
    <t>Tagged non-reel item (Static Photo) at grid position #484.</t>
  </si>
  <si>
    <t>Grid item #484. Discovered from Tagged page grid in sequential order.</t>
  </si>
  <si>
    <t>Discovered at visual grid position #291. Verified Ad Details URL. Format: Single Image Ad.</t>
  </si>
  <si>
    <t>CR15615681273488474113</t>
  </si>
  <si>
    <t>https://adstransparency.google.com/advertiser/AR05016556376214732801/creative/CR17970234846835900417?region=anywhere</t>
  </si>
  <si>
    <t>Throwback fra UK Search Awards. En bra kveld med supre bransjevenner. Spesielt gøy var det at @semrushcom vant prisen for beste SEO-plattform og Elephate fikk pris for beste innholdsmarkedsføring og innholdsstrategi. Alltid hyggelig å sitte på vinnerbordet. 🏆🥇🙌🏻😇✈️🥂 #UKSearchAwards #søkemotoroptimalisering #innholdsmarkedsføring #innholdsstrategi #seo #SearchPlanet</t>
  </si>
  <si>
    <t>#UKSearchAwards, #søkemotoroptimalisering, #innholdsmarkedsføring, #innholdsstrategi, #seo, #SearchPlanet</t>
  </si>
  <si>
    <t>Tagged non-reel item (Static Photo) at grid position #485.</t>
  </si>
  <si>
    <t>Grid item #485. Discovered from Tagged page grid in sequential order.</t>
  </si>
  <si>
    <t>Make the move! Become our new Senior Golang Developer.</t>
  </si>
  <si>
    <t>Let’s connect @seokevin380 if you agree. . . . . . #feedback #improvement #content #contentcreator #blogger #blog #blogging #elonmusk #entrepreneur #mindset #seo #marketingtips #seotips #business #onlinemarketing #internet #socialmedia #socialmediamarketing #targetmarketing #smm #searchengineoptimization</t>
  </si>
  <si>
    <t>#feedback, #improvement, #content, #contentcreator, #blogger, #blog, #blogging, #elonmusk, #entrepreneur, #mindset, #seo, #marketingtips, #seotips, #business, #onlinemarketing, #internet, #socialmedia, #socialmediamarketing, #targetmarketing, #smm, #searchengineoptimization</t>
  </si>
  <si>
    <t>Tagged non-reel item (Static Photo) at grid position #486.</t>
  </si>
  <si>
    <t>Grid item #486. Discovered from Tagged page grid in sequential order.</t>
  </si>
  <si>
    <t>CR17970234846835900417</t>
  </si>
  <si>
    <t>Ran from Feb 6, 2026 to Feb 20, 2026</t>
  </si>
  <si>
    <t>Discovered at visual grid position #292. Verified Ad Details URL. Format: Single Image Ad.</t>
  </si>
  <si>
    <t>https://adstransparency.google.com/advertiser/AR05016556376214732801/creative/CR01140574135055810561?region=anywhere</t>
  </si>
  <si>
    <t>Get It Moving!</t>
  </si>
  <si>
    <t>Want to work somewhere meaningful? Join us as a Product PR Specialist with 5+ years of experience in driving media coverage.</t>
  </si>
  <si>
    <t>No elf on our shelf! Bots only. RogerBots and crawlers - og nettbutikker man kan optimalisere og elefanter som kan puttes penger på. Burde jo ha vært en veddeløpshest, men sjefen er mot gambling. 🤓 #seo #ehandel #nettbutikkSEO #ecommerceSEO #tekniskSEO #SearchPlanet</t>
  </si>
  <si>
    <t>#seo, #ehandel, #nettbutikkSEO, #ecommerceSEO, #tekniskSEO, #SearchPlanet</t>
  </si>
  <si>
    <t>Tagged non-reel item (Static Photo) at grid position #487.</t>
  </si>
  <si>
    <t>Grid item #487. Discovered from Tagged page grid in sequential order.</t>
  </si>
  <si>
    <t>CR01140574135055810561</t>
  </si>
  <si>
    <t>Everything your clients see is a reflection of your brand. From your social media posts, to how you communicate, to your website, down to how you dress! How are you optimizing the customer experience? Here are a few tips: . ➖Send your clients a small personalized gift [this one speaks volumes towards building long term relationships!] ➖Make sure your website is easy to navigate. Is the information</t>
  </si>
  <si>
    <t>Ran from Jan 21, 2026 to Feb 4, 2026</t>
  </si>
  <si>
    <t>Tagged non-reel item (Static Photo) at grid position #488.</t>
  </si>
  <si>
    <t>https://adstransparency.google.com/advertiser/AR05016556376214732801/creative/CR04783556049674174465?region=anywhere</t>
  </si>
  <si>
    <t>Discovered at visual grid position #293. Verified Ad Details URL. Format: Single Image Ad.</t>
  </si>
  <si>
    <t>Grid item #488. Discovered from Tagged page grid in sequential order.</t>
  </si>
  <si>
    <t>Thanks to everybody that showed up we greatly appreciate it! And a big thanks to our speaker Ashley Ward, for taking the time to come to our school for the first time to talk to us about SEMRush and Digital Marketing and bringing us amazing gifts and food! @semrushcom Look forward to our next meeting! #semrush #marketing #digitalmarketing #csula #csulamktclub</t>
  </si>
  <si>
    <t>#semrush, #marketing, #digitalmarketing, #csula, #csulamktclub</t>
  </si>
  <si>
    <t>Tagged non-reel item (Photo Carousel) at grid position #489.</t>
  </si>
  <si>
    <t>Grid item #489. Discovered from Tagged page grid in sequential order.</t>
  </si>
  <si>
    <t>CR04783556049674174465</t>
  </si>
  <si>
    <t>Muito feliz em estar no meio de tanta mulher “porreta”. 😃  Obrigada SEMrush, ferramenta de marketing digital líder no mercado, por me convidar a colaborar com essa homenagem ao Dia Internacional das Mulheres! . . . “Uma mulher deve ser duas coisas: QUEM e o QUE ela quiser.'</t>
  </si>
  <si>
    <t>https://adstransparency.google.com/advertiser/AR05016556376214732801/creative/CR01245615978415390721?region=anywhere</t>
  </si>
  <si>
    <t>Tagged non-reel item (Static Photo) at grid position #490.</t>
  </si>
  <si>
    <t>Grid item #490. Discovered from Tagged page grid in sequential order.</t>
  </si>
  <si>
    <t>Ran from Jan 16, 2026 to Mar 20, 2026</t>
  </si>
  <si>
    <t>Discovered at visual grid position #294. Verified Ad Details URL. Format: Single Image Ad.</t>
  </si>
  <si>
    <t>Will you be at the organic #marketing #event of the year? Join Conductor, our amazing speakers, and partners for two days of #digitalmarketing insights at #C3NY. Use promo C318-INSTA</t>
  </si>
  <si>
    <t>#marketing, #event, #digitalmarketing, #C3NY</t>
  </si>
  <si>
    <t>Tagged non-reel item (Static Photo) at grid position #491.</t>
  </si>
  <si>
    <t>Grid item #491. Discovered from Tagged page grid in sequential order.</t>
  </si>
  <si>
    <t>CR01245615978415390721</t>
  </si>
  <si>
    <t>Big fan of everything @semrushcom  Great tool that I use weekly and great events like #DTDconf that I presented on today!  Most of all they have great employees &amp; I love the orange!  Thanks for the swag Krista Tidman &amp; team! #DSphx  If you’re at @digitalsummits stop by their booth!</t>
  </si>
  <si>
    <t>https://adstransparency.google.com/advertiser/AR05016556376214732801/creative/CR05573575220318437377?region=anywhere</t>
  </si>
  <si>
    <t>#DTDconf, #DSphx</t>
  </si>
  <si>
    <t>Tagged non-reel item (Static Photo) at grid position #492.</t>
  </si>
  <si>
    <t>Grid item #492. Discovered from Tagged page grid in sequential order.</t>
  </si>
  <si>
    <t>Meet SEMrush team in Pune. Only 100 seats are available. Link in bio. Tickets @ INR 200.  Agenda: 5:30 pm - 6:00 pm Registration &amp; Networking 6:00 pm - 6:30 pm Fernando Angulo: Big MKT Tools for SMB 6:30 pm - 6:45 pm Q&amp;A 6:45 pm - 7:15 pm Ashish Dasharathi: Campaign Management and Reporting Using Google Data Studio 7:15 pm - 8:00 pm Prasad Ajinkya: Adwords scripting work 8:00 pm - 8:15 pm Q&amp;A 8:15</t>
  </si>
  <si>
    <t>Discovered at visual grid position #295. Verified Ad Details URL. Format: Single Image Ad.</t>
  </si>
  <si>
    <t>Tagged non-reel item (Static Photo) at grid position #493.</t>
  </si>
  <si>
    <t>Grid item #493. Discovered from Tagged page grid in sequential order.</t>
  </si>
  <si>
    <t>You tried Semrush before, but never like this. Claim 30% off Semrush One to dominate AI visibility and traditional search.</t>
  </si>
  <si>
    <t>Let's talk keyword research! First up.. . ◼️ Keyword structure . Keywords can be short tail (generic), {for example “marketing”, or “SEO”}or long-tail (descriptive and specific), {ie SEO services for boss babes' 😬} . Short-tail keywords have the potential to drive more visits (IF you manage to rank for them- they tend to be super competitive!) While long-tail keywords drive more targeted traffic a</t>
  </si>
  <si>
    <t>Tagged non-reel item (Static Photo) at grid position #494.</t>
  </si>
  <si>
    <t>Grid item #494. Discovered from Tagged page grid in sequential order.</t>
  </si>
  <si>
    <t>CR05573575220318437377</t>
  </si>
  <si>
    <t>https://adstransparency.google.com/advertiser/AR05016556376214732801/creative/CR12892717362679119873?region=anywhere</t>
  </si>
  <si>
    <t>Si lavora anche di sabato. #Brainstorming per McQueen, #sito #socialmedia #seo #marketing #semrush #video 👩‍💻👨‍💻 • • #youtoodigital #digitalstrategy #workinprogress . . #socialmediatips #webagency #agencylife #digitalmarketing #digitallife #entrepreneurslife #socialmediamarketing #officelife #officejob #worklife #workmode #workaholic #atwork #workhard #planning #smm #saturday #ipadpro #macbookpro</t>
  </si>
  <si>
    <t>#Brainstorming, #sito, #socialmedia, #seo, #marketing, #semrush, #video, #youtoodigital, #digitalstrategy, #workinprogress, #socialmediatips, #webagency, #agencylife, #digitalmarketing, #digitallife, #entrepreneurslife, #socialmediamarketing, #officelife, #officejob, #worklife, #workmode, #workaholic, #atwork, #workhard, #planning, #smm, #saturday, #ipadpro, #macbookpro, #apple</t>
  </si>
  <si>
    <t>Tagged non-reel item (Static Photo) at grid position #495.</t>
  </si>
  <si>
    <t>Grid item #495. Discovered from Tagged page grid in sequential order.</t>
  </si>
  <si>
    <t>Discovered at visual grid position #296. Verified Ad Details URL. Format: Single Image Ad.</t>
  </si>
  <si>
    <t>Semrush @semrushcom for an All-in-one Marketing Toolkit ・・・ http://www.semrush.com/sem/?ref=8111621893 ・・・ SEMrush Tip of the Day! ⏩ Todd Butcher 😀💻 #SEMrush #SEOtips #SEOtipoftheday #customerreviews</t>
  </si>
  <si>
    <t>#SEMrush, #SEOtips, #SEOtipoftheday, #customerreviews</t>
  </si>
  <si>
    <t>Tagged non-reel item (Static Photo) at grid position #496.</t>
  </si>
  <si>
    <t>Grid item #496. Discovered from Tagged page grid in sequential order.</t>
  </si>
  <si>
    <t>CR12892717362679119873</t>
  </si>
  <si>
    <t>https://adstransparency.google.com/advertiser/AR05016556376214732801/creative/CR16728894740291911681?region=anywhere</t>
  </si>
  <si>
    <t>We ❤ our tools. Here are some of our favorites that we find ourselves using daily or weekly. 〰️ 1. Google Analytics: we utilize this daily to analyze search traffic  2. Google Search Console: we use GSC weekly to analyze impressions + queries 3. Hootsuite: there are many social scheduling platforms out there, but we use Hootsuite, mainly for streamlining instagram content 4. Mailchimp: email marke</t>
  </si>
  <si>
    <t>Tagged non-reel item (Static Photo) at grid position #497.</t>
  </si>
  <si>
    <t>Discovered at visual grid position #297. Verified Ad Details URL. Format: Single Image Ad.</t>
  </si>
  <si>
    <t>Grid item #497. Discovered from Tagged page grid in sequential order.</t>
  </si>
  <si>
    <t>How to survive the death of Facebook Pages. Signup for our FREE webinar today, click link in bio! #doyolive . . . . . . . . . . . . #facebookpage #facebookmarketing #deathoffacebookpages #digitalmarketing #marketingconference #youngstown #ohio</t>
  </si>
  <si>
    <t>#doyolive, #facebookpage, #facebookmarketing, #deathoffacebookpages, #digitalmarketing, #marketingconference, #youngstown, #ohio</t>
  </si>
  <si>
    <t>CR16728894740291911681</t>
  </si>
  <si>
    <t>Tagged non-reel item (Static Photo) at grid position #498.</t>
  </si>
  <si>
    <t>Grid item #498. Discovered from Tagged page grid in sequential order.</t>
  </si>
  <si>
    <t>rusia, nochesBlancas</t>
  </si>
  <si>
    <t>https://adstransparency.google.com/advertiser/AR05016556376214732801/creative/CR11450008573455630337?region=anywhere</t>
  </si>
  <si>
    <t>Hoy me acorde de #rusia, si hacia fresco en Julio, ahora en Enero ❄️❄️❄️❄️ 🙈  #nochesBlancas con @semrush_es</t>
  </si>
  <si>
    <t>#rusia, #nochesBlancas</t>
  </si>
  <si>
    <t>Tagged non-reel item (Static Photo) at grid position #499.</t>
  </si>
  <si>
    <t>Grid item #499. Discovered from Tagged page grid in sequential order.</t>
  </si>
  <si>
    <t>Discovered at visual grid position #298. Verified Ad Details URL. Format: Single Image Ad.</t>
  </si>
  <si>
    <t>CR11450008573455630337</t>
  </si>
  <si>
    <t>It's time to build a strategy for 2018 and audit your website.  Pune Digital Marketers invites you to join SEMrush webinar:  Live Site Audit with Nitin Manchanda (Global SEO Head at Trivago) and Ross Tavendale (UK Based expert with over 10 years experience) at 3:00 PM (IST) on January 24.  Ross will review 2-3 real websites and share their SEO secrets, best practices, and purely practical tips.  L</t>
  </si>
  <si>
    <t>#SEO, #Audit, #LiveAudit, #SEMrush, #SEO, #OrganjcGrowth, #OnlineMarketing, #DigitalMarketing, #PuneMarketers</t>
  </si>
  <si>
    <t>Tagged non-reel item (Static Photo) at grid position #500.</t>
  </si>
  <si>
    <t>Grid item #500. Discovered from Tagged page grid in sequential order.</t>
  </si>
  <si>
    <t>https://adstransparency.google.com/advertiser/AR05016556376214732801/creative/CR00855878139031584769?region=anywhere</t>
  </si>
  <si>
    <t>SEMarush, Meetup</t>
  </si>
  <si>
    <t>We are at #SEMarush #Meetup</t>
  </si>
  <si>
    <t>#SEMarush, #Meetup</t>
  </si>
  <si>
    <t>Tagged non-reel item (Photo Carousel) at grid position #501.</t>
  </si>
  <si>
    <t>Grid item #501. Discovered from Tagged page grid in sequential order.</t>
  </si>
  <si>
    <t>Discovered at visual grid position #299. Verified Ad Details URL. Format: Video Ad.</t>
  </si>
  <si>
    <t>CR00855878139031584769</t>
  </si>
  <si>
    <t>New year, new social media trends? These entrepreneurs sure think so! Read on to find out their top 10 social media predictions for 2018 🎊 [LINK IN BIO] . . . . .  #business #biz #smallbusiness #smallbiz #entrepreneur #entrepreneurship #socialmedia #facebook #instagram #twitter #linkedin #marketing #digitalmarketing #digitalmedia #marketingagency #digital #media #businessadvice #bizadvice #newyear</t>
  </si>
  <si>
    <t>#business, #biz, #smallbusiness, #smallbiz, #entrepreneur, #entrepreneurship, #socialmedia, #facebook, #instagram, #twitter, #linkedin, #marketing, #digitalmarketing, #digitalmedia, #marketingagency, #digital, #media, #businessadvice, #bizadvice, #newyear, #2018</t>
  </si>
  <si>
    <t>Tagged non-reel item (Static Photo) at grid position #502.</t>
  </si>
  <si>
    <t>https://adstransparency.google.com/advertiser/AR05016556376214732801/creative/CR02973953974157180929?region=anywhere</t>
  </si>
  <si>
    <t>Grid item #502. Discovered from Tagged page grid in sequential order.</t>
  </si>
  <si>
    <t>Your next big move starts here. Join us as Senior Cloud Engineer!</t>
  </si>
  <si>
    <t>Amigos, o ano começou animado ;) ⠀ Eu e meus sócios na GrowthTeam fomos convidados pela SEMRush para falar sobre as tendências de #GrowthHacking para 2018. ⠀ Falaremos sobre o que está chegando agora no BR em termos de inovação e tb o que vimos na Growth Marketing Conference, que tivemos o prazer de conferir no final de 2017. ⠀ Como sempre, vai ser incrível 🚀⠀ Vamos? ⠀ Inscrições, link na bio!</t>
  </si>
  <si>
    <t>#GrowthHacking</t>
  </si>
  <si>
    <t>Tagged non-reel item (Static Photo) at grid position #503.</t>
  </si>
  <si>
    <t>Grid item #503. Discovered from Tagged page grid in sequential order.</t>
  </si>
  <si>
    <t>A few days ago, SEMrush released Ranking Factors Study 2.0, an updated version of its research which looked into the factors that have the biggest influence on the position of the domain in search engine result pages (SERPs). Click link in bio to find out the top 17 Google search ranking factors👆  #seo #contentmarketing #marketing #semrush #99signals #google #startups #smallbiz #business #blogging</t>
  </si>
  <si>
    <t>#seo, #contentmarketing, #marketing, #semrush, #99signals, #google, #startups, #smallbiz, #business, #blogging, #blogger, #startuplife, #instatips</t>
  </si>
  <si>
    <t>CR02973953974157180929</t>
  </si>
  <si>
    <t>Tagged non-reel item (Static Photo) at grid position #504.</t>
  </si>
  <si>
    <t>Grid item #504. Discovered from Tagged page grid in sequential order.</t>
  </si>
  <si>
    <t>https://adstransparency.google.com/advertiser/AR05016556376214732801/creative/CR18191343061768863745?region=anywhere</t>
  </si>
  <si>
    <t>How to Use @semrushcom to Amplify Your Content Marketing. Click link in bio👆to read the article!  #contentmarketing #semrush #seo #content #smallbiz #smallbizsat #startups #marketing #contentstrategy #entrepreneur #entrepreneurship #99signals #blogging #bloggingtips #business</t>
  </si>
  <si>
    <t>#contentmarketing, #semrush, #seo, #content, #smallbiz, #smallbizsat, #startups, #marketing, #contentstrategy, #entrepreneur, #entrepreneurship, #99signals, #blogging, #bloggingtips, #business</t>
  </si>
  <si>
    <t>Tagged non-reel item (Static Photo) at grid position #505.</t>
  </si>
  <si>
    <t>Grid item #505. Discovered from Tagged page grid in sequential order.</t>
  </si>
  <si>
    <t>Ran from Feb 6, 2026 to Feb 12, 2026</t>
  </si>
  <si>
    <t>Discovered at visual grid position #300. Verified Ad Details URL. Format: Single Image Ad.</t>
  </si>
  <si>
    <t>CR18191343061768863745</t>
  </si>
  <si>
    <t>🤓 How to perform a thorough SEO site audit: link in bio!  #seoaudit #siteaudit #seo #sem #searchengineoptimization #searchenginemarketing #seotips #seoagenxy #seocompany #seoservice #googleanalytics #sitespeed #digitalmarketing #laseo #losangeles #searchmarketing #sitespeed #linkbuilding #googleupdate</t>
  </si>
  <si>
    <t>#seoaudit, #siteaudit, #seo, #sem, #searchengineoptimization, #searchenginemarketing, #seotips, #seoagenxy, #seocompany, #seoservice, #googleanalytics, #sitespeed, #digitalmarketing, #laseo, #losangeles, #searchmarketing, #sitespeed, #linkbuilding, #googleupdate</t>
  </si>
  <si>
    <t>Tagged non-reel item (Static Photo) at grid position #506.</t>
  </si>
  <si>
    <t>Grid item #506. Discovered from Tagged page grid in sequential order.</t>
  </si>
  <si>
    <t>https://adstransparency.google.com/advertiser/AR05016556376214732801/creative/CR01686138610618728449?region=anywhere</t>
  </si>
  <si>
    <t>christmas, godivachocolate</t>
  </si>
  <si>
    <t>Merry Christmas 🎄 to the @semrushcom @semrush_people team! Thank you so much for my wonderful gift 🎁  Someone almost got there before me! #christmas #godivachocolate</t>
  </si>
  <si>
    <t>#christmas, #godivachocolate</t>
  </si>
  <si>
    <t>Tagged non-reel item (Photo Carousel) at grid position #507.</t>
  </si>
  <si>
    <t>Grid item #507. Discovered from Tagged page grid in sequential order.</t>
  </si>
  <si>
    <t>CR01686138610618728449</t>
  </si>
  <si>
    <t>Discovered at visual grid position #301. Verified Ad Details URL. Format: Single Image Ad.</t>
  </si>
  <si>
    <t>Thank you to our clients for a fantastic year &amp; thank you to all of the tools that help make the Honey Bees awesome at their jobs! 🎄🐝 . . . #merrychristmas #thankyou #agencylife  #kwawesome #weloveourclients #socialmediamarketing #digitalmarketing #marketingtools</t>
  </si>
  <si>
    <t>#merrychristmas, #thankyou, #agencylife, #kwawesome, #weloveourclients, #socialmediamarketing, #digitalmarketing, #marketingtools</t>
  </si>
  <si>
    <t>Tagged non-reel item (Static Photo) at grid position #508.</t>
  </si>
  <si>
    <t>https://adstransparency.google.com/advertiser/AR05016556376214732801/creative/CR16729574513355784193?region=anywhere</t>
  </si>
  <si>
    <t>Grid item #508. Discovered from Tagged page grid in sequential order.</t>
  </si>
  <si>
    <t>So many delicious christmas presents 🎀 Thank you @121watt &amp; @bing &amp; @semrushcom 🎁</t>
  </si>
  <si>
    <t>Tagged non-reel item (Static Photo) at grid position #509.</t>
  </si>
  <si>
    <t>Grid item #509. Discovered from Tagged page grid in sequential order.</t>
  </si>
  <si>
    <t>CR16729574513355784193</t>
  </si>
  <si>
    <t>Discovered at visual grid position #302. Verified Ad Details URL. Format: Single Image Ad.</t>
  </si>
  <si>
    <t>Thank you for the presents @semrushcom 🎁</t>
  </si>
  <si>
    <t>https://adstransparency.google.com/advertiser/AR05016556376214732801/creative/CR03832011748961943553?region=anywhere</t>
  </si>
  <si>
    <t>Tagged non-reel item (Static Photo) at grid position #510.</t>
  </si>
  <si>
    <t>Grid item #510. Discovered from Tagged page grid in sequential order.</t>
  </si>
  <si>
    <t>Transform Your Work Life!</t>
  </si>
  <si>
    <t>Try something new and become our next Enterprise Customer Success Manager with 6+ years of experience and fluent in Italian.</t>
  </si>
  <si>
    <t>Voglio lavorare così. Con quella ventata di famiglia che arriva da lontano e mi fa sentire vicina. Sentendomi parte di un gruppo di lavoro che va oltre ritorni economici e visibilità. E allora grazie @semrushcom perché oggi con questo regalo di Natale, ho amato ancora di più il mio lavoro e mi sono sentita a casa.  Qui, sola e stanca, ho ritirato un cesto di cioccolatini proprio mentre ne ritirava</t>
  </si>
  <si>
    <t>#raccontidivita, #scrivodunquesono, #unanuovame, #copywriting, #natale2017</t>
  </si>
  <si>
    <t>Tagged non-reel item (Static Photo) at grid position #511.</t>
  </si>
  <si>
    <t>Grid item #511. Discovered from Tagged page grid in sequential order.</t>
  </si>
  <si>
    <t>doyolive</t>
  </si>
  <si>
    <t>CR03832011748961943553</t>
  </si>
  <si>
    <t>https://adstransparency.google.com/advertiser/AR05016556376214732801/creative/CR10033190121970335745?region=anywhere</t>
  </si>
  <si>
    <t>Why go on in on Facebook Live in 2018, click link in bio to learn more. Reserve a you spot on our FREE webinar + live Q&amp;A today! #doyolive</t>
  </si>
  <si>
    <t>#doyolive</t>
  </si>
  <si>
    <t>Tagged non-reel item (Static Photo) at grid position #512.</t>
  </si>
  <si>
    <t>Ran from Jan 21, 2026 to Jan 29, 2026</t>
  </si>
  <si>
    <t>Grid item #512. Discovered from Tagged page grid in sequential order.</t>
  </si>
  <si>
    <t>Discovered at visual grid position #303. Verified Ad Details URL. Format: Single Image Ad.</t>
  </si>
  <si>
    <t>Thanks for the sweets @semrushcom, we ❤️ you!!!</t>
  </si>
  <si>
    <t>Tagged non-reel item (Static Photo) at grid position #513.</t>
  </si>
  <si>
    <t>Grid item #513. Discovered from Tagged page grid in sequential order.</t>
  </si>
  <si>
    <t>CR10033190121970335745</t>
  </si>
  <si>
    <t>https://adstransparency.google.com/advertiser/AR05016556376214732801/creative/CR11354127998417633281?region=anywhere</t>
  </si>
  <si>
    <t>Always market. #digitalmarketing</t>
  </si>
  <si>
    <t>Tagged non-reel item (Static Photo) at grid position #514.</t>
  </si>
  <si>
    <t>Grid item #514. Discovered from Tagged page grid in sequential order.</t>
  </si>
  <si>
    <t>Content Marketing, Digital Marketing, Industry Event</t>
  </si>
  <si>
    <t>‘‘Tis the season, Merry Christmas! 🎄🎁 #doyolive . . . . . . . . . . . . . . . . . . #happyholidays #merrychristmas #holidays #christmasvacation #santaclaus #hohoho🎅  #🎄 #🎁 #contentmarketing #branding #youngstown #boardman #canfield #poland #austintown #akron #canton #cleveland #pittsburgh #erie #chicago #toledo #detroit #erie #newyork #socialmediamarketing #digitalmarketing #creativedirector #inte</t>
  </si>
  <si>
    <t>#doyolive, #happyholidays, #merrychristmas, #holidays, #christmasvacation, #santaclaus, #hohoho, #contentmarketing, #branding, #youngstown, #boardman, #canfield, #poland, #austintown, #akron, #canton, #cleveland, #pittsburgh, #erie, #chicago, #toledo, #detroit, #erie, #newyork, #socialmediamarketing, #digitalmarketing, #creativedirector, #interactive, #eventplanner</t>
  </si>
  <si>
    <t>Tagged non-reel item (Static Photo) at grid position #515.</t>
  </si>
  <si>
    <t>Grid item #515. Discovered from Tagged page grid in sequential order.</t>
  </si>
  <si>
    <t>Ran from Jan 23, 2026 to Apr 2, 2026</t>
  </si>
  <si>
    <t>CR11354127998417633281</t>
  </si>
  <si>
    <t>Discovered at visual grid position #304. Verified Ad Details URL. Format: Single Image Ad.</t>
  </si>
  <si>
    <t>https://adstransparency.google.com/advertiser/AR05016556376214732801/creative/CR04213899487640289281?region=anywhere</t>
  </si>
  <si>
    <t>Olha só que tri o presente 🎁 que ganhamos do @semrushcom 😍😋</t>
  </si>
  <si>
    <t>Tagged non-reel item (Static Photo) at grid position #516.</t>
  </si>
  <si>
    <t>Grid item #516. Discovered from Tagged page grid in sequential order.</t>
  </si>
  <si>
    <t>dsdallas</t>
  </si>
  <si>
    <t>Thank you @semrushcom for a tchotchke that made this little lady of mine a happy sleeper. #dsdallas</t>
  </si>
  <si>
    <t>#dsdallas</t>
  </si>
  <si>
    <t>Tagged non-reel item (Static Photo) at grid position #517.</t>
  </si>
  <si>
    <t>Grid item #517. Discovered from Tagged page grid in sequential order.</t>
  </si>
  <si>
    <t>CR04213899487640289281</t>
  </si>
  <si>
    <t>Discovered at visual grid position #305. Verified Ad Details URL. Format: Single Image Ad.</t>
  </si>
  <si>
    <t>https://adstransparency.google.com/advertiser/AR05016556376214732801/creative/CR11437523756361187329?region=anywhere</t>
  </si>
  <si>
    <t>Our first Christmas card travelled all the way from sunny Philadelphia! Thank you @semrushcom 😊⛄🎄Wishing you a very happy holidays, too!</t>
  </si>
  <si>
    <t>Tagged non-reel item (Static Photo) at grid position #518.</t>
  </si>
  <si>
    <t>Grid item #518. Discovered from Tagged page grid in sequential order.</t>
  </si>
  <si>
    <t>From Corporate Speaker Ashley Ward’s presentation on content strategy ✨ #SEMrush #DSDAL</t>
  </si>
  <si>
    <t>#SEMrush, #DSDAL</t>
  </si>
  <si>
    <t>Tagged non-reel item (Static Photo) at grid position #519.</t>
  </si>
  <si>
    <t>Grid item #519. Discovered from Tagged page grid in sequential order.</t>
  </si>
  <si>
    <t>CR11437523756361187329</t>
  </si>
  <si>
    <t>https://adstransparency.google.com/advertiser/AR05016556376214732801/creative/CR17235742800100720641?region=anywhere</t>
  </si>
  <si>
    <t>Discovered at visual grid position #306. Verified Ad Details URL. Format: Single Image Ad.</t>
  </si>
  <si>
    <t>Are you using #gifs and #memes on #socialmedia? You should! Dario shared a lot of tips and examples on @semrushcom blog - link in bio! 😁😂😃😇 #startupgrind #marketing101 #marketinglife #marketingplan #marketingdigital #marketingonline #startuptips #startup #b2b #b2c #brand #branding #branding101 #growthhacking #growth  #businessowner #localbiz #localbusiness #contentcuration #contentmarketingtips #S</t>
  </si>
  <si>
    <t>#gifs, #memes, #socialmedia, #startupgrind, #marketing101, #marketinglife, #marketingplan, #marketingdigital, #marketingonline, #startuptips, #startup, #b2b, #b2c, #brand, #branding, #branding101, #growthhacking, #growth, #businessowner, #localbiz, #localbusiness, #contentcuration, #contentmarketingtips, #Sem, #webtraffic, #onlinetraffic, #onlinemarketing, #networkmarketers, #homebiz, #mobilemarketing</t>
  </si>
  <si>
    <t>Tagged non-reel item (Static Photo) at grid position #520.</t>
  </si>
  <si>
    <t>Grid item #520. Discovered from Tagged page grid in sequential order.</t>
  </si>
  <si>
    <t>Busy Month! Finishing up Recordings and pre-masters for #PurgationEP + #Marketing 📈 #linkbuilding 📨Setting up #mainstage3 🎹 writing ✍️ blog posts 📝 AND...shooting a sweet Cover Song Video 🎥 🎤 for y’all! #SEO @semrushcom @trelloapp</t>
  </si>
  <si>
    <t>#PurgationEP, #Marketing, #linkbuilding, #mainstage3, #SEO</t>
  </si>
  <si>
    <t>Tagged non-reel item (Static Photo) at grid position #521.</t>
  </si>
  <si>
    <t>Grid item #521. Discovered from Tagged page grid in sequential order.</t>
  </si>
  <si>
    <t>CR17235742800100720641</t>
  </si>
  <si>
    <t>https://adstransparency.google.com/advertiser/AR05016556376214732801/creative/CR16053171864939266049?region=anywhere</t>
  </si>
  <si>
    <t>📌TIP FOR YOUR BUSINESS✏️ Learn what matters to get your website on top of Google search • You need to show high authority in your domain and that you deliver value to your audience • How does Google assess that? • 1) direct visitors coming to your website and how long they stay 2) other websites linking to your website 3) right content length - short for broad articles, long for narrow topics 4) o</t>
  </si>
  <si>
    <t>Tagged non-reel item (Static Photo) at grid position #522.</t>
  </si>
  <si>
    <t>Grid item #522. Discovered from Tagged page grid in sequential order.</t>
  </si>
  <si>
    <t>I'm really excited today! 🎉 👇 First, I got some terrific news from Midwest Digital Marketing Conference announcing that I'll be speaking at next year's conference! 🙌🏻 I can't wait to join thousands of fellow marketers in downtown St. Louis in March. (I'll be sharing more details soon if you're interested in attending, including more about my Blogging topic.) 👇 Second, today is the day that I'm lau</t>
  </si>
  <si>
    <t>#Blogging, #BloggingTips, #bloggers, #bloggerlife, #bloggerstyle, #blogs, #instablogger, #blogpost, #blog, #lifestyleblogger, #instablog, #bblogger, #lifestyleblog, #bbloggers, #fbloggers, #fblogger, #lbloggers, #contentmarketing, #onlinebusiness, #entrepreneur, #onlinebiz, #workfromhome, #makemoneyonline, #onlinemarketing, #affiliatemarketing, #digitalmarketing, #internetmarketing, #makemoney, #financialfreedom</t>
  </si>
  <si>
    <t>Tagged non-reel item (Static Photo) at grid position #523.</t>
  </si>
  <si>
    <t>CR16053171864939266049</t>
  </si>
  <si>
    <t>Grid item #523. Discovered from Tagged page grid in sequential order.</t>
  </si>
  <si>
    <t>Discovered at visual grid position #307. Verified Ad Details URL. Format: Single Image Ad.</t>
  </si>
  <si>
    <t>https://adstransparency.google.com/advertiser/AR05016556376214732801/creative/CR07102246577380524033?region=anywhere</t>
  </si>
  <si>
    <t>When migrating your site from HTTP to HTTPS, do not make any other changes to your website. Google is assuming that nothing else has changed on your website. If you change more than one thing, Google may have a hard time acknowledging all the changes.  #seomarketing #emailmarketingtips #learnmarketing #learningresources #marketingdigital #smm #smo #digitalreckoner</t>
  </si>
  <si>
    <t>#seomarketing, #emailmarketingtips, #learnmarketing, #learningresources, #marketingdigital, #smm, #smo, #digitalreckoner</t>
  </si>
  <si>
    <t>Tagged non-reel item (Static Photo) at grid position #524.</t>
  </si>
  <si>
    <t>Grid item #524. Discovered from Tagged page grid in sequential order.</t>
  </si>
  <si>
    <t>Get tips of the day on Digital Marketing everyday at Digital Reckoner #marketingdigital #learningresources #learnmarketing #digitalreckoner #seo #seomarketing #seoanalysis #emailmarketingtips #digitalvideoagency #digitalvidya #smm #smo #fbmarketing #learndigitalmarketing</t>
  </si>
  <si>
    <t>#marketingdigital, #learningresources, #learnmarketing, #digitalreckoner, #seo, #seomarketing, #seoanalysis, #emailmarketingtips, #digitalvideoagency, #digitalvidya, #smm, #smo, #fbmarketing, #learndigitalmarketing</t>
  </si>
  <si>
    <t>CR07102246577380524033</t>
  </si>
  <si>
    <t>Tagged non-reel item (Static Photo) at grid position #525.</t>
  </si>
  <si>
    <t>Grid item #525. Discovered from Tagged page grid in sequential order.</t>
  </si>
  <si>
    <t>https://adstransparency.google.com/advertiser/AR05016556376214732801/creative/CR18254742551493869569?region=anywhere</t>
  </si>
  <si>
    <t>Discovered at visual grid position #308. Verified Ad Details URL. Format: Single Image Ad.</t>
  </si>
  <si>
    <t>WHAT IS AFFILIATE MARKETING? . Essentially affiliate marketing involves a merchant paying a commission to other online entities, known as affiliates, for referring new business to the merchant’s website. Affiliate marketing is performance-based, which means affiliates only get paid when their promotional efforts actually result in a transaction. . One of the reasons affiliate marketing can provide</t>
  </si>
  <si>
    <t>Tagged non-reel item (Static Photo) at grid position #526.</t>
  </si>
  <si>
    <t>Grid item #526. Discovered from Tagged page grid in sequential order.</t>
  </si>
  <si>
    <t>facebook, returnofinvestment, ROI</t>
  </si>
  <si>
    <t>CR18254742551493869569</t>
  </si>
  <si>
    <t>Whatever industry your in, your business is always looking for new clients 💰 this sales funnel illustrate 6 steps before you convert a visitor to your website/office into a Client 😎 . There is an amazing amount of data📲 that #facebook already is collecting for FREE 😍 . .  With Facebook Advertising, businesses are able to scale &amp; predict #returnofinvestment /#ROI with accuracy that is unprecedented</t>
  </si>
  <si>
    <t>#facebook, #returnofinvestment, #ROI</t>
  </si>
  <si>
    <t>Tagged non-reel item (Static Photo) at grid position #527.</t>
  </si>
  <si>
    <t>Grid item #527. Discovered from Tagged page grid in sequential order.</t>
  </si>
  <si>
    <t>https://adstransparency.google.com/advertiser/AR05016556376214732801/creative/CR14808517692910206977?region=anywhere</t>
  </si>
  <si>
    <t>Discovered at visual grid position #309. Verified Ad Details URL. Format: Video Ad.</t>
  </si>
  <si>
    <t>Acompanhe essa semana as entrevistas exclusivas e nosso giro no #rdsummit siga nosso canal @mercadobinario http://bit.ly/CanalMBp</t>
  </si>
  <si>
    <t>#rdsummit</t>
  </si>
  <si>
    <t>Tagged non-reel item (Photo Carousel) at grid position #528.</t>
  </si>
  <si>
    <t>Grid item #528. Discovered from Tagged page grid in sequential order.</t>
  </si>
  <si>
    <t>CR14808517692910206977</t>
  </si>
  <si>
    <t>#SMDAYIT + #DIDAYS inizia il terzo giorno. Con Olga Andrienko. . . . Dissetiamo le genti, direbbe @rudybandiera citato ieri in slide! Nei saperi e nelle conoscenze. . . . #socialmediastrategy #socialmediamarketing #digitalmarketing</t>
  </si>
  <si>
    <t>#SMDAYIT, #DIDAYS, #socialmediastrategy, #socialmediamarketing, #digitalmarketing</t>
  </si>
  <si>
    <t>Tagged non-reel item (Static Photo) at grid position #529.</t>
  </si>
  <si>
    <t>Grid item #529. Discovered from Tagged page grid in sequential order.</t>
  </si>
  <si>
    <t>https://adstransparency.google.com/advertiser/AR05016556376214732801/creative/CR04628538928931012609?region=anywhere</t>
  </si>
  <si>
    <t>Discovered at visual grid position #310. Verified Ad Details URL. Format: Single Image Ad.</t>
  </si>
  <si>
    <t>I'm so pleased that @optimisey inaugural  event went down a storm. Great turn out,  informative speakers and a great time had by all.</t>
  </si>
  <si>
    <t>Tagged non-reel item (Static Photo) at grid position #530.</t>
  </si>
  <si>
    <t>Grid item #530. Discovered from Tagged page grid in sequential order.</t>
  </si>
  <si>
    <t>CR04628538928931012609</t>
  </si>
  <si>
    <t>Well damn @semrushcom - *now* I feel like an event organiser. I've got a pull-up banner! 😄 #Optimisey #cambridge #seomeetup</t>
  </si>
  <si>
    <t>#Optimisey, #cambridge, #seomeetup</t>
  </si>
  <si>
    <t>Tagged non-reel item (Static Photo) at grid position #531.</t>
  </si>
  <si>
    <t>Grid item #531. Discovered from Tagged page grid in sequential order.</t>
  </si>
  <si>
    <t>https://adstransparency.google.com/advertiser/AR05016556376214732801/creative/CR01650891841245020161?region=anywhere</t>
  </si>
  <si>
    <t>[[ Divani che diventeranno famosi e dove trovarli ]] Grazie a  #GaetanoRomeo e @semrushcom per il talkshow di ieri.  Con @jacopomatteuzzi , @williamsbarzaglia, @enrico.maioli e la super inviata di #semrush direttamente da San Pietroburgo e @salvatorericevuto  in regia è stato davvero un #digitaltalkshow immenso.Occasione stupenda.. da ripetere :) #milano #digitalmarketing #socialmediamarketing #in</t>
  </si>
  <si>
    <t>#GaetanoRomeo, #semrush, #digitaltalkshow, #milano, #digitalmarketing, #socialmediamarketing, #inboundmarketing</t>
  </si>
  <si>
    <t>Tagged non-reel item (Static Photo) at grid position #532.</t>
  </si>
  <si>
    <t>Grid item #532. Discovered from Tagged page grid in sequential order.</t>
  </si>
  <si>
    <t>CR01650891841245020161</t>
  </si>
  <si>
    <t>https://adstransparency.google.com/advertiser/AR05016556376214732801/creative/CR05789499787682250753?region=anywhere</t>
  </si>
  <si>
    <t>SimilarWeb (Chrome EXTENSION) &amp; SEMrush are tools that help in Keyword Research as well as in identifying your competition and analyzing its website data.  Keyword Research is one of the most important aspect of SEO. You get to know about a lot of trends in your industry and you're able to reach a WIDER AUDIENCE. Timing is the most CRUCIAL element... I have experienced it myself when I got a great</t>
  </si>
  <si>
    <t>#keywordtool, #keywordresearch, #bloggingtips, #seotips2017, #hashtags, #trending, #socialmedia, #smm, #digitalmarketingtips, #interestingfacts, #tipsntricks, #instagood, #instagrammarketing, #thestartupfever, #bengalurustartups, #startupindia, #digitalindia, #wordpress, #organictraffic</t>
  </si>
  <si>
    <t>Tagged non-reel item (Photo Carousel) at grid position #533.</t>
  </si>
  <si>
    <t>Discovered at visual grid position #311. Verified Ad Details URL. Format: Single Image Ad.</t>
  </si>
  <si>
    <t>Grid item #533. Discovered from Tagged page grid in sequential order.</t>
  </si>
  <si>
    <t>CR05789499787682250753</t>
  </si>
  <si>
    <t>Never miss a beat when it comes to our #MarketersToolbox series!  Https://www.agencysparks.com/blog/marketerstoolbox-semrush-vs-moz Subscribe to our email list to receive insights on marketing tools and content updates! - - - #marketingcontent #SEO #keywordsearch #keyword #monitor #competitiveanalysis #optimization #data #lists</t>
  </si>
  <si>
    <t>#MarketersToolbox, #marketingcontent, #SEO, #keywordsearch, #keyword, #monitor, #competitiveanalysis, #optimization, #data, #lists</t>
  </si>
  <si>
    <t>Tagged non-reel item (Static Photo) at grid position #534.</t>
  </si>
  <si>
    <t>Grid item #534. Discovered from Tagged page grid in sequential order.</t>
  </si>
  <si>
    <t>https://adstransparency.google.com/advertiser/AR05016556376214732801/creative/CR04494943318353903617?region=anywhere</t>
  </si>
  <si>
    <t>Grande oportunidade de conhecer os fundadores do SemRush e aprender mais com eles! Levando novos amigos e muito conhecimento para casa! #sem #semrush #ppc #seo</t>
  </si>
  <si>
    <t>Discovered at visual grid position #312. Verified Ad Details URL. Format: Single Image Ad.</t>
  </si>
  <si>
    <t>#sem, #semrush, #ppc, #seo</t>
  </si>
  <si>
    <t>Tagged non-reel item (Static Photo) at grid position #535.</t>
  </si>
  <si>
    <t>Grid item #535. Discovered from Tagged page grid in sequential order.</t>
  </si>
  <si>
    <t>CR04494943318353903617</t>
  </si>
  <si>
    <t>https://adstransparency.google.com/advertiser/AR05016556376214732801/creative/CR02501960020632010753?region=anywhere</t>
  </si>
  <si>
    <t>SEMrush è un software di business intelligence e di ricerca che fornisce dati sulle attività di marketing online dei competitor e dei leader del settore!  Siamo felici di annunciare che @SEMrushcom è sponsor ufficiale dell'OkDay 2017.  Per saperne di più visita il sito web: https://it.semrush.com/ . . . #webmarketing #event #varese #bustoarsizio #lombardia #aziende #digitalmarketing #digitaltransf</t>
  </si>
  <si>
    <t>#webmarketing, #event, #varese, #bustoarsizio, #lombardia, #aziende, #digitalmarketing, #digitaltransformation, #digitaldetox, #neverstoplearning, #workshop, #socialmediamarketing, #smm, #igerslombardia, #igersvarese, #socialmedia, #ecommerce, #italiancompany, #business, #networking, #meeting, #conference, #networkingevents, #marketing, #italianeconomy</t>
  </si>
  <si>
    <t>Tagged non-reel item (Static Photo) at grid position #536.</t>
  </si>
  <si>
    <t>Grid item #536. Discovered from Tagged page grid in sequential order.</t>
  </si>
  <si>
    <t>CR02501960020632010753</t>
  </si>
  <si>
    <t>https://adstransparency.google.com/advertiser/AR05016556376214732801/creative/CR11363958869320531969?region=anywhere</t>
  </si>
  <si>
    <t>#WeGroupsInspiration 💡 Oggi vogliamo ringraziare coloro che supportano tutti i giorni il nostro lavoro, le nostre idee, la creatività e la difficoltà senza abbandonarci mai 💞 #Grazie . . . . . .  #WeGroups #Tool #WebMarketing #GraphicDesign #WebDesign #digitalagency  #webagency  #3D</t>
  </si>
  <si>
    <t>#WeGroupsInspiration, #Grazie, #WeGroups, #Tool, #WebMarketing, #GraphicDesign, #WebDesign, #digitalagency, #webagency, #3D</t>
  </si>
  <si>
    <t>Tagged non-reel item (Static Photo) at grid position #537.</t>
  </si>
  <si>
    <t>Grid item #537. Discovered from Tagged page grid in sequential order.</t>
  </si>
  <si>
    <t>Discovered at visual grid position #313. Verified Ad Details URL. Format: Single Image Ad.</t>
  </si>
  <si>
    <t>What do you do when your mid-afternoon meeting canceled and you don't have another meeting on the same end of town for another hour and a half? Why you go to @starbucks and grab and diet passion tango lemonade iced tea and work on a client SEO audit. Thanks @thebagnet for giving me somewhere to hang my bag on the patio table rather than putting it on the ground! Ladies, if you've never heard of Ba</t>
  </si>
  <si>
    <t>#bagnet, #seoaudits, #starbucks, #icedtea, #fall, #fallweather, #fallweatherishere, #meetings, #entrepreneurlife, #businessowner, #bossgirl, #girlboss, #ladyboss, #bosslady, #semrush, #seoaudit, #seowork, #marketing, #marketingprofessional</t>
  </si>
  <si>
    <t>Tagged non-reel item (Static Photo) at grid position #538.</t>
  </si>
  <si>
    <t>Grid item #538. Discovered from Tagged page grid in sequential order.</t>
  </si>
  <si>
    <t>CR11363958869320531969</t>
  </si>
  <si>
    <t>I've been busy catching up Post #InsightLanc so I haven't had a lot of time to share photos from the conference. This pic is with @paulklebanov of @semrushcom. He was our first breakout presenter and did an awesome job.</t>
  </si>
  <si>
    <t>#InsightLanc</t>
  </si>
  <si>
    <t>Tagged non-reel item (Static Photo) at grid position #539.</t>
  </si>
  <si>
    <t>Grid item #539. Discovered from Tagged page grid in sequential order.</t>
  </si>
  <si>
    <t>https://adstransparency.google.com/advertiser/AR05016556376214732801/creative/CR05631932074840555521?region=anywhere</t>
  </si>
  <si>
    <t>Discovered at visual grid position #314. Verified Ad Details URL. Format: Single Image Ad.</t>
  </si>
  <si>
    <t>Fancy a seat? In great company with these brilliant #Brightonseo sponsors. #digitalmarketing #searchmarketing #howdeepisyourcrawl #seo #brighton</t>
  </si>
  <si>
    <t>#Brightonseo, #digitalmarketing, #searchmarketing, #howdeepisyourcrawl, #seo, #brighton</t>
  </si>
  <si>
    <t>Tagged non-reel item (Static Photo) at grid position #540.</t>
  </si>
  <si>
    <t>Grid item #540. Discovered from Tagged page grid in sequential order.</t>
  </si>
  <si>
    <t>CR05631932074840555521</t>
  </si>
  <si>
    <t>https://adstransparency.google.com/advertiser/AR05016556376214732801/creative/CR02721651239954677761?region=anywhere</t>
  </si>
  <si>
    <t>We would ❤️ to see you on stage at DOYO Live in 2018, call for speakers is open. Visit link in bio to submit today! #doyolive #🎤</t>
  </si>
  <si>
    <t>Tagged non-reel item (Static Photo) at grid position #541.</t>
  </si>
  <si>
    <t>Grid item #541. Discovered from Tagged page grid in sequential order.</t>
  </si>
  <si>
    <t>CR02721651239954677761</t>
  </si>
  <si>
    <t>My top 3 #BrightonSEO tips ⠀  Watch the video here https://youtu.be/HFQCuAW_hlQ ⠀ ⠀  #seo #digitalmarketing #conference #digital #tips #socialmediamarketing #mktdigital #businesscoach #marketing101 #networking #marketingonline #marketingtips #consulting #socialmediatips #internetmarketing #marketingdigital #digitalinfluencer #love #challenge #influencer #invest #trader #onlinebusiness #businessopp</t>
  </si>
  <si>
    <t>#BrightonSEO, #seo, #digitalmarketing, #conference, #digital, #tips, #socialmediamarketing, #mktdigital, #businesscoach, #marketing101, #networking, #marketingonline, #marketingtips, #consulting, #socialmediatips, #internetmarketing, #marketingdigital, #digitalinfluencer, #love, #challenge, #influencer, #invest, #trader, #onlinebusiness, #businessopportunity, #positivevibes, #positiveenergy, #workhard, #successnow, #dailymotivation</t>
  </si>
  <si>
    <t>Tagged non-reel item (Static Photo) at grid position #542.</t>
  </si>
  <si>
    <t>https://adstransparency.google.com/advertiser/AR05016556376214732801/creative/CR15273014901279293441?region=anywhere</t>
  </si>
  <si>
    <t>Grid item #542. Discovered from Tagged page grid in sequential order.</t>
  </si>
  <si>
    <t>DSDET</t>
  </si>
  <si>
    <t>Discovered at visual grid position #315. Verified Ad Details URL. Format: Single Image Ad.</t>
  </si>
  <si>
    <t>Track everything. #DSDET</t>
  </si>
  <si>
    <t>#DSDET</t>
  </si>
  <si>
    <t>Tagged non-reel item (Static Photo) at grid position #543.</t>
  </si>
  <si>
    <t>Grid item #543. Discovered from Tagged page grid in sequential order.</t>
  </si>
  <si>
    <t>CR15273014901279293441</t>
  </si>
  <si>
    <t>https://adstransparency.google.com/advertiser/AR05016556376214732801/creative/CR02062002262527442945?region=anywhere</t>
  </si>
  <si>
    <t>Lead your market with industry-best SEO data</t>
  </si>
  <si>
    <t>Outpace your competitors by reacting to shifts, preventing ranking drops, and finding SEO opportunities in real-time.</t>
  </si>
  <si>
    <t>SEO, Competitive Intelligence, Industry Event</t>
  </si>
  <si>
    <t>Thank you team @semrushcom for the awesome swag!! #semrushchat #digitalmarketing #socialmedia #seo #smm #technicalseo #swag</t>
  </si>
  <si>
    <t>#semrushchat, #digitalmarketing, #socialmedia, #seo, #smm, #technicalseo, #swag</t>
  </si>
  <si>
    <t>Tagged non-reel item (Static Photo) at grid position #544.</t>
  </si>
  <si>
    <t>Grid item #544. Discovered from Tagged page grid in sequential order.</t>
  </si>
  <si>
    <t>CR02062002262527442945</t>
  </si>
  <si>
    <t>dsphilly</t>
  </si>
  <si>
    <t>https://adstransparency.google.com/advertiser/AR05016556376214732801/creative/CR03229560465923244033?region=anywhere</t>
  </si>
  <si>
    <t>Ran from Dec 22, 2025 to Dec 29, 2025</t>
  </si>
  <si>
    <t>Discovered at visual grid position #316. Verified Ad Details URL. Format: Single Image Ad.</t>
  </si>
  <si>
    <t>We are ‘chimpin with some Brotherly Love this week. Who’s with us DS Philadelphia #dsphilly</t>
  </si>
  <si>
    <t>#dsphilly</t>
  </si>
  <si>
    <t>Tagged non-reel item (Static Photo) at grid position #545.</t>
  </si>
  <si>
    <t>Grid item #545. Discovered from Tagged page grid in sequential order.</t>
  </si>
  <si>
    <t>imbatman, panda, imgroot</t>
  </si>
  <si>
    <t>#imbatman #panda #imgroot🌱 #semrush #lego</t>
  </si>
  <si>
    <t>#imbatman, #panda, #imgroot, #semrush, #lego</t>
  </si>
  <si>
    <t>Tagged non-reel item (Static Photo) at grid position #546.</t>
  </si>
  <si>
    <t>CR03229560465923244033</t>
  </si>
  <si>
    <t>Grid item #546. Discovered from Tagged page grid in sequential order.</t>
  </si>
  <si>
    <t>https://adstransparency.google.com/advertiser/AR05016556376214732801/creative/CR17284113039615852545?region=anywhere</t>
  </si>
  <si>
    <t>Discovered at visual grid position #317. Verified Ad Details URL. Format: Single Image Ad.</t>
  </si>
  <si>
    <t>Did you make your mark at DOYO Live? 2018 call for speakers now open. Click link in bio. Sign up for our email list. Get your invite to submit to speak. And other totally awesome offers and VIP content. Tag a friend who would be interested in speaking! #doyolive</t>
  </si>
  <si>
    <t>Tagged non-reel item (Static Photo) at grid position #547.</t>
  </si>
  <si>
    <t>Grid item #547. Discovered from Tagged page grid in sequential order.</t>
  </si>
  <si>
    <t>CR17284113039615852545</t>
  </si>
  <si>
    <t>Take a break, it's Friday! (Thx @semrushcom for the nice tshirt, just got in mail) #takeoff #timeoff #tgif #relax</t>
  </si>
  <si>
    <t>https://adstransparency.google.com/advertiser/AR05016556376214732801/creative/CR08393350167880794113?region=anywhere</t>
  </si>
  <si>
    <t>#takeoff, #timeoff, #tgif, #relax</t>
  </si>
  <si>
    <t>Tagged non-reel item (Static Photo) at grid position #548.</t>
  </si>
  <si>
    <t>Grid item #548. Discovered from Tagged page grid in sequential order.</t>
  </si>
  <si>
    <t>Spreadsheets and emails and analytic reports OH MY! It's going to be a late night at the office, but luckily I found one last can of @drinkmati in the fridge to keep me going. Life as a business owner is about finding tricks to keep you going and exercise and caffeine are my go to.⠀ #drinkmati #matienergy #matienergydrinks #energydrinks #businessowner #longnight #smallbusinessowner #femalebusiness</t>
  </si>
  <si>
    <t>#drinkmati, #matienergy, #matienergydrinks, #energydrinks, #businessowner, #longnight, #smallbusinessowner, #femalebusinessowner, #analytics, #spreadsheets, #emails, #marketing</t>
  </si>
  <si>
    <t>Tagged non-reel item (Static Photo) at grid position #549.</t>
  </si>
  <si>
    <t>Discovered at visual grid position #318. Verified Ad Details URL. Format: Single Image Ad.</t>
  </si>
  <si>
    <t>Grid item #549. Discovered from Tagged page grid in sequential order.</t>
  </si>
  <si>
    <t>empiezaelfindesemana</t>
  </si>
  <si>
    <t>Yo me fío siempre de @semrush_es ...y si me dicen que me tome un descanso ¿quién soy yo para discutirlo? 😏#empiezaelfindesemana</t>
  </si>
  <si>
    <t>#empiezaelfindesemana</t>
  </si>
  <si>
    <t>Tagged non-reel item (Photo Carousel) at grid position #550.</t>
  </si>
  <si>
    <t>Grid item #550. Discovered from Tagged page grid in sequential order.</t>
  </si>
  <si>
    <t>CR08393350167880794113</t>
  </si>
  <si>
    <t>https://adstransparency.google.com/advertiser/AR05016556376214732801/creative/CR16158149661746528257?region=anywhere</t>
  </si>
  <si>
    <t>Agosto inizia con il buon umore, uno splendido regalo (e dei buoni propositi per sfruttarlo al meglio)! Grazie @semrush #happyholidays #agosto #webmarketinginmovimento</t>
  </si>
  <si>
    <t>#happyholidays, #agosto, #webmarketinginmovimento</t>
  </si>
  <si>
    <t>Tagged non-reel item (Static Photo) at grid position #551.</t>
  </si>
  <si>
    <t>Grid item #551. Discovered from Tagged page grid in sequential order.</t>
  </si>
  <si>
    <t>Discovered at visual grid position #319. Verified Ad Details URL. Format: Single Image Ad.</t>
  </si>
  <si>
    <t>Just perfect - many many thanks @semrushcom</t>
  </si>
  <si>
    <t>CR16158149661746528257</t>
  </si>
  <si>
    <t>Tagged non-reel item (Static Photo) at grid position #552.</t>
  </si>
  <si>
    <t>Grid item #552. Discovered from Tagged page grid in sequential order.</t>
  </si>
  <si>
    <t>https://adstransparency.google.com/advertiser/AR05016556376214732801/creative/CR10839020269822017537?region=anywhere</t>
  </si>
  <si>
    <t>Tarde de #terraseo #madrid</t>
  </si>
  <si>
    <t>#terraseo, #madrid</t>
  </si>
  <si>
    <t>Tagged non-reel item (Static Photo) at grid position #553.</t>
  </si>
  <si>
    <t>Grid item #553. Discovered from Tagged page grid in sequential order.</t>
  </si>
  <si>
    <t>Grazie ai ragazzi di SemRush: siete il toooooop!  You Rock Guys Thanks a lot for the amazing gift!!!!! 😍😍😍😍😍😍😍😍 @semrushcom #semrush #onoffcomunica</t>
  </si>
  <si>
    <t>CR10839020269822017537</t>
  </si>
  <si>
    <t>#semrush, #onoffcomunica</t>
  </si>
  <si>
    <t>Tagged non-reel item (Photo Carousel) at grid position #554.</t>
  </si>
  <si>
    <t>Grid item #554. Discovered from Tagged page grid in sequential order.</t>
  </si>
  <si>
    <t>Ran from Dec 23, 2025 to Dec 30, 2025</t>
  </si>
  <si>
    <t>https://adstransparency.google.com/advertiser/AR05016556376214732801/creative/CR10935706924322127873?region=anywhere</t>
  </si>
  <si>
    <t>Discovered at visual grid position #320. Verified Ad Details URL. Format: Single Image Ad.</t>
  </si>
  <si>
    <t>¡¡Vaya regalitos más chulos acabo de recibir del equipo de @semrush_es!! 🎁🌞 Ahora tendré con qué hidratarme en el #gym entre serie y serie... Vaya manera de cuidar a sus #bloggers ✌  #fotodeldia #marketingdigital #picoftheday #verano2017</t>
  </si>
  <si>
    <t>#gym, #bloggers, #fotodeldia, #marketingdigital, #picoftheday, #verano2017</t>
  </si>
  <si>
    <t>Tagged non-reel item (Static Photo) at grid position #555.</t>
  </si>
  <si>
    <t>Grid item #555. Discovered from Tagged page grid in sequential order.</t>
  </si>
  <si>
    <t>CR10935706924322127873</t>
  </si>
  <si>
    <t>SEMrush ancora una volta ha avuto il coraggio di ospitare un altro mio post. Tema: Domini. Buona lettura ;) https://it.semrush.com/blog/come-scegliere-dominio-web/ #seo</t>
  </si>
  <si>
    <t>#seo</t>
  </si>
  <si>
    <t>Tagged non-reel item (Static Photo) at grid position #556.</t>
  </si>
  <si>
    <t>Grid item #556. Discovered from Tagged page grid in sequential order.</t>
  </si>
  <si>
    <t>https://adstransparency.google.com/advertiser/AR05016556376214732801/creative/CR07256421884533669889?region=anywhere</t>
  </si>
  <si>
    <t>About white label in #SEO :) it often feels like its a white embroidery one would add to its #blackhat .  Is #whitehatSEO just as decorative according to you ?</t>
  </si>
  <si>
    <t>#SEO, #blackhat, #whitehatSEO</t>
  </si>
  <si>
    <t>Tagged non-reel item (Static Photo) at grid position #557.</t>
  </si>
  <si>
    <t>Discovered at visual grid position #321. Verified Ad Details URL. Format: Single Image Ad.</t>
  </si>
  <si>
    <t>Grid item #557. Discovered from Tagged page grid in sequential order.</t>
  </si>
  <si>
    <t>CR07256421884533669889</t>
  </si>
  <si>
    <t>This is how one feels after a #negativeseo attack &amp; the #disavow battle :) #linkspam #seo #webmaster #rankings #blackhat</t>
  </si>
  <si>
    <t>#negativeseo, #disavow, #linkspam, #seo, #webmaster, #rankings, #blackhat</t>
  </si>
  <si>
    <t>Tagged non-reel item (Static Photo) at grid position #558.</t>
  </si>
  <si>
    <t>Grid item #558. Discovered from Tagged page grid in sequential order.</t>
  </si>
  <si>
    <t>https://adstransparency.google.com/advertiser/AR05016556376214732801/creative/CR01469010490339360769?region=anywhere</t>
  </si>
  <si>
    <t>Discovered at visual grid position #322. Verified Ad Details URL. Format: Single Image Ad.</t>
  </si>
  <si>
    <t>Après #wnsm16 Souvenirs de Russie Avec #wnsm17. J'ai passé 3 jours inoubliables à St. Petersburg avec des amis et découvert de nouvelles cultures et nouvelles personnes. #Entreprendre : profites à fond des moments importants de la vie 😎#russian #exploreeverything #stpetersburg #teambuilding #seminaire #russia #entrepreneurlifestyle #entrepeneurlife #travelgram</t>
  </si>
  <si>
    <t>#wnsm16, #wnsm17, #Entreprendre, #russian, #exploreeverything, #stpetersburg, #teambuilding, #seminaire, #russia, #entrepreneurlifestyle, #entrepeneurlife, #travelgram</t>
  </si>
  <si>
    <t>Tagged non-reel item (Static Photo) at grid position #559.</t>
  </si>
  <si>
    <t>Grid item #559. Discovered from Tagged page grid in sequential order.</t>
  </si>
  <si>
    <t>WNSM17</t>
  </si>
  <si>
    <t>CR01469010490339360769</t>
  </si>
  <si>
    <t>https://adstransparency.google.com/advertiser/AR05016556376214732801/creative/CR01898027326063509505?region=anywhere</t>
  </si>
  <si>
    <t>‪Great city, great country. Thanks you so much @semrushcom for #WNSM17 see you soon 😘‬</t>
  </si>
  <si>
    <t>#WNSM17</t>
  </si>
  <si>
    <t>Tagged non-reel item (Static Photo) at grid position #560.</t>
  </si>
  <si>
    <t>Grid item #560. Discovered from Tagged page grid in sequential order.</t>
  </si>
  <si>
    <t>whitenights, rusia, sanpetersburgo</t>
  </si>
  <si>
    <t>12 de la noche en SPb, parece que no anochece !!! 😱 #whitenights #rusia #sanpetersburgo #wnsm17</t>
  </si>
  <si>
    <t>Discovered at visual grid position #323. Verified Ad Details URL. Format: Single Image Ad.</t>
  </si>
  <si>
    <t>#whitenights, #rusia, #sanpetersburgo, #wnsm17</t>
  </si>
  <si>
    <t>Tagged non-reel item (Static Photo) at grid position #561.</t>
  </si>
  <si>
    <t>Grid item #561. Discovered from Tagged page grid in sequential order.</t>
  </si>
  <si>
    <t>CR01898027326063509505</t>
  </si>
  <si>
    <t>wnsm17</t>
  </si>
  <si>
    <t>https://adstransparency.google.com/advertiser/AR05016556376214732801/creative/CR12117501441065615361?region=anywhere</t>
  </si>
  <si>
    <t>Just a #wnsm17 boat trip view</t>
  </si>
  <si>
    <t>#wnsm17</t>
  </si>
  <si>
    <t>Tagged non-reel item (Static Photo) at grid position #562.</t>
  </si>
  <si>
    <t>Grid item #562. Discovered from Tagged page grid in sequential order.</t>
  </si>
  <si>
    <t>CR12117501441065615361</t>
  </si>
  <si>
    <t>Facciamo un po' di chiarezza.  #seo #SEMrush</t>
  </si>
  <si>
    <t>#seo, #SEMrush</t>
  </si>
  <si>
    <t>Tagged non-reel item (Static Photo) at grid position #563.</t>
  </si>
  <si>
    <t>Grid item #563. Discovered from Tagged page grid in sequential order.</t>
  </si>
  <si>
    <t>Discovered at visual grid position #324. Verified Ad Details URL. Format: Single Image Ad.</t>
  </si>
  <si>
    <t>https://adstransparency.google.com/advertiser/AR05016556376214732801/creative/CR13924622537314009089?region=anywhere</t>
  </si>
  <si>
    <t>Here I am! Welcome kit com vodka e paracetamol. Clever Russians. #wnsm17</t>
  </si>
  <si>
    <t>Tagged non-reel item (Static Photo) at grid position #564.</t>
  </si>
  <si>
    <t>Grid item #564. Discovered from Tagged page grid in sequential order.</t>
  </si>
  <si>
    <t>CR13924622537314009089</t>
  </si>
  <si>
    <t>https://adstransparency.google.com/advertiser/AR05016556376214732801/creative/CR10089395343906045953?region=anywhere</t>
  </si>
  <si>
    <t>Oh so cute Twitter QR code that I don't have to create myself! (Yes I create QR Codes for digital marketing strategy). Someone please scan it and see if it works. I used the share via feature from @semrushcom #semrush is my all time favorite #seotool, competitor research and is only getting better! #Twitter. #QRcode #digitalmarketing #digitalmarketingstrategy  #socialmediamarketing #marketing #seo</t>
  </si>
  <si>
    <t>#semrush, #seotool, #Twitter, #QRcode, #digitalmarketing, #digitalmarketingstrategy, #socialmediamarketing, #marketing, #seo, #sem, #smo, #googleanalytics, #googleadwords, #ppc, #paidsearch, #inboundmarketing, #socialmediastrategy, #graphicdesign, #campaign</t>
  </si>
  <si>
    <t>Tagged non-reel item (Static Photo) at grid position #565.</t>
  </si>
  <si>
    <t>Grid item #565. Discovered from Tagged page grid in sequential order.</t>
  </si>
  <si>
    <t>Discovered at visual grid position #325. Verified Ad Details URL. Format: Single Image Ad.</t>
  </si>
  <si>
    <t>CR10089395343906045953</t>
  </si>
  <si>
    <t>Did you know our Practical Content Strategist Certification Course features some amazing guest speakers? Sujan Patel, Michele Linn, Dan Levy, Steve Rayson, and Ryan West have all shared their expertise with us. You won't want to miss out on this course, so make sure you enroll today and save 20%! Details are available through the link in our profile! 📲</t>
  </si>
  <si>
    <t>Tagged non-reel item (Static Photo) at grid position #566.</t>
  </si>
  <si>
    <t>Grid item #566. Discovered from Tagged page grid in sequential order.</t>
  </si>
  <si>
    <t>https://adstransparency.google.com/advertiser/AR05016556376214732801/creative/CR00088017675329994753?region=anywhere</t>
  </si>
  <si>
    <t>Doing some keyword research.</t>
  </si>
  <si>
    <t>Tagged non-reel item (Static Photo) at grid position #567.</t>
  </si>
  <si>
    <t>Grid item #567. Discovered from Tagged page grid in sequential order.</t>
  </si>
  <si>
    <t>Discovered at visual grid position #326. Verified Ad Details URL. Format: Single Image Ad.</t>
  </si>
  <si>
    <t>CR00088017675329994753</t>
  </si>
  <si>
    <t>The first #wnsm17 guest from Brazil is here :)</t>
  </si>
  <si>
    <t>Tagged non-reel item (Static Photo) at grid position #568.</t>
  </si>
  <si>
    <t>Grid item #568. Discovered from Tagged page grid in sequential order.</t>
  </si>
  <si>
    <t>https://adstransparency.google.com/advertiser/AR05016556376214732801/creative/CR01491003995659960321?region=anywhere</t>
  </si>
  <si>
    <t>Il nostro Sergio è estasiato dalla pausa relax firmata @semrushcom. 😜 #wmf17 @webmarketingfestival #snack #foodporn #rimini #team #coworkers #webmarketing #lavoro #fun #work #job #italy #italia #photooftheday #picoftheday #instamood #igersrimini #marketing #seo #portrait #smile #italian #design #coding #business #web #people #birra #beer</t>
  </si>
  <si>
    <t>#wmf17, #snack, #foodporn, #rimini, #team, #coworkers, #webmarketing, #lavoro, #fun, #work, #job, #italy, #italia, #photooftheday, #picoftheday, #instamood, #igersrimini, #marketing, #seo, #portrait, #smile, #italian, #design, #coding, #business, #web, #people, #birra, #beer</t>
  </si>
  <si>
    <t>Tagged non-reel item (Static Photo) at grid position #569.</t>
  </si>
  <si>
    <t>Grid item #569. Discovered from Tagged page grid in sequential order.</t>
  </si>
  <si>
    <t>CR01491003995659960321</t>
  </si>
  <si>
    <t>Discovered at visual grid position #327. Verified Ad Details URL. Format: Single Image Ad.</t>
  </si>
  <si>
    <t>Cheers #WMF17! 🍻@semrushcom @webmarketingfestival #rimini #team #coworkers #webmarketing #lavoro #fun #work #job #italy #italia #photooftheday #picoftheday #instamood #igersrimini #marketing #seo #portrait #smile #italian #design #coding #business #web #people #birra #beer</t>
  </si>
  <si>
    <t>https://adstransparency.google.com/advertiser/AR05016556376214732801/creative/CR03776656810291757057?region=anywhere</t>
  </si>
  <si>
    <t>#WMF17, #rimini, #team, #coworkers, #webmarketing, #lavoro, #fun, #work, #job, #italy, #italia, #photooftheday, #picoftheday, #instamood, #igersrimini, #marketing, #seo, #portrait, #smile, #italian, #design, #coding, #business, #web, #people, #birra, #beer</t>
  </si>
  <si>
    <t>Tagged non-reel item (Static Photo) at grid position #570.</t>
  </si>
  <si>
    <t>Grid item #570. Discovered from Tagged page grid in sequential order.</t>
  </si>
  <si>
    <t>digitalintelligence, supplier, semrush</t>
  </si>
  <si>
    <t>@semrushcom ti vuole bene #digitalintelligence #supplier #semrush #beluga</t>
  </si>
  <si>
    <t>#digitalintelligence, #supplier, #semrush, #beluga</t>
  </si>
  <si>
    <t>Tagged non-reel item (Static Photo) at grid position #571.</t>
  </si>
  <si>
    <t>Grid item #571. Discovered from Tagged page grid in sequential order.</t>
  </si>
  <si>
    <t>CR03776656810291757057</t>
  </si>
  <si>
    <t>Discovered at visual grid position #328. Verified Ad Details URL. Format: Single Image Ad.</t>
  </si>
  <si>
    <t>https://adstransparency.google.com/advertiser/AR05016556376214732801/creative/CR11479383306491920385?region=anywhere</t>
  </si>
  <si>
    <t>Memories of a refreshing swim in #seonthebeach #tbt #tbt❤️ 😎 Countdown to be on the beach! ¡Danos un corazoncito ❤️ si ahora mismo te encantaría poder chasquear los dedos y aparecer en esa piscina ahora mismo! 😅Refrescantes recuerdos que volverán a repetirse la semana que viene en #SOB17 y que esperamos que quieras compartir con nosotros 😎 Save the date! 23 y 24 de junio en #LaManga #Murcia Te esp</t>
  </si>
  <si>
    <t>#seonthebeach, #tbt, #tbt, #SOB17, #LaManga, #Murcia, #online, #digital, #marketing, #socialmediamarketing, #socialmedia, #SEO, #web, #ASO, #CRO, #copywriting, #app, #UX, #learning, #gaming, #youtube, #voicesearch, #analytics, #SEM, #beach, #beachlife, #mediterranean, #funny, #summer, #onthebeachers</t>
  </si>
  <si>
    <t>Tagged non-reel item (Static Photo) at grid position #572.</t>
  </si>
  <si>
    <t>Grid item #572. Discovered from Tagged page grid in sequential order.</t>
  </si>
  <si>
    <t>It's a pleasure to be a sponsor of #searchleeds today. Don't forget to send us the photos with your #calibrelollipop . . . . . . . #searchleeds #seo  #recruitment #digitalmarketing  #digital #tech #digitalcommunity</t>
  </si>
  <si>
    <t>#searchleeds, #calibrelollipop, #searchleeds, #seo, #recruitment, #digitalmarketing, #digital, #tech, #digitalcommunity</t>
  </si>
  <si>
    <t>Tagged non-reel item (Static Photo) at grid position #573.</t>
  </si>
  <si>
    <t>Grid item #573. Discovered from Tagged page grid in sequential order.</t>
  </si>
  <si>
    <t>CR11479383306491920385</t>
  </si>
  <si>
    <t>https://adstransparency.google.com/advertiser/AR05016556376214732801/creative/CR06267852740936859649?region=anywhere</t>
  </si>
  <si>
    <t>What's more exciting than trade show swag!? . . . #IRCE  #IRCE2017 #SemRush #fidgetspinner #LightUpSpinner #CustomSocks #CustomTShirt #CustomCandle #PopSocket #Anxiety #Fidget #CustomCandy #HomemadeCandy#l #TradeShow #Giveaway #Chicago #McCormick #McCormickPlace# #InternetRetailer #PromoProducts #Marketing #Advertising #PromoteLikeAPro #PromotionalProducts #Promotions</t>
  </si>
  <si>
    <t>Discovered at visual grid position #329. Verified Ad Details URL. Format: Single Image Ad.</t>
  </si>
  <si>
    <t>#IRCE, #IRCE2017, #SemRush, #fidgetspinner, #LightUpSpinner, #CustomSocks, #CustomTShirt, #CustomCandle, #PopSocket, #Anxiety, #Fidget, #CustomCandy, #HomemadeCandy, #l, #TradeShow, #Giveaway, #Chicago, #McCormick, #McCormickPlace, #InternetRetailer, #PromoProducts, #Marketing, #Advertising, #PromoteLikeAPro, #PromotionalProducts, #Promotions</t>
  </si>
  <si>
    <t>Tagged non-reel item (Static Photo) at grid position #574.</t>
  </si>
  <si>
    <t>Grid item #574. Discovered from Tagged page grid in sequential order.</t>
  </si>
  <si>
    <t>Website security is a must and one of the things you should do first is move to https.' For such a small monetary investment, your website will reap so much reward by switching today.  #seo #sem #websecurity #rankingfactors #hireme</t>
  </si>
  <si>
    <t>#seo, #sem, #websecurity, #rankingfactors, #hireme</t>
  </si>
  <si>
    <t>Tagged non-reel item (Static Photo) at grid position #575.</t>
  </si>
  <si>
    <t>Grid item #575. Discovered from Tagged page grid in sequential order.</t>
  </si>
  <si>
    <t>CR06267852740936859649</t>
  </si>
  <si>
    <t>@theinbounder after-party at @framesnyc - thank you to @semrushcom for the fantastic food and fun #theinbounder #nyc #framesnyc #digitalmarketing #newyorkcity</t>
  </si>
  <si>
    <t>https://adstransparency.google.com/advertiser/AR05016556376214732801/creative/CR15631845992792326145?region=anywhere</t>
  </si>
  <si>
    <t>#theinbounder, #nyc, #framesnyc, #digitalmarketing, #newyorkcity</t>
  </si>
  <si>
    <t>Tagged non-reel item (Static Photo) at grid position #576.</t>
  </si>
  <si>
    <t>Grid item #576. Discovered from Tagged page grid in sequential order.</t>
  </si>
  <si>
    <t>And that's a wrap on day one of the Atlanta @digitalsummits! It was an awesome experience and I hope to make this an annual event for me. Looking forward to cramming my brain even more full of knowledge tomorrow! #digitalsummit #DSATL #digitalmarketing</t>
  </si>
  <si>
    <t>#digitalsummit, #DSATL, #digitalmarketing</t>
  </si>
  <si>
    <t>Tagged non-reel item (Static Photo) at grid position #577.</t>
  </si>
  <si>
    <t>Discovered at visual grid position #330. Verified Ad Details URL. Format: Single Image Ad.</t>
  </si>
  <si>
    <t>Grid item #577. Discovered from Tagged page grid in sequential order.</t>
  </si>
  <si>
    <t>CR15631845992792326145</t>
  </si>
  <si>
    <t>https://adstransparency.google.com/advertiser/AR05016556376214732801/creative/CR09030537059055435777?region=anywhere</t>
  </si>
  <si>
    <t>Che giornata! Grazie a tutti ragazzi e grazie a chi ha partecipato al webinar! 🤓📌⚡️ #SEMRushRoundTable  Per rivedere l'evento potete cliccare nel link che trovate sul mio profilo Facebook e nella pagina di SEMRush #onoffcomunica #SEMrushLive #semrush #ecommerce</t>
  </si>
  <si>
    <t>#SEMRushRoundTable, #onoffcomunica, #SEMrushLive, #semrush, #ecommerce</t>
  </si>
  <si>
    <t>Tagged non-reel item (Static Photo) at grid position #578.</t>
  </si>
  <si>
    <t>Grid item #578. Discovered from Tagged page grid in sequential order.</t>
  </si>
  <si>
    <t>CR09030537059055435777</t>
  </si>
  <si>
    <t>Domani alle 12.00 in diretta con SEMrush per la nuova edizione di SEMrush Round Table in cui parleremo di #SocialMedia e #Ecommerce.  Come integrare i social media nel proprio Business Online?  Scoprilo seguendo l'evento live registrandoti al link che trovate sulla Pagina di @semrushcom 📌⚡️💪🏼🔝 http://bit.ly/RoundTableSMM  #StayTuned🔷🔶💡</t>
  </si>
  <si>
    <t>#SocialMedia, #Ecommerce, #StayTuned</t>
  </si>
  <si>
    <t>Tagged non-reel item (Static Photo) at grid position #579.</t>
  </si>
  <si>
    <t>Discovered at visual grid position #331. Verified Ad Details URL. Format: Single Image Ad.</t>
  </si>
  <si>
    <t>https://adstransparency.google.com/advertiser/AR05016556376214732801/creative/CR00425387150272364545?region=anywhere</t>
  </si>
  <si>
    <t>Grid item #579. Discovered from Tagged page grid in sequential order.</t>
  </si>
  <si>
    <t>Ed eccoci allo Stand #SEMrush (F30) io e @salvatorericevuto durante il #NetcommForum! Tutto pronto per domani in diretta da Milano con la Round Table sui 'Social Media per #Ecommerce'. Dalle 12:00 in diretta streaming da Milano in compagnia di Andrea D'Ottavio Sonia Milan Nunzia Falco Simeone e Leonardo Prati! Per registrarsi e seguire l'evento in diretta basta cliccare sul link nella Pagina Faceb</t>
  </si>
  <si>
    <t>#SEMrush, #NetcommForum, #Ecommerce, #SEMrushLive, #semrush, #ecommerce, #socialmediamarketing, #livestreaming, #savethedate, #soproud, #onoffcomunica, #cantwait, #keeppushing, #vietatomancare</t>
  </si>
  <si>
    <t>Tagged non-reel item (Static Photo) at grid position #580.</t>
  </si>
  <si>
    <t>Grid item #580. Discovered from Tagged page grid in sequential order.</t>
  </si>
  <si>
    <t>CR00425387150272364545</t>
  </si>
  <si>
    <t>https://adstransparency.google.com/advertiser/AR05016556376214732801/creative/CR12295112151370039297?region=anywhere</t>
  </si>
  <si>
    <t>Mirad! Increíbles regalos para SORTEO durante VideoSUMMITIII organizado por @clubdevideografos VEA las bases del sorteo. #videografo #videografos #videografodebodas #videografosdeboda #clubdevideografos #videosummit #VideoSUMMITIII #congreso #sorteo</t>
  </si>
  <si>
    <t>#videografo, #videografos, #videografodebodas, #videografosdeboda, #clubdevideografos, #videosummit, #VideoSUMMITIII, #congreso, #sorteo</t>
  </si>
  <si>
    <t>Discovered at visual grid position #332. Verified Ad Details URL. Format: Video Ad.</t>
  </si>
  <si>
    <t>Tagged non-reel item (Static Photo) at grid position #581.</t>
  </si>
  <si>
    <t>Grid item #581. Discovered from Tagged page grid in sequential order.</t>
  </si>
  <si>
    <t>theinbounder, machinelearning</t>
  </si>
  <si>
    <t>Love this tip from @olgandrievo at #theinbounder Important to remember with all the hype around #machinelearning</t>
  </si>
  <si>
    <t>#theinbounder, #machinelearning</t>
  </si>
  <si>
    <t>Tagged non-reel item (Static Photo) at grid position #582.</t>
  </si>
  <si>
    <t>Grid item #582. Discovered from Tagged page grid in sequential order.</t>
  </si>
  <si>
    <t>CR12295112151370039297</t>
  </si>
  <si>
    <t>Oggi succedono cose belle in studio. Ho pasticciato un po' con Google Analytics e Facebook ADS. Ne è venuto fuori un articolo per gli amici di @semrushcom su un filo {rosso} come nelle leggende giapponesi tra utenti, bisogni e geolocalizzazione 😍 Il link lo trovi in bio! . . . . . #ladyboss #semrush #marketing#marketingtips #entrepreneur #seo #socialmedia #socialmediamarketing #socialmediamanager</t>
  </si>
  <si>
    <t>https://adstransparency.google.com/advertiser/AR05016556376214732801/creative/CR13046507677553786881?region=anywhere</t>
  </si>
  <si>
    <t>#ladyboss, #semrush, #marketing, #marketingtips, #entrepreneur, #seo, #socialmedia, #socialmediamarketing, #socialmediamanager, #communitymanager, #marketingtips, #facebookads, #digitalmarketing, #webmarketing, #inboundmarketing, #contentmarketing</t>
  </si>
  <si>
    <t>Tagged non-reel item (Static Photo) at grid position #583.</t>
  </si>
  <si>
    <t>Grid item #583. Discovered from Tagged page grid in sequential order.</t>
  </si>
  <si>
    <t>SemRush, SEMrushroom, OMExpo2017</t>
  </si>
  <si>
    <t>Discovered at visual grid position #333. Verified Ad Details URL. Format: Single Image Ad.</t>
  </si>
  <si>
    <t>Gente guapa de #SemRush con  @y.kotru en #SEMrushroom #OMExpo2017</t>
  </si>
  <si>
    <t>#SemRush, #SEMrushroom, #OMExpo2017</t>
  </si>
  <si>
    <t>Tagged non-reel item (Static Photo) at grid position #584.</t>
  </si>
  <si>
    <t>CR13046507677553786881</t>
  </si>
  <si>
    <t>Grid item #584. Discovered from Tagged page grid in sequential order.</t>
  </si>
  <si>
    <t>SEMrushRoom, omexpo2017</t>
  </si>
  <si>
    <t>https://adstransparency.google.com/advertiser/AR05016556376214732801/creative/CR15709499757418250241?region=anywhere</t>
  </si>
  <si>
    <t>Ya de camino a #SEMrushRoom en #omexpo2017 con muchas ganas y un compi de lujo @lu1sma</t>
  </si>
  <si>
    <t>#SEMrushRoom, #omexpo2017</t>
  </si>
  <si>
    <t>Tagged non-reel item (Static Photo) at grid position #585.</t>
  </si>
  <si>
    <t>Grid item #585. Discovered from Tagged page grid in sequential order.</t>
  </si>
  <si>
    <t>CR15709499757418250241</t>
  </si>
  <si>
    <t>https://adstransparency.google.com/advertiser/AR05016556376214732801/creative/CR11140373703798292481?region=anywhere</t>
  </si>
  <si>
    <t>How to Get #traffic to your #websites or #blog  http://bit.ly/2pLyyrX  #seo #search #searchengine #searchenginemarketing #searchengine #socialmediamarketing #socialmedia #socialmediatip #socialmediaqueen #businesses #businesscasual #titter #searchengines #searchinsia #searchengineranking #google #googlesearch #bing #ads #adsense #googleadsense #serp #paidadvert #paidadvertisement #paidads #paidadv</t>
  </si>
  <si>
    <t>#traffic, #websites, #blog, #seo, #search, #searchengine, #searchenginemarketing, #searchengine, #socialmediamarketing, #socialmedia, #socialmediatip, #socialmediaqueen, #businesses, #businesscasual, #titter, #searchengines, #searchinsia, #searchengineranking, #google, #googlesearch, #bing, #ads, #adsense, #googleadsense, #serp, #paidadvert, #paidadvertisement, #paidads, #paidadvertising</t>
  </si>
  <si>
    <t>Tagged non-reel item (Static Photo) at grid position #586.</t>
  </si>
  <si>
    <t>Grid item #586. Discovered from Tagged page grid in sequential order.</t>
  </si>
  <si>
    <t>Discovered at visual grid position #334. Verified Ad Details URL. Format: Single Image Ad.</t>
  </si>
  <si>
    <t>CR11140373703798292481</t>
  </si>
  <si>
    <t>https://adstransparency.google.com/advertiser/AR05016556376214732801/creative/CR17998698290891194369?region=anywhere</t>
  </si>
  <si>
    <t>Google's Rank Brain is a machine-learning artificial intelligence system… To learn more visit our bio link! . . #rankbrain #google #googlepartners #Agency #Instagood #love #photooftheday #instamood #SEO #PPC #Websites #digital #blog #amp</t>
  </si>
  <si>
    <t>#rankbrain, #google, #googlepartners, #Agency, #Instagood, #love, #photooftheday, #instamood, #SEO, #PPC, #Websites, #digital, #blog, #amp</t>
  </si>
  <si>
    <t>Tagged non-reel item (Static Photo) at grid position #587.</t>
  </si>
  <si>
    <t>Grid item #587. Discovered from Tagged page grid in sequential order.</t>
  </si>
  <si>
    <t>CR17998698290891194369</t>
  </si>
  <si>
    <t>Unfortunately, Amy couldn't attend @brightonseo, but we made sure to bring back plenty of goodies for her!🛍 . . . #BrightonSEO #Conference #DigitalMarketing #Marketing #Media #Ecommerce #Hull2017 #CityOfCulture2017</t>
  </si>
  <si>
    <t>Discovered at visual grid position #335. Verified Ad Details URL. Format: Single Image Ad.</t>
  </si>
  <si>
    <t>#BrightonSEO, #Conference, #DigitalMarketing, #Marketing, #Media, #Ecommerce, #Hull2017, #CityOfCulture2017</t>
  </si>
  <si>
    <t>Tagged non-reel item (Static Photo) at grid position #588.</t>
  </si>
  <si>
    <t>https://adstransparency.google.com/advertiser/AR05016556376214732801/creative/CR05905860665163120641?region=anywhere</t>
  </si>
  <si>
    <t>Grid item #588. Discovered from Tagged page grid in sequential order.</t>
  </si>
  <si>
    <t>The #semrush party at #BrightonSEO with some awesome industry folks</t>
  </si>
  <si>
    <t>#semrush, #BrightonSEO</t>
  </si>
  <si>
    <t>Tagged non-reel item (Photo Carousel) at grid position #589.</t>
  </si>
  <si>
    <t>Grid item #589. Discovered from Tagged page grid in sequential order.</t>
  </si>
  <si>
    <t>CR05905860665163120641</t>
  </si>
  <si>
    <t>https://adstransparency.google.com/advertiser/AR05016556376214732801/creative/CR14122936295655211009?region=anywhere</t>
  </si>
  <si>
    <t>Уставшие и счастливые 🎉🎉🎉</t>
  </si>
  <si>
    <t>Tagged non-reel item (Static Photo) at grid position #590.</t>
  </si>
  <si>
    <t>Grid item #590. Discovered from Tagged page grid in sequential order.</t>
  </si>
  <si>
    <t>Discovered at visual grid position #336. Verified Ad Details URL. Format: Single Image Ad.</t>
  </si>
  <si>
    <t>CR14122936295655211009</t>
  </si>
  <si>
    <t>https://adstransparency.google.com/advertiser/AR05016556376214732801/creative/CR15248765833753657345?region=anywhere</t>
  </si>
  <si>
    <t>Лисята разлетаются только так 🏃🏼‍♀️🏃🏼‍♀️🏃🏼‍♀️ #brighton #BrightonSEO #semrush</t>
  </si>
  <si>
    <t>#brighton, #BrightonSEO, #semrush</t>
  </si>
  <si>
    <t>Tagged non-reel item (Static Photo) at grid position #591.</t>
  </si>
  <si>
    <t>Grid item #591. Discovered from Tagged page grid in sequential order.</t>
  </si>
  <si>
    <t>Follow @swapnilsurve30 to get more posts on SEO Tips.... Hashtag Used:  #digitalmarketingtips  #digitalmarketingexpert  #digitalmarketingstrategists  #digitalmarketing #seo #seotips #searchengineoptimisation #swapnilsurve #sem #adwords #google #yahoo #bing #digitalmarketer</t>
  </si>
  <si>
    <t>#digitalmarketingtips, #digitalmarketingexpert, #digitalmarketingstrategists, #digitalmarketing, #seo, #seotips, #searchengineoptimisation, #swapnilsurve, #sem, #adwords, #google, #yahoo, #bing, #digitalmarketer</t>
  </si>
  <si>
    <t>Discovered at visual grid position #337. Verified Ad Details URL. Format: Single Image Ad.</t>
  </si>
  <si>
    <t>Tagged non-reel item (Static Photo) at grid position #592.</t>
  </si>
  <si>
    <t>CR15248765833753657345</t>
  </si>
  <si>
    <t>Grid item #592. Discovered from Tagged page grid in sequential order.</t>
  </si>
  <si>
    <t>https://adstransparency.google.com/advertiser/AR05016556376214732801/creative/CR08346682608020619265?region=anywhere</t>
  </si>
  <si>
    <t>Follow @swapnilsurve30 to get more posts on SEO Tips.... Hashtag Used: #digitalmarketingtips  #digitalmarketingexpert  #digitalmarketingstrategists  #digitalmarketing #seo #seotips #searchengineoptimisation #swapnilsurve #sem #adwords #google #yahoo #bing #digitalmarketer #thursdayz #thursdaythoughts #thursdaymorning #thursdaytip</t>
  </si>
  <si>
    <t>#digitalmarketingtips, #digitalmarketingexpert, #digitalmarketingstrategists, #digitalmarketing, #seo, #seotips, #searchengineoptimisation, #swapnilsurve, #sem, #adwords, #google, #yahoo, #bing, #digitalmarketer, #thursdayz, #thursdaythoughts, #thursdaymorning, #thursdaytip</t>
  </si>
  <si>
    <t>Tagged non-reel item (Static Photo) at grid position #593.</t>
  </si>
  <si>
    <t>Grid item #593. Discovered from Tagged page grid in sequential order.</t>
  </si>
  <si>
    <t>CR08346682608020619265</t>
  </si>
  <si>
    <t>Ran from Dec 12, 2025 to Dec 23, 2025</t>
  </si>
  <si>
    <t>https://adstransparency.google.com/advertiser/AR05016556376214732801/creative/CR02601624676606148609?region=anywhere</t>
  </si>
  <si>
    <t>Discovered at visual grid position #338. Verified Ad Details URL. Format: Single Image Ad.</t>
  </si>
  <si>
    <t>Follow @swapnilsurve30 to get more posts on SEO Tips.... Hashtag Used: #digitalmarketingtips  #digitalmarketingexpert  #digitalmarketingstrategists  #digitalmarketing #seo #seotips #searchengineoptimisation #swapnilsurve #sem #adwords #google #yahoo #bing #digitalmarketer #digitalmarketing #wednesdaywisdom #wednesdayvibes #ppc</t>
  </si>
  <si>
    <t>#digitalmarketingtips, #digitalmarketingexpert, #digitalmarketingstrategists, #digitalmarketing, #seo, #seotips, #searchengineoptimisation, #swapnilsurve, #sem, #adwords, #google, #yahoo, #bing, #digitalmarketer, #digitalmarketing, #wednesdaywisdom, #wednesdayvibes, #ppc</t>
  </si>
  <si>
    <t>Tagged non-reel item (Static Photo) at grid position #594.</t>
  </si>
  <si>
    <t>Grid item #594. Discovered from Tagged page grid in sequential order.</t>
  </si>
  <si>
    <t>semrush, semrushlive, adwords</t>
  </si>
  <si>
    <t>Oggi alla SEMrush WebStudy Marathon ero in ottima compagnia!!! Bravi tutti, grazie di cuore ❤ #semrush #semrushlive #adwords #webstudymarathon #volpe #picoftheday</t>
  </si>
  <si>
    <t>CR02601624676606148609</t>
  </si>
  <si>
    <t>#semrush, #semrushlive, #adwords, #webstudymarathon, #volpe, #picoftheday</t>
  </si>
  <si>
    <t>Tagged non-reel item (Static Photo) at grid position #595.</t>
  </si>
  <si>
    <t>Grid item #595. Discovered from Tagged page grid in sequential order.</t>
  </si>
  <si>
    <t>https://adstransparency.google.com/advertiser/AR05016556376214732801/creative/CR13702542560260521985?region=anywhere</t>
  </si>
  <si>
    <t>tcs2017, incomestore</t>
  </si>
  <si>
    <t>Discovered at visual grid position #339. Verified Ad Details URL. Format: Single Image Ad.</t>
  </si>
  <si>
    <t>Having a blast and learning so much at #tcs2017 with @emilylynnconklin, a fox from @semrushcom, and others on the #incomestore team.</t>
  </si>
  <si>
    <t>#tcs2017, #incomestore</t>
  </si>
  <si>
    <t>Tagged non-reel item (Static Photo) at grid position #596.</t>
  </si>
  <si>
    <t>Grid item #596. Discovered from Tagged page grid in sequential order.</t>
  </si>
  <si>
    <t>CR13702542560260521985</t>
  </si>
  <si>
    <t>Carousel Ad</t>
  </si>
  <si>
    <t>https://adstransparency.google.com/advertiser/AR05016556376214732801/creative/CR14673917102935506945?region=anywhere</t>
  </si>
  <si>
    <t>Lead your market. Grow your SEO strategy with industry-best data, automations, and customizable reporting that proves impact.</t>
  </si>
  <si>
    <t>Join me today at 11AM EST/4PM GMT on #Twitter ✌️️tune in to my #TwitterChat w/ @semrushcom ☝️️ I'll discuss recent #Google updates &amp; #SEO strategies that stick in 2017! Follow #SEMRushChat on Twitter for updates, find me @searchdecoder</t>
  </si>
  <si>
    <t>#Twitter, #TwitterChat, #Google, #SEO, #SEMRushChat</t>
  </si>
  <si>
    <t>Tagged non-reel item (Static Photo) at grid position #597.</t>
  </si>
  <si>
    <t>Grid item #597. Discovered from Tagged page grid in sequential order.</t>
  </si>
  <si>
    <t>#seoandlove #semrush snippet opportunities</t>
  </si>
  <si>
    <t>#seoandlove, #semrush</t>
  </si>
  <si>
    <t>Tagged non-reel item (Static Photo) at grid position #598.</t>
  </si>
  <si>
    <t>Grid item #598. Discovered from Tagged page grid in sequential order.</t>
  </si>
  <si>
    <t>Discovered at visual grid position #340. Verified Ad Details URL. Format: Carousel Ad.</t>
  </si>
  <si>
    <t>CR14673917102935506945</t>
  </si>
  <si>
    <t>https://adstransparency.google.com/advertiser/AR05016556376214732801/creative/CR14859607986753503233?region=anywhere</t>
  </si>
  <si>
    <t>E vissero tutti seo e content 😍</t>
  </si>
  <si>
    <t>Tagged non-reel item (Static Photo) at grid position #599.</t>
  </si>
  <si>
    <t>Grid item #599. Discovered from Tagged page grid in sequential order.</t>
  </si>
  <si>
    <t>Power more efficient teams and boost organic growth, with the platform that centralizes every tool for global search strategies.</t>
  </si>
  <si>
    <t>rugby, 6nazioni</t>
  </si>
  <si>
    <t>Inizia la nostra avventura verso la nazionale all'Olimpico 🏉. Un grazie speciale a SemRush :) #rugby #6nazioni</t>
  </si>
  <si>
    <t>#rugby, #6nazioni</t>
  </si>
  <si>
    <t>Tagged non-reel item (Static Photo) at grid position #600.</t>
  </si>
  <si>
    <t>CR14859607986753503233</t>
  </si>
  <si>
    <t>Grid item #600. Discovered from Tagged page grid in sequential order.</t>
  </si>
  <si>
    <t>https://adstransparency.google.com/advertiser/AR05016556376214732801/creative/CR11181116794360299521?region=anywhere</t>
  </si>
  <si>
    <t>Discovered at visual grid position #341. Verified Ad Details URL. Format: Carousel Ad.</t>
  </si>
  <si>
    <t>The Ultimate #SEO tools Showdown - @semrushcom vs @ahrefscom vs @moz_hq vs spyfu. Click link in bio!🖕🏻 #99signals #seo #seotools #moz #semrush #ahrefs #spyfu #marketing #contentmarketing #blogging #bloggingtips #contentwriting #searchengineoptimization #linkbuildingtips #linkbuildingseo #inboundmarketing #smallbiz #startups #entrepreneur #blogger #bloggerlife #startuplife #keywordresearch</t>
  </si>
  <si>
    <t>#SEO, #99signals, #seo, #seotools, #moz, #semrush, #ahrefs, #spyfu, #marketing, #contentmarketing, #blogging, #bloggingtips, #contentwriting, #searchengineoptimization, #linkbuildingtips, #linkbuildingseo, #inboundmarketing, #smallbiz, #startups, #entrepreneur, #blogger, #bloggerlife, #startuplife, #keywordresearch</t>
  </si>
  <si>
    <t>Tagged non-reel item (Static Photo) at grid position #601.</t>
  </si>
  <si>
    <t>Grid item #601. Discovered from Tagged page grid in sequential order.</t>
  </si>
  <si>
    <t>CR11181116794360299521</t>
  </si>
  <si>
    <t>https://adstransparency.google.com/advertiser/AR05016556376214732801/creative/CR02659840381323051009?region=anywhere</t>
  </si>
  <si>
    <t>La compañía internacional SEMrush especializada en marketing participará en #Omexpo ¡No te lo pierdas! #bienvenidos #sponsor #SEO #PPC #digitalbusiness #marketingdigital #ecommerce #digitalmarketing</t>
  </si>
  <si>
    <t>#Omexpo, #bienvenidos, #sponsor, #SEO, #PPC, #digitalbusiness, #marketingdigital, #ecommerce, #digitalmarketing</t>
  </si>
  <si>
    <t>Tagged non-reel item (Static Photo) at grid position #602.</t>
  </si>
  <si>
    <t>Grid item #602. Discovered from Tagged page grid in sequential order.</t>
  </si>
  <si>
    <t>epicprojectday, epicskills, molinos</t>
  </si>
  <si>
    <t>Discovered at visual grid position #342. Verified Ad Details URL. Format: Single Image Ad.</t>
  </si>
  <si>
    <t>Сегодня в первый раз проводим собственную полноценную конференцию для проектных менеджеров от Epic Skills. Подъем в 5-30 утра, с 7 утра подготовка площадки, в 10 утра на первой лекции почти полный зал. А сейчас вовсе некуда сажать людей. Горжусь работой команды @epic_skills 💛 И спикерами, которые нашли время. За историей того, как всё проходит, следите по хештегу #epicprojectday #epicskills #molin</t>
  </si>
  <si>
    <t>#epicprojectday, #epicskills, #molinos, #yandex, #besmart, #улей, #nimax, #semrush, #ингрия</t>
  </si>
  <si>
    <t>Tagged non-reel item (Static Photo) at grid position #603.</t>
  </si>
  <si>
    <t>CR02659840381323051009</t>
  </si>
  <si>
    <t>Grid item #603. Discovered from Tagged page grid in sequential order.</t>
  </si>
  <si>
    <t>Content Marketing, Startup &amp; Growth, Video Marketing</t>
  </si>
  <si>
    <t>https://adstransparency.google.com/advertiser/AR05016556376214732801/creative/CR08047641696105660417?region=anywhere</t>
  </si>
  <si>
    <t>Business Tips 🌟 . To really engage with an audience and make a lasting IMPACT with your brand message ensure you appeal to their EMOTIONS. . Laughter 😄 and happiness 🤗 are powerful and persuasive feelings.  We all want to be happy, right, and we love to share content that makes us feel good! . . . ⚍⚍⚍⚍⚍⚍⚍⚍⚍⚍⚍⚍⚍⚍⚍⚍⚍⚍⚍ . #business #businesstips #tips #instatips #persuasion #influence #happiness #hap</t>
  </si>
  <si>
    <t>#business, #businesstips, #tips, #instatips, #persuasion, #influence, #happiness, #happy, #emotions, #smallbusiness, #smallbiz, #startup, #entrepreneur, #entrepreneurship, #success, #winner, #positivity, #motivation, #inspiration, #likeaboss</t>
  </si>
  <si>
    <t>Tagged non-reel item (Static Photo) at grid position #604.</t>
  </si>
  <si>
    <t>Grid item #604. Discovered from Tagged page grid in sequential order.</t>
  </si>
  <si>
    <t>Discovered at visual grid position #343. Verified Ad Details URL. Format: Single Image Ad.</t>
  </si>
  <si>
    <t>@semrushcom #milano #seo #ecommerce #milan #marketing #amazon #magento</t>
  </si>
  <si>
    <t>#milano, #seo, #ecommerce, #milan, #marketing, #amazon, #magento</t>
  </si>
  <si>
    <t>Tagged non-reel item (Static Photo) at grid position #605.</t>
  </si>
  <si>
    <t>Grid item #605. Discovered from Tagged page grid in sequential order.</t>
  </si>
  <si>
    <t>CR08047641696105660417</t>
  </si>
  <si>
    <t>https://adstransparency.google.com/advertiser/AR05016556376214732801/creative/CR10091070587309916161?region=anywhere</t>
  </si>
  <si>
    <t>#Agencylife can be a little hairy at times or is it furry? Thanks @semrushcom for the foxy gear! #semrush #OfficePerks</t>
  </si>
  <si>
    <t>#Agencylife, #semrush, #OfficePerks</t>
  </si>
  <si>
    <t>Tagged non-reel item (Static Photo) at grid position #606.</t>
  </si>
  <si>
    <t>Grid item #606. Discovered from Tagged page grid in sequential order.</t>
  </si>
  <si>
    <t>navidad</t>
  </si>
  <si>
    <t>Discovered at visual grid position #344. Verified Ad Details URL. Format: Single Image Ad.</t>
  </si>
  <si>
    <t>Qué gustito da recibir regalos en #navidad de amigos que están lejos y a la vez muy cerca. Gracias @semrush_es</t>
  </si>
  <si>
    <t>CR10091070587309916161</t>
  </si>
  <si>
    <t>#navidad</t>
  </si>
  <si>
    <t>Tagged non-reel item (Static Photo) at grid position #607.</t>
  </si>
  <si>
    <t>Grid item #607. Discovered from Tagged page grid in sequential order.</t>
  </si>
  <si>
    <t>https://adstransparency.google.com/advertiser/AR05016556376214732801/creative/CR13640440494256291841?region=anywhere</t>
  </si>
  <si>
    <t>semrush</t>
  </si>
  <si>
    <t>Per ora il regalo più bello me lo ha fatto #semrush 🎅 Grazie!</t>
  </si>
  <si>
    <t>#semrush</t>
  </si>
  <si>
    <t>Tagged non-reel item (Static Photo) at grid position #608.</t>
  </si>
  <si>
    <t>Grid item #608. Discovered from Tagged page grid in sequential order.</t>
  </si>
  <si>
    <t>semrush, instapicture, instagramer</t>
  </si>
  <si>
    <t>CR13640440494256291841</t>
  </si>
  <si>
    <t>Discovered at visual grid position #345. Verified Ad Details URL. Format: Single Image Ad.</t>
  </si>
  <si>
    <t>https://adstransparency.google.com/advertiser/AR05016556376214732801/creative/CR08441738411898830849?region=anywhere</t>
  </si>
  <si>
    <t>Grazie a #semrush per il bel regalo di Natale!  Un pensiero che abbiamo molto apprezzato 😉  #instapicture #instagramer #photoday</t>
  </si>
  <si>
    <t>#semrush, #instapicture, #instagramer, #photoday</t>
  </si>
  <si>
    <t>Tagged non-reel item (Static Photo) at grid position #609.</t>
  </si>
  <si>
    <t>Grid item #609. Discovered from Tagged page grid in sequential order.</t>
  </si>
  <si>
    <t>semrush, semrushlive</t>
  </si>
  <si>
    <t>It was a real adventure and very useful! Thank you, guys 😊👏🏼👌🏼🖥 #semrush #semrushlive</t>
  </si>
  <si>
    <t>#semrush, #semrushlive</t>
  </si>
  <si>
    <t>Tagged non-reel item (Static Photo) at grid position #610.</t>
  </si>
  <si>
    <t>Grid item #610. Discovered from Tagged page grid in sequential order.</t>
  </si>
  <si>
    <t>CR08441738411898830849</t>
  </si>
  <si>
    <t>Discovered at visual grid position #346. Verified Ad Details URL. Format: Single Image Ad.</t>
  </si>
  <si>
    <t>https://adstransparency.google.com/advertiser/AR05016556376214732801/creative/CR02220782367327387649?region=anywhere</t>
  </si>
  <si>
    <t>Christmas came early. Big thanks to Olga and the SEMrush team!</t>
  </si>
  <si>
    <t>Tagged non-reel item (Static Photo) at grid position #611.</t>
  </si>
  <si>
    <t>Grid item #611. Discovered from Tagged page grid in sequential order.</t>
  </si>
  <si>
    <t>People don't want more content, they want better content. Some interesting ideas from one of my previous webinars on digital marketing and content marketing with the amazing team of SEMRush. Thanks for the post @semrushcom and hosting another memorable webinar @mikhaildoudy</t>
  </si>
  <si>
    <t>Tagged non-reel item (Static Photo) at grid position #612.</t>
  </si>
  <si>
    <t>Grid item #612. Discovered from Tagged page grid in sequential order.</t>
  </si>
  <si>
    <t>CR02220782367327387649</t>
  </si>
  <si>
    <t>https://adstransparency.google.com/advertiser/AR05016556376214732801/creative/CR15944768239007956993?region=anywhere</t>
  </si>
  <si>
    <t>Discovered at visual grid position #347. Verified Ad Details URL. Format: Single Image Ad.</t>
  </si>
  <si>
    <t>AAAAAAAAAAWWWWWW 🌷 ну вы поняли 🦄 спасибо алиэкспрессу за это</t>
  </si>
  <si>
    <t>Tagged non-reel item (Static Photo) at grid position #613.</t>
  </si>
  <si>
    <t>Grid item #613. Discovered from Tagged page grid in sequential order.</t>
  </si>
  <si>
    <t>SEMrush vs Moz: Which SEO tool should you invest in? Check out our detailed comparison review to find out! Click link in bio👆  #seo #contentmarketing #seotools #semrush #moz #semrushvsmoz #99signals #inbound #blogging #marketing #smallbiz #startups #blogginglife #inboundmarketing #contentstrategy #startuplife #smallbusiness #mozpro #digitalmarketing</t>
  </si>
  <si>
    <t>CR15944768239007956993</t>
  </si>
  <si>
    <t>#seo, #contentmarketing, #seotools, #semrush, #moz, #semrushvsmoz, #99signals, #inbound, #blogging, #marketing, #smallbiz, #startups, #blogginglife, #inboundmarketing, #contentstrategy, #startuplife, #smallbusiness, #mozpro, #digitalmarketing</t>
  </si>
  <si>
    <t>Tagged non-reel item (Static Photo) at grid position #614.</t>
  </si>
  <si>
    <t>Grid item #614. Discovered from Tagged page grid in sequential order.</t>
  </si>
  <si>
    <t>https://adstransparency.google.com/advertiser/AR05016556376214732801/creative/CR14888844619411357697?region=anywhere</t>
  </si>
  <si>
    <t>Ran from Dec 22, 2025 to Dec 23, 2025</t>
  </si>
  <si>
    <t>Discovered at visual grid position #348. Verified Ad Details URL. Format: Video Ad.</t>
  </si>
  <si>
    <t>Sem e Rush, soffici gadget da #iabforum #semrush #softmarketing #volpeoprocione?</t>
  </si>
  <si>
    <t>#iabforum, #semrush, #softmarketing, #volpeoprocione</t>
  </si>
  <si>
    <t>Tagged non-reel item (Static Photo) at grid position #615.</t>
  </si>
  <si>
    <t>Grid item #615. Discovered from Tagged page grid in sequential order.</t>
  </si>
  <si>
    <t>Digital Marketing, Video Marketing</t>
  </si>
  <si>
    <t>CR14888844619411357697</t>
  </si>
  <si>
    <t>Come migliorare (subito!) le #performance di un #sitoweb  https://it.semrush.com/blog/come-migliorare-prestazioni-sito-web/ #webagency #webdesign</t>
  </si>
  <si>
    <t>https://adstransparency.google.com/advertiser/AR05016556376214732801/creative/CR13311547841647214593?region=anywhere</t>
  </si>
  <si>
    <t>#performance, #sitoweb, #webagency, #webdesign</t>
  </si>
  <si>
    <t>Tagged non-reel item (Static Photo) at grid position #616.</t>
  </si>
  <si>
    <t>Grid item #616. Discovered from Tagged page grid in sequential order.</t>
  </si>
  <si>
    <t>Digital Marketing, Startup &amp; Growth, Industry Event</t>
  </si>
  <si>
    <t>CR13311547841647214593</t>
  </si>
  <si>
    <t>A sua chance de se tornar um empreendedor de sucesso e ter sua própria startup está no link na bio! Inscreva-se no Startup Online Meetup e traga todas as suas dúvidas sobre o mundo do empreendedorismo e descubra como o crowdfunding pode ser seu braço direito! 💚  #crowdfunding #financiamentocoletivo #empreendedorismo #empreendedor #empresario #CEO #kickante #startup #evento #online #gratuito #dicas</t>
  </si>
  <si>
    <t>Discovered at visual grid position #349. Verified Ad Details URL. Format: Single Image Ad.</t>
  </si>
  <si>
    <t>#crowdfunding, #financiamentocoletivo, #empreendedorismo, #empreendedor, #empresario, #CEO, #kickante, #startup, #evento, #online, #gratuito, #dicas, #marketing</t>
  </si>
  <si>
    <t>Tagged non-reel item (Static Photo) at grid position #617.</t>
  </si>
  <si>
    <t>Grid item #617. Discovered from Tagged page grid in sequential order.</t>
  </si>
  <si>
    <t>https://adstransparency.google.com/advertiser/AR05016556376214732801/creative/CR10409330825039446017?region=anywhere</t>
  </si>
  <si>
    <t>We are pleased to announce that our Head of SEO has just published an article on SEMRUSH - one of the world's largest marketing media. You can read the article here: https://www.semrush.com/blog/marketing-attribution-in-five-steps/</t>
  </si>
  <si>
    <t>Tagged non-reel item (Static Photo) at grid position #618.</t>
  </si>
  <si>
    <t>Grid item #618. Discovered from Tagged page grid in sequential order.</t>
  </si>
  <si>
    <t>CR10409330825039446017</t>
  </si>
  <si>
    <t>https://adstransparency.google.com/advertiser/AR05016556376214732801/creative/CR03895038547194806273?region=anywhere</t>
  </si>
  <si>
    <t>For #ToolThursday we are talking about #SEMrush. It is a business intelligence and competitive research software that provides you with analytic reports of the SEO, paid search, and link building about your website (or the one you are currently looking into). It also provides you with a powerful toolkit that offers you all necessary metrics and data regarding the competitors of your website.  It i</t>
  </si>
  <si>
    <t>#ToolThursday, #SEMrush, #SpinnakerNordic, #NotRocketScience, #DigitalMarketing, #ContentMarketing, #OnlineMarketing, #AdWords, #SEO, #GooglePartners, #Analytics, #Results, #Success, #Marketing, #Agency, #Branding, #B2B</t>
  </si>
  <si>
    <t>Tagged non-reel item (Static Photo) at grid position #619.</t>
  </si>
  <si>
    <t>Discovered at visual grid position #350. Verified Ad Details URL. Format: Single Image Ad.</t>
  </si>
  <si>
    <t>Grid item #619. Discovered from Tagged page grid in sequential order.</t>
  </si>
  <si>
    <t>Free live online training workshop by inspiring expert @benjaminmangold 'Track your marketing with Google Analytics'. Please go to Instagram profile link for details. #freetraining #digitaladvertising #digitalanalytics #digitalcareers #googleanalytics #benjaminmangold #lovesdata #onlinemarketing #analytics_expert #socialmedia #contentmarketing #digitalindustry #lovesdatalive</t>
  </si>
  <si>
    <t>CR03895038547194806273</t>
  </si>
  <si>
    <t>#freetraining, #digitaladvertising, #digitalanalytics, #digitalcareers, #googleanalytics, #benjaminmangold, #lovesdata, #onlinemarketing, #analytics_expert, #socialmedia, #contentmarketing, #digitalindustry, #lovesdatalive</t>
  </si>
  <si>
    <t>Tagged non-reel item (Static Photo) at grid position #620.</t>
  </si>
  <si>
    <t>Grid item #620. Discovered from Tagged page grid in sequential order.</t>
  </si>
  <si>
    <t>https://adstransparency.google.com/advertiser/AR05016556376214732801/creative/CR13172290845698686977?region=anywhere</t>
  </si>
  <si>
    <t>Hey there #pubcon Day 2 @pubcon @semrushcom @roland_us @bossfx_us @internetmarketingninjas</t>
  </si>
  <si>
    <t>Tagged non-reel item (Static Photo) at grid position #621.</t>
  </si>
  <si>
    <t>Discovered at visual grid position #351. Verified Ad Details URL. Format: Single Image Ad.</t>
  </si>
  <si>
    <t>Grid item #621. Discovered from Tagged page grid in sequential order.</t>
  </si>
  <si>
    <t>CR13172290845698686977</t>
  </si>
  <si>
    <t>https://adstransparency.google.com/advertiser/AR05016556376214732801/creative/CR17085141017406996481?region=anywhere</t>
  </si>
  <si>
    <t>RT @olgandrienko  @semrushcom team ❤️</t>
  </si>
  <si>
    <t>Tagged non-reel item (Static Photo) at grid position #622.</t>
  </si>
  <si>
    <t>Grid item #622. Discovered from Tagged page grid in sequential order.</t>
  </si>
  <si>
    <t>Pubcon</t>
  </si>
  <si>
    <t>We're excited to be joining the fun at #Pubcon!</t>
  </si>
  <si>
    <t>#Pubcon</t>
  </si>
  <si>
    <t>Tagged non-reel item (Static Photo) at grid position #623.</t>
  </si>
  <si>
    <t>Grid item #623. Discovered from Tagged page grid in sequential order.</t>
  </si>
  <si>
    <t>CR17085141017406996481</t>
  </si>
  <si>
    <t>Discovered at visual grid position #352. Verified Ad Details URL. Format: Single Image Ad.</t>
  </si>
  <si>
    <t>https://adstransparency.google.com/advertiser/AR05016556376214732801/creative/CR05056663579688697857?region=anywhere</t>
  </si>
  <si>
    <t>Tenemos ya 7 horas viendo, aprendiendo y tuiteando las ponencias del congreso online 'Negocios y Monetización Digital 2016' #NMDigital16 gracias a @facchinjose y @semrushcom  #MarketingDigital #Online</t>
  </si>
  <si>
    <t>#NMDigital16, #MarketingDigital, #Online</t>
  </si>
  <si>
    <t>Tagged non-reel item (Static Photo) at grid position #624.</t>
  </si>
  <si>
    <t>Grid item #624. Discovered from Tagged page grid in sequential order.</t>
  </si>
  <si>
    <t>Business Tips 💥  Break the boredom!! If your content tends to be repetitive your readers will 'switch off'. Have you ever found yourself thinking about something completely different 🤔 during a tedious presentation?  Stop 📵 your audience from zoning out by changing- &gt;  fonts &gt;  colours &gt;  introduce the unexpected &gt;  be disruptive!! ⚍⚍⚍⚍⚍⚍⚍⚍⚍⚍⚍⚍⚍⚍⚍⚍⚍⚍ #business #businesswoman #businessman #business</t>
  </si>
  <si>
    <t>#business, #businesswoman, #businessman, #businesstips, #tips, #quoteoftheday, #smallbusines, #smallbiz, #startup, #entrepreneur, #entrepreneurship, #howto, #marketing, #boredom, #successful, #winning, #growthhacking</t>
  </si>
  <si>
    <t>Tagged non-reel item (Static Photo) at grid position #625.</t>
  </si>
  <si>
    <t>CR05056663579688697857</t>
  </si>
  <si>
    <t>Grid item #625. Discovered from Tagged page grid in sequential order.</t>
  </si>
  <si>
    <t>https://adstransparency.google.com/advertiser/AR05016556376214732801/creative/CR05174513634000240641?region=anywhere</t>
  </si>
  <si>
    <t>Discovered at visual grid position #353. Verified Ad Details URL. Format: Video Ad.</t>
  </si>
  <si>
    <t>#BrightonSEO 🚀</t>
  </si>
  <si>
    <t>#BrightonSEO</t>
  </si>
  <si>
    <t>Tagged non-reel item (Static Photo) at grid position #626.</t>
  </si>
  <si>
    <t>Grid item #626. Discovered from Tagged page grid in sequential order.</t>
  </si>
  <si>
    <t>CR05174513634000240641</t>
  </si>
  <si>
    <t>#AgradecimientoPleno ... realmente no consigo las palabras para poder expresar lo agradecida que estoy con todos los amigos cerca y lejos que nos han ayudado a difundir el evento de @canariasdigital  Realmente no saben el valor que tiene para mi tanto amor, solidaridad, generosidad.  Gracias por poner banners con enlace directo a la compra de entradas en la home de sus webs, blogs, envío de newsle</t>
  </si>
  <si>
    <t>#AgradecimientoPleno, #CD2016, #NanaActitud, #AmigosVerdaderos, #gracias, #canarias</t>
  </si>
  <si>
    <t>Tagged non-reel item (Static Photo) at grid position #627.</t>
  </si>
  <si>
    <t>Grid item #627. Discovered from Tagged page grid in sequential order.</t>
  </si>
  <si>
    <t>https://adstransparency.google.com/advertiser/AR05016556376214732801/creative/CR15474043671657054209?region=anywhere</t>
  </si>
  <si>
    <t>#Repost @jeffbullas with @repostapp ・・・ The 15 Best #Podcasts for New Product-Driven #Entrepreneurs http://bit.ly/2aWE46b #contentmarketing #marketing #entrepreneur #entrepreneurship  #marketing #digitalmarketing</t>
  </si>
  <si>
    <t>Discovered at visual grid position #354. Verified Ad Details URL. Format: Single Image Ad.</t>
  </si>
  <si>
    <t>#Repost, #Podcasts, #Entrepreneurs, #contentmarketing, #marketing, #entrepreneur, #entrepreneurship, #marketing, #digitalmarketing</t>
  </si>
  <si>
    <t>Tagged non-reel item (Static Photo) at grid position #628.</t>
  </si>
  <si>
    <t>Grid item #628. Discovered from Tagged page grid in sequential order.</t>
  </si>
  <si>
    <t>CR15474043671657054209</t>
  </si>
  <si>
    <t>https://adstransparency.google.com/advertiser/AR05016556376214732801/creative/CR03509118555780022273?region=anywhere</t>
  </si>
  <si>
    <t>Hoy celebro mi primer año en #semrush, ha sido un año lleno de nuevas experiencias y de gente maravillosa. ¡Gracias! Спасибо! 😍</t>
  </si>
  <si>
    <t>Tagged non-reel item (Static Photo) at grid position #629.</t>
  </si>
  <si>
    <t>Grid item #629. Discovered from Tagged page grid in sequential order.</t>
  </si>
  <si>
    <t>Mais brindes para nosso evento #semrush #WordCampBH #WordPress #belohorizonte</t>
  </si>
  <si>
    <t>#semrush, #WordCampBH, #WordPress, #belohorizonte</t>
  </si>
  <si>
    <t>Tagged non-reel item (Static Photo) at grid position #630.</t>
  </si>
  <si>
    <t>Discovered at visual grid position #355. Verified Ad Details URL. Format: Video Ad.</t>
  </si>
  <si>
    <t>Grid item #630. Discovered from Tagged page grid in sequential order.</t>
  </si>
  <si>
    <t>dinnerwithfriends, wmf16, instafood</t>
  </si>
  <si>
    <t>CR03509118555780022273</t>
  </si>
  <si>
    <t>https://adstransparency.google.com/advertiser/AR05016556376214732801/creative/CR06694124190615732225?region=anywhere</t>
  </si>
  <si>
    <t>E cena fu... #dinnerwithfriends #wmf16 #instafood #foodporn #rimini #grigliatadipesce #saturdayevening #happydinner #rivieraromagnola</t>
  </si>
  <si>
    <t>#dinnerwithfriends, #wmf16, #instafood, #foodporn, #rimini, #grigliatadipesce, #saturdayevening, #happydinner, #rivieraromagnola</t>
  </si>
  <si>
    <t>Tagged non-reel item (Static Photo) at grid position #631.</t>
  </si>
  <si>
    <t>Grid item #631. Discovered from Tagged page grid in sequential order.</t>
  </si>
  <si>
    <t>wmf16</t>
  </si>
  <si>
    <t>Bella gente al #wmf16</t>
  </si>
  <si>
    <t>#wmf16</t>
  </si>
  <si>
    <t>Tagged non-reel item (Static Photo) at grid position #632.</t>
  </si>
  <si>
    <t>Grid item #632. Discovered from Tagged page grid in sequential order.</t>
  </si>
  <si>
    <t>Content Marketing, Startup &amp; Growth</t>
  </si>
  <si>
    <t>CR06694124190615732225</t>
  </si>
  <si>
    <t>Display Banner: "Win Visibility in AI Search - Generative Engine Optimization for Modern Marketers"</t>
  </si>
  <si>
    <t>https://adstransparency.google.com/advertiser/AR05016556376214732801/creative/CR10600982573708476417?region=anywhere</t>
  </si>
  <si>
    <t>Live contest alle 13:50 con @semrush - uscite e cercate l'aereo fuori, fotografate e postate con #semrush poi venite allo stand e ritirate il PREMIO :) #socialmedia #startup #wmf16</t>
  </si>
  <si>
    <t>#semrush, #socialmedia, #startup, #wmf16</t>
  </si>
  <si>
    <t>Tagged non-reel item (Static Photo) at grid position #633.</t>
  </si>
  <si>
    <t>Grid item #633. Discovered from Tagged page grid in sequential order.</t>
  </si>
  <si>
    <t>wnsm16</t>
  </si>
  <si>
    <t>Discovered at visual grid position #356. Verified Ad Details URL. Format: Video Ad.</t>
  </si>
  <si>
    <t>El equipo de @semrushcom entrevistando a @kicoes para el #wnsm16</t>
  </si>
  <si>
    <t>#wnsm16</t>
  </si>
  <si>
    <t>Tagged non-reel item (Static Photo) at grid position #634.</t>
  </si>
  <si>
    <t>Grid item #634. Discovered from Tagged page grid in sequential order.</t>
  </si>
  <si>
    <t>CR10600982573708476417</t>
  </si>
  <si>
    <t>https://adstransparency.google.com/advertiser/AR05016556376214732801/creative/CR08203903189133557761?region=anywhere</t>
  </si>
  <si>
    <t>About to start the final presentations after the team work session at #wnsm16 #seo</t>
  </si>
  <si>
    <t>#wnsm16, #seo</t>
  </si>
  <si>
    <t>Tagged non-reel item (Static Photo) at grid position #635.</t>
  </si>
  <si>
    <t>Grid item #635. Discovered from Tagged page grid in sequential order.</t>
  </si>
  <si>
    <t>It’s award season at Semrush and the AI Visibility Awards are the Oscars of search!  We’re very excited to present the winners for 2025 and celebrate 12 brands that outperformed the competition and set the benchmark for AI search performance.   No submissions or opinions. Just real data that demonstrates who’s leading and who’s accelerating. 🏆  The AI Visibility Awards are powered by the AI Visibility Index, our benchmark for ChatGPT and Google AI Mode performance. Together, the Index and Awards offer clarity for who is actually winning in AI-driven discovery and why.  This red carpet is a real who’s who across 4 verticals: Digital Technology &amp; Software, Business &amp; Professional Services, Fashion &amp; Apparel, and Consumer Electronics:  Give it up for our Category Winners with the highest visibility overall: Microsoft  Google  Patagonia  Samsung Electronics   Next up, our Growth Engines. These brands saw the biggest rise in visibility: Anthropic  Intuit  UNIQLO  Logitech   Finally, our Challengers. The younger brands that were high-flyers: Freshworks  Rippling  Nuuly  Nothing   Congrats to all winners!   Check out the complete awards page for a sneak peek into their strategies (and tactics you can use in 2026). https://lnkd.in/eRM7FcQC</t>
  </si>
  <si>
    <t>AI Search &amp; GEO, Search Visibility, Competitive Intelligence, Growth Marketing</t>
  </si>
  <si>
    <t>A punto de salir para #saintpetesburg para el White Night Summit de @semrush_es Muchas ganas de descubrir lo que nos han preparado 😊</t>
  </si>
  <si>
    <t>#saintpetesburg</t>
  </si>
  <si>
    <t>Tagged non-reel item (Static Photo) at grid position #636.</t>
  </si>
  <si>
    <t>Grid item #636. Discovered from Tagged page grid in sequential order.</t>
  </si>
  <si>
    <t>CR08203903189133557761</t>
  </si>
  <si>
    <t>Ran from Dec 18, 2025 to Dec 31, 2025</t>
  </si>
  <si>
    <t>Discovered at visual grid position #357. Verified Ad Details URL. Format: Video Ad.</t>
  </si>
  <si>
    <t>Relatori di un certo livello!</t>
  </si>
  <si>
    <t>https://adstransparency.google.com/advertiser/AR05016556376214732801/creative/CR11804261710867464193?region=anywhere</t>
  </si>
  <si>
    <t>Tagged non-reel item (Static Photo) at grid position #637.</t>
  </si>
  <si>
    <t>Grid item #637. Discovered from Tagged page grid in sequential order.</t>
  </si>
  <si>
    <t>Preparados para el @seonthebeach con @semrush_es y @stream_factory 24/25 junio @fevertree_es @rivesgin</t>
  </si>
  <si>
    <t>Tagged non-reel item (Static Photo) at grid position #638.</t>
  </si>
  <si>
    <t>Grid item #638. Discovered from Tagged page grid in sequential order.</t>
  </si>
  <si>
    <t>theinbounder, valencia, semrush</t>
  </si>
  <si>
    <t>CR11804261710867464193</t>
  </si>
  <si>
    <t>Gracias #theinbounder #valencia! Bringing back to Italy new friends, new perspectives and a new set of #semrush glasses 😂</t>
  </si>
  <si>
    <t>https://adstransparency.google.com/advertiser/AR05016556376214732801/creative/CR11274059611767832577?region=anywhere</t>
  </si>
  <si>
    <t>#theinbounder, #valencia, #semrush</t>
  </si>
  <si>
    <t>Tagged non-reel item (Static Photo) at grid position #639.</t>
  </si>
  <si>
    <t>Grid item #639. Discovered from Tagged page grid in sequential order.</t>
  </si>
  <si>
    <t>Discovered at visual grid position #358. Verified Ad Details URL. Format: Single Image Ad.</t>
  </si>
  <si>
    <t>#cookies #cookyes #customcookies #lettering #semrush #Bologna #adworldexperience #abc</t>
  </si>
  <si>
    <t>#cookies, #cookyes, #customcookies, #lettering, #semrush, #Bologna, #adworldexperience, #abc</t>
  </si>
  <si>
    <t>Tagged non-reel item (Static Photo) at grid position #640.</t>
  </si>
  <si>
    <t>Grid item #640. Discovered from Tagged page grid in sequential order.</t>
  </si>
  <si>
    <t>CR11274059611767832577</t>
  </si>
  <si>
    <t>Grumpy Samo has a new friend 🐱😺 #semrushlive #inboundsamo #inbound #inboundmarketing #socialmedia #seo #inbound16 #smm #socialmediatips #semrush #semrushchat</t>
  </si>
  <si>
    <t>https://adstransparency.google.com/advertiser/AR05016556376214732801/creative/CR14478657719176790017?region=anywhere</t>
  </si>
  <si>
    <t>#semrushlive, #inboundsamo, #inbound, #inboundmarketing, #socialmedia, #seo, #inbound16, #smm, #socialmediatips, #semrush, #semrushchat</t>
  </si>
  <si>
    <t>Tagged non-reel item (Static Photo) at grid position #641.</t>
  </si>
  <si>
    <t>Grid item #641. Discovered from Tagged page grid in sequential order.</t>
  </si>
  <si>
    <t>semrushcontest, yeswecan, apple40years</t>
  </si>
  <si>
    <t>Discovered at visual grid position #359. Verified Ad Details URL. Format: Single Image Ad.</t>
  </si>
  <si>
    <t>My jewels Viola and Melissa with my Apple family devices (iPad and iPhone 6S) for the Semrush Contest #semrushcontest #yeswecan #apple40years</t>
  </si>
  <si>
    <t>#semrushcontest, #yeswecan, #apple40years</t>
  </si>
  <si>
    <t>Tagged non-reel item (Static Photo) at grid position #642.</t>
  </si>
  <si>
    <t>Grid item #642. Discovered from Tagged page grid in sequential order.</t>
  </si>
  <si>
    <t>CR14478657719176790017</t>
  </si>
  <si>
    <t>https://adstransparency.google.com/advertiser/AR05016556376214732801/creative/CR16754462070719643649?region=anywhere</t>
  </si>
  <si>
    <t>New episode out: SEMrush's Michael Stricker talks SEO keyword research, best practices for using SEMrush, and much more! 💣💣👓 See full transcriptions and more on our site: http://expresswriters.com/the-write-podcast Subscribe in iTunes: https://itunes.apple.com/us/podcast/the-write-podcast/id1082066558?mt=2  #marketing #storytelling #googlesearch#webtraffic #optimization #content #seo#seoproblems #</t>
  </si>
  <si>
    <t>#marketing, #storytelling, #googlesearch, #webtraffic, #optimization, #content, #seo, #seoproblems, #success, #entreprenuer, #marketer, #sales, #copywriting, #writing, #write, #contentmarketing, #podcast, #blogging, #inboundmarketing, #growthhacking, #branding, #startuplife, #entrepreneurs, #podcaster, #expresswriters</t>
  </si>
  <si>
    <t>Tagged non-reel item (Static Photo) at grid position #643.</t>
  </si>
  <si>
    <t>Grid item #643. Discovered from Tagged page grid in sequential order.</t>
  </si>
  <si>
    <t>We tagged few of our favorites and would love to know about yours. #tag them here #marketing #marketingtools #seo #sem #adwords #analytics #insights</t>
  </si>
  <si>
    <t>#tag, #marketing, #marketingtools, #seo, #sem, #adwords, #analytics, #insights</t>
  </si>
  <si>
    <t>Tagged non-reel item (Static Photo) at grid position #644.</t>
  </si>
  <si>
    <t>Grid item #644. Discovered from Tagged page grid in sequential order.</t>
  </si>
  <si>
    <t>Discovered at visual grid position #360. Verified Ad Details URL. Format: Single Image Ad.</t>
  </si>
  <si>
    <t>CR16754462070719643649</t>
  </si>
  <si>
    <t>https://adstransparency.google.com/advertiser/AR05016556376214732801/creative/CR03122711411994656769?region=anywhere</t>
  </si>
  <si>
    <t>We LOVE the amazing tool @semrushcom for finding, discovering and honing down relevant keywords to use in writing online content. Check out our guide on how to research keywords for your #SEO here:  https://expresswriters.com/foundations-researching-keywords-content-using-semrush/  #semrush #marketing #googlesearch #webtraffic #optimization #content #google #seoproblems #success #entreprenuer #sal</t>
  </si>
  <si>
    <t>#SEO, #semrush, #marketing, #googlesearch, #webtraffic, #optimization, #content, #google, #seoproblems, #success, #entreprenuer, #sales, #copywriting, #writing, #write, #contentmarketing, #blogger, #blogging, #inboundmarketing, #growthhacking, #branding, #startuplife, #entrepreneurs, #newblogpost, #expresswriters</t>
  </si>
  <si>
    <t>Tagged non-reel item (Static Photo) at grid position #645.</t>
  </si>
  <si>
    <t>Grid item #645. Discovered from Tagged page grid in sequential order.</t>
  </si>
  <si>
    <t>Win more clients with Semrush by your side</t>
  </si>
  <si>
    <t>Join the Semrush Partner Program and leverage AI, market-leading data, and automation to drive client growth and accelerate your agency’s revenue.</t>
  </si>
  <si>
    <t>eshowbcn16</t>
  </si>
  <si>
    <t>Gracias a todos por pasar a conocer el funcionamiento de @semrush_es y celebrarlo con nosotros el #eshowbcn16</t>
  </si>
  <si>
    <t>#eshowbcn16</t>
  </si>
  <si>
    <t>Tagged non-reel item (Static Photo) at grid position #646.</t>
  </si>
  <si>
    <t>Grid item #646. Discovered from Tagged page grid in sequential order.</t>
  </si>
  <si>
    <t>Gran jornada con @semrush_es en #eshowbcn16 ,Sí dan un premio al stand más completo el premio era para este stand</t>
  </si>
  <si>
    <t>Tagged non-reel item (Static Photo) at grid position #647.</t>
  </si>
  <si>
    <t>Grid item #647. Discovered from Tagged page grid in sequential order.</t>
  </si>
  <si>
    <t>CR03122711411994656769</t>
  </si>
  <si>
    <t>https://adstransparency.google.com/advertiser/AR05016556376214732801/creative/CR05794697290815897601?region=anywhere</t>
  </si>
  <si>
    <t>Ran from Nov 30, 2025 to Dec 12, 2025</t>
  </si>
  <si>
    <t>Discovered at visual grid position #361. Verified Ad Details URL. Format: Single Image Ad.</t>
  </si>
  <si>
    <t>A estas horas y todavía trabajando. El sueño me está ganando la partida. Mañana seguiré con más tareas pendientes. Buenas noches.</t>
  </si>
  <si>
    <t>Tagged non-reel item (Static Photo) at grid position #648.</t>
  </si>
  <si>
    <t>Grid item #648. Discovered from Tagged page grid in sequential order.</t>
  </si>
  <si>
    <t>tradeshows, HomelessEntrepreneur, semrush</t>
  </si>
  <si>
    <t>CR05794697290815897601</t>
  </si>
  <si>
    <t>Always looking for a way to spice up #tradeshows by having a lot of fun!' #HomelessEntrepreneur #semrush #eShowBCN16 #gintonic #hugeGintonic #oranges #lemons #lafira</t>
  </si>
  <si>
    <t>#tradeshows, #HomelessEntrepreneur, #semrush, #eShowBCN16, #gintonic, #hugeGintonic, #oranges, #lemons, #lafira</t>
  </si>
  <si>
    <t>Tagged non-reel item (Static Photo) at grid position #649.</t>
  </si>
  <si>
    <t>Grid item #649. Discovered from Tagged page grid in sequential order.</t>
  </si>
  <si>
    <t>https://adstransparency.google.com/advertiser/AR05016556376214732801/creative/CR06512804827590819841?region=anywhere</t>
  </si>
  <si>
    <t>Ran from Dec 7, 2025 to Dec 22, 2025</t>
  </si>
  <si>
    <t>Discovered at visual grid position #362. Verified Ad Details URL. Format: Single Image Ad.</t>
  </si>
  <si>
    <t>Seguire la #maratona di #SEMrush di #SMM ci aiuta a capire come migliorare le #strategie @gfiorelli</t>
  </si>
  <si>
    <t>#maratona, #SEMrush, #SMM, #strategie</t>
  </si>
  <si>
    <t>Tagged non-reel item (Static Photo) at grid position #650.</t>
  </si>
  <si>
    <t>Grid item #650. Discovered from Tagged page grid in sequential order.</t>
  </si>
  <si>
    <t>CR06512804827590819841</t>
  </si>
  <si>
    <t>Comenzamos anoche en #Barcelona junto con todo el equipo de @semrush_es en español la gira por #España :) ¿Quieres participar? #SEMrush  #rushdegira #seo #marketingdigital #inteligenciacompetitiva #Marketing #socialmedia</t>
  </si>
  <si>
    <t>#Barcelona, #España, #SEMrush, #rushdegira, #seo, #marketingdigital, #inteligenciacompetitiva, #Marketing, #socialmedia</t>
  </si>
  <si>
    <t>Tagged non-reel item (Static Photo) at grid position #651.</t>
  </si>
  <si>
    <t>Grid item #651. Discovered from Tagged page grid in sequential order.</t>
  </si>
  <si>
    <t>https://adstransparency.google.com/advertiser/AR05016556376214732801/creative/CR08220575083945525249?region=anywhere</t>
  </si>
  <si>
    <t>Ran from Dec 4, 2025 to Dec 22, 2025</t>
  </si>
  <si>
    <t>#SEOandLOVE [lui ha detto che preferisce così]. Quando c'è passione c'è [quasi] tutto ciò che serve! L'anno prossimo di nuovo a #verona? :-)</t>
  </si>
  <si>
    <t>#SEOandLOVE, #verona</t>
  </si>
  <si>
    <t>Tagged non-reel item (Static Photo) at grid position #652.</t>
  </si>
  <si>
    <t>Discovered at visual grid position #363. Verified Ad Details URL. Format: Single Image Ad.</t>
  </si>
  <si>
    <t>Grid item #652. Discovered from Tagged page grid in sequential order.</t>
  </si>
  <si>
    <t>CR08220575083945525249</t>
  </si>
  <si>
    <t>https://adstransparency.google.com/advertiser/AR05016556376214732801/creative/CR01210474049193377793?region=anywhere</t>
  </si>
  <si>
    <t>In alto i calici: @seoandlove si conclude degnamente con fiumi di spritz!  #seoandlove #igersverona #igersveneto #igersitalia #verona #veronesità #veronainlove #veneto #spritz #love #instalove</t>
  </si>
  <si>
    <t>#seoandlove, #igersverona, #igersveneto, #igersitalia, #verona, #veronesità, #veronainlove, #veneto, #spritz, #love, #instalove</t>
  </si>
  <si>
    <t>Tagged non-reel item (Static Photo) at grid position #653.</t>
  </si>
  <si>
    <t>Grid item #653. Discovered from Tagged page grid in sequential order.</t>
  </si>
  <si>
    <t>#SEOandLOVE #seotools #digitalmarketing  #searchmarketing #SEO #webmarketing  #love #webstagram</t>
  </si>
  <si>
    <t>#SEOandLOVE, #seotools, #digitalmarketing, #searchmarketing, #SEO, #webmarketing, #love, #webstagram</t>
  </si>
  <si>
    <t>Tagged non-reel item (Static Photo) at grid position #654.</t>
  </si>
  <si>
    <t>Grid item #654. Discovered from Tagged page grid in sequential order.</t>
  </si>
  <si>
    <t>Discovered at visual grid position #364. Verified Ad Details URL. Format: Single Image Ad.</t>
  </si>
  <si>
    <t>CR01210474049193377793</t>
  </si>
  <si>
    <t>https://adstransparency.google.com/advertiser/AR05016556376214732801/creative/CR17245047941236785153?region=anywhere</t>
  </si>
  <si>
    <t>Join me tomorrow at 12pm PST for a live webinar with @semrushcom on 'Authority Building: How to Establish Your Personal Brand with Social Media!' Bit.ly/SEMrushCynthiaLIVE to register</t>
  </si>
  <si>
    <t>Tagged non-reel item (Static Photo) at grid position #655.</t>
  </si>
  <si>
    <t>Grid item #655. Discovered from Tagged page grid in sequential order.</t>
  </si>
  <si>
    <t>Ran from Dec 7, 2025 to Dec 21, 2025</t>
  </si>
  <si>
    <t>Discovered at visual grid position #365. Verified Ad Details URL. Format: Single Image Ad.</t>
  </si>
  <si>
    <t>CR17245047941236785153</t>
  </si>
  <si>
    <t>Ring in the New Year with our #Expert Weigh-In: Content Marketing Predictions For 2016. We asked more than 19 experts for their predictions and insights! (Link in profile.) #2016 #newyear #marketing #googlesearch #webtraffic #optimization #content #seo #seoproblems #success #entreprenuer #sales #copywriting #writing #write  #contentmarketing #blogger #blogging #inboundmarketing #growthhacking #bra</t>
  </si>
  <si>
    <t>#Expert, #2016, #newyear, #marketing, #googlesearch, #webtraffic, #optimization, #content, #seo, #seoproblems, #success, #entreprenuer, #sales, #copywriting, #writing, #write, #contentmarketing, #blogger, #blogging, #inboundmarketing, #growthhacking, #branding, #startuplife, #entrepreneurs, #newblogpost, #amwriting, #amediting, #blogging, #copywriting, #copyediting, #expresswriters</t>
  </si>
  <si>
    <t>Tagged non-reel item (Static Photo) at grid position #656.</t>
  </si>
  <si>
    <t>Grid item #656. Discovered from Tagged page grid in sequential order.</t>
  </si>
  <si>
    <t>https://adstransparency.google.com/advertiser/AR05016556376214732801/creative/CR01627746133637857281?region=anywhere</t>
  </si>
  <si>
    <t>Presente de Final de Ano que recebemos do pessoal da @semrushcom #😍</t>
  </si>
  <si>
    <t>Tagged non-reel item (Static Photo) at grid position #657.</t>
  </si>
  <si>
    <t>Grid item #657. Discovered from Tagged page grid in sequential order.</t>
  </si>
  <si>
    <t>Discovered at visual grid position #366. Verified Ad Details URL. Format: Single Image Ad.</t>
  </si>
  <si>
    <t>CR01627746133637857281</t>
  </si>
  <si>
    <t>https://adstransparency.google.com/advertiser/AR05016556376214732801/creative/CR11124414155082170369?region=anywhere</t>
  </si>
  <si>
    <t>Delighted to receive this gift from our friends at @semrushcom yesterday! Our office was quite delighted. We'll do more sharing tonight.  #holidays #gifts #semrush #chocolate #mmm #marketing #googlesearch #webtraffic #optimization #content #seo #seoproblems #success #entreprenuer #sales #copywriting #writing #contentmarketing #blogging #inboundmarketing #growthhacking #branding #brandidentity #sta</t>
  </si>
  <si>
    <t>#holidays, #gifts, #semrush, #chocolate, #mmm, #marketing, #googlesearch, #webtraffic, #optimization, #content, #seo, #seoproblems, #success, #entreprenuer, #sales, #copywriting, #writing, #contentmarketing, #blogging, #inboundmarketing, #growthhacking, #branding, #brandidentity, #startuplife, #entrepreneurs, #branding101, #workfromhome, #expresswriters, #writer</t>
  </si>
  <si>
    <t>Tagged non-reel item (Static Photo) at grid position #658.</t>
  </si>
  <si>
    <t>Grid item #658. Discovered from Tagged page grid in sequential order.</t>
  </si>
  <si>
    <t>TwitterSmarter, twitter, TwitterTip</t>
  </si>
  <si>
    <t>Join me tomorrow on Thursday, December 3rd at 1pm ET/10am PT for the #TwitterSmarter Twitter chat. It's the place to connect + learn + share Twitter tips. My guest will be Tara Clapper (Twitter handle is @taramclapper), Blog Editor at @semrushcom. The topic will be Personal Branding on Twitter. I recommend using TweetChat.com to participate in the chat. #twitter #TwitterTip #TwitterChat #TwitterHe</t>
  </si>
  <si>
    <t>CR11124414155082170369</t>
  </si>
  <si>
    <t>#TwitterSmarter, #twitter, #TwitterTip, #TwitterChat, #TwitterHelp, #TwitterTips, #semrush</t>
  </si>
  <si>
    <t>Tagged non-reel item (Static Photo) at grid position #659.</t>
  </si>
  <si>
    <t>Grid item #659. Discovered from Tagged page grid in sequential order.</t>
  </si>
  <si>
    <t>https://adstransparency.google.com/advertiser/AR05016556376214732801/creative/CR13871067593667772417?region=anywhere</t>
  </si>
  <si>
    <t>Discovered at visual grid position #367. Verified Ad Details URL. Format: Single Image Ad.</t>
  </si>
  <si>
    <t>Blogging tips for branding and lead generation</t>
  </si>
  <si>
    <t>Tagged non-reel item (Static Photo) at grid position #660.</t>
  </si>
  <si>
    <t>Grid item #660. Discovered from Tagged page grid in sequential order.</t>
  </si>
  <si>
    <t>CR13871067593667772417</t>
  </si>
  <si>
    <t>https://adstransparency.google.com/advertiser/AR05016556376214732801/creative/CR01235201790824153089?region=anywhere</t>
  </si>
  <si>
    <t>Owned, Earned, and Paid Media  #paidmedia #earnedmedia #digitalmedia﻿ #marketing #digitalmarketing</t>
  </si>
  <si>
    <t>#paidmedia, #earnedmedia, #digitalmedia, #marketing, #digitalmarketing</t>
  </si>
  <si>
    <t>Tagged non-reel item (Static Photo) at grid position #661.</t>
  </si>
  <si>
    <t>Ran from Dec 5, 2025 to Dec 22, 2025</t>
  </si>
  <si>
    <t>Grid item #661. Discovered from Tagged page grid in sequential order.</t>
  </si>
  <si>
    <t>Discovered at visual grid position #368. Verified Ad Details URL. Format: Single Image Ad.</t>
  </si>
  <si>
    <t>CR01235201790824153089</t>
  </si>
  <si>
    <t>WriterAccess will be a sponsor at @adtech_ this year!  Come meet us at Booth 1020 (across from our friends at @moo.) We will be holding a special Happy Hour for our clients on Wednesday at 6:30pm. Contact your Account Manager for details!  #adtech #adtechny #technology #marketing #nyc</t>
  </si>
  <si>
    <t>https://adstransparency.google.com/advertiser/AR05016556376214732801/creative/CR18322534152085176321?region=anywhere</t>
  </si>
  <si>
    <t>#adtech, #adtechny, #technology, #marketing, #nyc</t>
  </si>
  <si>
    <t>Tagged non-reel item (Static Photo) at grid position #662.</t>
  </si>
  <si>
    <t>Grid item #662. Discovered from Tagged page grid in sequential order.</t>
  </si>
  <si>
    <t>With @OlgaSEMRush from @semrushcom &amp; @karizmatic_k at @adtech_london  #socialmediamarketing #socialmedia #socialmediatips #internetmarketing #digital #tech #technology #online #digitalmarketing #digital  #marketing #advertising #seo #googlesearch #webtraffic #contentmarketing #selfpromo #engage #branding #brandawareness  #brand #targetaudience #shoutout #relationship #me #entrepreneur #entrepreneu</t>
  </si>
  <si>
    <t>#socialmediamarketing, #socialmedia, #socialmediatips, #internetmarketing, #digital, #tech, #technology, #online, #digitalmarketing, #digital, #marketing, #advertising, #seo, #googlesearch, #webtraffic, #contentmarketing, #selfpromo, #engage, #branding, #brandawareness, #brand, #targetaudience, #shoutout, #relationship, #me, #entrepreneur, #entrepreneurship, #leadership, #businessowners, #businessman</t>
  </si>
  <si>
    <t>CR18322534152085176321</t>
  </si>
  <si>
    <t>Tagged non-reel item (Static Photo) at grid position #663.</t>
  </si>
  <si>
    <t>Discovered at visual grid position #369. Verified Ad Details URL. Format: Single Image Ad.</t>
  </si>
  <si>
    <t>Grid item #663. Discovered from Tagged page grid in sequential order.</t>
  </si>
  <si>
    <t>https://adstransparency.google.com/advertiser/AR05016556376214732801/creative/CR08382349528275091457?region=anywhere</t>
  </si>
  <si>
    <t>Such a fantastic weekend!  A lot of good info and getting to meet my #seo industry heroes. So much fun!</t>
  </si>
  <si>
    <t>Tagged non-reel item (Static Photo) at grid position #664.</t>
  </si>
  <si>
    <t>Grid item #664. Discovered from Tagged page grid in sequential order.</t>
  </si>
  <si>
    <t>CR08382349528275091457</t>
  </si>
  <si>
    <t>https://adstransparency.google.com/advertiser/AR05016556376214732801/creative/CR01644336939467276289?region=anywhere</t>
  </si>
  <si>
    <t>Un ultimo saluto ai ragazzi di #wmexpo e a quelli di Semrush, cui si deve questo aperitivo. Ph. @lorenzolofoto</t>
  </si>
  <si>
    <t>#wmexpo</t>
  </si>
  <si>
    <t>Tagged non-reel item (Static Photo) at grid position #665.</t>
  </si>
  <si>
    <t>Grid item #665. Discovered from Tagged page grid in sequential order.</t>
  </si>
  <si>
    <t>Discovered at visual grid position #370. Verified Ad Details URL. Format: Single Image Ad.</t>
  </si>
  <si>
    <t>CR01644336939467276289</t>
  </si>
  <si>
    <t>https://adstransparency.google.com/advertiser/AR05016556376214732801/creative/CR16078756375236182017?region=anywhere</t>
  </si>
  <si>
    <t>Today on the #expresswriters #blog is our #Interview With The @semrushcom #Team: #Talking #SEO &amp; #Online #Marketing - #read about it here: https://expresswriters.com/qa-interview-with-the-semrush-team-talking-seo-online-marketing/ #content</t>
  </si>
  <si>
    <t>#expresswriters, #blog, #Interview, #Team, #Talking, #SEO, #Online, #Marketing, #read, #content</t>
  </si>
  <si>
    <t>Tagged non-reel item (Static Photo) at grid position #666.</t>
  </si>
  <si>
    <t>Grid item #666. Discovered from Tagged page grid in sequential order.</t>
  </si>
  <si>
    <t>There are at least two ways of reaching the target. Remember the plan B if your Plan A doesn't work A/B testing #SEO #marketing #strategies #tactics</t>
  </si>
  <si>
    <t>CR16078756375236182017</t>
  </si>
  <si>
    <t>#SEO, #marketing, #strategies, #tactics</t>
  </si>
  <si>
    <t>Tagged non-reel item (Static Photo) at grid position #667.</t>
  </si>
  <si>
    <t>Grid item #667. Discovered from Tagged page grid in sequential order.</t>
  </si>
  <si>
    <t>https://adstransparency.google.com/advertiser/AR05016556376214732801/creative/CR03495671253694414849?region=anywhere</t>
  </si>
  <si>
    <t>roburritos, rankpoplife</t>
  </si>
  <si>
    <t>@semrushcom, @rankpoplife, and @prospectmx crews hangin at #roburritos today for lunch. #rankpoplife @roburritos</t>
  </si>
  <si>
    <t>#roburritos, #rankpoplife</t>
  </si>
  <si>
    <t>Tagged non-reel item (Static Photo) at grid position #668.</t>
  </si>
  <si>
    <t>Grid item #668. Discovered from Tagged page grid in sequential order.</t>
  </si>
  <si>
    <t>AccuRanker (@accuranker)</t>
  </si>
  <si>
    <t>CR03495671253694414849</t>
  </si>
  <si>
    <t>https://adstransparency.google.com/advertiser/AR05016556376214732801/creative/CR11383791971731505153?region=anywhere</t>
  </si>
  <si>
    <t>Discovered at grid #1 from Tagged page grid in sequential order.</t>
  </si>
  <si>
    <t>Discovered at visual grid position #371. Verified Ad Details URL. Format: Single Image Ad.</t>
  </si>
  <si>
    <t>CR11383791971731505153</t>
  </si>
  <si>
    <t>https://adstransparency.google.com/advertiser/AR05016556376214732801/creative/CR02188495964291989505?region=anywhere</t>
  </si>
  <si>
    <t>Hvad gør man når AI overtager kunderejsen? Det fik deltagerne svar på i både København og Aarhus i de to forgangne uger. 💡  Spændende indsigter fra vores globale analyse af brugernes AI-adfærd i de nordiske markeder og anbefalinger fra ekspertpanelet om, hvad de hver især gør, for at navigere i den nye virkelighed. 🤖📱  Tak til alle der deltog. 🙏🏻</t>
  </si>
  <si>
    <t>Tagged non-reel item (Photo Carousel) at grid position #2.</t>
  </si>
  <si>
    <t>Discovered at grid #2 from Tagged page grid in sequential order.</t>
  </si>
  <si>
    <t>SEO &amp; Rank Tracking, AI Search &amp; GEO, Digital Marketing</t>
  </si>
  <si>
    <t>Discovered at visual grid position #372. Verified Ad Details URL. Format: Single Image Ad.</t>
  </si>
  <si>
    <t>Real Tools. Real Business. Real Results.  At The Masterminders 2025, we asked: “What tools are ACTUALLY moving the needle in your business?”  Surprisingly, they said  ❌ No familiar Ahrefs ❌ No Semrush ❌ No Google Search Console  Only tools they use daily to drive real revenue. These aren’t affiliate links.  They’re the tools that founders, marketers &amp; agency owners are scaling with right now.  Dro</t>
  </si>
  <si>
    <t>#themasterminders, #seo, #conference</t>
  </si>
  <si>
    <t>CR02188495964291989505</t>
  </si>
  <si>
    <t>Tagged non-reel item (Photo Carousel) at grid position #3.</t>
  </si>
  <si>
    <t>Discovered at grid #3 from Tagged page grid in sequential order.</t>
  </si>
  <si>
    <t>SEO &amp; Rank Tracking, AI Search &amp; GEO, Keyword Research</t>
  </si>
  <si>
    <t>https://adstransparency.google.com/advertiser/AR05016556376214732801/creative/CR05376424375912235009?region=anywhere</t>
  </si>
  <si>
    <t>@everyone @followers   AccuRanker is the world’s fastest, most accurate keyword rank tracking tool. #AccuRanker provides their 32,000 customers with in-depth SEO analytics and a powerful infrastructure to help them increase their organic traffic.  Learn more about AccuRanker SEO services and sign up for your free 14-day trial 👉https://accuranker.sjv.io/3ekrNd 👈  *We are an affiliate partner of Acc</t>
  </si>
  <si>
    <t>#AccuRanker, #keywordrankingtool, #SEO, #analytics, #trackingtool, #smallbusiness, #smallbusinesssolutions, #digitalmarketing, #marketingstrategy, #shinedelight, #shinedelightenterprises</t>
  </si>
  <si>
    <t>Tagged non-reel item (Static Photo) at grid position #4.</t>
  </si>
  <si>
    <t>Discovered at grid #4 from Tagged page grid in sequential order.</t>
  </si>
  <si>
    <t>CR05376424375912235009</t>
  </si>
  <si>
    <t>SEO &amp; Rank Tracking</t>
  </si>
  <si>
    <t>Discovered at visual grid position #373. Verified Ad Details URL. Format: Single Image Ad.</t>
  </si>
  <si>
    <t>https://adstransparency.google.com/advertiser/AR05016556376214732801/creative/CR10615003545985875969?region=anywhere</t>
  </si>
  <si>
    <t>List of the 9 best SEO competitor rank tracking tools for 2023 to help you stay on top of your competitors’ SEO performance &amp; improve your own website’s SEO. Read More t.ly/d6UXw   #SEOExperts #SEO #SEOTools  @ahrefs @semrush @SEOmozPRO @SERanking @spyfu @brightedge</t>
  </si>
  <si>
    <t>#SEOExperts, #SEO, #SEOTools</t>
  </si>
  <si>
    <t>Tagged non-reel item (Photo Carousel) at grid position #5.</t>
  </si>
  <si>
    <t>Discovered at grid #5 from Tagged page grid in sequential order.</t>
  </si>
  <si>
    <t>SEO &amp; Rank Tracking, Video Marketing</t>
  </si>
  <si>
    <t>CR10615003545985875969</t>
  </si>
  <si>
    <t>WOW for en løsning! Vi er ret vilde med den her indretning hos @accuranker i Aarhus - hvad synes I? 😍♻️  AccuRanker er nogen af verdens bedste, til det de gør. Derfor er de også meget stolte af deres navn og logo – og vil gerne vise det frem. Det hjalp vi med på en kreativ og grøn måde med en plantevæg og mosvæg med logo. ☘️  Vores Design- og Indretningskonsulent i Aarhus Gitte Frydensberg foreslo</t>
  </si>
  <si>
    <t>Display Banner: "Black Friday Sale - Up to 40% Off Annual Peec AI Plans"</t>
  </si>
  <si>
    <t>#newyorker, #mosvæg, #mos, #moss, #mosswall, #mosswalls, #greenmood, #greenwalls, #greeninspiration, #greenwall, #green, #interiordesign, #interior, #interiør, #plantevæg, #plantevægge, #planter, #planteservice, #naturalgreenwalls, #greenarchitecture, #greenarchitecturenow, #greenery, #plantwalldesign, #plantwall, #plantgoals, #biophilia, #verticalgarden, #indretning</t>
  </si>
  <si>
    <t>https://adstransparency.google.com/advertiser/AR05016556376214732801/creative/CR17030973027308797953?region=anywhere</t>
  </si>
  <si>
    <t>Discovered at grid #6 from Tagged page grid in sequential order.</t>
  </si>
  <si>
    <t>SEO &amp; Rank Tracking, Content Marketing, Digital Marketing</t>
  </si>
  <si>
    <t>Discovered at visual grid position #374. Verified Ad Details URL. Format: Single Image Ad.</t>
  </si>
  <si>
    <t>6 Best SEO Affiliate programs that are Best 💯  @affiliatecage   #contentcreator #affiliatemarketingtips #seo #digitalmarketing #digital #affiliated #affiliateprograms #like4likes #likeforlikes #likes #likeforlikeback #boost #semrush #surferseo #accuranker #rankmath #serpstat #nitropack #boost #affiliatemarketer #blogging #blogger #wordpressdeveloper #wordpress #likeforlikes❤</t>
  </si>
  <si>
    <t>#contentcreator, #affiliatemarketingtips, #seo, #digitalmarketing, #digital, #affiliated, #affiliateprograms, #like4likes, #likeforlikes, #likes, #likeforlikeback, #boost, #semrush, #surferseo, #accuranker, #rankmath, #serpstat, #nitropack, #boost, #affiliatemarketer, #blogging, #blogger, #wordpressdeveloper, #wordpress, #likeforlikes</t>
  </si>
  <si>
    <t>CR17030973027308797953</t>
  </si>
  <si>
    <t>Tagged non-reel item (Photo Carousel) at grid position #7.</t>
  </si>
  <si>
    <t>Discovered at grid #7 from Tagged page grid in sequential order.</t>
  </si>
  <si>
    <t>https://adstransparency.google.com/advertiser/AR05016556376214732801/creative/CR02867715149182009345?region=anywhere</t>
  </si>
  <si>
    <t>SEO &amp; Rank Tracking, Keyword Research</t>
  </si>
  <si>
    <t>One of the essential elements of SEO is picking the right keyword via Keyword research, making your pages rank for them.  It is also necessary for a blogger or SEO professional to check their Google keyword ranking for target keywords. These are the best keyword rank tracking tools that you can use to track your website ranking for your target keywords. . . . #seo #kewordresearch #blogging #blogge</t>
  </si>
  <si>
    <t>#seo, #kewordresearch, #blogging, #bloggers, #bloggingtips, #bloggerlife, #bloggerslife, #blog, #googlesearch, #semrush, #accuranker, #serpwatcher, #seranking, #ahrefs, #rankwatch</t>
  </si>
  <si>
    <t>Discovered at grid #8 from Tagged page grid in sequential order.</t>
  </si>
  <si>
    <t>CR02867715149182009345</t>
  </si>
  <si>
    <t>https://adstransparency.google.com/advertiser/AR05016556376214732801/creative/CR03853724191622692865?region=anywhere</t>
  </si>
  <si>
    <t>Discovered at visual grid position #375. Verified Ad Details URL. Format: Single Image Ad.</t>
  </si>
  <si>
    <t>5 ways to monitor competitor</t>
  </si>
  <si>
    <t>Tagged non-reel item (Photo Carousel) at grid position #9.</t>
  </si>
  <si>
    <t>Discovered at grid #9 from Tagged page grid in sequential order.</t>
  </si>
  <si>
    <t>CR03853724191622692865</t>
  </si>
  <si>
    <t>Do you want to keep track of your ranking articles on Google searches? These are the best ranking tracking software you can consider trying.  . . . #seo #blogging #bloggers #bloggerlife #blog #bloggerlife #ranktracker #wordpress #semrush #ahrefs #accuranker #shoutmeloud #bloggingtips</t>
  </si>
  <si>
    <t>#seo, #blogging, #bloggers, #bloggerlife, #blog, #bloggerlife, #ranktracker, #wordpress, #semrush, #ahrefs, #accuranker, #shoutmeloud, #bloggingtips</t>
  </si>
  <si>
    <t>https://adstransparency.google.com/advertiser/AR05016556376214732801/creative/CR03498663299711500289?region=anywhere</t>
  </si>
  <si>
    <t>Discovered at grid #10 from Tagged page grid in sequential order.</t>
  </si>
  <si>
    <t>Discovered at visual grid position #376. Verified Ad Details URL. Format: Single Image Ad.</t>
  </si>
  <si>
    <t>Check our new blog 'Best SERP Tracking Tools' https://myinfoadda.com/serp-tracking-tools/  #bestserptool #bestwebsitetrackingtool #onlinetrackingtool #serprankingtool #myinfoadda</t>
  </si>
  <si>
    <t>#bestserptool, #bestwebsitetrackingtool, #onlinetrackingtool, #serprankingtool, #myinfoadda</t>
  </si>
  <si>
    <t>CR03498663299711500289</t>
  </si>
  <si>
    <t>Discovered at grid #11 from Tagged page grid in sequential order.</t>
  </si>
  <si>
    <t>SEO &amp; Rank Tracking, Keyword Research, Digital Marketing</t>
  </si>
  <si>
    <t>https://adstransparency.google.com/advertiser/AR05016556376214732801/creative/CR12046895614693212161?region=anywhere</t>
  </si>
  <si>
    <t>Discovered at grid #12. Verified video reel. Direct link confirmed.</t>
  </si>
  <si>
    <t>CR12046895614693212161</t>
  </si>
  <si>
    <t>SEO &amp; Rank Tracking, Digital Marketing</t>
  </si>
  <si>
    <t>https://adstransparency.google.com/advertiser/AR05016556376214732801/creative/CR02803259578538524673?region=anywhere</t>
  </si>
  <si>
    <t>🔵 معرفی برترین استارتاپ های کشور دانمارک  1. Iconfinder  2. Influencer marketing hub 3. Acuuranker 4. Sleeknote 5. Templafy   بررسی کامل این استارتاپ ها در شماره 31 ماهنامه پیشران انجام شده است.   🔴 www.pishran.xyz  ✅ با ما سهم خود را از آینده بیشتر کنید  #آینده_پژوهی #پیشران #استارتاپ #کارآفرین #موفقیت #پیشرفت #هدف #کسب_وکار #رشد_فردی #انگیزش #فناوری #نوآوری #تکنولوژی #استارتاپ</t>
  </si>
  <si>
    <t>#آینده_پژوهی, #پیشران, #استارتاپ, #کارآفرین, #موفقیت, #پیشرفت, #هدف, #کسب_وکار, #رشد_فردی, #انگیزش, #فناوری, #نوآوری, #تکنولوژی, #استارتاپ</t>
  </si>
  <si>
    <t>Tagged non-reel item (Photo Carousel) at grid position #13.</t>
  </si>
  <si>
    <t>Discovered at grid #13 from Tagged page grid in sequential order.</t>
  </si>
  <si>
    <t>Discovered at visual grid position #377. Verified Ad Details URL. Format: Single Image Ad.</t>
  </si>
  <si>
    <t>CR02803259578538524673</t>
  </si>
  <si>
    <t>https://adstransparency.google.com/advertiser/AR05016556376214732801/creative/CR02232677640030912513?region=anywhere</t>
  </si>
  <si>
    <t>SEO Tactics to Implement Tonight ⠀ with the amazing @lukaszzelezny - https://youtu.be/GxjcgEfrH1M ⠀ This conference is organised by @clickconsult ⠀ ⠀ ⠀⠀ ⠀ #contentmarketing #seo #digitalmarketing #digitalinfluencer #BenchmarkConf #seotip #keywordresearch #seospecialist #seoexperts #contentmarketing #seo2019 #business #marketing #internetmarketing #successminded #successquotes #successtips #b2bmark</t>
  </si>
  <si>
    <t>#contentmarketing, #seo, #digitalmarketing, #digitalinfluencer, #BenchmarkConf, #seotip, #keywordresearch, #seospecialist, #seoexperts, #contentmarketing, #seo2019, #business, #marketing, #internetmarketing, #successminded, #successquotes, #successtips, #b2bmarketers, #maincontent, #branding, #blogging, #entrepreneur, #website, #startup, #marketing, #sales, #digitalodyssey, #socialmedia, #marketingstrategy, #marketingtips</t>
  </si>
  <si>
    <t>Discovered at grid #14. Verified video reel. Direct link confirmed.</t>
  </si>
  <si>
    <t>CR02232677640030912513</t>
  </si>
  <si>
    <t>Discovered at visual grid position #378. Verified Ad Details URL. Format: Single Image Ad.</t>
  </si>
  <si>
    <t>https://adstransparency.google.com/advertiser/AR05016556376214732801/creative/CR12036096211485196289?region=anywhere</t>
  </si>
  <si>
    <t>Our team went shooting today! 🎯 🔫 turns out to be a damn good idea, we had so much fun!!! 😃 . . . And you, what are you doing for #teambuilding? Let me know in the comments!😉 . . . #AccuRanker #AccuRankerTeam #fun #teambuilding2019 #bestteamever #shooting #officelife #ilovemyjob #ilovewhatido #lovelife #livelive #enjoythemoment #workcanbefuntoo #funatwork #instaphoto #instagood #polishgirl #happyg</t>
  </si>
  <si>
    <t>#teambuilding, #AccuRanker, #AccuRankerTeam, #fun, #teambuilding2019, #bestteamever, #shooting, #officelife, #ilovemyjob, #ilovewhatido, #lovelife, #livelive, #enjoythemoment, #workcanbefuntoo, #funatwork, #instaphoto, #instagood, #polishgirl, #happygirl, #girlsandguns, #realgunshooting, #realgun, #funtime</t>
  </si>
  <si>
    <t>Tagged non-reel item (Photo Carousel) at grid position #15.</t>
  </si>
  <si>
    <t>Discovered at grid #15 from Tagged page grid in sequential order.</t>
  </si>
  <si>
    <t>I'm so excited! And I just can't hide it😃 . . . #happiness #happinessisthekeytolife #excitement #brunette #polishgirl #happygirlsareprettygirls #Ilovemyjob #lovelife #happytravels #businesstrip #GoogleGrump🐯 #BrightonSEO #SEO #SM #socialmedia #digitalmarketing #brightonseoconference #brightonseoconference2019 #throwback #ilovewhatido #photographer #photolover #dji  #photographyismypassion📷 #succes</t>
  </si>
  <si>
    <t>#happiness, #happinessisthekeytolife, #excitement, #brunette, #polishgirl, #happygirlsareprettygirls, #Ilovemyjob, #lovelife, #happytravels, #businesstrip, #GoogleGrump, #BrightonSEO, #SEO, #SM, #socialmedia, #digitalmarketing, #brightonseoconference, #brightonseoconference2019, #throwback, #ilovewhatido, #photographer, #photolover, #dji, #photographyismypassion, #successstory, #instagood, #funtime, #conference, #digitalolympus, #sweetsfromrussia</t>
  </si>
  <si>
    <t>Discovered at grid #16 from Tagged page grid in sequential order.</t>
  </si>
  <si>
    <t>CR12036096211485196289</t>
  </si>
  <si>
    <t>SEO &amp; Rank Tracking, Digital Marketing, Video Marketing</t>
  </si>
  <si>
    <t>https://adstransparency.google.com/advertiser/AR05016556376214732801/creative/CR10405615025493377025?region=anywhere</t>
  </si>
  <si>
    <t>Discovered at visual grid position #379. Verified Ad Details URL. Format: Single Image Ad.</t>
  </si>
  <si>
    <t>Discovered at grid #17 from Tagged page grid in sequential order.</t>
  </si>
  <si>
    <t>CR10405615025493377025</t>
  </si>
  <si>
    <t>Cheers🍷 . . . 📸 credits to @ievany 💕 who captured me in action🙆‍♀️ thank youuu! . . . #photolover #AccuRanker #sunsetdenmark #sunsetlover #AccuRankerOffice #theviewfromthetop #wine #glassofwine🍷 #cheers #success #CompanyBirthday #aarhus #mylittlebigcity #denmark🇩🇰 #danishphotography #danishlife #hygge #DanishCompany #hyggelife #nordiclife #tbt #polishgirl #ilovemyjob #smm #photography #ilovewhatid</t>
  </si>
  <si>
    <t>https://adstransparency.google.com/advertiser/AR05016556376214732801/creative/CR17748454941967515649?region=anywhere</t>
  </si>
  <si>
    <t>#photolover, #AccuRanker, #sunsetdenmark, #sunsetlover, #AccuRankerOffice, #theviewfromthetop, #wine, #glassofwine, #cheers, #success, #CompanyBirthday, #aarhus, #mylittlebigcity, #denmark, #danishphotography, #danishlife, #hygge, #DanishCompany, #hyggelife, #nordiclife, #tbt, #polishgirl, #ilovemyjob, #smm, #photography, #ilovewhatido</t>
  </si>
  <si>
    <t>Tagged non-reel item (Photo Carousel) at grid position #18.</t>
  </si>
  <si>
    <t>Discovered at grid #18 from Tagged page grid in sequential order.</t>
  </si>
  <si>
    <t>Discovered at visual grid position #380. Verified Ad Details URL. Format: Single Image Ad.</t>
  </si>
  <si>
    <t>I love taking the iniciative of the creative part of my job! 😍 . . . AccuRanker turned 6 years this year and we had an amazing party in our beautiful, modern office in the heart of Aarhus spending time together, knowing each other better and having fun! 🎉🎊We invited partners, customers, our friends and family members who wanted to celebrate this special day with us! . . . Company growth is incredi</t>
  </si>
  <si>
    <t>#AccuRankerTeam, #food, #birthdaycake, #ilovewhatido, #Ilovemyjob, #photographer, #socialmediamanager, #videography, #makingmovie, #AccuRanker, #teamgoals, #CompanyBirthday, #party, #foodporn, #photomood, #photolover, #passion, #photographyismypassion, #GoogleGrump, #partytime, #birthdays, #danishphotography, #DanishCompany, #nordicliving, #danishhygge, #hygge, #danishlife, #companygoals, #successstory</t>
  </si>
  <si>
    <t>Tagged non-reel item (Photo Carousel) at grid position #19.</t>
  </si>
  <si>
    <t>Discovered at grid #19 from Tagged page grid in sequential order.</t>
  </si>
  <si>
    <t>CR17748454941967515649</t>
  </si>
  <si>
    <t>https://adstransparency.google.com/advertiser/AR05016556376214732801/creative/CR03555360716309397505?region=anywhere</t>
  </si>
  <si>
    <t>Thanks to all our partners for helping us to make #digitalolympusevent real!</t>
  </si>
  <si>
    <t>#digitalolympusevent</t>
  </si>
  <si>
    <t>Tagged non-reel item (Static Photo) at grid position #20.</t>
  </si>
  <si>
    <t>Discovered at grid #20 from Tagged page grid in sequential order.</t>
  </si>
  <si>
    <t>Discovered at visual grid position #381. Verified Ad Details URL. Format: Single Image Ad.</t>
  </si>
  <si>
    <t>CR03555360716309397505</t>
  </si>
  <si>
    <t>Thanks for the SEO goodies @nickfettiplace 🤗🙌🏻 @accuranker @brightedge_  #seo #digitalmarketing</t>
  </si>
  <si>
    <t>#seo, #digitalmarketing</t>
  </si>
  <si>
    <t>Discovered at grid #21 from Tagged page grid in sequential order.</t>
  </si>
  <si>
    <t>https://adstransparency.google.com/advertiser/AR05016556376214732801/creative/CR05095092610591096833?region=anywhere</t>
  </si>
  <si>
    <t>SEO &amp; Rank Tracking, Keyword Research, Content Marketing</t>
  </si>
  <si>
    <t>Discovered at visual grid position #382. Verified Ad Details URL. Format: Single Image Ad.</t>
  </si>
  <si>
    <t>Only a few days to go now to #brightonSEO 💥  Come and see us at Stand B3- great giveaways, awesome team and the Conference's BEST competition! . . . #AccuRanker #seotools #SEO #brightonSEO #brightonevents #digitalmarketing #keywords #KeywordRankTracker #article #expertsonly #news #SEM #seonews #event #socialmedia #giveaways #awesometeam #best #competition #meetus #seomarketing #seotool #seoprofess</t>
  </si>
  <si>
    <t>#brightonSEO, #AccuRanker, #seotools, #SEO, #brightonSEO, #brightonevents, #digitalmarketing, #keywords, #KeywordRankTracker, #article, #expertsonly, #news, #SEM, #seonews, #event, #socialmedia, #giveaways, #awesometeam, #best, #competition, #meetus, #seomarketing, #seotool, #seoprofessionals, #marketingdigital, #searchengineoptimization</t>
  </si>
  <si>
    <t>CR05095092610591096833</t>
  </si>
  <si>
    <t>Discovered at grid #22 from Tagged page grid in sequential order.</t>
  </si>
  <si>
    <t>OtterlyAI (@otterlyai)</t>
  </si>
  <si>
    <t>https://adstransparency.google.com/advertiser/AR05016556376214732801/creative/CR18237095501537214465?region=anywhere</t>
  </si>
  <si>
    <t>SEO &amp; Rank Tracking, AI Search &amp; GEO</t>
  </si>
  <si>
    <t>Schema markup works great for Google. ChatGPT never even looked at it.  @tompeham 's team ran a real test: they added unique attributes to schema markup and tracked what happened across platforms. Google organic visibility went up. Google AI Overviews went up. ChatGPT and the other AI search engines showed zero impact, and when asked directly for that data, some of them hallucinated an answer inst</t>
  </si>
  <si>
    <t>Discovered at visual grid position #383. Verified Ad Details URL. Format: Single Image Ad.</t>
  </si>
  <si>
    <t>#SEO, #Schema, #AISearch, #ChatGPT, #Page2Podcast</t>
  </si>
  <si>
    <t>Discovered at grid #1. Verified video reel. Direct link confirmed.</t>
  </si>
  <si>
    <t>CR18237095501537214465</t>
  </si>
  <si>
    <t>https://adstransparency.google.com/advertiser/AR05016556376214732801/creative/CR05588452274067210241?region=anywhere</t>
  </si>
  <si>
    <t>Comment “bots” and I’ll send you the link.  AI crawlers like ChatGPT and Claude hit business websites every day, and most analytics tools never see it, because they only track browsers running JavaScript, and bots don’t run it. Otterly’s new Agent Analytics reads server logs instead, so you can finally see that traffic. We use Otterly for AI visibility and GEO across every client account, this fil</t>
  </si>
  <si>
    <t>#FindYourAgent</t>
  </si>
  <si>
    <t>Discovered at grid #2. Verified video reel. Direct link confirmed.</t>
  </si>
  <si>
    <t>CR05588452274067210241</t>
  </si>
  <si>
    <t>https://adstransparency.google.com/advertiser/AR05016556376214732801/creative/CR01339871174619824129?region=anywhere</t>
  </si>
  <si>
    <t>Discovered at visual grid position #384. Verified Ad Details URL. Format: Single Image Ad.</t>
  </si>
  <si>
    <t>if you know you know #zerovisibility @otterlyai</t>
  </si>
  <si>
    <t>#zerovisibility</t>
  </si>
  <si>
    <t>CR01339871174619824129</t>
  </si>
  <si>
    <t>Discovered at grid #3. Verified video reel. Direct link confirmed.</t>
  </si>
  <si>
    <t>https://adstransparency.google.com/advertiser/AR05016556376214732801/creative/CR03411235357750984705?region=anywhere</t>
  </si>
  <si>
    <t>Discovered at visual grid position #385. Verified Ad Details URL. Format: Single Image Ad.</t>
  </si>
  <si>
    <t>we started a new video series: People of AI Search @slopelift x @otterlyai  full interview on otterly.ai/blog</t>
  </si>
  <si>
    <t>Discovered at grid #4. Verified video reel. Direct link confirmed.</t>
  </si>
  <si>
    <t>SEO &amp; Rank Tracking, AI Search &amp; GEO, Content Marketing</t>
  </si>
  <si>
    <t>CR03411235357750984705</t>
  </si>
  <si>
    <t>Every tool for winning SEO in one place</t>
  </si>
  <si>
    <t>The platform for soaring organic growth. Automate manual work, forecast outcomes, and customize reports, powered by the market's leading search data.</t>
  </si>
  <si>
    <t>https://adstransparency.google.com/advertiser/AR05016556376214732801/creative/CR11878012827690074113?region=anywhere</t>
  </si>
  <si>
    <t>Ever wondered if your brand even shows up when someone asks ChatGPT or Gemini for advice?   These 7 GEO and AEO tools help you find out, and fix it before your competitors take the spotlight.   Profound gives enterprise teams a deep look at how AI systems crawl and present their brand, while Peec AI keeps things simple with clean prompt-level tracking for busy marketing teams.   OtterlyAI watches</t>
  </si>
  <si>
    <t>#TDDeepDive, #TechDogs, #GEO, #AEO, #AICitations, #AISearch</t>
  </si>
  <si>
    <t>SEO &amp; Rank Tracking, AI Search &amp; GEO, Startup &amp; Growth</t>
  </si>
  <si>
    <t>Ran from Nov 26, 2025 to Dec 30, 2025</t>
  </si>
  <si>
    <t>Discovered at visual grid position #386. Verified Ad Details URL. Format: Single Image Ad.</t>
  </si>
  <si>
    <t>CR11878012827690074113</t>
  </si>
  <si>
    <t>😱 Reddit is the most cited source in AI search answers. YouTube just became №2 — and grew faster than almost anyone expected.  Is your brand even part of that conversation? 👀  Adsy Talks episode is LIVE today! We sat down with Thomas Peham @tompeham , co-founder of Otterly AI @otterlyai , to talk about what’s really driving AI visibility right now.  In this episode: 🔹 Why ChatGPT behaves like a br</t>
  </si>
  <si>
    <t>#AdsyTalks, #AIsearch, #adsy, #GEO</t>
  </si>
  <si>
    <t>Discovered at grid #6. Verified video reel. Direct link confirmed.</t>
  </si>
  <si>
    <t>https://adstransparency.google.com/advertiser/AR05016556376214732801/creative/CR13810543051971493889?region=anywhere</t>
  </si>
  <si>
    <t>Join the Semrush Partner Program</t>
  </si>
  <si>
    <t>Work with a global leader in SEO and AI search. Gain partner benefits, complete co-marketing support, and tools to grow faster together.</t>
  </si>
  <si>
    <t>SEO, AI Search &amp; GEO, Growth Marketing</t>
  </si>
  <si>
    <t>168 Teilnehmende. Jede Menge starke Fragen. Ein Thema, das gerade alle bewegt: #GEO.  Gestern sind wir gemeinsam mit Valentin Zehnder (SUNZINET), Julius Hemingway (@storybloklife) und Thomas Peham (@otterlyai) tief ins Thema Generative Engine Optimization eingetaucht – und die Q&amp;A Session hat gezeigt: Der Bedarf an Orientierung ist riesig.  Ein großes Dankeschön an alle, die dabei waren und die Di</t>
  </si>
  <si>
    <t>#GEO, #SEO, #KIMarketing, #DigitalesMarketing, #Webinar</t>
  </si>
  <si>
    <t>Discovered at visual grid position #387. Verified Ad Details URL. Format: Single Image Ad.</t>
  </si>
  <si>
    <t>CR13810543051971493889</t>
  </si>
  <si>
    <t>https://adstransparency.google.com/advertiser/AR05016556376214732801/creative/CR14591851616622608385?region=anywhere</t>
  </si>
  <si>
    <t>I was nervous. A video team followed me around OMR Festival in Hamburg. 📹  To tell my story. And the bigger one: how AI has changed search, and how businesses are scrambling to keep up.  AI Search is reshaping how every brand gets found.  Huge thanks to everyone who shared their perspective on camera.  🎥 by @miku.media</t>
  </si>
  <si>
    <t>Discovered at grid #8. Verified video reel. Direct link confirmed.</t>
  </si>
  <si>
    <t>Discovered at visual grid position #388. Verified Ad Details URL. Format: Single Image Ad.</t>
  </si>
  <si>
    <t>Your brand might be completely invisible to AI search right now. And the scary part is you would never know.  When someone asks ChatGPT, Perplexity, or Google AI a question your brand should be the answer to, are you showing up? Are you being recommended? Or are your competitors getting that mention while you are left out of the conversation entirely?  I ran an AI search audit on Blog With Ben usi</t>
  </si>
  <si>
    <t>#OtterlyAI, #AISearch, #GEO, #GenerativeEngineOptimization, #BloggingTips</t>
  </si>
  <si>
    <t>Discovered at grid #9. Verified video reel. Direct link confirmed.</t>
  </si>
  <si>
    <t>CR14591851616622608385</t>
  </si>
  <si>
    <t>https://adstransparency.google.com/advertiser/AR05016556376214732801/creative/CR04931351139959439361?region=anywhere</t>
  </si>
  <si>
    <t>Podcast-Werbegrafik für „Content Strategy Rocks Staffel 3' mit Thomas Peham zum Thema KI-Suche und Content-Strategie, dargestellt als stilisierter Social-Media-Post mit einer leuchtenden KI-Sphäre und den Schlagworten „Sichtbarkeit in KI-Suchen', „Content für KI-Agenten' und „SEO &amp; GEO' auf dunklem Hintergrund.</t>
  </si>
  <si>
    <t>Discovered at visual grid position #389. Verified Ad Details URL. Format: Single Image Ad.</t>
  </si>
  <si>
    <t>Grow your agency with the Semrush Partner Program</t>
  </si>
  <si>
    <t>Get the data, automations, and AI insights trusted by 40% of the Fortune 500. Deliver enterprise-level results for every client and boost your ROI.</t>
  </si>
  <si>
    <t>Discovered at visual grid position #390. Verified Ad Details URL. Format: Single Image Ad.</t>
  </si>
  <si>
    <t>CR04931351139959439361</t>
  </si>
  <si>
    <t>OMR Festival Hamburg, in a nutshell.  We are coming back @otterlyai</t>
  </si>
  <si>
    <t>Discovered at grid #11. Verified video reel. Direct link confirmed.</t>
  </si>
  <si>
    <t>https://adstransparency.google.com/advertiser/AR05016556376214732801/creative/CR15700107385496403969?region=anywhere</t>
  </si>
  <si>
    <t>POV: you’re a marketing manager and you open your laptop. You go to see how your site is performing in Google Analytics, and you notice that your Click-Through Rate has plummeted, but your rankings are stable. What’s going on here?   Over 65% of Google search results pages contain an AI Overview. Meaning that over of half of all sales related queries ends right then and there. Someone looks for a</t>
  </si>
  <si>
    <t>#aio, #aiseo, #discoveraio, #aiotracker</t>
  </si>
  <si>
    <t>Tagged non-reel item (Photo Carousel) at grid position #12.</t>
  </si>
  <si>
    <t>Discovered at grid #12 from Tagged page grid in sequential order.</t>
  </si>
  <si>
    <t>CR15700107385496403969</t>
  </si>
  <si>
    <t>The Voice of Germany? 🎤  Nope – eher „The Voice of Top Voices“, wenn es um #AIVisibility geht! 🚀  Ich freue mich riesig, als Ambassador für @otterlyai meine Insights zu teilen, wie Brands das neue KI-Game gewinnen. 💡  Meine Mission: #retrieval , das Herzstück von #aisearch , verständlich machen!  Optimiert euren Content so, dass der Retriever euren Snack direkt an die KI apportiert. 🐕🦴   Wer heute</t>
  </si>
  <si>
    <t>#AIVisibility, #retrieval, #aisearch, #GenerativeEngineOptimization, #KI</t>
  </si>
  <si>
    <t>Discovered at visual grid position #391. Verified Ad Details URL. Format: Single Image Ad.</t>
  </si>
  <si>
    <t>https://adstransparency.google.com/advertiser/AR05016556376214732801/creative/CR17721855556668358657?region=anywhere</t>
  </si>
  <si>
    <t>Your customers aren’t just googling anymore-they’re asking AI assistants what to wear. If your brand isn’t part of the answer, you’re invisible.  Welcome to the era where Answer Engine Optimization (AEO) outpaces traditional Search Engine Optimization (SEO).  With AI, shoppers don’t just type keywords-they ask detailed questions, seek outfit ideas, and rely on personalized recommendations.  Your o</t>
  </si>
  <si>
    <t>#fashionaiimplementation, #answerengineoptimization, #fashiontech, #fashionai, #aiinfashion</t>
  </si>
  <si>
    <t>CR17721855556668358657</t>
  </si>
  <si>
    <t>https://adstransparency.google.com/advertiser/AR05016556376214732801/creative/CR09881806311631355905?region=anywhere</t>
  </si>
  <si>
    <t>Discovered at visual grid position #392. Verified Ad Details URL. Format: Single Image Ad.</t>
  </si>
  <si>
    <t>Don’t limit your potential with just one tool! 🚀   These 5 powerful AI tools go beyond ChatGPT to supercharge your productivity and decision-making.   Toffu AI: https://bit.ly/4i1agoq Workleap: https://bit.ly/4nZhFpJ Mentio: https://bit.ly/4nR0eHD Otterly AI: https://bit.ly/47SlzKL Pionex: https://bit.ly/4o6IKY8  🔧 Try them out now and elevate your workflow!   Which AI tool are you most excited to</t>
  </si>
  <si>
    <t>#AI, #SaaSTrac, #Innovation, #Productivity</t>
  </si>
  <si>
    <t>👉🏻 #GEO - It's the hottest new discipline in #digitalmarketing.   As AI platforms like #ChatGPT, #Gemini, and Google's #AI Overviews take over search, the focus has shifted from ranking links to being the trusted source the AI cites.  The industry is exploding, and with it, the rapid rise of the specialized GEO Agency!  ➡️ Swipe to understand the change &amp; find out who to partner with! (Agency sugg</t>
  </si>
  <si>
    <t>#GEO, #digitalmarketing, #ChatGPT, #Gemini, #AI</t>
  </si>
  <si>
    <t>CR09881806311631355905</t>
  </si>
  <si>
    <t>Discovered at visual grid position #393. Verified Ad Details URL. Format: Single Image Ad.</t>
  </si>
  <si>
    <t>https://adstransparency.google.com/advertiser/AR05016556376214732801/creative/CR02500392503597858817?region=anywhere</t>
  </si>
  <si>
    <t>🚀 𝗦𝗘𝗢 𝘃𝗼𝗼𝗿 𝗔𝗜 𝗶𝘀 𝗹𝗶𝘃𝗲!   Vandaag hebben we met het hele team een nieuwe dienst gelanceerd: 𝗦𝗘𝗢 𝘃𝗼𝗼𝗿 𝗔𝗜. Online vindbaarheid verandert namelijk. Waar SEO vroeger vooral draaide om zoekmachines, gaat het nu óók om zichtbaarheid in AI-antwoorden van tools als ChatGPT.   🔍 Onze aanpak focust op het verbeteren van 𝗺𝗲𝗻𝘁𝗶𝗼𝗻𝘀 &amp; 𝗰𝗶𝘁𝗮𝘁𝗶𝗼𝗻𝘀: hoe vaak merken en domeinen terugkomen in AI-antwoorden.  ✨ SEO voo</t>
  </si>
  <si>
    <t>Tagged non-reel item (Photo Carousel) at grid position #17.</t>
  </si>
  <si>
    <t>CR02500392503597858817</t>
  </si>
  <si>
    <t>Discovered at visual grid position #394. Verified Ad Details URL. Format: Single Image Ad.</t>
  </si>
  <si>
    <t>https://adstransparency.google.com/advertiser/AR05016556376214732801/creative/CR04742481430586589185?region=anywhere</t>
  </si>
  <si>
    <t>Data and automations to dominate SEO</t>
  </si>
  <si>
    <t>Outpace your competitors with market-leading data that finds every opportunity, then cut manual work with automations and customizable reporting.</t>
  </si>
  <si>
    <t>CR04742481430586589185</t>
  </si>
  <si>
    <t>Discovered at visual grid position #395. Verified Ad Details URL. Format: Single Image Ad.</t>
  </si>
  <si>
    <t>https://adstransparency.google.com/advertiser/AR05016556376214732801/creative/CR06689866056959262721?region=anywhere</t>
  </si>
  <si>
    <t>Discovered at visual grid position #396. Verified Ad Details URL. Format: Single Image Ad.</t>
  </si>
  <si>
    <t>CR06689866056959262721</t>
  </si>
  <si>
    <t>https://adstransparency.google.com/advertiser/AR05016556376214732801/creative/CR00146912878232862721?region=anywhere</t>
  </si>
  <si>
    <t>Discovered at visual grid position #397. Verified Ad Details URL. Format: Single Image Ad.</t>
  </si>
  <si>
    <t>CR00146912878232862721</t>
  </si>
  <si>
    <t>https://adstransparency.google.com/advertiser/AR05016556376214732801/creative/CR07352071124043169793?region=anywhere</t>
  </si>
  <si>
    <t>Discovered at visual grid position #398. Verified Ad Details URL. Format: Single Image Ad.</t>
  </si>
  <si>
    <t>CR07352071124043169793</t>
  </si>
  <si>
    <t>https://adstransparency.google.com/advertiser/AR05016556376214732801/creative/CR12137251281240588289?region=anywhere</t>
  </si>
  <si>
    <t>Discovered at visual grid position #399. Verified Ad Details URL. Format: Single Image Ad.</t>
  </si>
  <si>
    <t>Discovered at visual grid position #400. Verified Ad Details URL. Format: Single Image Ad.</t>
  </si>
  <si>
    <t>CR12137251281240588289</t>
  </si>
  <si>
    <t>https://adstransparency.google.com/advertiser/AR05016556376214732801/creative/CR08231437159316324353?region=anywhere</t>
  </si>
  <si>
    <t>Discovered at visual grid position #401. Verified Ad Details URL. Format: Single Image Ad.</t>
  </si>
  <si>
    <t>CR08231437159316324353</t>
  </si>
  <si>
    <t>https://adstransparency.google.com/advertiser/AR05016556376214732801/creative/CR16456203323888893953?region=anywhere</t>
  </si>
  <si>
    <t>Discovered at visual grid position #402. Verified Ad Details URL. Format: Single Image Ad.</t>
  </si>
  <si>
    <t>CR16456203323888893953</t>
  </si>
  <si>
    <t>https://adstransparency.google.com/advertiser/AR05016556376214732801/creative/CR03574374296010620929?region=anywhere</t>
  </si>
  <si>
    <t>Discovered at visual grid position #403. Verified Ad Details URL. Format: Single Image Ad.</t>
  </si>
  <si>
    <t>CR03574374296010620929</t>
  </si>
  <si>
    <t>https://adstransparency.google.com/advertiser/AR05016556376214732801/creative/CR07016234093432012801?region=anywhere</t>
  </si>
  <si>
    <t>Ran from Nov 26, 2025 to Dec 29, 2025</t>
  </si>
  <si>
    <t>Discovered at visual grid position #404. Verified Ad Details URL. Format: Single Image Ad.</t>
  </si>
  <si>
    <t>CR07016234093432012801</t>
  </si>
  <si>
    <t>https://adstransparency.google.com/advertiser/AR05016556376214732801/creative/CR14884022642448269313?region=anywhere</t>
  </si>
  <si>
    <t>Discovered at visual grid position #405. Verified Ad Details URL. Format: Single Image Ad.</t>
  </si>
  <si>
    <t>CR14884022642448269313</t>
  </si>
  <si>
    <t>Discovered at visual grid position #406. Verified Ad Details URL. Format: Single Image Ad.</t>
  </si>
  <si>
    <t>https://adstransparency.google.com/advertiser/AR05016556376214732801/creative/CR11941063222473261057?region=anywhere</t>
  </si>
  <si>
    <t>CR11941063222473261057</t>
  </si>
  <si>
    <t>Ran from Nov 27, 2025 to Dec 30, 2025</t>
  </si>
  <si>
    <t>Discovered at visual grid position #407. Verified Ad Details URL. Format: Single Image Ad.</t>
  </si>
  <si>
    <t>https://adstransparency.google.com/advertiser/AR05016556376214732801/creative/CR06039762214850658305?region=anywhere</t>
  </si>
  <si>
    <t>Discovered at visual grid position #408. Verified Ad Details URL. Format: Single Image Ad.</t>
  </si>
  <si>
    <t>CR06039762214850658305</t>
  </si>
  <si>
    <t>https://adstransparency.google.com/advertiser/AR05016556376214732801/creative/CR08498483519813582849?region=anywhere</t>
  </si>
  <si>
    <t>Discovered at visual grid position #409. Verified Ad Details URL. Format: Single Image Ad.</t>
  </si>
  <si>
    <t>CR08498483519813582849</t>
  </si>
  <si>
    <t>https://adstransparency.google.com/advertiser/AR05016556376214732801/creative/CR10677519852995870721?region=anywhere</t>
  </si>
  <si>
    <t>Ran from Nov 28, 2025 to Dec 29, 2025</t>
  </si>
  <si>
    <t>Discovered at visual grid position #410. Verified Ad Details URL. Format: Single Image Ad.</t>
  </si>
  <si>
    <t>CR10677519852995870721</t>
  </si>
  <si>
    <t>https://adstransparency.google.com/advertiser/AR05016556376214732801/creative/CR06325074487142252545?region=anywhere</t>
  </si>
  <si>
    <t>Discovered at visual grid position #411. Verified Ad Details URL. Format: Single Image Ad.</t>
  </si>
  <si>
    <t>CR06325074487142252545</t>
  </si>
  <si>
    <t>https://adstransparency.google.com/advertiser/AR05016556376214732801/creative/CR15092143426033942529?region=anywhere</t>
  </si>
  <si>
    <t>Discovered at visual grid position #412. Verified Ad Details URL. Format: Single Image Ad.</t>
  </si>
  <si>
    <t>CR15092143426033942529</t>
  </si>
  <si>
    <t>https://adstransparency.google.com/advertiser/AR05016556376214732801/creative/CR00826740093053042689?region=anywhere</t>
  </si>
  <si>
    <t>Discovered at visual grid position #413. Verified Ad Details URL. Format: Single Image Ad.</t>
  </si>
  <si>
    <t>CR00826740093053042689</t>
  </si>
  <si>
    <t>https://adstransparency.google.com/advertiser/AR05016556376214732801/creative/CR17470636940930842625?region=anywhere</t>
  </si>
  <si>
    <t>Discovered at visual grid position #414. Verified Ad Details URL. Format: Single Image Ad.</t>
  </si>
  <si>
    <t>CR17470636940930842625</t>
  </si>
  <si>
    <t>https://adstransparency.google.com/advertiser/AR05016556376214732801/creative/CR07582850643254050817?region=anywhere</t>
  </si>
  <si>
    <t>Discovered at visual grid position #415. Verified Ad Details URL. Format: Single Image Ad.</t>
  </si>
  <si>
    <t>CR07582850643254050817</t>
  </si>
  <si>
    <t>https://adstransparency.google.com/advertiser/AR05016556376214732801/creative/CR05763391171116138497?region=anywhere</t>
  </si>
  <si>
    <t>Discovered at visual grid position #416. Verified Ad Details URL. Format: Single Image Ad.</t>
  </si>
  <si>
    <t>CR05763391171116138497</t>
  </si>
  <si>
    <t>https://adstransparency.google.com/advertiser/AR05016556376214732801/creative/CR03164954923611717633?region=anywhere</t>
  </si>
  <si>
    <t>Discovered at visual grid position #417. Verified Ad Details URL. Format: Single Image Ad.</t>
  </si>
  <si>
    <t>CR03164954923611717633</t>
  </si>
  <si>
    <t>https://adstransparency.google.com/advertiser/AR05016556376214732801/creative/CR16577519038851186689?region=anywhere</t>
  </si>
  <si>
    <t>CR16577519038851186689</t>
  </si>
  <si>
    <t>https://adstransparency.google.com/advertiser/AR05016556376214732801/creative/CR11525043206894911489?region=anywhere</t>
  </si>
  <si>
    <t>Discovered at visual grid position #418. Verified Ad Details URL. Format: Single Image Ad.</t>
  </si>
  <si>
    <t>CR11525043206894911489</t>
  </si>
  <si>
    <t>https://adstransparency.google.com/advertiser/AR05016556376214732801/creative/CR00407046334248386561?region=anywhere</t>
  </si>
  <si>
    <t>Discovered at visual grid position #419. Verified Ad Details URL. Format: Single Image Ad.</t>
  </si>
  <si>
    <t>CR00407046334248386561</t>
  </si>
  <si>
    <t>https://adstransparency.google.com/advertiser/AR05016556376214732801/creative/CR09204629469589929985?region=anywhere</t>
  </si>
  <si>
    <t>Discovered at visual grid position #420. Verified Ad Details URL. Format: Single Image Ad.</t>
  </si>
  <si>
    <t>CR09204629469589929985</t>
  </si>
  <si>
    <t>https://adstransparency.google.com/advertiser/AR05016556376214732801/creative/CR06538711795442384897?region=anywhere</t>
  </si>
  <si>
    <t>Discovered at visual grid position #421. Verified Ad Details URL. Format: Single Image Ad.</t>
  </si>
  <si>
    <t>CR06538711795442384897</t>
  </si>
  <si>
    <t>https://adstransparency.google.com/advertiser/AR05016556376214732801/creative/CR01341193612230131713?region=anywhere</t>
  </si>
  <si>
    <t>Discovered at visual grid position #422. Verified Ad Details URL. Format: Single Image Ad.</t>
  </si>
  <si>
    <t>CR01341193612230131713</t>
  </si>
  <si>
    <t>https://adstransparency.google.com/advertiser/AR05016556376214732801/creative/CR06723359380164575233?region=anywhere</t>
  </si>
  <si>
    <t>Discovered at visual grid position #423. Verified Ad Details URL. Format: Single Image Ad.</t>
  </si>
  <si>
    <t>CR06723359380164575233</t>
  </si>
  <si>
    <t>https://adstransparency.google.com/advertiser/AR05016556376214732801/creative/CR17197694999085449217?region=anywhere</t>
  </si>
  <si>
    <t>CR17197694999085449217</t>
  </si>
  <si>
    <t>Discovered at visual grid position #424. Verified Ad Details URL. Format: Single Image Ad.</t>
  </si>
  <si>
    <t>https://adstransparency.google.com/advertiser/AR05016556376214732801/creative/CR17825365780330446849?region=anywhere</t>
  </si>
  <si>
    <t>CR17825365780330446849</t>
  </si>
  <si>
    <t>https://adstransparency.google.com/advertiser/AR05016556376214732801/creative/CR02429883021931839489?region=anywhere</t>
  </si>
  <si>
    <t>Discovered at visual grid position #425. Verified Ad Details URL. Format: Single Image Ad.</t>
  </si>
  <si>
    <t>CR02429883021931839489</t>
  </si>
  <si>
    <t>https://adstransparency.google.com/advertiser/AR05016556376214732801/creative/CR07585411680713048065?region=anywhere</t>
  </si>
  <si>
    <t>Discovered at visual grid position #426. Verified Ad Details URL. Format: Single Image Ad.</t>
  </si>
  <si>
    <t>CR07585411680713048065</t>
  </si>
  <si>
    <t>https://adstransparency.google.com/advertiser/AR05016556376214732801/creative/CR11957245834610868225?region=anywhere</t>
  </si>
  <si>
    <t>CR11957245834610868225</t>
  </si>
  <si>
    <t>Discovered at visual grid position #427. Verified Ad Details URL. Format: Single Image Ad.</t>
  </si>
  <si>
    <t>https://adstransparency.google.com/advertiser/AR05016556376214732801/creative/CR05210290642856443905?region=anywhere</t>
  </si>
  <si>
    <t>CR05210290642856443905</t>
  </si>
  <si>
    <t>https://adstransparency.google.com/advertiser/AR05016556376214732801/creative/CR01120039217808801793?region=anywhere</t>
  </si>
  <si>
    <t>Discovered at visual grid position #428. Verified Ad Details URL. Format: Single Image Ad.</t>
  </si>
  <si>
    <t>CR01120039217808801793</t>
  </si>
  <si>
    <t>https://adstransparency.google.com/advertiser/AR05016556376214732801/creative/CR07042411266266103809?region=anywhere</t>
  </si>
  <si>
    <t>Discovered at visual grid position #429. Verified Ad Details URL. Format: Single Image Ad.</t>
  </si>
  <si>
    <t>CR07042411266266103809</t>
  </si>
  <si>
    <t>https://adstransparency.google.com/advertiser/AR05016556376214732801/creative/CR06496914960424108033?region=anywhere</t>
  </si>
  <si>
    <t>CR06496914960424108033</t>
  </si>
  <si>
    <t>Discovered at visual grid position #430. Verified Ad Details URL. Format: Single Image Ad.</t>
  </si>
  <si>
    <t>https://adstransparency.google.com/advertiser/AR05016556376214732801/creative/CR14944260486487605249?region=anywhere</t>
  </si>
  <si>
    <t>CR14944260486487605249</t>
  </si>
  <si>
    <t>Discovered at visual grid position #431. Verified Ad Details URL. Format: Single Image Ad.</t>
  </si>
  <si>
    <t>https://adstransparency.google.com/advertiser/AR05016556376214732801/creative/CR12005802467116711937?region=anywhere</t>
  </si>
  <si>
    <t>CR12005802467116711937</t>
  </si>
  <si>
    <t>https://adstransparency.google.com/advertiser/AR05016556376214732801/creative/CR11594987539584253953?region=anywhere</t>
  </si>
  <si>
    <t>Discovered at visual grid position #432. Verified Ad Details URL. Format: Single Image Ad.</t>
  </si>
  <si>
    <t>CR11594987539584253953</t>
  </si>
  <si>
    <t>https://adstransparency.google.com/advertiser/AR05016556376214732801/creative/CR07506143489420165121?region=anywhere</t>
  </si>
  <si>
    <t>Discovered at visual grid position #433. Verified Ad Details URL. Format: Single Image Ad.</t>
  </si>
  <si>
    <t>CR07506143489420165121</t>
  </si>
  <si>
    <t>https://adstransparency.google.com/advertiser/AR05016556376214732801/creative/CR11502289226074947585?region=anywhere</t>
  </si>
  <si>
    <t>CR11502289226074947585</t>
  </si>
  <si>
    <t>Discovered at visual grid position #434. Verified Ad Details URL. Format: Single Image Ad.</t>
  </si>
  <si>
    <t>https://adstransparency.google.com/advertiser/AR05016556376214732801/creative/CR17370574785733459969?region=anywhere</t>
  </si>
  <si>
    <t>CR17370574785733459969</t>
  </si>
  <si>
    <t>https://adstransparency.google.com/advertiser/AR05016556376214732801/creative/CR08247546379052777473?region=anywhere</t>
  </si>
  <si>
    <t>Discovered at visual grid position #435. Verified Ad Details URL. Format: Single Image Ad.</t>
  </si>
  <si>
    <t>CR08247546379052777473</t>
  </si>
  <si>
    <t>https://adstransparency.google.com/advertiser/AR05016556376214732801/creative/CR07517576211325779969?region=anywhere</t>
  </si>
  <si>
    <t>Discovered at visual grid position #436. Verified Ad Details URL. Format: Single Image Ad.</t>
  </si>
  <si>
    <t>CR07517576211325779969</t>
  </si>
  <si>
    <t>https://adstransparency.google.com/advertiser/AR05016556376214732801/creative/CR04036658737228808193?region=anywhere</t>
  </si>
  <si>
    <t>CR04036658737228808193</t>
  </si>
  <si>
    <t>https://adstransparency.google.com/advertiser/AR05016556376214732801/creative/CR07978548660294123521?region=anywhere</t>
  </si>
  <si>
    <t>Discovered at visual grid position #437. Verified Ad Details URL. Format: Single Image Ad.</t>
  </si>
  <si>
    <t>CR07978548660294123521</t>
  </si>
  <si>
    <t>https://adstransparency.google.com/advertiser/AR05016556376214732801/creative/CR12448701143947673601?region=anywhere</t>
  </si>
  <si>
    <t>Discovered at visual grid position #438. Verified Ad Details URL. Format: Single Image Ad.</t>
  </si>
  <si>
    <t>CR12448701143947673601</t>
  </si>
  <si>
    <t>https://adstransparency.google.com/advertiser/AR05016556376214732801/creative/CR14195253374437294081?region=anywhere</t>
  </si>
  <si>
    <t>Discovered at visual grid position #439. Verified Ad Details URL. Format: Single Image Ad.</t>
  </si>
  <si>
    <t>CR14195253374437294081</t>
  </si>
  <si>
    <t>https://adstransparency.google.com/advertiser/AR05016556376214732801/creative/CR13382635116673630209?region=anywhere</t>
  </si>
  <si>
    <t>CR13382635116673630209</t>
  </si>
  <si>
    <t>https://adstransparency.google.com/advertiser/AR05016556376214732801/creative/CR16392308504175575041?region=anywhere</t>
  </si>
  <si>
    <t>Discovered at visual grid position #440. Verified Ad Details URL. Format: Single Image Ad.</t>
  </si>
  <si>
    <t>CR16392308504175575041</t>
  </si>
  <si>
    <t>https://adstransparency.google.com/advertiser/AR05016556376214732801/creative/CR16415811664730914817?region=anywhere</t>
  </si>
  <si>
    <t>Discovered at visual grid position #441. Verified Ad Details URL. Format: Single Image Ad.</t>
  </si>
  <si>
    <t>CR16415811664730914817</t>
  </si>
  <si>
    <t>https://adstransparency.google.com/advertiser/AR05016556376214732801/creative/CR08817601376612777985?region=anywhere</t>
  </si>
  <si>
    <t>CR08817601376612777985</t>
  </si>
  <si>
    <t>https://adstransparency.google.com/advertiser/AR05016556376214732801/creative/CR13854527915129044993?region=anywhere</t>
  </si>
  <si>
    <t>Discovered at visual grid position #442. Verified Ad Details URL. Format: Single Image Ad.</t>
  </si>
  <si>
    <t>CR13854527915129044993</t>
  </si>
  <si>
    <t>https://adstransparency.google.com/advertiser/AR05016556376214732801/creative/CR07347813815020421121?region=anywhere</t>
  </si>
  <si>
    <t>CR07347813815020421121</t>
  </si>
  <si>
    <t>Discovered at visual grid position #443. Verified Ad Details URL. Format: Single Image Ad.</t>
  </si>
  <si>
    <t>https://adstransparency.google.com/advertiser/AR05016556376214732801/creative/CR16986935387593113601?region=anywhere</t>
  </si>
  <si>
    <t>CR16986935387593113601</t>
  </si>
  <si>
    <t>https://adstransparency.google.com/advertiser/AR05016556376214732801/creative/CR06901511050189864961?region=anywhere</t>
  </si>
  <si>
    <t>Discovered at visual grid position #444. Verified Ad Details URL. Format: Single Image Ad.</t>
  </si>
  <si>
    <t>CR06901511050189864961</t>
  </si>
  <si>
    <t>https://adstransparency.google.com/advertiser/AR05016556376214732801/creative/CR11218203321565184001?region=anywhere</t>
  </si>
  <si>
    <t>Discovered at visual grid position #445. Verified Ad Details URL. Format: Single Image Ad.</t>
  </si>
  <si>
    <t>CR11218203321565184001</t>
  </si>
  <si>
    <t>https://adstransparency.google.com/advertiser/AR05016556376214732801/creative/CR17698724855676928001?region=anywhere</t>
  </si>
  <si>
    <t>CR17698724855676928001</t>
  </si>
  <si>
    <t>https://adstransparency.google.com/advertiser/AR05016556376214732801/creative/CR12389332738728001537?region=anywhere</t>
  </si>
  <si>
    <t>Discovered at visual grid position #446. Verified Ad Details URL. Format: Single Image Ad.</t>
  </si>
  <si>
    <t>CR12389332738728001537</t>
  </si>
  <si>
    <t>https://adstransparency.google.com/advertiser/AR05016556376214732801/creative/CR04002011751448051713?region=anywhere</t>
  </si>
  <si>
    <t>Discovered at visual grid position #447. Verified Ad Details URL. Format: Single Image Ad.</t>
  </si>
  <si>
    <t>CR04002011751448051713</t>
  </si>
  <si>
    <t>https://adstransparency.google.com/advertiser/AR05016556376214732801/creative/CR16418936476777054209?region=anywhere</t>
  </si>
  <si>
    <t>CR16418936476777054209</t>
  </si>
  <si>
    <t>Discovered at visual grid position #448. Verified Ad Details URL. Format: Single Image Ad.</t>
  </si>
  <si>
    <t>https://adstransparency.google.com/advertiser/AR05016556376214732801/creative/CR02028070895607611393?region=anywhere</t>
  </si>
  <si>
    <t>CR02028070895607611393</t>
  </si>
  <si>
    <t>https://adstransparency.google.com/advertiser/AR05016556376214732801/creative/CR06961984189717544961?region=anywhere</t>
  </si>
  <si>
    <t>Discovered at visual grid position #449. Verified Ad Details URL. Format: Single Image Ad.</t>
  </si>
  <si>
    <t>CR06961984189717544961</t>
  </si>
  <si>
    <t>https://adstransparency.google.com/advertiser/AR05016556376214732801/creative/CR13571562000651124737?region=anywhere</t>
  </si>
  <si>
    <t>CR13571562000651124737</t>
  </si>
  <si>
    <t>Discovered at visual grid position #450. Verified Ad Details URL. Format: Single Image Ad.</t>
  </si>
  <si>
    <t>https://adstransparency.google.com/advertiser/AR05016556376214732801/creative/CR17705810108606316545?region=anywhere</t>
  </si>
  <si>
    <t>CR17705810108606316545</t>
  </si>
  <si>
    <t>https://adstransparency.google.com/advertiser/AR05016556376214732801/creative/CR11678155423742951425?region=anywhere</t>
  </si>
  <si>
    <t>Discovered at visual grid position #451. Verified Ad Details URL. Format: Single Image Ad.</t>
  </si>
  <si>
    <t>CR11678155423742951425</t>
  </si>
  <si>
    <t>https://adstransparency.google.com/advertiser/AR05016556376214732801/creative/CR10060069307208957953?region=anywhere</t>
  </si>
  <si>
    <t>CR10060069307208957953</t>
  </si>
  <si>
    <t>https://adstransparency.google.com/advertiser/AR05016556376214732801/creative/CR17537122210039201793?region=anywhere</t>
  </si>
  <si>
    <t>Discovered at visual grid position #452. Verified Ad Details URL. Format: Single Image Ad.</t>
  </si>
  <si>
    <t>CR17537122210039201793</t>
  </si>
  <si>
    <t>https://adstransparency.google.com/advertiser/AR05016556376214732801/creative/CR10668899681834106881?region=anywhere</t>
  </si>
  <si>
    <t>Discovered at visual grid position #453. Verified Ad Details URL. Format: Single Image Ad.</t>
  </si>
  <si>
    <t>CR10668899681834106881</t>
  </si>
  <si>
    <t>https://adstransparency.google.com/advertiser/AR05016556376214732801/creative/CR15139272067813212161?region=anywhere</t>
  </si>
  <si>
    <t>CR15139272067813212161</t>
  </si>
  <si>
    <t>https://adstransparency.google.com/advertiser/AR05016556376214732801/creative/CR14943128814144716801?region=anywhere</t>
  </si>
  <si>
    <t>Discovered at visual grid position #454. Verified Ad Details URL. Format: Single Image Ad.</t>
  </si>
  <si>
    <t>CR14943128814144716801</t>
  </si>
  <si>
    <t>https://adstransparency.google.com/advertiser/AR05016556376214732801/creative/CR02755301904991911937?region=anywhere</t>
  </si>
  <si>
    <t>CR02755301904991911937</t>
  </si>
  <si>
    <t>https://adstransparency.google.com/advertiser/AR05016556376214732801/creative/CR01399543869682483201?region=anywhere</t>
  </si>
  <si>
    <t>Discovered at visual grid position #455. Verified Ad Details URL. Format: Single Image Ad.</t>
  </si>
  <si>
    <t>CR01399543869682483201</t>
  </si>
  <si>
    <t>https://adstransparency.google.com/advertiser/AR05016556376214732801/creative/CR11336312035987161089?region=anywhere</t>
  </si>
  <si>
    <t>Discovered at visual grid position #456. Verified Ad Details URL. Format: Single Image Ad.</t>
  </si>
  <si>
    <t>CR11336312035987161089</t>
  </si>
  <si>
    <t>https://adstransparency.google.com/advertiser/AR05016556376214732801/creative/CR08943495457993129985?region=anywhere</t>
  </si>
  <si>
    <t>CR08943495457993129985</t>
  </si>
  <si>
    <t>https://adstransparency.google.com/advertiser/AR05016556376214732801/creative/CR01201383287054925825?region=anywhere</t>
  </si>
  <si>
    <t>Discovered at visual grid position #457. Verified Ad Details URL. Format: Single Image Ad.</t>
  </si>
  <si>
    <t>CR01201383287054925825</t>
  </si>
  <si>
    <t>https://adstransparency.google.com/advertiser/AR05016556376214732801/creative/CR03114711640268865537?region=anywhere</t>
  </si>
  <si>
    <t>CR03114711640268865537</t>
  </si>
  <si>
    <t>https://adstransparency.google.com/advertiser/AR05016556376214732801/creative/CR16822822282031267841?region=anywhere</t>
  </si>
  <si>
    <t>Discovered at visual grid position #458. Verified Ad Details URL. Format: Single Image Ad.</t>
  </si>
  <si>
    <t>CR16822822282031267841</t>
  </si>
  <si>
    <t>https://adstransparency.google.com/advertiser/AR05016556376214732801/creative/CR01482174367533105153?region=anywhere</t>
  </si>
  <si>
    <t>CR01482174367533105153</t>
  </si>
  <si>
    <t>https://adstransparency.google.com/advertiser/AR05016556376214732801/creative/CR02898694576489365505?region=anywhere</t>
  </si>
  <si>
    <t>Discovered at visual grid position #459. Verified Ad Details URL. Format: Single Image Ad.</t>
  </si>
  <si>
    <t>CR02898694576489365505</t>
  </si>
  <si>
    <t>https://adstransparency.google.com/advertiser/AR05016556376214732801/creative/CR03799716249185812481?region=anywhere</t>
  </si>
  <si>
    <t>Discovered at visual grid position #460. Verified Ad Details URL. Format: Single Image Ad.</t>
  </si>
  <si>
    <t>CR03799716249185812481</t>
  </si>
  <si>
    <t>https://adstransparency.google.com/advertiser/AR05016556376214732801/creative/CR07288710529541996545?region=anywhere</t>
  </si>
  <si>
    <t>CR07288710529541996545</t>
  </si>
  <si>
    <t>https://adstransparency.google.com/advertiser/AR05016556376214732801/creative/CR13652901328253353985?region=anywhere</t>
  </si>
  <si>
    <t>Discovered at visual grid position #461. Verified Ad Details URL. Format: Single Image Ad.</t>
  </si>
  <si>
    <t>CR13652901328253353985</t>
  </si>
  <si>
    <t>https://adstransparency.google.com/advertiser/AR05016556376214732801/creative/CR07319587839706923009?region=anywhere</t>
  </si>
  <si>
    <t>Ran from Nov 26, 2025 to Dec 28, 2025</t>
  </si>
  <si>
    <t>Discovered at visual grid position #462. Verified Ad Details URL. Format: Single Image Ad.</t>
  </si>
  <si>
    <t>CR07319587839706923009</t>
  </si>
  <si>
    <t>https://adstransparency.google.com/advertiser/AR05016556376214732801/creative/CR03544807191389143041?region=anywhere</t>
  </si>
  <si>
    <t>Discovered at visual grid position #463. Verified Ad Details URL. Format: Single Image Ad.</t>
  </si>
  <si>
    <t>CR03544807191389143041</t>
  </si>
  <si>
    <t>https://adstransparency.google.com/advertiser/AR05016556376214732801/creative/CR07197475940887166977?region=anywhere</t>
  </si>
  <si>
    <t>CR07197475940887166977</t>
  </si>
  <si>
    <t>https://adstransparency.google.com/advertiser/AR05016556376214732801/creative/CR15106750575447900161?region=anywhere</t>
  </si>
  <si>
    <t>Discovered at visual grid position #464. Verified Ad Details URL. Format: Single Image Ad.</t>
  </si>
  <si>
    <t>CR15106750575447900161</t>
  </si>
  <si>
    <t>https://adstransparency.google.com/advertiser/AR05016556376214732801/creative/CR06459199100251275265?region=anywhere</t>
  </si>
  <si>
    <t>Discovered at visual grid position #465. Verified Ad Details URL. Format: Single Image Ad.</t>
  </si>
  <si>
    <t>CR06459199100251275265</t>
  </si>
  <si>
    <t>https://adstransparency.google.com/advertiser/AR05016556376214732801/creative/CR05642047556046290945?region=anywhere</t>
  </si>
  <si>
    <t>Discovered at visual grid position #466. Verified Ad Details URL. Format: Single Image Ad.</t>
  </si>
  <si>
    <t>CR05642047556046290945</t>
  </si>
  <si>
    <t>https://adstransparency.google.com/advertiser/AR05016556376214732801/creative/CR06116940303258615809?region=anywhere</t>
  </si>
  <si>
    <t>CR06116940303258615809</t>
  </si>
  <si>
    <t>Discovered at visual grid position #467. Verified Ad Details URL. Format: Single Image Ad.</t>
  </si>
  <si>
    <t>https://adstransparency.google.com/advertiser/AR05016556376214732801/creative/CR12053172589137231873?region=anywhere</t>
  </si>
  <si>
    <t>CR12053172589137231873</t>
  </si>
  <si>
    <t>https://adstransparency.google.com/advertiser/AR05016556376214732801/creative/CR05653859609463488513?region=anywhere</t>
  </si>
  <si>
    <t>Discovered at visual grid position #468. Verified Ad Details URL. Format: Single Image Ad.</t>
  </si>
  <si>
    <t>CR05653859609463488513</t>
  </si>
  <si>
    <t>https://adstransparency.google.com/advertiser/AR05016556376214732801/creative/CR11767973222945914881?region=anywhere</t>
  </si>
  <si>
    <t>Discovered at visual grid position #469. Verified Ad Details URL. Format: Single Image Ad.</t>
  </si>
  <si>
    <t>CR11767973222945914881</t>
  </si>
  <si>
    <t>https://adstransparency.google.com/advertiser/AR05016556376214732801/creative/CR04126241584540811265?region=anywhere</t>
  </si>
  <si>
    <t>Discovered at visual grid position #470. Verified Ad Details URL. Format: Single Image Ad.</t>
  </si>
  <si>
    <t>CR04126241584540811265</t>
  </si>
  <si>
    <t>https://adstransparency.google.com/advertiser/AR05016556376214732801/creative/CR11349843038395432961?region=anywhere</t>
  </si>
  <si>
    <t>Discovered at visual grid position #471. Verified Ad Details URL. Format: Single Image Ad.</t>
  </si>
  <si>
    <t>CR11349843038395432961</t>
  </si>
  <si>
    <t>https://adstransparency.google.com/advertiser/AR05016556376214732801/creative/CR17349893109453946881?region=anywhere</t>
  </si>
  <si>
    <t>Discovered at visual grid position #472. Verified Ad Details URL. Format: Single Image Ad.</t>
  </si>
  <si>
    <t>CR17349893109453946881</t>
  </si>
  <si>
    <t>https://adstransparency.google.com/advertiser/AR05016556376214732801/creative/CR11386588373398323201?region=anywhere</t>
  </si>
  <si>
    <t>CR11386588373398323201</t>
  </si>
  <si>
    <t>Discovered at visual grid position #473. Verified Ad Details URL. Format: Single Image Ad.</t>
  </si>
  <si>
    <t>https://adstransparency.google.com/advertiser/AR05016556376214732801/creative/CR00091082014236606465?region=anywhere</t>
  </si>
  <si>
    <t>CR00091082014236606465</t>
  </si>
  <si>
    <t>https://adstransparency.google.com/advertiser/AR05016556376214732801/creative/CR12290415106415656961?region=anywhere</t>
  </si>
  <si>
    <t>Discovered at visual grid position #474. Verified Ad Details URL. Format: Single Image Ad.</t>
  </si>
  <si>
    <t>CR12290415106415656961</t>
  </si>
  <si>
    <t>https://adstransparency.google.com/advertiser/AR05016556376214732801/creative/CR11172818917544427521?region=anywhere</t>
  </si>
  <si>
    <t>Discovered at visual grid position #475. Verified Ad Details URL. Format: Single Image Ad.</t>
  </si>
  <si>
    <t>CR11172818917544427521</t>
  </si>
  <si>
    <t>https://adstransparency.google.com/advertiser/AR05016556376214732801/creative/CR03161098455296770049?region=anywhere</t>
  </si>
  <si>
    <t>Discovered at visual grid position #476. Verified Ad Details URL. Format: Single Image Ad.</t>
  </si>
  <si>
    <t>CR03161098455296770049</t>
  </si>
  <si>
    <t>https://adstransparency.google.com/advertiser/AR05016556376214732801/creative/CR06065437460626669569?region=anywhere</t>
  </si>
  <si>
    <t>Discovered at visual grid position #477. Verified Ad Details URL. Format: Single Image Ad.</t>
  </si>
  <si>
    <t>CR06065437460626669569</t>
  </si>
  <si>
    <t>https://adstransparency.google.com/advertiser/AR05016556376214732801/creative/CR12653729825958133761?region=anywhere</t>
  </si>
  <si>
    <t>Discovered at visual grid position #478. Verified Ad Details URL. Format: Single Image Ad.</t>
  </si>
  <si>
    <t>CR12653729825958133761</t>
  </si>
  <si>
    <t>https://adstransparency.google.com/advertiser/AR05016556376214732801/creative/CR00769293359280816129?region=anywhere</t>
  </si>
  <si>
    <t>Discovered at visual grid position #479. Verified Ad Details URL. Format: Single Image Ad.</t>
  </si>
  <si>
    <t>CR00769293359280816129</t>
  </si>
  <si>
    <t>https://adstransparency.google.com/advertiser/AR05016556376214732801/creative/CR15753878726774882305?region=anywhere</t>
  </si>
  <si>
    <t>CR15753878726774882305</t>
  </si>
  <si>
    <t>Discovered at visual grid position #480. Verified Ad Details URL. Format: Single Image Ad.</t>
  </si>
  <si>
    <t>https://adstransparency.google.com/advertiser/AR05016556376214732801/creative/CR13278380661078491137?region=anywhere</t>
  </si>
  <si>
    <t>CR13278380661078491137</t>
  </si>
  <si>
    <t>Discovered at visual grid position #481. Verified Ad Details URL. Format: Single Image Ad.</t>
  </si>
  <si>
    <t>https://adstransparency.google.com/advertiser/AR05016556376214732801/creative/CR00064537879396745217?region=anywhere</t>
  </si>
  <si>
    <t>CR00064537879396745217</t>
  </si>
  <si>
    <t>https://adstransparency.google.com/advertiser/AR05016556376214732801/creative/CR02417977647465234433?region=anywhere</t>
  </si>
  <si>
    <t>Discovered at visual grid position #482. Verified Ad Details URL. Format: Single Image Ad.</t>
  </si>
  <si>
    <t>CR02417977647465234433</t>
  </si>
  <si>
    <t>https://adstransparency.google.com/advertiser/AR05016556376214732801/creative/CR16678617002721411073?region=anywhere</t>
  </si>
  <si>
    <t>Ran from Nov 28, 2025 to Dec 30, 2025</t>
  </si>
  <si>
    <t>Discovered at visual grid position #483. Verified Ad Details URL. Format: Single Image Ad.</t>
  </si>
  <si>
    <t>CR16678617002721411073</t>
  </si>
  <si>
    <t>https://adstransparency.google.com/advertiser/AR05016556376214732801/creative/CR01618030092980584449?region=anywhere</t>
  </si>
  <si>
    <t>CR01618030092980584449</t>
  </si>
  <si>
    <t>Discovered at visual grid position #484. Verified Ad Details URL. Format: Single Image Ad.</t>
  </si>
  <si>
    <t>https://adstransparency.google.com/advertiser/AR05016556376214732801/creative/CR14165985611856478209?region=anywhere</t>
  </si>
  <si>
    <t>CR14165985611856478209</t>
  </si>
  <si>
    <t>https://adstransparency.google.com/advertiser/AR05016556376214732801/creative/CR09045392835536224257?region=anywhere</t>
  </si>
  <si>
    <t>Discovered at visual grid position #485. Verified Ad Details URL. Format: Single Image Ad.</t>
  </si>
  <si>
    <t>CR09045392835536224257</t>
  </si>
  <si>
    <t>https://adstransparency.google.com/advertiser/AR05016556376214732801/creative/CR06895708446293753857?region=anywhere</t>
  </si>
  <si>
    <t>CR06895708446293753857</t>
  </si>
  <si>
    <t>https://adstransparency.google.com/advertiser/AR05016556376214732801/creative/CR14314962221875068929?region=anywhere</t>
  </si>
  <si>
    <t>Discovered at visual grid position #486. Verified Ad Details URL. Format: Single Image Ad.</t>
  </si>
  <si>
    <t>CR14314962221875068929</t>
  </si>
  <si>
    <t>https://adstransparency.google.com/advertiser/AR05016556376214732801/creative/CR12056615160043798529?region=anywhere</t>
  </si>
  <si>
    <t>Discovered at visual grid position #487. Verified Ad Details URL. Format: Single Image Ad.</t>
  </si>
  <si>
    <t>CR12056615160043798529</t>
  </si>
  <si>
    <t>https://adstransparency.google.com/advertiser/AR05016556376214732801/creative/CR14001897520184164353?region=anywhere</t>
  </si>
  <si>
    <t>CR14001897520184164353</t>
  </si>
  <si>
    <t>Discovered at visual grid position #488. Verified Ad Details URL. Format: Single Image Ad.</t>
  </si>
  <si>
    <t>https://mangools.com/serpwatcher/</t>
  </si>
  <si>
    <t>Discovered at visual grid position #489. Verified Ad Details URL. Format: Single Image Ad.</t>
  </si>
  <si>
    <t>CodeCat, s.r.o.</t>
  </si>
  <si>
    <t>Search Text Ad: "Your Website SERP Performance - Track Rankings Anywhere"</t>
  </si>
  <si>
    <t>https://adstransparency.google.com/advertiser/AR05538899415307124737/creative/CR06206837284478648321?region=anywhere</t>
  </si>
  <si>
    <t>Discovered at visual grid position #490. Verified Ad Details URL. Format: Single Image Ad.</t>
  </si>
  <si>
    <t>CR06206837284478648321</t>
  </si>
  <si>
    <t>https://mangools.com/</t>
  </si>
  <si>
    <t>Search Text Ad: "Juicy SEO Tools You Will Love - Package of 5 User Friendly Tools"</t>
  </si>
  <si>
    <t>https://adstransparency.google.com/advertiser/AR05538899415307124737/creative/CR03305588044261752833?region=anywhere</t>
  </si>
  <si>
    <t>Discovered at visual grid position #491. Verified Ad Details URL. Format: Single Image Ad.</t>
  </si>
  <si>
    <t>CR03305588044261752833</t>
  </si>
  <si>
    <t>Li Qingfeng</t>
  </si>
  <si>
    <t>Search Text Ad: "Rank Tracking Software - Backlink Checker &amp; SERP Previews"</t>
  </si>
  <si>
    <t>https://adstransparency.google.com/advertiser/AR07491212980508426241/creative/CR08610461864205221889?region=anywhere</t>
  </si>
  <si>
    <t>Discovered at visual grid position #492. Verified Ad Details URL. Format: Single Image Ad.</t>
  </si>
  <si>
    <t>CR08610461864205221889</t>
  </si>
  <si>
    <t>Search Text Ad: "Find Long-Tail Keywords with Low SEO Difficulty - KWFinder"</t>
  </si>
  <si>
    <t>https://adstransparency.google.com/advertiser/AR05538899415307124737/creative/CR13023370877708795905?region=anywhere</t>
  </si>
  <si>
    <t>Discovered at visual grid position #493. Verified Ad Details URL. Format: Single Image Ad.</t>
  </si>
  <si>
    <t>CR13023370877708795905</t>
  </si>
  <si>
    <t>https://mangools.com/seo/tools</t>
  </si>
  <si>
    <t>Search Text Ad: "Mangools SEO Suite - 5 Super User Friendly Tools with Proven Data"</t>
  </si>
  <si>
    <t>https://adstransparency.google.com/advertiser/AR05538899415307124737/creative/CR16401207161016811521?region=anywhere</t>
  </si>
  <si>
    <t>Discovered at visual grid position #494. Verified Ad Details URL. Format: Single Image Ad.</t>
  </si>
  <si>
    <t>CR16401207161016811521</t>
  </si>
  <si>
    <t>Search Text Ad: "Mangools - Juicy SEO Tools You Will Love - Find Keywords &amp; Backlinks"</t>
  </si>
  <si>
    <t>https://adstransparency.google.com/advertiser/AR05538899415307124737/creative/CR01617934452648837121?region=anywhere</t>
  </si>
  <si>
    <t>CR01617934452648837121</t>
  </si>
  <si>
    <t>Discovered at visual grid position #495. Verified Ad Details URL. Format: Single Image Ad.</t>
  </si>
  <si>
    <t>Search Text Ad: "Free SEO Tools - Keyword Ideas, Content Checks &amp; Location Insights"</t>
  </si>
  <si>
    <t>https://adstransparency.google.com/advertiser/AR07491212980508426241/creative/CR08723590615587094529?region=anywhere</t>
  </si>
  <si>
    <t>CR08723590615587094529</t>
  </si>
  <si>
    <t>AFFI TECH 40</t>
  </si>
  <si>
    <t>Search Text Ad: "Welcome to Mangools - All-in-one SEO Suite with Simple Interface"</t>
  </si>
  <si>
    <t>https://adstransparency.google.com/advertiser/AR03264499243192156161/creative/CR02847621187637346305?region=anywhere</t>
  </si>
  <si>
    <t>Discovered at visual grid position #496. Verified Ad Details URL. Format: Single Image Ad.</t>
  </si>
  <si>
    <t>CR02847621187637346305</t>
  </si>
  <si>
    <t>Search Text Ad: "Accurate Keyword Data &amp; Rank Tracking - Great UI for Any Location"</t>
  </si>
  <si>
    <t>https://adstransparency.google.com/advertiser/AR05538899415307124737/creative/CR04476897652482506753?region=anywhere</t>
  </si>
  <si>
    <t>CR04476897652482506753</t>
  </si>
  <si>
    <t>Search Text Ad: "Best Keyword Research Tool - Simple &amp; Super User-Friendly"</t>
  </si>
  <si>
    <t>https://adstransparency.google.com/advertiser/AR05538899415307124737/creative/CR18261034025747480577?region=anywhere</t>
  </si>
  <si>
    <t>Discovered at visual grid position #497. Verified Ad Details URL. Format: Single Image Ad.</t>
  </si>
  <si>
    <t>CR18261034025747480577</t>
  </si>
  <si>
    <t>Discovered at visual grid position #498. Verified Ad Details URL. Format: Single Image Ad.</t>
  </si>
  <si>
    <t>https://mangools.com/linkminer/</t>
  </si>
  <si>
    <t>NGUYỄN HẢI NAM</t>
  </si>
  <si>
    <t>Search Text Ad: "Competitors' Backlinks &amp; SEO Insights - LinkMiner Backlink Analysis"</t>
  </si>
  <si>
    <t>https://adstransparency.google.com/advertiser/AR08188980299493801985/creative/CR14483344619418419201?region=anywhere</t>
  </si>
  <si>
    <t>Discovered at visual grid position #499. Verified Ad Details URL. Format: Single Image Ad.</t>
  </si>
  <si>
    <t>CR14483344619418419201</t>
  </si>
  <si>
    <t>https://mangools.com/siteprofiler/</t>
  </si>
  <si>
    <t>Hamed Farhadian</t>
  </si>
  <si>
    <t>Search Text Ad: "Check Competitor Website Authority &amp; Top Content - SiteProfiler"</t>
  </si>
  <si>
    <t>https://adstransparency.google.com/advertiser/AR06046219148424380417/creative/CR15876814846998609921?region=anywhere</t>
  </si>
  <si>
    <t>Discovered at visual grid position #500. Verified Ad Details URL. Format: Single Image Ad.</t>
  </si>
  <si>
    <t>CR15876814846998609921</t>
  </si>
  <si>
    <t>https://mangools.com/serpchecker/</t>
  </si>
  <si>
    <t>HOÀNG VĂN DUY</t>
  </si>
  <si>
    <t>Search Text Ad: "Analyze Google SERPs with Localized Results - SERPChecker"</t>
  </si>
  <si>
    <t>https://adstransparency.google.com/advertiser/AR11083541597025992705/creative/CR14197332439256268801?region=anywhere</t>
  </si>
  <si>
    <t>Discovered at visual grid position #501. Verified Ad Details URL. Format: Single Image Ad.</t>
  </si>
  <si>
    <t>CR14197332439256268801</t>
  </si>
  <si>
    <t>https://mangools.com/pricing</t>
  </si>
  <si>
    <t>the JAR group</t>
  </si>
  <si>
    <t>Search Text Ad: "Mangools Pricing - Affordable All-in-One SEO Plans for Individuals &amp; Teams"</t>
  </si>
  <si>
    <t>https://adstransparency.google.com/advertiser/AR17788391970247278593/creative/CR09727762293038514177?region=anywhere</t>
  </si>
  <si>
    <t>Discovered at visual grid position #502. Verified Ad Details URL. Format: Single Image Ad.</t>
  </si>
  <si>
    <t>CR09727762293038514177</t>
  </si>
  <si>
    <t>ABDUL VAHID</t>
  </si>
  <si>
    <t>Search Text Ad: "Start 10-Day Free Trial - No Credit Card Required - Mangools SEO"</t>
  </si>
  <si>
    <t>https://adstransparency.google.com/advertiser/AR11494914002723536897/creative/CR16980757601123827713?region=anywhere</t>
  </si>
  <si>
    <t>Discovered at visual grid position #503. Verified Ad Details URL. Format: Single Image Ad.</t>
  </si>
  <si>
    <t>CR16980757601123827713</t>
  </si>
  <si>
    <t>Search Text Ad: "Juicy SEO Tools - Boost Website Traffic &amp; Organic Search Rankings"</t>
  </si>
  <si>
    <t>https://adstransparency.google.com/advertiser/AR05538899415307124737/creative/CR06694026883836674049?region=anywhere</t>
  </si>
  <si>
    <t>Discovered at visual grid position #504. Verified Ad Details URL. Format: Single Image Ad.</t>
  </si>
  <si>
    <t>CR06694026883836674049</t>
  </si>
  <si>
    <t>Search Text Ad: "Find Profitable Keywords - Real Search Volumes &amp; Difficulty Scores"</t>
  </si>
  <si>
    <t>https://adstransparency.google.com/advertiser/AR05538899415307124737/creative/CR15740018197295792129?region=anywhere</t>
  </si>
  <si>
    <t>Discovered at visual grid position #505. Verified Ad Details URL. Format: Single Image Ad.</t>
  </si>
  <si>
    <t>CR15740018197295792129</t>
  </si>
  <si>
    <t>Search Text Ad: "Daily Rank Tracking - Instant Alerts on Ranking Changes"</t>
  </si>
  <si>
    <t>https://adstransparency.google.com/advertiser/AR05538899415307124737/creative/CR06290233162681286657?region=anywhere</t>
  </si>
  <si>
    <t>CR06290233162681286657</t>
  </si>
  <si>
    <t>Search Text Ad: "Replicate Competitor Backlinks - Find Powerful Link Opportunities"</t>
  </si>
  <si>
    <t>https://adstransparency.google.com/advertiser/AR05538899415307124737/creative/CR00906987055853076481?region=anywhere</t>
  </si>
  <si>
    <t>Discovered at visual grid position #506. Verified Ad Details URL. Format: Single Image Ad.</t>
  </si>
  <si>
    <t>CR00906987055853076481</t>
  </si>
  <si>
    <t>Search Text Ad: "Complete SEO Audit &amp; Domain Overview in One Click"</t>
  </si>
  <si>
    <t>https://adstransparency.google.com/advertiser/AR05538899415307124737/creative/CR13254440856967970817?region=anywhere</t>
  </si>
  <si>
    <t>Discovered at visual grid position #507. Verified Ad Details URL. Format: Single Image Ad.</t>
  </si>
  <si>
    <t>CR13254440856967970817</t>
  </si>
  <si>
    <t>Search Text Ad: "Local SEO Analysis - Compare Mobile &amp; Desktop SERP Previews"</t>
  </si>
  <si>
    <t>https://adstransparency.google.com/advertiser/AR05538899415307124737/creative/CR04781040478738972673?region=anywhere</t>
  </si>
  <si>
    <t>CR04781040478738972673</t>
  </si>
  <si>
    <t>Search Text Ad: "Affordable Alternative to Ahrefs &amp; Semrush - Mangools Suite"</t>
  </si>
  <si>
    <t>https://adstransparency.google.com/advertiser/AR05538899415307124737/creative/CR08860926532793663489?region=anywhere</t>
  </si>
  <si>
    <t>Discovered at visual grid position #508. Verified Ad Details URL. Format: Single Image Ad.</t>
  </si>
  <si>
    <t>CR08860926532793663489</t>
  </si>
  <si>
    <t>Search Text Ad: "SEO Tools Loved by 2,500,000+ Marketers Worldwide"</t>
  </si>
  <si>
    <t>https://adstransparency.google.com/advertiser/AR05538899415307124737/creative/CR00543063069429858305?region=anywhere</t>
  </si>
  <si>
    <t>CR00543063069429858305</t>
  </si>
  <si>
    <t>https://mangools.com/seo-extension</t>
  </si>
  <si>
    <t>Discovered at visual grid position #509. Verified Ad Details URL. Format: Single Image Ad.</t>
  </si>
  <si>
    <t>Search Text Ad: "Mangools SEO Extension - Instant SEO Metrics in Your Browser"</t>
  </si>
  <si>
    <t>https://adstransparency.google.com/advertiser/AR05538899415307124737/creative/CR12803935208940240897?region=anywhere</t>
  </si>
  <si>
    <t>CR12803935208940240897</t>
  </si>
  <si>
    <t>Search Text Ad: "Special Mangools Subscription Offer - Save on Annual Plans"</t>
  </si>
  <si>
    <t>https://adstransparency.google.com/advertiser/AR05538899415307124737/creative/CR13043656781341917185?region=anywhere</t>
  </si>
  <si>
    <t>Discovered at visual grid position #510. Verified Ad Details URL. Format: Single Image Ad.</t>
  </si>
  <si>
    <t>CR13043656781341917185</t>
  </si>
  <si>
    <t>Discovered at visual grid position #511. Verified Ad Details URL. Format: Single Image Ad.</t>
  </si>
  <si>
    <t>Semrush Inc.</t>
  </si>
  <si>
    <t>Video Ad: "Semrush All-in-One Marketing Platform - Boost Organic Traffic &amp; Outrank Competitors"</t>
  </si>
  <si>
    <t>https://adstransparency.google.com/advertiser/AR11070511645502472193/creative/CR02468285664555171841?region=anywhere</t>
  </si>
  <si>
    <t>Discovered at visual grid position #512. Verified Ad Details URL. Format: Single Image Ad.</t>
  </si>
  <si>
    <t>CR02468285664555171841</t>
  </si>
  <si>
    <t>https://www.semrush.com/analytics/keywordoverview/</t>
  </si>
  <si>
    <t>Video Ad: "Semrush Keyword Magic Tool - Discover Millions of Low-Competition Keywords"</t>
  </si>
  <si>
    <t>https://adstransparency.google.com/advertiser/AR11070511645502472193/creative/CR01377189449670066177?region=anywhere</t>
  </si>
  <si>
    <t>Discovered at visual grid position #513. Verified Ad Details URL. Format: Single Image Ad.</t>
  </si>
  <si>
    <t>CR01377189449670066177</t>
  </si>
  <si>
    <t>Video Ad: "Competitor Analysis &amp; Market Explorer - Uncover Competitors' Traffic &amp; SEO Strategy"</t>
  </si>
  <si>
    <t>https://adstransparency.google.com/advertiser/AR11070511645502472193/creative/CR02328484960106708993?region=anywhere</t>
  </si>
  <si>
    <t>CR02328484960106708993</t>
  </si>
  <si>
    <t>Video Ad: "Start Your Semrush 7-Day Free Trial - Access 55+ SEO &amp; Marketing Tools"</t>
  </si>
  <si>
    <t>https://adstransparency.google.com/advertiser/AR11070511645502472193/creative/CR15928882795657560065?region=anywhere</t>
  </si>
  <si>
    <t>Discovered at visual grid position #514. Verified Ad Details URL. Format: Single Image Ad.</t>
  </si>
  <si>
    <t>CR15928882795657560065</t>
  </si>
  <si>
    <t>https://www.semrush.com/analytics/backlinks/overview/</t>
  </si>
  <si>
    <t>Video Ad: "Semrush Backlink Analytics - Discover High-Quality Link Building Opportunities"</t>
  </si>
  <si>
    <t>https://adstransparency.google.com/advertiser/AR11070511645502472193/creative/CR12102059762326175745?region=anywhere</t>
  </si>
  <si>
    <t>Discovered at visual grid position #515. Verified Ad Details URL. Format: Single Image Ad.</t>
  </si>
  <si>
    <t>CR12102059762326175745</t>
  </si>
  <si>
    <t>https://www.semrush.com/features/</t>
  </si>
  <si>
    <t>Video Ad: "Semrush On-Page SEO Checker - Get Actionable Recommendations to Rank Higher"</t>
  </si>
  <si>
    <t>https://adstransparency.google.com/advertiser/AR11070511645502472193/creative/CR00926089515607523329?region=anywhere</t>
  </si>
  <si>
    <t>Discovered at visual grid position #516. Verified Ad Details URL. Format: Single Image Ad.</t>
  </si>
  <si>
    <t>CR00926089515607523329</t>
  </si>
  <si>
    <t>https://www.semrush.com/agencies/</t>
  </si>
  <si>
    <t>Video Ad: "Semrush for Agencies - Agency Growth Kit, Client Portals &amp; White-Label Reporting"</t>
  </si>
  <si>
    <t>https://adstransparency.google.com/advertiser/AR11070511645502472193/creative/CR03584006842503659521?region=anywhere</t>
  </si>
  <si>
    <t>Discovered at visual grid position #517. Verified Ad Details URL. Format: Single Image Ad.</t>
  </si>
  <si>
    <t>CR03584006842503659521</t>
  </si>
  <si>
    <t>https://www.semrush.com/pricing/</t>
  </si>
  <si>
    <t>Video Ad: "Semrush Pricing &amp; Plans - Compare Pro, Guru &amp; Business Subscriptions"</t>
  </si>
  <si>
    <t>https://adstransparency.google.com/advertiser/AR11070511645502472193/creative/CR06451990014824808449?region=anywhere</t>
  </si>
  <si>
    <t>Discovered at visual grid position #518. Verified Ad Details URL. Format: Single Image Ad.</t>
  </si>
  <si>
    <t>CR06451990014824808449</t>
  </si>
  <si>
    <t>Video Ad: "PPC Keyword Tool &amp; Google Ads Research - Optimize Ad Spend &amp; Find Winning Copies"</t>
  </si>
  <si>
    <t>https://adstransparency.google.com/advertiser/AR11070511645502472193/creative/CR12945459947621056513?region=anywhere</t>
  </si>
  <si>
    <t>Discovered at visual grid position #519. Verified Ad Details URL. Format: Single Image Ad.</t>
  </si>
  <si>
    <t>CR12945459947621056513</t>
  </si>
  <si>
    <t>Video Ad: "AI Content Writing Assistant - Write SEO-Optimized Content That Ranks"</t>
  </si>
  <si>
    <t>https://adstransparency.google.com/advertiser/AR11070511645502472193/creative/CR11271468088630968321?region=anywhere</t>
  </si>
  <si>
    <t>CR11271468088630968321</t>
  </si>
  <si>
    <t>Discovered at visual grid position #520. Verified Ad Details URL. Format: Single Image Ad.</t>
  </si>
  <si>
    <t>Video Ad: "Daily SERP Rank Tracking - Monitor Search Engine Volatility &amp; Rankings Across Devices"</t>
  </si>
  <si>
    <t>https://adstransparency.google.com/advertiser/AR11070511645502472193/creative/CR13276926720159514625?region=anywhere</t>
  </si>
  <si>
    <t>CR13276926720159514625</t>
  </si>
  <si>
    <t>Video Ad: "Semrush vs. Alternatives - The Industry Standard Digital Marketing Suite"</t>
  </si>
  <si>
    <t>https://adstransparency.google.com/advertiser/AR11070511645502472193/creative/CR16223738828878249985?region=anywhere</t>
  </si>
  <si>
    <t>Discovered at visual grid position #521. Verified Ad Details URL. Format: Single Image Ad.</t>
  </si>
  <si>
    <t>CR16223738828878249985</t>
  </si>
  <si>
    <t>Video Ad: "Site Audit Tool - Fix 140+ Technical &amp; On-Page SEO Issues in Minutes"</t>
  </si>
  <si>
    <t>https://adstransparency.google.com/advertiser/AR11070511645502472193/creative/CR04957702886034243585?region=anywhere</t>
  </si>
  <si>
    <t>Discovered at visual grid position #522. Verified Ad Details URL. Format: Single Image Ad.</t>
  </si>
  <si>
    <t>CR04957702886034243585</t>
  </si>
  <si>
    <t>https://www.semrush.com/kb/demo/</t>
  </si>
  <si>
    <t>Video Ad: "Request a Live Demo - Personalized Walkthrough of Enterprise Semrush Features"</t>
  </si>
  <si>
    <t>https://adstransparency.google.com/advertiser/AR11070511645502472193/creative/CR16118561745588453377?region=anywhere</t>
  </si>
  <si>
    <t>CR16118561745588453377</t>
  </si>
  <si>
    <t>https://adstransparency.google.com/advertiser/AR11070511645502472193/creative/CR16820278862528118785?region=anywhere</t>
  </si>
  <si>
    <t>Discovered at visual grid position #523. Verified Ad Details URL. Format: Single Image Ad.</t>
  </si>
  <si>
    <t>CR16820278862528118785</t>
  </si>
  <si>
    <t>https://adstransparency.google.com/advertiser/AR11070511645502472193/creative/CR14223296169395617793?region=anywhere</t>
  </si>
  <si>
    <t>CR14223296169395617793</t>
  </si>
  <si>
    <t>Discovered at visual grid position #524. Verified Ad Details URL. Format: Single Image Ad.</t>
  </si>
  <si>
    <t>https://adstransparency.google.com/advertiser/AR11070511645502472193/creative/CR10555220075126718465?region=anywhere</t>
  </si>
  <si>
    <t>CR10555220075126718465</t>
  </si>
  <si>
    <t>Discovered at visual grid position #525. Verified Ad Details URL. Format: Single Image Ad.</t>
  </si>
  <si>
    <t>https://adstransparency.google.com/advertiser/AR11070511645502472193/creative/CR13261777648952016897?region=anywhere</t>
  </si>
  <si>
    <t>CR13261777648952016897</t>
  </si>
  <si>
    <t>Discovered at visual grid position #526. Verified Ad Details URL. Format: Single Image Ad.</t>
  </si>
  <si>
    <t>https://adstransparency.google.com/advertiser/AR11070511645502472193/creative/CR03641438251832573953?region=anywhere</t>
  </si>
  <si>
    <t>CR03641438251832573953</t>
  </si>
  <si>
    <t>Discovered at visual grid position #527. Verified Ad Details URL. Format: Single Image Ad.</t>
  </si>
  <si>
    <t>https://adstransparency.google.com/advertiser/AR11070511645502472193/creative/CR04874667767904600065?region=anywhere</t>
  </si>
  <si>
    <t>Discovered at visual grid position #528. Verified Ad Details URL. Format: Single Image Ad.</t>
  </si>
  <si>
    <t>CR04874667767904600065</t>
  </si>
  <si>
    <t>https://adstransparency.google.com/advertiser/AR11070511645502472193/creative/CR03590007427212247041?region=anywhere</t>
  </si>
  <si>
    <t>LLM users convert at 4.4x more than traditional search  Semrush's AI Visibility Index examined how brands appear across AI search platforms and found something significant about user behavior. People coming through LLM responses aren't just browsing. They're actively looking to make decisions and take action.  The difference is substantial enough to matter. A 4.4x conversion lift isn't marginal at all.   This means that AI responses aren't just competing with search results; they are competing with the websites and guiding users towards the conversion.   If you are too focused on top-of-funnel queries and prompts, you have already lost the user.  This report (linked below) has some other great nuggets on who is searching, where they are searching, and who is grabbing the most share of voice, but that insight above really jumped out at me.    #semrushpartner</t>
  </si>
  <si>
    <t>#semrushpartner</t>
  </si>
  <si>
    <t>Ran from Nov 25, 2025 to Dec 1, 2025</t>
  </si>
  <si>
    <t>CR03590007427212247041</t>
  </si>
  <si>
    <t>Discovered at visual grid position #529. Verified Ad Details URL. Format: Single Image Ad.</t>
  </si>
  <si>
    <t>https://adstransparency.google.com/advertiser/AR11070511645502472193/creative/CR11247542715610562561?region=anywhere</t>
  </si>
  <si>
    <t>Join in for tactical insights &amp; real use cases</t>
  </si>
  <si>
    <t>Hey, Berlin leaders! At the upcoming meetup we’ll serve forward-thinking frameworks for SEO, Content, GEO &amp; AI followed by networking.</t>
  </si>
  <si>
    <t>SEO, AI Search &amp; GEO, Content Strategy</t>
  </si>
  <si>
    <t>Ran from Nov 21, 2025 to Dec 1, 2025</t>
  </si>
  <si>
    <t>Discovered at visual grid position #530. Verified Ad Details URL. Format: Single Image Ad.</t>
  </si>
  <si>
    <t>CR11247542715610562561</t>
  </si>
  <si>
    <t>https://adstransparency.google.com/advertiser/AR11070511645502472193/creative/CR01122947975820083201?region=anywhere</t>
  </si>
  <si>
    <t>Ran from Nov 18, 2025 to Nov 21, 2025</t>
  </si>
  <si>
    <t>Discovered at visual grid position #531. Verified Ad Details URL. Format: Single Image Ad.</t>
  </si>
  <si>
    <t>CR01122947975820083201</t>
  </si>
  <si>
    <t>https://adstransparency.google.com/advertiser/AR11070511645502472193/creative/CR11831271239773585409?region=anywhere</t>
  </si>
  <si>
    <t>Discovered at visual grid position #532. Verified Ad Details URL. Format: Single Image Ad.</t>
  </si>
  <si>
    <t>CR11831271239773585409</t>
  </si>
  <si>
    <t>https://adstransparency.google.com/advertiser/AR11070511645502472193/creative/CR03716774271716950017?region=anywhere</t>
  </si>
  <si>
    <t>Discovered at visual grid position #533. Verified Ad Details URL. Format: Single Image Ad.</t>
  </si>
  <si>
    <t>CR03716774271716950017</t>
  </si>
  <si>
    <t>https://adstransparency.google.com/advertiser/AR11070511645502472193/creative/CR02123310043049754625?region=anywhere</t>
  </si>
  <si>
    <t>Ran from Nov 18, 2025 to Dec 2, 2025</t>
  </si>
  <si>
    <t>Discovered at visual grid position #534. Verified Ad Details URL. Format: Single Image Ad.</t>
  </si>
  <si>
    <t>CR02123310043049754625</t>
  </si>
  <si>
    <t>https://adstransparency.google.com/advertiser/AR11070511645502472193/creative/CR04906517020578676737?region=anywhere</t>
  </si>
  <si>
    <t>Discovered at visual grid position #535. Verified Ad Details URL. Format: Single Image Ad.</t>
  </si>
  <si>
    <t>CR04906517020578676737</t>
  </si>
  <si>
    <t>https://adstransparency.google.com/advertiser/AR11070511645502472193/creative/CR00058861813827108865?region=anywhere</t>
  </si>
  <si>
    <t>Discovered at visual grid position #536. Verified Ad Details URL. Format: Single Image Ad.</t>
  </si>
  <si>
    <t>CR00058861813827108865</t>
  </si>
  <si>
    <t>https://adstransparency.google.com/advertiser/AR11070511645502472193/creative/CR07194262068399177729?region=anywhere</t>
  </si>
  <si>
    <t>CR07194262068399177729</t>
  </si>
  <si>
    <t>Discovered at visual grid position #537. Verified Ad Details URL. Format: Single Image Ad.</t>
  </si>
  <si>
    <t>https://adstransparency.google.com/advertiser/AR11070511645502472193/creative/CR03634547818619731969?region=anywhere</t>
  </si>
  <si>
    <t>CR03634547818619731969</t>
  </si>
  <si>
    <t>https://adstransparency.google.com/advertiser/AR11070511645502472193/creative/CR17645418358708895745?region=anywhere</t>
  </si>
  <si>
    <t>Ran from Nov 27, 2025 to Dec 22, 2025</t>
  </si>
  <si>
    <t>Discovered at visual grid position #538. Verified Ad Details URL. Format: Single Image Ad.</t>
  </si>
  <si>
    <t>CR17645418358708895745</t>
  </si>
  <si>
    <t>https://adstransparency.google.com/advertiser/AR11070511645502472193/creative/CR06312954321361174529?region=anywhere</t>
  </si>
  <si>
    <t>Discovered at visual grid position #539. Verified Ad Details URL. Format: Single Image Ad.</t>
  </si>
  <si>
    <t>CR06312954321361174529</t>
  </si>
  <si>
    <t>https://adstransparency.google.com/advertiser/AR11070511645502472193/creative/CR06382271932422684673?region=anywhere</t>
  </si>
  <si>
    <t>Most marketing teams are optimizing for people who don't exist.  They're chasing keywords nobody's typing, creating content nobody wants, and wondering why nothing converts.   Here's what actually works: knowing your customer so well you can predict what they'll search before they do.  Since I started consulting on SEO strategies seven years ago, I've seen businesses chase trends, throw budget audits, or optimize for every SEO best practice under the sun, only to fall flat because they didn't get their audience.  The agency told them it was going to take time or the algorithm changed, but it was doomed to fail from the start.   If only they knew their customers.  Here's how to make it work:  1️⃣ Start with data you already have. Dive into Google Analytics, CRM reports, or cluster keyword research tools like Semrush. (This helps you find the topics, not just the keywords.)  2️⃣Look at who's visiting your site, what they're clicking, and where they drop off.  Patterns tell stories; if they are dropping, you are missing something.   3️⃣Talk to your customers. Surveys, interviews, or a quick poll on LinkedIn can reveal what your audience loves, hates, or needs.   4️⃣You can just ask open-ended questions, and you'll uncover insights that no tool can give you.  5️⃣ Build personas that live. Don't just write 'Sarah, 35, mom.'  6️⃣ Test and tweak. Use your insights to craft targeted campaigns, then measure what hits. A/B test headlines, landing pages, or even keywords. If your data indicates that your audience prefers video tutorials, consider ditching the 2,000-word blog post.  Knowing your customers is a superpower that most acquisition marketing teams skip.  SEO done around a customer is poised to convert.   Semrush partner post</t>
  </si>
  <si>
    <t>SEO, Content Strategy, Growth Marketing, Keyword Research</t>
  </si>
  <si>
    <t>CR06382271932422684673</t>
  </si>
  <si>
    <t>https://adstransparency.google.com/advertiser/AR11070511645502472193/creative/CR10611820485593268225?region=anywhere</t>
  </si>
  <si>
    <t>Discovered at visual grid position #540. Verified Ad Details URL. Format: Single Image Ad.</t>
  </si>
  <si>
    <t>CR10611820485593268225</t>
  </si>
  <si>
    <t>AI Mode != AI Overviews  If you think pushing the latest 'tactic' for visibility in AI Overviews will cover your bases for AI Mode, it won't.  According to my tracked data in Semrush's AIO there is a big difference between what I see in AI Mode vs AI Overviews.   (Side note, I love that Semrush can track AI Mode)  This means that AI Overviews is still keyed off of basic prompts functioning like keywords, but AI Mode is a rebuild of how search will work.   I still don't think an AI Mode default is right around the corner because monetization isn't ready yet, but be prepared for it. It is coming.   #SemrushPartner</t>
  </si>
  <si>
    <t>Search Visibility, Keyword Research</t>
  </si>
  <si>
    <t>https://adstransparency.google.com/advertiser/AR11070511645502472193/creative/CR09940973257115041793?region=anywhere</t>
  </si>
  <si>
    <t>CR09940973257115041793</t>
  </si>
  <si>
    <t>Discovered at visual grid position #541. Verified Ad Details URL. Format: Single Image Ad.</t>
  </si>
  <si>
    <t>https://adstransparency.google.com/advertiser/AR11070511645502472193/creative/CR04061229274466615297?region=anywhere</t>
  </si>
  <si>
    <t>How Bajaj Finserv scaled search performance, automated reporting, and unlocked +260% visibility gains with Semrush Enterprise.</t>
  </si>
  <si>
    <t>Enterprise brands rarely lack strategy. They struggle to scale it across a fragmented stack of point solutions.   Bajaj Finserv a leader in Indian financial services, fixed that by standardizing on Semrush Enterprise as their single platform for search and content.   One platform, one source of truth, automated heavy lifting, and room to launch new categories faster.  The impact:  • 260% growth in share of voice  • 28% increase in traffic  • 3x more page-one results  This is what happens when you replace point tools with a platform built for scale. Thank you ANSHUL BALI for your partnership and for sharing your story.  Full story: https://lnkd.in/d4Wamz2z  Congrats Jack P, Bijith Bhaskar and team.</t>
  </si>
  <si>
    <t>Search Visibility, Enterprise &amp; GTM, Content Strategy, Growth Marketing</t>
  </si>
  <si>
    <t>Ran from Nov 25, 2025 to Nov 29, 2025</t>
  </si>
  <si>
    <t>CR04061229274466615297</t>
  </si>
  <si>
    <t>Discovered at visual grid position #542. Verified Ad Details URL. Format: Single Image Ad.</t>
  </si>
  <si>
    <t>https://adstransparency.google.com/advertiser/AR11070511645502472193/creative/CR15505035056153362433?region=anywhere</t>
  </si>
  <si>
    <t>CR15505035056153362433</t>
  </si>
  <si>
    <t>https://adstransparency.google.com/advertiser/AR11070511645502472193/creative/CR14823119344766025729?region=anywhere</t>
  </si>
  <si>
    <t>Discovered at visual grid position #543. Verified Ad Details URL. Format: Single Image Ad.</t>
  </si>
  <si>
    <t>CR14823119344766025729</t>
  </si>
  <si>
    <t>https://adstransparency.google.com/advertiser/AR11070511645502472193/creative/CR05335817238245015553?region=anywhere</t>
  </si>
  <si>
    <t>Ran from Nov 21, 2025 to Dec 2, 2025</t>
  </si>
  <si>
    <t>Discovered at visual grid position #544. Verified Ad Details URL. Format: Single Image Ad.</t>
  </si>
  <si>
    <t>CR05335817238245015553</t>
  </si>
  <si>
    <t>https://adstransparency.google.com/advertiser/AR11070511645502472193/creative/CR14133740947313262593?region=anywhere</t>
  </si>
  <si>
    <t>Discovered at visual grid position #545. Verified Ad Details URL. Format: Single Image Ad.</t>
  </si>
  <si>
    <t>CR14133740947313262593</t>
  </si>
  <si>
    <t>https://adstransparency.google.com/advertiser/AR11070511645502472193/creative/CR08220543472986226689?region=anywhere</t>
  </si>
  <si>
    <t>CR08220543472986226689</t>
  </si>
  <si>
    <t>https://adstransparency.google.com/advertiser/AR11070511645502472193/creative/CR17592219588110581761?region=anywhere</t>
  </si>
  <si>
    <t>Discovered at visual grid position #546. Verified Ad Details URL. Format: Single Image Ad.</t>
  </si>
  <si>
    <t>CR17592219588110581761</t>
  </si>
  <si>
    <t>https://adstransparency.google.com/advertiser/AR11070511645502472193/creative/CR17225545654386819073?region=anywhere</t>
  </si>
  <si>
    <t>Discovered at visual grid position #547. Verified Ad Details URL. Format: Single Image Ad.</t>
  </si>
  <si>
    <t>Discovered at visual grid position #548. Verified Ad Details URL. Format: Single Image Ad.</t>
  </si>
  <si>
    <t>CR17225545654386819073</t>
  </si>
  <si>
    <t>https://adstransparency.google.com/advertiser/AR11070511645502472193/creative/CR11961088146713608193?region=anywhere</t>
  </si>
  <si>
    <t>Discovered at visual grid position #549. Verified Ad Details URL. Format: Single Image Ad.</t>
  </si>
  <si>
    <t>CR11961088146713608193</t>
  </si>
  <si>
    <t>https://adstransparency.google.com/advertiser/AR11070511645502472193/creative/CR01828016335481733121?region=anywhere</t>
  </si>
  <si>
    <t>CR01828016335481733121</t>
  </si>
  <si>
    <t>Discovered at visual grid position #550. Verified Ad Details URL. Format: Single Image Ad.</t>
  </si>
  <si>
    <t>https://adstransparency.google.com/advertiser/AR11070511645502472193/creative/CR05107982185403514881?region=anywhere</t>
  </si>
  <si>
    <t>CR05107982185403514881</t>
  </si>
  <si>
    <t>https://adstransparency.google.com/advertiser/AR11070511645502472193/creative/CR17978489267172671489?region=anywhere</t>
  </si>
  <si>
    <t>Discovered at visual grid position #551. Verified Ad Details URL. Format: Single Image Ad.</t>
  </si>
  <si>
    <t>CR17978489267172671489</t>
  </si>
  <si>
    <t>Ran from Nov 18, 2025 to Dec 1, 2025</t>
  </si>
  <si>
    <t>https://adstransparency.google.com/advertiser/AR11070511645502472193/creative/CR15550450684586360833?region=anywhere</t>
  </si>
  <si>
    <t>Discovered at visual grid position #552. Verified Ad Details URL. Format: Single Image Ad.</t>
  </si>
  <si>
    <t>CR15550450684586360833</t>
  </si>
  <si>
    <t>https://adstransparency.google.com/advertiser/AR11070511645502472193/creative/CR03343945589728477185?region=anywhere</t>
  </si>
  <si>
    <t>See the top brands and their strategies</t>
  </si>
  <si>
    <t>Download your free blueprint for AI search and borrow the tactics used by leading brands. Get them now before the competition does.</t>
  </si>
  <si>
    <t>Ran from Nov 12, 2025 to Dec 31, 2025</t>
  </si>
  <si>
    <t>CR03343945589728477185</t>
  </si>
  <si>
    <t>Discovered at visual grid position #553. Verified Ad Details URL. Format: Single Image Ad.</t>
  </si>
  <si>
    <t>https://adstransparency.google.com/advertiser/AR11070511645502472193/creative/CR17496943607028908033?region=anywhere</t>
  </si>
  <si>
    <t>CR17496943607028908033</t>
  </si>
  <si>
    <t>https://adstransparency.google.com/advertiser/AR11070511645502472193/creative/CR13723064558245904385?region=anywhere</t>
  </si>
  <si>
    <t>Ran from Nov 12, 2025 to Dec 12, 2025</t>
  </si>
  <si>
    <t>Discovered at visual grid position #554. Verified Ad Details URL. Format: Single Image Ad.</t>
  </si>
  <si>
    <t>CR13723064558245904385</t>
  </si>
  <si>
    <t>https://adstransparency.google.com/advertiser/AR11070511645502472193/creative/CR03348136859334082561?region=anywhere</t>
  </si>
  <si>
    <t>Discovered at visual grid position #555. Verified Ad Details URL. Format: Single Image Ad.</t>
  </si>
  <si>
    <t>CR03348136859334082561</t>
  </si>
  <si>
    <t>https://adstransparency.google.com/advertiser/AR11070511645502472193/creative/CR12259327609141198849?region=anywhere</t>
  </si>
  <si>
    <t>Discovered at visual grid position #556. Verified Ad Details URL. Format: Single Image Ad.</t>
  </si>
  <si>
    <t>CR12259327609141198849</t>
  </si>
  <si>
    <t>https://adstransparency.google.com/advertiser/AR11070511645502472193/creative/CR09051142894802436097?region=anywhere</t>
  </si>
  <si>
    <t>Discovered at visual grid position #557. Verified Ad Details URL. Format: Single Image Ad.</t>
  </si>
  <si>
    <t>CR09051142894802436097</t>
  </si>
  <si>
    <t>https://adstransparency.google.com/advertiser/AR11070511645502472193/creative/CR00068120019560562689?region=anywhere</t>
  </si>
  <si>
    <t>CR00068120019560562689</t>
  </si>
  <si>
    <t>https://adstransparency.google.com/advertiser/AR11070511645502472193/creative/CR09732953053073506305?region=anywhere</t>
  </si>
  <si>
    <t>Discovered at visual grid position #558. Verified Ad Details URL. Format: Single Image Ad.</t>
  </si>
  <si>
    <t>CR09732953053073506305</t>
  </si>
  <si>
    <t>Your free blueprint for dominating AI search</t>
  </si>
  <si>
    <t>The AI Visibility Index shows you the proven strategies used by the brands winning AI search.</t>
  </si>
  <si>
    <t>https://adstransparency.google.com/advertiser/AR11070511645502472193/creative/CR03697722183338950657?region=anywhere</t>
  </si>
  <si>
    <t>Discovered at visual grid position #559. Verified Ad Details URL. Format: Single Image Ad.</t>
  </si>
  <si>
    <t>CR03697722183338950657</t>
  </si>
  <si>
    <t>https://adstransparency.google.com/advertiser/AR11070511645502472193/creative/CR11316539518384865281?region=anywhere</t>
  </si>
  <si>
    <t>Ran from Nov 11, 2025 to Dec 31, 2025</t>
  </si>
  <si>
    <t>CR11316539518384865281</t>
  </si>
  <si>
    <t>Discovered at visual grid position #560. Verified Ad Details URL. Format: Single Image Ad.</t>
  </si>
  <si>
    <t>https://adstransparency.google.com/advertiser/AR11070511645502472193/creative/CR11374153927680327681?region=anywhere</t>
  </si>
  <si>
    <t>CR11374153927680327681</t>
  </si>
  <si>
    <t>https://adstransparency.google.com/advertiser/AR11070511645502472193/creative/CR11097998456944328705?region=anywhere</t>
  </si>
  <si>
    <t>Discovered at visual grid position #561. Verified Ad Details URL. Format: Single Image Ad.</t>
  </si>
  <si>
    <t>CR11097998456944328705</t>
  </si>
  <si>
    <t>https://adstransparency.google.com/advertiser/AR11070511645502472193/creative/CR16292544522787749889?region=anywhere</t>
  </si>
  <si>
    <t>Discovered at visual grid position #562. Verified Ad Details URL. Format: Single Image Ad.</t>
  </si>
  <si>
    <t>CR16292544522787749889</t>
  </si>
  <si>
    <t>Win more clients and scale with confidence</t>
  </si>
  <si>
    <t>Partner with Semrush, the industry’s most advanced visibility platform. Power client outcomes backed by market-leading data and automations.</t>
  </si>
  <si>
    <t>https://adstransparency.google.com/advertiser/AR11070511645502472193/creative/CR14828450026245586945?region=anywhere</t>
  </si>
  <si>
    <t>Ran from Nov 11, 2025 to Nov 18, 2025</t>
  </si>
  <si>
    <t>Discovered at visual grid position #563. Verified Ad Details URL. Format: Single Image Ad.</t>
  </si>
  <si>
    <t>CR14828450026245586945</t>
  </si>
  <si>
    <t>https://adstransparency.google.com/advertiser/AR11070511645502472193/creative/CR01176395236046274561?region=anywhere</t>
  </si>
  <si>
    <t>CR01176395236046274561</t>
  </si>
  <si>
    <t>https://adstransparency.google.com/advertiser/AR11070511645502472193/creative/CR12404139380782923777?region=anywhere</t>
  </si>
  <si>
    <t>Ran from Nov 11, 2025 to Nov 11, 2025</t>
  </si>
  <si>
    <t>Discovered at visual grid position #564. Verified Ad Details URL. Format: Single Image Ad.</t>
  </si>
  <si>
    <t>CR12404139380782923777</t>
  </si>
  <si>
    <t>https://adstransparency.google.com/advertiser/AR11070511645502472193/creative/CR15384980781675839489?region=anywhere</t>
  </si>
  <si>
    <t>CR15384980781675839489</t>
  </si>
  <si>
    <t>Discovered at visual grid position #565. Verified Ad Details URL. Format: Single Image Ad.</t>
  </si>
  <si>
    <t>https://adstransparency.google.com/advertiser/AR11070511645502472193/creative/CR12209864678406356993?region=anywhere</t>
  </si>
  <si>
    <t>Join the program that accelerates results</t>
  </si>
  <si>
    <t>Made for agencies that think big, the Semrush Partner Program gives you the complete tools to scale faster growth for hundreds of clients</t>
  </si>
  <si>
    <t>Enterprise &amp; GTM, Growth Marketing</t>
  </si>
  <si>
    <t>CR12209864678406356993</t>
  </si>
  <si>
    <t>Discovered at visual grid position #566. Verified Ad Details URL. Format: Single Image Ad.</t>
  </si>
  <si>
    <t>https://adstransparency.google.com/advertiser/AR11070511645502472193/creative/CR02338767592849670145?region=anywhere</t>
  </si>
  <si>
    <t>CR02338767592849670145</t>
  </si>
  <si>
    <t>https://adstransparency.google.com/advertiser/AR11070511645502472193/creative/CR00480775976234516481?region=anywhere</t>
  </si>
  <si>
    <t>Discovered at visual grid position #567. Verified Ad Details URL. Format: Single Image Ad.</t>
  </si>
  <si>
    <t>CR00480775976234516481</t>
  </si>
  <si>
    <t>https://adstransparency.google.com/advertiser/AR11070511645502472193/creative/CR05216080121332498433?region=anywhere</t>
  </si>
  <si>
    <t>Discovered at visual grid position #568. Verified Ad Details URL. Format: Single Image Ad.</t>
  </si>
  <si>
    <t>CR05216080121332498433</t>
  </si>
  <si>
    <t>https://adstransparency.google.com/advertiser/AR11070511645502472193/creative/CR09031798886087262209?region=anywhere</t>
  </si>
  <si>
    <t>Discovered at visual grid position #569. Verified Ad Details URL. Format: Single Image Ad.</t>
  </si>
  <si>
    <t>CR09031798886087262209</t>
  </si>
  <si>
    <t>https://adstransparency.google.com/advertiser/AR11070511645502472193/creative/CR13867899213473382401?region=anywhere</t>
  </si>
  <si>
    <t>CR13867899213473382401</t>
  </si>
  <si>
    <t>https://adstransparency.google.com/advertiser/AR11070511645502472193/creative/CR17773707975278460929?region=anywhere</t>
  </si>
  <si>
    <t>Discovered at visual grid position #570. Verified Ad Details URL. Format: Single Image Ad.</t>
  </si>
  <si>
    <t>CR17773707975278460929</t>
  </si>
  <si>
    <t>https://adstransparency.google.com/advertiser/AR11070511645502472193/creative/CR13549732915268550657?region=anywhere</t>
  </si>
  <si>
    <t>CR13549732915268550657</t>
  </si>
  <si>
    <t>Discovered at visual grid position #571. Verified Ad Details URL. Format: Single Image Ad.</t>
  </si>
  <si>
    <t>https://adstransparency.google.com/advertiser/AR11070511645502472193/creative/CR16990077542717194241?region=anywhere</t>
  </si>
  <si>
    <t>CR16990077542717194241</t>
  </si>
  <si>
    <t>Discovered at visual grid position #572. Verified Ad Details URL. Format: Single Image Ad.</t>
  </si>
  <si>
    <t>https://adstransparency.google.com/advertiser/AR11070511645502472193/creative/CR08508780222869405697?region=anywhere</t>
  </si>
  <si>
    <t>CR08508780222869405697</t>
  </si>
  <si>
    <t>https://adstransparency.google.com/advertiser/AR11070511645502472193/creative/CR17801437177494634497?region=anywhere</t>
  </si>
  <si>
    <t>Discovered at visual grid position #573. Verified Ad Details URL. Format: Single Image Ad.</t>
  </si>
  <si>
    <t>CR17801437177494634497</t>
  </si>
  <si>
    <t>https://adstransparency.google.com/advertiser/AR11070511645502472193/creative/CR10170083691905155073?region=anywhere</t>
  </si>
  <si>
    <t>Discovered at visual grid position #574. Verified Ad Details URL. Format: Single Image Ad.</t>
  </si>
  <si>
    <t>CR10170083691905155073</t>
  </si>
  <si>
    <t>https://adstransparency.google.com/advertiser/AR11070511645502472193/creative/CR07166745690402455553?region=anywhere</t>
  </si>
  <si>
    <t>Discovered at visual grid position #575. Verified Ad Details URL. Format: Single Image Ad.</t>
  </si>
  <si>
    <t>CR07166745690402455553</t>
  </si>
  <si>
    <t>https://adstransparency.google.com/advertiser/AR11070511645502472193/creative/CR02016879516504293377?region=anywhere</t>
  </si>
  <si>
    <t>Grow revenue for you and your clients</t>
  </si>
  <si>
    <t>The Semrush Partner Program equips agencies with every tool to drive your client’s success, scale your growth, and stand out from the competition.</t>
  </si>
  <si>
    <t>CR02016879516504293377</t>
  </si>
  <si>
    <t>https://adstransparency.google.com/advertiser/AR11070511645502472193/creative/CR18342594810453426177?region=anywhere</t>
  </si>
  <si>
    <t>Discovered at visual grid position #576. Verified Ad Details URL. Format: Single Image Ad.</t>
  </si>
  <si>
    <t>CR18342594810453426177</t>
  </si>
  <si>
    <t>https://adstransparency.google.com/advertiser/AR11070511645502472193/creative/CR18227401657270927361?region=anywhere</t>
  </si>
  <si>
    <t>CR18227401657270927361</t>
  </si>
  <si>
    <t>https://adstransparency.google.com/advertiser/AR11070511645502472193/creative/CR10419661286538215425?region=anywhere</t>
  </si>
  <si>
    <t>Discovered at visual grid position #577. Verified Ad Details URL. Format: Single Image Ad.</t>
  </si>
  <si>
    <t>CR10419661286538215425</t>
  </si>
  <si>
    <t>https://adstransparency.google.com/advertiser/AR11070511645502472193/creative/CR13068042231259070465?region=anywhere</t>
  </si>
  <si>
    <t>Discovered at visual grid position #578. Verified Ad Details URL. Format: Single Image Ad.</t>
  </si>
  <si>
    <t>CR13068042231259070465</t>
  </si>
  <si>
    <t>https://adstransparency.google.com/advertiser/AR11070511645502472193/creative/CR00000596493648003073?region=anywhere</t>
  </si>
  <si>
    <t>CR00000596493648003073</t>
  </si>
  <si>
    <t>https://adstransparency.google.com/advertiser/AR11070511645502472193/creative/CR13604034427310047233?region=anywhere</t>
  </si>
  <si>
    <t>Discovered at visual grid position #579. Verified Ad Details URL. Format: Single Image Ad.</t>
  </si>
  <si>
    <t>CR13604034427310047233</t>
  </si>
  <si>
    <t>https://adstransparency.google.com/advertiser/AR11070511645502472193/creative/CR12472796185356140545?region=anywhere</t>
  </si>
  <si>
    <t>CR12472796185356140545</t>
  </si>
  <si>
    <t>https://adstransparency.google.com/advertiser/AR11070511645502472193/creative/CR06408935338504355841?region=anywhere</t>
  </si>
  <si>
    <t>Discovered at visual grid position #580. Verified Ad Details URL. Format: Single Image Ad.</t>
  </si>
  <si>
    <t>CR06408935338504355841</t>
  </si>
  <si>
    <t>https://adstransparency.google.com/advertiser/AR11070511645502472193/creative/CR11350969831655473153?region=anywhere</t>
  </si>
  <si>
    <t>Discovered at visual grid position #581. Verified Ad Details URL. Format: Single Image Ad.</t>
  </si>
  <si>
    <t>CR11350969831655473153</t>
  </si>
  <si>
    <t>https://adstransparency.google.com/advertiser/AR11070511645502472193/creative/CR03868508706006106113?region=anywhere</t>
  </si>
  <si>
    <t>Discovered at visual grid position #582. Verified Ad Details URL. Format: Single Image Ad.</t>
  </si>
  <si>
    <t>CR03868508706006106113</t>
  </si>
  <si>
    <t>https://adstransparency.google.com/advertiser/AR11070511645502472193/creative/CR11381250519323377665?region=anywhere</t>
  </si>
  <si>
    <t>CR11381250519323377665</t>
  </si>
  <si>
    <t>https://adstransparency.google.com/advertiser/AR11070511645502472193/creative/CR04189299289358336001?region=anywhere</t>
  </si>
  <si>
    <t>Discovered at visual grid position #583. Verified Ad Details URL. Format: Single Image Ad.</t>
  </si>
  <si>
    <t>CR04189299289358336001</t>
  </si>
  <si>
    <t>https://adstransparency.google.com/advertiser/AR11070511645502472193/creative/CR06259451441308499969?region=anywhere</t>
  </si>
  <si>
    <t>CR06259451441308499969</t>
  </si>
  <si>
    <t>Discovered at visual grid position #584. Verified Ad Details URL. Format: Single Image Ad.</t>
  </si>
  <si>
    <t>https://adstransparency.google.com/advertiser/AR11070511645502472193/creative/CR15646979808275988481?region=anywhere</t>
  </si>
  <si>
    <t>CR15646979808275988481</t>
  </si>
  <si>
    <t>https://adstransparency.google.com/advertiser/AR11070511645502472193/creative/CR01036490971346370561?region=anywhere</t>
  </si>
  <si>
    <t>Discovered at visual grid position #585. Verified Ad Details URL. Format: Single Image Ad.</t>
  </si>
  <si>
    <t>CR01036490971346370561</t>
  </si>
  <si>
    <t>https://adstransparency.google.com/advertiser/AR11070511645502472193/creative/CR05444840043841585153?region=anywhere</t>
  </si>
  <si>
    <t>Discovered at visual grid position #586. Verified Ad Details URL. Format: Single Image Ad.</t>
  </si>
  <si>
    <t>CR05444840043841585153</t>
  </si>
  <si>
    <t>https://adstransparency.google.com/advertiser/AR11070511645502472193/creative/CR09759734184208760833?region=anywhere</t>
  </si>
  <si>
    <t>Discovered at visual grid position #587. Verified Ad Details URL. Format: Single Image Ad.</t>
  </si>
  <si>
    <t>CR09759734184208760833</t>
  </si>
  <si>
    <t>https://adstransparency.google.com/advertiser/AR11070511645502472193/creative/CR07496503821871349761?region=anywhere</t>
  </si>
  <si>
    <t>CR07496503821871349761</t>
  </si>
  <si>
    <t>https://adstransparency.google.com/advertiser/AR11070511645502472193/creative/CR00879982088202223617?region=anywhere</t>
  </si>
  <si>
    <t>Discovered at visual grid position #588. Verified Ad Details URL. Format: Single Image Ad.</t>
  </si>
  <si>
    <t>CR00879982088202223617</t>
  </si>
  <si>
    <t>https://adstransparency.google.com/advertiser/AR11070511645502472193/creative/CR10660413101335117825?region=anywhere</t>
  </si>
  <si>
    <t>CR10660413101335117825</t>
  </si>
  <si>
    <t>Discovered at visual grid position #589. Verified Ad Details URL. Format: Single Image Ad.</t>
  </si>
  <si>
    <t>https://adstransparency.google.com/advertiser/AR11070511645502472193/creative/CR15792720005818220545?region=anywhere</t>
  </si>
  <si>
    <t>CR15792720005818220545</t>
  </si>
  <si>
    <t>Discovered at visual grid position #590. Verified Ad Details URL. Format: Single Image Ad.</t>
  </si>
  <si>
    <t>https://adstransparency.google.com/advertiser/AR11070511645502472193/creative/CR16699343896416616449?region=anywhere</t>
  </si>
  <si>
    <t>CR16699343896416616449</t>
  </si>
  <si>
    <t>https://adstransparency.google.com/advertiser/AR11070511645502472193/creative/CR10045301835255775233?region=anywhere</t>
  </si>
  <si>
    <t>CR10045301835255775233</t>
  </si>
  <si>
    <t>Discovered at visual grid position #591. Verified Ad Details URL. Format: Single Image Ad.</t>
  </si>
  <si>
    <t>https://adstransparency.google.com/advertiser/AR11070511645502472193/creative/CR09606440247294427137?region=anywhere</t>
  </si>
  <si>
    <t>CR09606440247294427137</t>
  </si>
  <si>
    <t>https://adstransparency.google.com/advertiser/AR11070511645502472193/creative/CR16905966767208136705?region=anywhere</t>
  </si>
  <si>
    <t>Discovered at visual grid position #592. Verified Ad Details URL. Format: Single Image Ad.</t>
  </si>
  <si>
    <t>CR16905966767208136705</t>
  </si>
  <si>
    <t>https://adstransparency.google.com/advertiser/AR11070511645502472193/creative/CR11506438439360790529?region=anywhere</t>
  </si>
  <si>
    <t>Discovered at visual grid position #593. Verified Ad Details URL. Format: Single Image Ad.</t>
  </si>
  <si>
    <t>CR11506438439360790529</t>
  </si>
  <si>
    <t>https://adstransparency.google.com/advertiser/AR11070511645502472193/creative/CR01375834207099551745?region=anywhere</t>
  </si>
  <si>
    <t>CR01375834207099551745</t>
  </si>
  <si>
    <t>https://adstransparency.google.com/advertiser/AR11070511645502472193/creative/CR12317922413441449985?region=anywhere</t>
  </si>
  <si>
    <t>Discovered at visual grid position #594. Verified Ad Details URL. Format: Single Image Ad.</t>
  </si>
  <si>
    <t>CR12317922413441449985</t>
  </si>
  <si>
    <t>https://adstransparency.google.com/advertiser/AR11070511645502472193/creative/CR09988987048704344065?region=anywhere</t>
  </si>
  <si>
    <t>CR09988987048704344065</t>
  </si>
  <si>
    <t>Discovered at visual grid position #595. Verified Ad Details URL. Format: Single Image Ad.</t>
  </si>
  <si>
    <t>https://adstransparency.google.com/advertiser/AR11070511645502472193/creative/CR12580076359511965697?region=anywhere</t>
  </si>
  <si>
    <t>CR12580076359511965697</t>
  </si>
  <si>
    <t>https://adstransparency.google.com/advertiser/AR11070511645502472193/creative/CR01273957926435815425?region=anywhere</t>
  </si>
  <si>
    <t>Discovered at visual grid position #596. Verified Ad Details URL. Format: Single Image Ad.</t>
  </si>
  <si>
    <t>CR01273957926435815425</t>
  </si>
  <si>
    <t>https://adstransparency.google.com/advertiser/AR11070511645502472193/creative/CR08374339611836547073?region=anywhere</t>
  </si>
  <si>
    <t>Discovered at visual grid position #597. Verified Ad Details URL. Format: Single Image Ad.</t>
  </si>
  <si>
    <t>CR08374339611836547073</t>
  </si>
  <si>
    <t>https://adstransparency.google.com/advertiser/AR11070511645502472193/creative/CR15781005877655371777?region=anywhere</t>
  </si>
  <si>
    <t>CR15781005877655371777</t>
  </si>
  <si>
    <t>https://adstransparency.google.com/advertiser/AR11070511645502472193/creative/CR16557498512657350657?region=anywhere</t>
  </si>
  <si>
    <t>Discovered at visual grid position #598. Verified Ad Details URL. Format: Single Image Ad.</t>
  </si>
  <si>
    <t>CR16557498512657350657</t>
  </si>
  <si>
    <t>https://adstransparency.google.com/advertiser/AR11070511645502472193/creative/CR03279864265355296769?region=anywhere</t>
  </si>
  <si>
    <t>Discovered at visual grid position #599. Verified Ad Details URL. Format: Single Image Ad.</t>
  </si>
  <si>
    <t>CR03279864265355296769</t>
  </si>
  <si>
    <t>https://adstransparency.google.com/advertiser/AR11070511645502472193/creative/CR07476823293878599681?region=anywhere</t>
  </si>
  <si>
    <t>Discovered at visual grid position #600. Verified Ad Details URL. Format: Single Image Ad.</t>
  </si>
  <si>
    <t>CR07476823293878599681</t>
  </si>
  <si>
    <t>https://adstransparency.google.com/advertiser/AR11070511645502472193/creative/CR07867510561552990209?region=anywhere</t>
  </si>
  <si>
    <t>Discovered at visual grid position #601. Verified Ad Details URL. Format: Single Image Ad.</t>
  </si>
  <si>
    <t>CR07867510561552990209</t>
  </si>
  <si>
    <t>https://adstransparency.google.com/advertiser/AR11070511645502472193/creative/CR01874178231662280705?region=anywhere</t>
  </si>
  <si>
    <t>Discovered at visual grid position #602. Verified Ad Details URL. Format: Single Image Ad.</t>
  </si>
  <si>
    <t>CR01874178231662280705</t>
  </si>
  <si>
    <t>https://adstransparency.google.com/advertiser/AR11070511645502472193/creative/CR09348088317943480321?region=anywhere</t>
  </si>
  <si>
    <t>Discovered at visual grid position #603. Verified Ad Details URL. Format: Single Image Ad.</t>
  </si>
  <si>
    <t>CR09348088317943480321</t>
  </si>
  <si>
    <t>https://adstransparency.google.com/advertiser/AR11070511645502472193/creative/CR08717831073033093121?region=anywhere</t>
  </si>
  <si>
    <t>Discovered at visual grid position #604. Verified Ad Details URL. Format: Single Image Ad.</t>
  </si>
  <si>
    <t>CR08717831073033093121</t>
  </si>
  <si>
    <t>https://adstransparency.google.com/advertiser/AR11070511645502472193/creative/CR04740053090437169153?region=anywhere</t>
  </si>
  <si>
    <t>Discovered at visual grid position #605. Verified Ad Details URL. Format: Single Image Ad.</t>
  </si>
  <si>
    <t>CR04740053090437169153</t>
  </si>
  <si>
    <t>https://adstransparency.google.com/advertiser/AR11070511645502472193/creative/CR15044625797656608769?region=anywhere</t>
  </si>
  <si>
    <t>Discovered at visual grid position #606. Verified Ad Details URL. Format: Single Image Ad.</t>
  </si>
  <si>
    <t>CR15044625797656608769</t>
  </si>
  <si>
    <t>https://adstransparency.google.com/advertiser/AR11070511645502472193/creative/CR05106927203996663809?region=anywhere</t>
  </si>
  <si>
    <t>Discovered at visual grid position #607. Verified Ad Details URL. Format: Single Image Ad.</t>
  </si>
  <si>
    <t>CR05106927203996663809</t>
  </si>
  <si>
    <t>https://adstransparency.google.com/advertiser/AR11070511645502472193/creative/CR01523172407353802753?region=anywhere</t>
  </si>
  <si>
    <t>Discovered at visual grid position #608. Verified Ad Details URL. Format: Single Image Ad.</t>
  </si>
  <si>
    <t>CR01523172407353802753</t>
  </si>
  <si>
    <t>https://adstransparency.google.com/advertiser/AR11070511645502472193/creative/CR09825406587806679041?region=anywhere</t>
  </si>
  <si>
    <t>Discovered at visual grid position #609. Verified Ad Details URL. Format: Single Image Ad.</t>
  </si>
  <si>
    <t>CR09825406587806679041</t>
  </si>
  <si>
    <t>https://adstransparency.google.com/advertiser/AR11070511645502472193/creative/CR11636449023556059137?region=anywhere</t>
  </si>
  <si>
    <t>Discovered at visual grid position #610. Verified Ad Details URL. Format: Single Image Ad.</t>
  </si>
  <si>
    <t>CR11636449023556059137</t>
  </si>
  <si>
    <t>https://adstransparency.google.com/advertiser/AR11070511645502472193/creative/CR00138574937962053633?region=anywhere</t>
  </si>
  <si>
    <t>CR00138574937962053633</t>
  </si>
  <si>
    <t>https://adstransparency.google.com/advertiser/AR11070511645502472193/creative/CR12997972073207824385?region=anywhere</t>
  </si>
  <si>
    <t>Discovered at visual grid position #611. Verified Ad Details URL. Format: Single Image Ad.</t>
  </si>
  <si>
    <t>CR12997972073207824385</t>
  </si>
  <si>
    <t>https://adstransparency.google.com/advertiser/AR11070511645502472193/creative/CR14047885040692494337?region=anywhere</t>
  </si>
  <si>
    <t>CR14047885040692494337</t>
  </si>
  <si>
    <t>https://adstransparency.google.com/advertiser/AR11070511645502472193/creative/CR02214677019776516097?region=anywhere</t>
  </si>
  <si>
    <t>Discovered at visual grid position #612. Verified Ad Details URL. Format: Single Image Ad.</t>
  </si>
  <si>
    <t>Discovered at visual grid position #613. Verified Ad Details URL. Format: Single Image Ad.</t>
  </si>
  <si>
    <t>Discovered at visual grid position #614. Verified Ad Details URL. Format: Single Image Ad.</t>
  </si>
  <si>
    <t>CR02214677019776516097</t>
  </si>
  <si>
    <t>https://adstransparency.google.com/advertiser/AR11070511645502472193/creative/CR08292686966370074625?region=anywhere</t>
  </si>
  <si>
    <t>Discovered at visual grid position #615. Verified Ad Details URL. Format: Single Image Ad.</t>
  </si>
  <si>
    <t>CR08292686966370074625</t>
  </si>
  <si>
    <t>https://adstransparency.google.com/advertiser/AR11070511645502472193/creative/CR06561864417946894337?region=anywhere</t>
  </si>
  <si>
    <t>Discovered at visual grid position #616. Verified Ad Details URL. Format: Single Image Ad.</t>
  </si>
  <si>
    <t>CR06561864417946894337</t>
  </si>
  <si>
    <t>https://adstransparency.google.com/advertiser/AR11070511645502472193/creative/CR08246905913529597953?region=anywhere</t>
  </si>
  <si>
    <t>Discovered at visual grid position #617. Verified Ad Details URL. Format: Single Image Ad.</t>
  </si>
  <si>
    <t>Discovered at visual grid position #618. Verified Ad Details URL. Format: Single Image Ad.</t>
  </si>
  <si>
    <t>CR08246905913529597953</t>
  </si>
  <si>
    <t>https://adstransparency.google.com/advertiser/AR11070511645502472193/creative/CR13404081640729214977?region=anywhere</t>
  </si>
  <si>
    <t>You heard it here: SEO is not dead!   It’s evolving rapidly, per James McCormick from IDC on-stage at Spotlight by Semrush.   James talks about the combination of traditional SEO and AI Search, helping companies win Digital Brand Visibility now and into the future:</t>
  </si>
  <si>
    <t>SEO, AI Search &amp; GEO, Search Visibility, Industry Event</t>
  </si>
  <si>
    <t>Ran from Nov 7, 2025 to Dec 1, 2025</t>
  </si>
  <si>
    <t>Discovered at visual grid position #619. Verified Ad Details URL. Format: Video Ad.</t>
  </si>
  <si>
    <t>CR13404081640729214977</t>
  </si>
  <si>
    <t>https://adstransparency.google.com/advertiser/AR11070511645502472193/creative/CR06550728907778162689?region=anywhere</t>
  </si>
  <si>
    <t>Discovered at visual grid position #620. Verified Ad Details URL. Format: Single Image Ad.</t>
  </si>
  <si>
    <t>CR06550728907778162689</t>
  </si>
  <si>
    <t>https://adstransparency.google.com/advertiser/AR11070511645502472193/creative/CR07587471375229517825?region=anywhere</t>
  </si>
  <si>
    <t>Discovered at visual grid position #621. Verified Ad Details URL. Format: Single Image Ad.</t>
  </si>
  <si>
    <t>CR07587471375229517825</t>
  </si>
  <si>
    <t>https://adstransparency.google.com/advertiser/AR11070511645502472193/creative/CR06083629980019851265?region=anywhere</t>
  </si>
  <si>
    <t>Discovered at visual grid position #622. Verified Ad Details URL. Format: Single Image Ad.</t>
  </si>
  <si>
    <t>CR06083629980019851265</t>
  </si>
  <si>
    <t>https://adstransparency.google.com/advertiser/AR11070511645502472193/creative/CR03122372487535394817?region=anywhere</t>
  </si>
  <si>
    <t>Discovered at visual grid position #623. Verified Ad Details URL. Format: Single Image Ad.</t>
  </si>
  <si>
    <t>CR03122372487535394817</t>
  </si>
  <si>
    <t>https://adstransparency.google.com/advertiser/AR11070511645502472193/creative/CR12192622137059573761?region=anywhere</t>
  </si>
  <si>
    <t>Discovered at visual grid position #624. Verified Ad Details URL. Format: Single Image Ad.</t>
  </si>
  <si>
    <t>Ran from Nov 6, 2025 to Nov 26, 2025</t>
  </si>
  <si>
    <t>Discovered at visual grid position #625. Verified Ad Details URL. Format: Single Image Ad.</t>
  </si>
  <si>
    <t>CR12192622137059573761</t>
  </si>
  <si>
    <t>https://adstransparency.google.com/advertiser/AR11070511645502472193/creative/CR11540640466529681409?region=anywhere</t>
  </si>
  <si>
    <t>Discovered at visual grid position #626. Verified Ad Details URL. Format: Single Image Ad.</t>
  </si>
  <si>
    <t>CR11540640466529681409</t>
  </si>
  <si>
    <t>https://adstransparency.google.com/advertiser/AR11070511645502472193/creative/CR01852378833093656577?region=anywhere</t>
  </si>
  <si>
    <t>Discovered at visual grid position #627. Verified Ad Details URL. Format: Single Image Ad.</t>
  </si>
  <si>
    <t>CR01852378833093656577</t>
  </si>
  <si>
    <t>Discovered at visual grid position #628. Verified Ad Details URL. Format: Single Image Ad.</t>
  </si>
  <si>
    <t>https://adstransparency.google.com/advertiser/AR11070511645502472193/creative/CR11657819681309327361?region=anywhere</t>
  </si>
  <si>
    <t>Discovered at visual grid position #629. Verified Ad Details URL. Format: Single Image Ad.</t>
  </si>
  <si>
    <t>CR11657819681309327361</t>
  </si>
  <si>
    <t>https://adstransparency.google.com/advertiser/AR11070511645502472193/creative/CR14677397606993231873?region=anywhere</t>
  </si>
  <si>
    <t>Discovered at visual grid position #630. Verified Ad Details URL. Format: Single Image Ad.</t>
  </si>
  <si>
    <t>CR14677397606993231873</t>
  </si>
  <si>
    <t>https://adstransparency.google.com/advertiser/AR11070511645502472193/creative/CR10678286762356244481?region=anywhere</t>
  </si>
  <si>
    <t>Discovered at visual grid position #631. Verified Ad Details URL. Format: Single Image Ad.</t>
  </si>
  <si>
    <t>CR10678286762356244481</t>
  </si>
  <si>
    <t>Discovered at visual grid position #632. Verified Ad Details URL. Format: Single Image Ad.</t>
  </si>
  <si>
    <t>https://adstransparency.google.com/advertiser/AR11070511645502472193/creative/CR07552498349891387393?region=anywhere</t>
  </si>
  <si>
    <t>Ran from Nov 8, 2025 to Nov 26, 2025</t>
  </si>
  <si>
    <t>Discovered at visual grid position #633. Verified Ad Details URL. Format: Single Image Ad.</t>
  </si>
  <si>
    <t>CR07552498349891387393</t>
  </si>
  <si>
    <t>https://adstransparency.google.com/advertiser/AR11070511645502472193/creative/CR11407298155943821313?region=anywhere</t>
  </si>
  <si>
    <t>Discovered at visual grid position #634. Verified Ad Details URL. Format: Single Image Ad.</t>
  </si>
  <si>
    <t>CR11407298155943821313</t>
  </si>
  <si>
    <t>https://adstransparency.google.com/advertiser/AR11070511645502472193/creative/CR12056275479670292481?region=anywhere</t>
  </si>
  <si>
    <t>Discovered at visual grid position #635. Verified Ad Details URL. Format: Single Image Ad.</t>
  </si>
  <si>
    <t>CR12056275479670292481</t>
  </si>
  <si>
    <t>Discovered at visual grid position #636. Verified Ad Details URL. Format: Single Image Ad.</t>
  </si>
  <si>
    <t>https://adstransparency.google.com/advertiser/AR11070511645502472193/creative/CR09034936479956074497?region=anywhere</t>
  </si>
  <si>
    <t>Discovered at visual grid position #637. Verified Ad Details URL. Format: Single Image Ad.</t>
  </si>
  <si>
    <t>CR09034936479956074497</t>
  </si>
  <si>
    <t>https://adstransparency.google.com/advertiser/AR11070511645502472193/creative/CR02241529533268230145?region=anywhere</t>
  </si>
  <si>
    <t>Discovered at visual grid position #638. Verified Ad Details URL. Format: Single Image Ad.</t>
  </si>
  <si>
    <t>CR02241529533268230145</t>
  </si>
  <si>
    <t>https://adstransparency.google.com/advertiser/AR11070511645502472193/creative/CR12249957407840534529?region=anywhere</t>
  </si>
  <si>
    <t>Discovered at visual grid position #639. Verified Ad Details URL. Format: Single Image Ad.</t>
  </si>
  <si>
    <t>CR12249957407840534529</t>
  </si>
  <si>
    <t>https://adstransparency.google.com/advertiser/AR11070511645502472193/creative/CR01415444594526519297?region=anywhere</t>
  </si>
  <si>
    <t>Discovered at visual grid position #640. Verified Ad Details URL. Format: Single Image Ad.</t>
  </si>
  <si>
    <t>CR01415444594526519297</t>
  </si>
  <si>
    <t>Discovered at visual grid position #641. Verified Ad Details URL. Format: Single Image Ad.</t>
  </si>
  <si>
    <t>https://adstransparency.google.com/advertiser/AR11070511645502472193/creative/CR13925669959578419201?region=anywhere</t>
  </si>
  <si>
    <t>Discovered at visual grid position #642. Verified Ad Details URL. Format: Single Image Ad.</t>
  </si>
  <si>
    <t>CR13925669959578419201</t>
  </si>
  <si>
    <t>https://adstransparency.google.com/advertiser/AR11070511645502472193/creative/CR12264927877127995393?region=anywhere</t>
  </si>
  <si>
    <t>Discovered at visual grid position #643. Verified Ad Details URL. Format: Single Image Ad.</t>
  </si>
  <si>
    <t>CR12264927877127995393</t>
  </si>
  <si>
    <t>https://adstransparency.google.com/advertiser/AR11070511645502472193/creative/CR15195219686200442881?region=anywhere</t>
  </si>
  <si>
    <t>Ran from Nov 8, 2025 to Nov 23, 2025</t>
  </si>
  <si>
    <t>Discovered at visual grid position #644. Verified Ad Details URL. Format: Single Image Ad.</t>
  </si>
  <si>
    <t>Discovered at visual grid position #645. Verified Ad Details URL. Format: Single Image Ad.</t>
  </si>
  <si>
    <t>CR15195219686200442881</t>
  </si>
  <si>
    <t>https://adstransparency.google.com/advertiser/AR11070511645502472193/creative/CR01872272365694484481?region=anywhere</t>
  </si>
  <si>
    <t>Discovered at visual grid position #646. Verified Ad Details URL. Format: Single Image Ad.</t>
  </si>
  <si>
    <t>CR01872272365694484481</t>
  </si>
  <si>
    <t>https://adstransparency.google.com/advertiser/AR11070511645502472193/creative/CR16781140827014430721?region=anywhere</t>
  </si>
  <si>
    <t>Discovered at visual grid position #647. Verified Ad Details URL. Format: Single Image Ad.</t>
  </si>
  <si>
    <t>CR16781140827014430721</t>
  </si>
  <si>
    <t>Ran from Nov 7, 2025 to Nov 26, 2025</t>
  </si>
  <si>
    <t>Discovered at visual grid position #648. Verified Ad Details URL. Format: Single Image Ad.</t>
  </si>
  <si>
    <t>https://adstransparency.google.com/advertiser/AR11070511645502472193/creative/CR09229180602165493761?region=anywhere</t>
  </si>
  <si>
    <t>Discovered at visual grid position #649. Verified Ad Details URL. Format: Single Image Ad.</t>
  </si>
  <si>
    <t>CR09229180602165493761</t>
  </si>
  <si>
    <t>https://adstransparency.google.com/advertiser/AR11070511645502472193/creative/CR05349338869034647553?region=anywhere</t>
  </si>
  <si>
    <t>Discovered at visual grid position #650. Verified Ad Details URL. Format: Single Image Ad.</t>
  </si>
  <si>
    <t>CR05349338869034647553</t>
  </si>
  <si>
    <t>https://adstransparency.google.com/advertiser/AR11070511645502472193/creative/CR11093066872415846401?region=anywhere</t>
  </si>
  <si>
    <t>Discovered at visual grid position #651. Verified Ad Details URL. Format: Single Image Ad.</t>
  </si>
  <si>
    <t>Discovered at visual grid position #652. Verified Ad Details URL. Format: Single Image Ad.</t>
  </si>
  <si>
    <t>CR11093066872415846401</t>
  </si>
  <si>
    <t>https://adstransparency.google.com/advertiser/AR11070511645502472193/creative/CR11519692570997293057?region=anywhere</t>
  </si>
  <si>
    <t>Discovered at visual grid position #653. Verified Ad Details URL. Format: Single Image Ad.</t>
  </si>
  <si>
    <t>CR11519692570997293057</t>
  </si>
  <si>
    <t>https://adstransparency.google.com/advertiser/AR11070511645502472193/creative/CR16288576247884152833?region=anywhere</t>
  </si>
  <si>
    <t>Discovered at visual grid position #654. Verified Ad Details URL. Format: Single Image Ad.</t>
  </si>
  <si>
    <t>CR16288576247884152833</t>
  </si>
  <si>
    <t>Discovered at visual grid position #655. Verified Ad Details URL. Format: Single Image Ad.</t>
  </si>
  <si>
    <t>https://adstransparency.google.com/advertiser/AR11070511645502472193/creative/CR17600897732740907009?region=anywhere</t>
  </si>
  <si>
    <t>Discovered at visual grid position #656. Verified Ad Details URL. Format: Single Image Ad.</t>
  </si>
  <si>
    <t>Discovered at visual grid position #657. Verified Ad Details URL. Format: Single Image Ad.</t>
  </si>
  <si>
    <t>CR17600897732740907009</t>
  </si>
  <si>
    <t>https://adstransparency.google.com/advertiser/AR11070511645502472193/creative/CR00554209574714867713?region=anywhere</t>
  </si>
  <si>
    <t>Discovered at visual grid position #658. Verified Ad Details URL. Format: Single Image Ad.</t>
  </si>
  <si>
    <t>CR00554209574714867713</t>
  </si>
  <si>
    <t>https://adstransparency.google.com/advertiser/AR11070511645502472193/creative/CR02575581575471169537?region=anywhere</t>
  </si>
  <si>
    <t>Discovered at visual grid position #659. Verified Ad Details URL. Format: Single Image Ad.</t>
  </si>
  <si>
    <t>Discovered at visual grid position #660. Verified Ad Details URL. Format: Single Image Ad.</t>
  </si>
  <si>
    <t>CR02575581575471169537</t>
  </si>
  <si>
    <t>https://adstransparency.google.com/advertiser/AR11070511645502472193/creative/CR14430363595072077825?region=anywhere</t>
  </si>
  <si>
    <t>Discovered at visual grid position #661. Verified Ad Details URL. Format: Single Image Ad.</t>
  </si>
  <si>
    <t>CR14430363595072077825</t>
  </si>
  <si>
    <t>https://adstransparency.google.com/advertiser/AR11070511645502472193/creative/CR08038620821675048961?region=anywhere</t>
  </si>
  <si>
    <t>Discovered at visual grid position #662. Verified Ad Details URL. Format: Single Image Ad.</t>
  </si>
  <si>
    <t>CR08038620821675048961</t>
  </si>
  <si>
    <t>https://adstransparency.google.com/advertiser/AR11070511645502472193/creative/CR01149822582623567873?region=anywhere</t>
  </si>
  <si>
    <t>Discovered at visual grid position #663. Verified Ad Details URL. Format: Single Image Ad.</t>
  </si>
  <si>
    <t>CR01149822582623567873</t>
  </si>
  <si>
    <t>https://adstransparency.google.com/advertiser/AR11070511645502472193/creative/CR01005355825704730625?region=anywhere</t>
  </si>
  <si>
    <t>Discovered at visual grid position #664. Verified Ad Details URL. Format: Single Image Ad.</t>
  </si>
  <si>
    <t>CR01005355825704730625</t>
  </si>
  <si>
    <t>https://adstransparency.google.com/advertiser/AR11070511645502472193/creative/CR01976846435575922689?region=anywhere</t>
  </si>
  <si>
    <t>Discovered at visual grid position #665. Verified Ad Details URL. Format: Single Image Ad.</t>
  </si>
  <si>
    <t>CR01976846435575922689</t>
  </si>
  <si>
    <t>https://adstransparency.google.com/advertiser/AR11070511645502472193/creative/CR13688346834353782785?region=anywhere</t>
  </si>
  <si>
    <t>Discovered at visual grid position #666. Verified Ad Details URL. Format: Single Image Ad.</t>
  </si>
  <si>
    <t>Discovered at visual grid position #667. Verified Ad Details URL. Format: Single Image Ad.</t>
  </si>
  <si>
    <t>CR13688346834353782785</t>
  </si>
  <si>
    <t>https://adstransparency.google.com/advertiser/AR11070511645502472193/creative/CR04610598446808694785?region=anywhere</t>
  </si>
  <si>
    <t>Discovered at visual grid position #668. Verified Ad Details URL. Format: Single Image Ad.</t>
  </si>
  <si>
    <t>CR04610598446808694785</t>
  </si>
  <si>
    <t>https://adstransparency.google.com/advertiser/AR11070511645502472193/creative/CR09969093584822992897?region=anywhere</t>
  </si>
  <si>
    <t>Discovered at visual grid position #669. Verified Ad Details URL. Format: Single Image Ad.</t>
  </si>
  <si>
    <t>CR09969093584822992897</t>
  </si>
  <si>
    <t>https://adstransparency.google.com/advertiser/AR11070511645502472193/creative/CR12685358858479075329?region=anywhere</t>
  </si>
  <si>
    <t>Discovered at visual grid position #670. Verified Ad Details URL. Format: Single Image Ad.</t>
  </si>
  <si>
    <t>CR12685358858479075329</t>
  </si>
  <si>
    <t>https://adstransparency.google.com/advertiser/AR11070511645502472193/creative/CR15303701420406996993?region=anywhere</t>
  </si>
  <si>
    <t>Discovered at visual grid position #671. Verified Ad Details URL. Format: Single Image Ad.</t>
  </si>
  <si>
    <t>CR15303701420406996993</t>
  </si>
  <si>
    <t>https://adstransparency.google.com/advertiser/AR11070511645502472193/creative/CR13218089834322591745?region=anywhere</t>
  </si>
  <si>
    <t>Discovered at visual grid position #672. Verified Ad Details URL. Format: Single Image Ad.</t>
  </si>
  <si>
    <t>CR13218089834322591745</t>
  </si>
  <si>
    <t>https://adstransparency.google.com/advertiser/AR11070511645502472193/creative/CR10821645830029574145?region=anywhere</t>
  </si>
  <si>
    <t>Discovered at visual grid position #673. Verified Ad Details URL. Format: Single Image Ad.</t>
  </si>
  <si>
    <t>Discovered at visual grid position #674. Verified Ad Details URL. Format: Single Image Ad.</t>
  </si>
  <si>
    <t>CR10821645830029574145</t>
  </si>
  <si>
    <t>https://adstransparency.google.com/advertiser/AR11070511645502472193/creative/CR01121562728608038913?region=anywhere</t>
  </si>
  <si>
    <t>CR01121562728608038913</t>
  </si>
  <si>
    <t>Discovered at visual grid position #675. Verified Ad Details URL. Format: Single Image Ad.</t>
  </si>
  <si>
    <t>https://adstransparency.google.com/advertiser/AR11070511645502472193/creative/CR04494251356172845057?region=anywhere</t>
  </si>
  <si>
    <t>Discovered at visual grid position #676. Verified Ad Details URL. Format: Single Image Ad.</t>
  </si>
  <si>
    <t>CR04494251356172845057</t>
  </si>
  <si>
    <t>https://adstransparency.google.com/advertiser/AR11070511645502472193/creative/CR11158419438389166081?region=anywhere</t>
  </si>
  <si>
    <t>Discovered at visual grid position #677. Verified Ad Details URL. Format: Single Image Ad.</t>
  </si>
  <si>
    <t>CR11158419438389166081</t>
  </si>
  <si>
    <t>https://adstransparency.google.com/advertiser/AR11070511645502472193/creative/CR14069146056520630273?region=anywhere</t>
  </si>
  <si>
    <t>Discovered at visual grid position #678. Verified Ad Details URL. Format: Single Image Ad.</t>
  </si>
  <si>
    <t>CR14069146056520630273</t>
  </si>
  <si>
    <t>Discovered at visual grid position #679. Verified Ad Details URL. Format: Single Image Ad.</t>
  </si>
  <si>
    <t>https://adstransparency.google.com/advertiser/AR11070511645502472193/creative/CR05807966403298328577?region=anywhere</t>
  </si>
  <si>
    <t>CR05807966403298328577</t>
  </si>
  <si>
    <t>Discovered at visual grid position #680. Verified Ad Details URL. Format: Single Image Ad.</t>
  </si>
  <si>
    <t>https://adstransparency.google.com/advertiser/AR11070511645502472193/creative/CR11098183793373085697?region=anywhere</t>
  </si>
  <si>
    <t>Discovered at visual grid position #681. Verified Ad Details URL. Format: Single Image Ad.</t>
  </si>
  <si>
    <t>CR11098183793373085697</t>
  </si>
  <si>
    <t>https://adstransparency.google.com/advertiser/AR11070511645502472193/creative/CR12840069696514424833?region=anywhere</t>
  </si>
  <si>
    <t>Discovered at visual grid position #682. Verified Ad Details URL. Format: Single Image Ad.</t>
  </si>
  <si>
    <t>Discovered at visual grid position #683. Verified Ad Details URL. Format: Single Image Ad.</t>
  </si>
  <si>
    <t>CR12840069696514424833</t>
  </si>
  <si>
    <t>https://adstransparency.google.com/advertiser/AR11070511645502472193/creative/CR11928512228522721281?region=anywhere</t>
  </si>
  <si>
    <t>Discovered at visual grid position #684. Verified Ad Details URL. Format: Single Image Ad.</t>
  </si>
  <si>
    <t>CR11928512228522721281</t>
  </si>
  <si>
    <t>https://adstransparency.google.com/advertiser/AR11070511645502472193/creative/CR05310894788566843393?region=anywhere</t>
  </si>
  <si>
    <t>Discovered at visual grid position #685. Verified Ad Details URL. Format: Single Image Ad.</t>
  </si>
  <si>
    <t>Discovered at visual grid position #686. Verified Ad Details URL. Format: Single Image Ad.</t>
  </si>
  <si>
    <t>CR05310894788566843393</t>
  </si>
  <si>
    <t>https://adstransparency.google.com/advertiser/AR11070511645502472193/creative/CR15287853540840570881?region=anywhere</t>
  </si>
  <si>
    <t>CR15287853540840570881</t>
  </si>
  <si>
    <t>Discovered at visual grid position #687. Verified Ad Details URL. Format: Single Image Ad.</t>
  </si>
  <si>
    <t>https://adstransparency.google.com/advertiser/AR11070511645502472193/creative/CR01287569674229252097?region=anywhere</t>
  </si>
  <si>
    <t>Discovered at visual grid position #688. Verified Ad Details URL. Format: Single Image Ad.</t>
  </si>
  <si>
    <t>CR01287569674229252097</t>
  </si>
  <si>
    <t>https://adstransparency.google.com/advertiser/AR11070511645502472193/creative/CR13488815023287435265?region=anywhere</t>
  </si>
  <si>
    <t>Discovered at visual grid position #689. Verified Ad Details URL. Format: Single Image Ad.</t>
  </si>
  <si>
    <t>CR13488815023287435265</t>
  </si>
  <si>
    <t>Discovered at visual grid position #690. Verified Ad Details URL. Format: Single Image Ad.</t>
  </si>
  <si>
    <t>https://adstransparency.google.com/advertiser/AR11070511645502472193/creative/CR13087203008079462401?region=anywhere</t>
  </si>
  <si>
    <t>Discovered at visual grid position #691. Verified Ad Details URL. Format: Single Image Ad.</t>
  </si>
  <si>
    <t>CR13087203008079462401</t>
  </si>
  <si>
    <t>https://adstransparency.google.com/advertiser/AR11070511645502472193/creative/CR11516468046990409729?region=anywhere</t>
  </si>
  <si>
    <t>Discovered at visual grid position #692. Verified Ad Details URL. Format: Single Image Ad.</t>
  </si>
  <si>
    <t>CR11516468046990409729</t>
  </si>
  <si>
    <t>https://adstransparency.google.com/advertiser/AR11070511645502472193/creative/CR13544201340988686337?region=anywhere</t>
  </si>
  <si>
    <t>Discovered at visual grid position #693. Verified Ad Details URL. Format: Single Image Ad.</t>
  </si>
  <si>
    <t>CR13544201340988686337</t>
  </si>
  <si>
    <t>https://adstransparency.google.com/advertiser/AR11070511645502472193/creative/CR08571447180152274945?region=anywhere</t>
  </si>
  <si>
    <t>Discovered at visual grid position #694. Verified Ad Details URL. Format: Single Image Ad.</t>
  </si>
  <si>
    <t>CR08571447180152274945</t>
  </si>
  <si>
    <t>Discovered at visual grid position #695. Verified Ad Details URL. Format: Single Image Ad.</t>
  </si>
  <si>
    <t>https://adstransparency.google.com/advertiser/AR11070511645502472193/creative/CR08818517956993482753?region=anywhere</t>
  </si>
  <si>
    <t>Discovered at visual grid position #696. Verified Ad Details URL. Format: Single Image Ad.</t>
  </si>
  <si>
    <t>CR08818517956993482753</t>
  </si>
  <si>
    <t>https://adstransparency.google.com/advertiser/AR11070511645502472193/creative/CR10197809595586445313?region=anywhere</t>
  </si>
  <si>
    <t>Discovered at visual grid position #697. Verified Ad Details URL. Format: Single Image Ad.</t>
  </si>
  <si>
    <t>CR10197809595586445313</t>
  </si>
  <si>
    <t>https://adstransparency.google.com/advertiser/AR11070511645502472193/creative/CR16322412000242040833?region=anywhere</t>
  </si>
  <si>
    <t>Discovered at visual grid position #698. Verified Ad Details URL. Format: Single Image Ad.</t>
  </si>
  <si>
    <t>Discovered at visual grid position #699. Verified Ad Details URL. Format: Single Image Ad.</t>
  </si>
  <si>
    <t>CR16322412000242040833</t>
  </si>
  <si>
    <t>https://adstransparency.google.com/advertiser/AR11070511645502472193/creative/CR07008123545909723137?region=anywhere</t>
  </si>
  <si>
    <t>Discovered at visual grid position #700. Verified Ad Details URL. Format: Single Image Ad.</t>
  </si>
  <si>
    <t>CR07008123545909723137</t>
  </si>
  <si>
    <t>https://adstransparency.google.com/advertiser/AR11070511645502472193/creative/CR15528795846026985473?region=anywhere</t>
  </si>
  <si>
    <t>Discovered at visual grid position #701. Verified Ad Details URL. Format: Single Image Ad.</t>
  </si>
  <si>
    <t>Discovered at visual grid position #702. Verified Ad Details URL. Format: Single Image Ad.</t>
  </si>
  <si>
    <t>CR15528795846026985473</t>
  </si>
  <si>
    <t>https://adstransparency.google.com/advertiser/AR11070511645502472193/creative/CR02022941880022466561?region=anywhere</t>
  </si>
  <si>
    <t>Discovered at visual grid position #703. Verified Ad Details URL. Format: Single Image Ad.</t>
  </si>
  <si>
    <t>CR02022941880022466561</t>
  </si>
  <si>
    <t>https://adstransparency.google.com/advertiser/AR11070511645502472193/creative/CR17407242948763975681?region=anywhere</t>
  </si>
  <si>
    <t>Discovered at visual grid position #704. Verified Ad Details URL. Format: Single Image Ad.</t>
  </si>
  <si>
    <t>Discovered at visual grid position #705. Verified Ad Details URL. Format: Single Image Ad.</t>
  </si>
  <si>
    <t>CR17407242948763975681</t>
  </si>
  <si>
    <t>https://adstransparency.google.com/advertiser/AR11070511645502472193/creative/CR06219010991322038273?region=anywhere</t>
  </si>
  <si>
    <t>CR06219010991322038273</t>
  </si>
  <si>
    <t>Discovered at visual grid position #706. Verified Ad Details URL. Format: Single Image Ad.</t>
  </si>
  <si>
    <t>https://adstransparency.google.com/advertiser/AR11070511645502472193/creative/CR14175110115258007553?region=anywhere</t>
  </si>
  <si>
    <t>Discovered at visual grid position #707. Verified Ad Details URL. Format: Single Image Ad.</t>
  </si>
  <si>
    <t>CR14175110115258007553</t>
  </si>
  <si>
    <t>https://adstransparency.google.com/advertiser/AR11070511645502472193/creative/CR17892646546101501953?region=anywhere</t>
  </si>
  <si>
    <t>Discovered at visual grid position #708. Verified Ad Details URL. Format: Single Image Ad.</t>
  </si>
  <si>
    <t>Discovered at visual grid position #709. Verified Ad Details URL. Format: Single Image Ad.</t>
  </si>
  <si>
    <t>CR17892646546101501953</t>
  </si>
  <si>
    <t>https://adstransparency.google.com/advertiser/AR11070511645502472193/creative/CR08489605100858245121?region=anywhere</t>
  </si>
  <si>
    <t>Discovered at visual grid position #710. Verified Ad Details URL. Format: Single Image Ad.</t>
  </si>
  <si>
    <t>CR08489605100858245121</t>
  </si>
  <si>
    <t>https://adstransparency.google.com/advertiser/AR11070511645502472193/creative/CR09749971294048223233?region=anywhere</t>
  </si>
  <si>
    <t>Discovered at visual grid position #711. Verified Ad Details URL. Format: Single Image Ad.</t>
  </si>
  <si>
    <t>CR09749971294048223233</t>
  </si>
  <si>
    <t>Discovered at visual grid position #712. Verified Ad Details URL. Format: Single Image Ad.</t>
  </si>
  <si>
    <t>https://adstransparency.google.com/advertiser/AR11070511645502472193/creative/CR11516411422141579265?region=anywhere</t>
  </si>
  <si>
    <t>Discovered at visual grid position #713. Verified Ad Details URL. Format: Single Image Ad.</t>
  </si>
  <si>
    <t>CR11516411422141579265</t>
  </si>
  <si>
    <t>https://adstransparency.google.com/advertiser/AR11070511645502472193/creative/CR13975473644428591105?region=anywhere</t>
  </si>
  <si>
    <t>Discovered at visual grid position #714. Verified Ad Details URL. Format: Single Image Ad.</t>
  </si>
  <si>
    <t>CR13975473644428591105</t>
  </si>
  <si>
    <t>Discovered at visual grid position #715. Verified Ad Details URL. Format: Single Image Ad.</t>
  </si>
  <si>
    <t>https://adstransparency.google.com/advertiser/AR11070511645502472193/creative/CR03291240224973127681?region=anywhere</t>
  </si>
  <si>
    <t>Discovered at visual grid position #716. Verified Ad Details URL. Format: Single Image Ad.</t>
  </si>
  <si>
    <t>CR03291240224973127681</t>
  </si>
  <si>
    <t>https://adstransparency.google.com/advertiser/AR11070511645502472193/creative/CR17124782809634832385?region=anywhere</t>
  </si>
  <si>
    <t>Discovered at visual grid position #717. Verified Ad Details URL. Format: Single Image Ad.</t>
  </si>
  <si>
    <t>CR17124782809634832385</t>
  </si>
  <si>
    <t>https://adstransparency.google.com/advertiser/AR11070511645502472193/creative/CR00556206287830908929?region=anywhere</t>
  </si>
  <si>
    <t>Discovered at visual grid position #718. Verified Ad Details URL. Format: Single Image Ad.</t>
  </si>
  <si>
    <t>CR00556206287830908929</t>
  </si>
  <si>
    <t>Discovered at visual grid position #719. Verified Ad Details URL. Format: Single Image Ad.</t>
  </si>
  <si>
    <t>https://adstransparency.google.com/advertiser/AR11070511645502472193/creative/CR01448711280897556481?region=anywhere</t>
  </si>
  <si>
    <t>Discovered at visual grid position #720. Verified Ad Details URL. Format: Single Image Ad.</t>
  </si>
  <si>
    <t>CR01448711280897556481</t>
  </si>
  <si>
    <t>https://adstransparency.google.com/advertiser/AR11070511645502472193/creative/CR01586370480292495361?region=anywhere</t>
  </si>
  <si>
    <t>Discovered at visual grid position #721. Verified Ad Details URL. Format: Single Image Ad.</t>
  </si>
  <si>
    <t>CR01586370480292495361</t>
  </si>
  <si>
    <t>https://adstransparency.google.com/advertiser/AR11070511645502472193/creative/CR15962260300774768641?region=anywhere</t>
  </si>
  <si>
    <t>Discovered at visual grid position #722. Verified Ad Details URL. Format: Single Image Ad.</t>
  </si>
  <si>
    <t>CR15962260300774768641</t>
  </si>
  <si>
    <t>https://adstransparency.google.com/advertiser/AR11070511645502472193/creative/CR08085015402003824641?region=anywhere</t>
  </si>
  <si>
    <t>Discovered at visual grid position #723. Verified Ad Details URL. Format: Single Image Ad.</t>
  </si>
  <si>
    <t>CR08085015402003824641</t>
  </si>
  <si>
    <t>https://adstransparency.google.com/advertiser/AR11070511645502472193/creative/CR06507813388398100481?region=anywhere</t>
  </si>
  <si>
    <t>Discovered at visual grid position #724. Verified Ad Details URL. Format: Single Image Ad.</t>
  </si>
  <si>
    <t>CR06507813388398100481</t>
  </si>
  <si>
    <t>https://adstransparency.google.com/advertiser/AR11070511645502472193/creative/CR01766514465387315201?region=anywhere</t>
  </si>
  <si>
    <t>Ran from Nov 6, 2025 to Nov 24, 2025</t>
  </si>
  <si>
    <t>Discovered at visual grid position #725. Verified Ad Details URL. Format: Single Image Ad.</t>
  </si>
  <si>
    <t>CR01766514465387315201</t>
  </si>
  <si>
    <t>https://adstransparency.google.com/advertiser/AR11070511645502472193/creative/CR15686149428979171329?region=anywhere</t>
  </si>
  <si>
    <t>Discovered at visual grid position #726. Verified Ad Details URL. Format: Single Image Ad.</t>
  </si>
  <si>
    <t>CR15686149428979171329</t>
  </si>
  <si>
    <t>https://adstransparency.google.com/advertiser/AR11070511645502472193/creative/CR10167260489642409985?region=anywhere</t>
  </si>
  <si>
    <t>Discovered at visual grid position #727. Verified Ad Details URL. Format: Single Image Ad.</t>
  </si>
  <si>
    <t>CR10167260489642409985</t>
  </si>
  <si>
    <t>https://adstransparency.google.com/advertiser/AR11070511645502472193/creative/CR13675043018535600129?region=anywhere</t>
  </si>
  <si>
    <t>Discovered at visual grid position #728. Verified Ad Details URL. Format: Single Image Ad.</t>
  </si>
  <si>
    <t>CR13675043018535600129</t>
  </si>
  <si>
    <t>https://adstransparency.google.com/advertiser/AR11070511645502472193/creative/CR00490951509672984577?region=anywhere</t>
  </si>
  <si>
    <t>Discovered at visual grid position #729. Verified Ad Details URL. Format: Single Image Ad.</t>
  </si>
  <si>
    <t>CR00490951509672984577</t>
  </si>
  <si>
    <t>https://adstransparency.google.com/advertiser/AR11070511645502472193/creative/CR03052479350856220673?region=anywhere</t>
  </si>
  <si>
    <t>Discovered at visual grid position #730. Verified Ad Details URL. Format: Single Image Ad.</t>
  </si>
  <si>
    <t>CR03052479350856220673</t>
  </si>
  <si>
    <t>https://adstransparency.google.com/advertiser/AR11070511645502472193/creative/CR14528768786246402049?region=anywhere</t>
  </si>
  <si>
    <t>Discovered at visual grid position #731. Verified Ad Details URL. Format: Single Image Ad.</t>
  </si>
  <si>
    <t>CR14528768786246402049</t>
  </si>
  <si>
    <t>Discovered at visual grid position #732. Verified Ad Details URL. Format: Single Image Ad.</t>
  </si>
  <si>
    <t>https://adstransparency.google.com/advertiser/AR11070511645502472193/creative/CR15096139875923001345?region=anywhere</t>
  </si>
  <si>
    <t>CR15096139875923001345</t>
  </si>
  <si>
    <t>Discovered at visual grid position #733. Verified Ad Details URL. Format: Single Image Ad.</t>
  </si>
  <si>
    <t>https://adstransparency.google.com/advertiser/AR11070511645502472193/creative/CR00482851544950112257?region=anywhere</t>
  </si>
  <si>
    <t>Discovered at visual grid position #734. Verified Ad Details URL. Format: Single Image Ad.</t>
  </si>
  <si>
    <t>CR00482851544950112257</t>
  </si>
  <si>
    <t>https://adstransparency.google.com/advertiser/AR11070511645502472193/creative/CR12175326819154657281?region=anywhere</t>
  </si>
  <si>
    <t>Discovered at visual grid position #735. Verified Ad Details URL. Format: Single Image Ad.</t>
  </si>
  <si>
    <t>CR12175326819154657281</t>
  </si>
  <si>
    <t>https://adstransparency.google.com/advertiser/AR11070511645502472193/creative/CR10351125496963530753?region=anywhere</t>
  </si>
  <si>
    <t>Discovered at visual grid position #736. Verified Ad Details URL. Format: Single Image Ad.</t>
  </si>
  <si>
    <t>CR10351125496963530753</t>
  </si>
  <si>
    <t>https://adstransparency.google.com/advertiser/AR11070511645502472193/creative/CR13847948506267910145?region=anywhere</t>
  </si>
  <si>
    <t>Discovered at visual grid position #737. Verified Ad Details URL. Format: Single Image Ad.</t>
  </si>
  <si>
    <t>CR13847948506267910145</t>
  </si>
  <si>
    <t>https://adstransparency.google.com/advertiser/AR11070511645502472193/creative/CR14238591518599282689?region=anywhere</t>
  </si>
  <si>
    <t>Discovered at visual grid position #738. Verified Ad Details URL. Format: Single Image Ad.</t>
  </si>
  <si>
    <t>CR14238591518599282689</t>
  </si>
  <si>
    <t>https://adstransparency.google.com/advertiser/AR11070511645502472193/creative/CR04452656144099311617?region=anywhere</t>
  </si>
  <si>
    <t>Discovered at visual grid position #739. Verified Ad Details URL. Format: Single Image Ad.</t>
  </si>
  <si>
    <t>CR04452656144099311617</t>
  </si>
  <si>
    <t>https://adstransparency.google.com/advertiser/AR11070511645502472193/creative/CR13190474500279369729?region=anywhere</t>
  </si>
  <si>
    <t>Discovered at visual grid position #740. Verified Ad Details URL. Format: Single Image Ad.</t>
  </si>
  <si>
    <t>CR13190474500279369729</t>
  </si>
  <si>
    <t>Discovered at visual grid position #741. Verified Ad Details URL. Format: Single Image Ad.</t>
  </si>
  <si>
    <t>https://adstransparency.google.com/advertiser/AR11070511645502472193/creative/CR05748327930535084033?region=anywhere</t>
  </si>
  <si>
    <t>Discovered at visual grid position #742. Verified Ad Details URL. Format: Single Image Ad.</t>
  </si>
  <si>
    <t>CR05748327930535084033</t>
  </si>
  <si>
    <t>https://adstransparency.google.com/advertiser/AR11070511645502472193/creative/CR04659705419243978753?region=anywhere</t>
  </si>
  <si>
    <t>Discovered at visual grid position #743. Verified Ad Details URL. Format: Single Image Ad.</t>
  </si>
  <si>
    <t>CR04659705419243978753</t>
  </si>
  <si>
    <t>https://adstransparency.google.com/advertiser/AR11070511645502472193/creative/CR08811944870324207617?region=anywhere</t>
  </si>
  <si>
    <t>Discovered at visual grid position #744. Verified Ad Details URL. Format: Single Image Ad.</t>
  </si>
  <si>
    <t>CR08811944870324207617</t>
  </si>
  <si>
    <t>https://adstransparency.google.com/advertiser/AR11070511645502472193/creative/CR04160584486637010945?region=anywhere</t>
  </si>
  <si>
    <t>Discovered at visual grid position #745. Verified Ad Details URL. Format: Single Image Ad.</t>
  </si>
  <si>
    <t>CR04160584486637010945</t>
  </si>
  <si>
    <t>https://adstransparency.google.com/advertiser/AR11070511645502472193/creative/CR09153069727231246337?region=anywhere</t>
  </si>
  <si>
    <t>Discovered at visual grid position #746. Verified Ad Details URL. Format: Single Image Ad.</t>
  </si>
  <si>
    <t>CR09153069727231246337</t>
  </si>
  <si>
    <t>https://adstransparency.google.com/advertiser/AR11070511645502472193/creative/CR08862062397024632833?region=anywhere</t>
  </si>
  <si>
    <t>Discovered at visual grid position #747. Verified Ad Details URL. Format: Single Image Ad.</t>
  </si>
  <si>
    <t>CR08862062397024632833</t>
  </si>
  <si>
    <t>https://adstransparency.google.com/advertiser/AR11070511645502472193/creative/CR16741994364774907905?region=anywhere</t>
  </si>
  <si>
    <t>Discovered at visual grid position #748. Verified Ad Details URL. Format: Single Image Ad.</t>
  </si>
  <si>
    <t>CR16741994364774907905</t>
  </si>
  <si>
    <t>https://adstransparency.google.com/advertiser/AR11070511645502472193/creative/CR08405867188640022529?region=anywhere</t>
  </si>
  <si>
    <t>Discovered at visual grid position #749. Verified Ad Details URL. Format: Single Image Ad.</t>
  </si>
  <si>
    <t>CR08405867188640022529</t>
  </si>
  <si>
    <t>https://adstransparency.google.com/advertiser/AR11070511645502472193/creative/CR15164717034622681089?region=anywhere</t>
  </si>
  <si>
    <t>Discovered at visual grid position #750. Verified Ad Details URL. Format: Single Image Ad.</t>
  </si>
  <si>
    <t>CR15164717034622681089</t>
  </si>
  <si>
    <t>https://adstransparency.google.com/advertiser/AR11070511645502472193/creative/CR17952055289654018049?region=anywhere</t>
  </si>
  <si>
    <t>Discovered at visual grid position #751. Verified Ad Details URL. Format: Single Image Ad.</t>
  </si>
  <si>
    <t>CR17952055289654018049</t>
  </si>
  <si>
    <t>https://adstransparency.google.com/advertiser/AR11070511645502472193/creative/CR03717443504931078145?region=anywhere</t>
  </si>
  <si>
    <t>Discovered at visual grid position #752. Verified Ad Details URL. Format: Single Image Ad.</t>
  </si>
  <si>
    <t>CR03717443504931078145</t>
  </si>
  <si>
    <t>https://adstransparency.google.com/advertiser/AR11070511645502472193/creative/CR11793623179954487297?region=anywhere</t>
  </si>
  <si>
    <t>Discovered at visual grid position #753. Verified Ad Details URL. Format: Single Image Ad.</t>
  </si>
  <si>
    <t>CR11793623179954487297</t>
  </si>
  <si>
    <t>https://adstransparency.google.com/advertiser/AR11070511645502472193/creative/CR09579191196652142593?region=anywhere</t>
  </si>
  <si>
    <t>Discovered at visual grid position #754. Verified Ad Details URL. Format: Single Image Ad.</t>
  </si>
  <si>
    <t>CR09579191196652142593</t>
  </si>
  <si>
    <t>https://adstransparency.google.com/advertiser/AR11070511645502472193/creative/CR03724687912168587265?region=anywhere</t>
  </si>
  <si>
    <t>Discovered at visual grid position #755. Verified Ad Details URL. Format: Single Image Ad.</t>
  </si>
  <si>
    <t>CR03724687912168587265</t>
  </si>
  <si>
    <t>https://adstransparency.google.com/advertiser/AR11070511645502472193/creative/CR00867107631674687489?region=anywhere</t>
  </si>
  <si>
    <t>Ran from Nov 6, 2025 to Nov 25, 2025</t>
  </si>
  <si>
    <t>Discovered at visual grid position #756. Verified Ad Details URL. Format: Single Image Ad.</t>
  </si>
  <si>
    <t>CR00867107631674687489</t>
  </si>
  <si>
    <t>https://adstransparency.google.com/advertiser/AR11070511645502472193/creative/CR17019398949439537153?region=anywhere</t>
  </si>
  <si>
    <t>Discovered at visual grid position #757. Verified Ad Details URL. Format: Single Image Ad.</t>
  </si>
  <si>
    <t>CR17019398949439537153</t>
  </si>
  <si>
    <t>https://adstransparency.google.com/advertiser/AR11070511645502472193/creative/CR18359057798056116225?region=anywhere</t>
  </si>
  <si>
    <t>Discovered at visual grid position #758. Verified Ad Details URL. Format: Single Image Ad.</t>
  </si>
  <si>
    <t>CR18359057798056116225</t>
  </si>
  <si>
    <t>Discovered at visual grid position #759. Verified Ad Details URL. Format: Single Image Ad.</t>
  </si>
  <si>
    <t>https://adstransparency.google.com/advertiser/AR11070511645502472193/creative/CR16046155305716809729?region=anywhere</t>
  </si>
  <si>
    <t>CR16046155305716809729</t>
  </si>
  <si>
    <t>Discovered at visual grid position #760. Verified Ad Details URL. Format: Single Image Ad.</t>
  </si>
  <si>
    <t>https://adstransparency.google.com/advertiser/AR11070511645502472193/creative/CR00888286046691786753?region=anywhere</t>
  </si>
  <si>
    <t>Discovered at visual grid position #761. Verified Ad Details URL. Format: Single Image Ad.</t>
  </si>
  <si>
    <t>CR00888286046691786753</t>
  </si>
  <si>
    <t>https://adstransparency.google.com/advertiser/AR11070511645502472193/creative/CR17672290603280367617?region=anywhere</t>
  </si>
  <si>
    <t>Discovered at visual grid position #762. Verified Ad Details URL. Format: Single Image Ad.</t>
  </si>
  <si>
    <t>CR17672290603280367617</t>
  </si>
  <si>
    <t>https://adstransparency.google.com/advertiser/AR11070511645502472193/creative/CR09102622759359348737?region=anywhere</t>
  </si>
  <si>
    <t>Discovered at visual grid position #763. Verified Ad Details URL. Format: Single Image Ad.</t>
  </si>
  <si>
    <t>CR09102622759359348737</t>
  </si>
  <si>
    <t>https://adstransparency.google.com/advertiser/AR11070511645502472193/creative/CR11774416773401542657?region=anywhere</t>
  </si>
  <si>
    <t>Discovered at visual grid position #764. Verified Ad Details URL. Format: Single Image Ad.</t>
  </si>
  <si>
    <t>CR11774416773401542657</t>
  </si>
  <si>
    <t>https://adstransparency.google.com/advertiser/AR11070511645502472193/creative/CR08967887092663189505?region=anywhere</t>
  </si>
  <si>
    <t>Discovered at visual grid position #765. Verified Ad Details URL. Format: Single Image Ad.</t>
  </si>
  <si>
    <t>CR08967887092663189505</t>
  </si>
  <si>
    <t>https://adstransparency.google.com/advertiser/AR11070511645502472193/creative/CR08805915217276960769?region=anywhere</t>
  </si>
  <si>
    <t>Discovered at visual grid position #766. Verified Ad Details URL. Format: Single Image Ad.</t>
  </si>
  <si>
    <t>CR08805915217276960769</t>
  </si>
  <si>
    <t>Discovered at visual grid position #767. Verified Ad Details URL. Format: Single Image Ad.</t>
  </si>
  <si>
    <t>https://adstransparency.google.com/advertiser/AR11070511645502472193/creative/CR05255583993570525185?region=anywhere</t>
  </si>
  <si>
    <t>Discovered at visual grid position #768. Verified Ad Details URL. Format: Single Image Ad.</t>
  </si>
  <si>
    <t>CR05255583993570525185</t>
  </si>
  <si>
    <t>https://adstransparency.google.com/advertiser/AR11070511645502472193/creative/CR10880862365205659649?region=anywhere</t>
  </si>
  <si>
    <t>Ran from Nov 3, 2025 to Dec 22, 2025</t>
  </si>
  <si>
    <t>Discovered at visual grid position #769. Verified Ad Details URL. Format: Single Image Ad.</t>
  </si>
  <si>
    <t>CR10880862365205659649</t>
  </si>
  <si>
    <t>https://adstransparency.google.com/advertiser/AR11070511645502472193/creative/CR14254493274235469825?region=anywhere</t>
  </si>
  <si>
    <t>Discovered at visual grid position #770. Verified Ad Details URL. Format: Single Image Ad.</t>
  </si>
  <si>
    <t>CR14254493274235469825</t>
  </si>
  <si>
    <t>https://adstransparency.google.com/advertiser/AR11070511645502472193/creative/CR06263281968020979713?region=anywhere</t>
  </si>
  <si>
    <t>Discovered at visual grid position #771. Verified Ad Details URL. Format: Single Image Ad.</t>
  </si>
  <si>
    <t>CR06263281968020979713</t>
  </si>
  <si>
    <t>Get It Moving</t>
  </si>
  <si>
    <t>Need a push? Join us as an Enterprise Account Executive with 3+ years of experience and fluent in German and/or French.</t>
  </si>
  <si>
    <t>https://adstransparency.google.com/advertiser/AR11070511645502472193/creative/CR07261511979125178369?region=anywhere</t>
  </si>
  <si>
    <t>Ran from Nov 4, 2025 to Nov 18, 2025</t>
  </si>
  <si>
    <t>Discovered at visual grid position #772. Verified Ad Details URL. Format: Single Image Ad.</t>
  </si>
  <si>
    <t>CR07261511979125178369</t>
  </si>
  <si>
    <t>https://adstransparency.google.com/advertiser/AR11070511645502472193/creative/CR02991633064569864193?region=anywhere</t>
  </si>
  <si>
    <t>Discovered at visual grid position #773. Verified Ad Details URL. Format: Single Image Ad.</t>
  </si>
  <si>
    <t>CR02991633064569864193</t>
  </si>
  <si>
    <t>Become our new Enterprise Solutions Engineer with proven experience working with India-based customers.</t>
  </si>
  <si>
    <t>https://adstransparency.google.com/advertiser/AR11070511645502472193/creative/CR09935987289710657537?region=anywhere</t>
  </si>
  <si>
    <t>Discovered at visual grid position #774. Verified Ad Details URL. Format: Single Image Ad.</t>
  </si>
  <si>
    <t>CR09935987289710657537</t>
  </si>
  <si>
    <t>https://adstransparency.google.com/advertiser/AR11070511645502472193/creative/CR04939800818099421185?region=anywhere</t>
  </si>
  <si>
    <t>Discovered at visual grid position #775. Verified Ad Details URL. Format: Carousel Ad.</t>
  </si>
  <si>
    <t>Future-proof your brand's visibility</t>
  </si>
  <si>
    <t>Meet the scalable and smart site health solution for AI-ready brands. Built to power growth for leading websites and marketers.</t>
  </si>
  <si>
    <t>CR04939800818099421185</t>
  </si>
  <si>
    <t>Ran from Oct 21, 2025 to Dec 30, 2025</t>
  </si>
  <si>
    <t>https://adstransparency.google.com/advertiser/AR11070511645502472193/creative/CR17603070780034252801?region=anywhere</t>
  </si>
  <si>
    <t>Discovered at visual grid position #776. Verified Ad Details URL. Format: Single Image Ad.</t>
  </si>
  <si>
    <t>CR17603070780034252801</t>
  </si>
  <si>
    <t>https://adstransparency.google.com/advertiser/AR11070511645502472193/creative/CR18279129212591800321?region=anywhere</t>
  </si>
  <si>
    <t>Discovered at visual grid position #777. Verified Ad Details URL. Format: Single Image Ad.</t>
  </si>
  <si>
    <t>CR18279129212591800321</t>
  </si>
  <si>
    <t>Discovered at visual grid position #778. Verified Ad Details URL. Format: Single Image Ad.</t>
  </si>
  <si>
    <t>https://adstransparency.google.com/advertiser/AR11070511645502472193/creative/CR10549028106675421185?region=anywhere</t>
  </si>
  <si>
    <t>Discovered at visual grid position #779. Verified Ad Details URL. Format: Single Image Ad.</t>
  </si>
  <si>
    <t>CR10549028106675421185</t>
  </si>
  <si>
    <t>https://adstransparency.google.com/advertiser/AR11070511645502472193/creative/CR15886129737710436353?region=anywhere</t>
  </si>
  <si>
    <t>Discovered at visual grid position #780. Verified Ad Details URL. Format: Single Image Ad.</t>
  </si>
  <si>
    <t>Wanna work somewhere meaningful? Join us as an Enterprise Account Executive with 5+ years of experience and fluent in Arabic.</t>
  </si>
  <si>
    <t>CR15886129737710436353</t>
  </si>
  <si>
    <t>https://adstransparency.google.com/advertiser/AR11070511645502472193/creative/CR12952119002355728385?region=anywhere</t>
  </si>
  <si>
    <t>Discovered at visual grid position #781. Verified Ad Details URL. Format: Single Image Ad.</t>
  </si>
  <si>
    <t>Discovered at visual grid position #782. Verified Ad Details URL. Format: Single Image Ad.</t>
  </si>
  <si>
    <t>CR12952119002355728385</t>
  </si>
  <si>
    <t>https://adstransparency.google.com/advertiser/AR11070511645502472193/creative/CR13707303514328268801?region=anywhere</t>
  </si>
  <si>
    <t>Discovered at visual grid position #783. Verified Ad Details URL. Format: Single Image Ad.</t>
  </si>
  <si>
    <t>CR13707303514328268801</t>
  </si>
  <si>
    <t>https://adstransparency.google.com/advertiser/AR11070511645502472193/creative/CR12609064983578279937?region=anywhere</t>
  </si>
  <si>
    <t>Discovered at visual grid position #784. Verified Ad Details URL. Format: Single Image Ad.</t>
  </si>
  <si>
    <t>CR12609064983578279937</t>
  </si>
  <si>
    <t>https://adstransparency.google.com/advertiser/AR11070511645502472193/creative/CR13233433209850560513?region=anywhere</t>
  </si>
  <si>
    <t>Discovered at visual grid position #785. Verified Ad Details URL. Format: Single Image Ad.</t>
  </si>
  <si>
    <t>CR13233433209850560513</t>
  </si>
  <si>
    <t>Discovered at visual grid position #786. Verified Ad Details URL. Format: Single Image Ad.</t>
  </si>
  <si>
    <t>https://adstransparency.google.com/advertiser/AR11070511645502472193/creative/CR11924136172244172801?region=anywhere</t>
  </si>
  <si>
    <t>Discovered at visual grid position #787. Verified Ad Details URL. Format: Single Image Ad.</t>
  </si>
  <si>
    <t>CR11924136172244172801</t>
  </si>
  <si>
    <t>https://adstransparency.google.com/advertiser/AR11070511645502472193/creative/CR17238703690425040897?region=anywhere</t>
  </si>
  <si>
    <t>Discovered at visual grid position #788. Verified Ad Details URL. Format: Single Image Ad.</t>
  </si>
  <si>
    <t>CR17238703690425040897</t>
  </si>
  <si>
    <t>https://adstransparency.google.com/advertiser/AR11070511645502472193/creative/CR17538415304432943105?region=anywhere</t>
  </si>
  <si>
    <t>Discovered at visual grid position #789. Verified Ad Details URL. Format: Single Image Ad.</t>
  </si>
  <si>
    <t>Discovered at visual grid position #790. Verified Ad Details URL. Format: Single Image Ad.</t>
  </si>
  <si>
    <t>CR17538415304432943105</t>
  </si>
  <si>
    <t>https://adstransparency.google.com/advertiser/AR11070511645502472193/creative/CR03257052285296967681?region=anywhere</t>
  </si>
  <si>
    <t>Discovered at visual grid position #791. Verified Ad Details URL. Format: Single Image Ad.</t>
  </si>
  <si>
    <t>CR03257052285296967681</t>
  </si>
  <si>
    <t>https://adstransparency.google.com/advertiser/AR11070511645502472193/creative/CR15535898519343726593?region=anywhere</t>
  </si>
  <si>
    <t>Discovered at visual grid position #792. Verified Ad Details URL. Format: Carousel Ad.</t>
  </si>
  <si>
    <t>See what Google and ChatGPT see</t>
  </si>
  <si>
    <t>Crawl as Google or AI bots. Get total technical clarity, crawl depth, and search data in one view. Site Intelligence is made for SEO teams.</t>
  </si>
  <si>
    <t>CR15535898519343726593</t>
  </si>
  <si>
    <t>https://adstransparency.google.com/advertiser/AR11070511645502472193/creative/CR11064578045103833089?region=anywhere</t>
  </si>
  <si>
    <t>Discovered at visual grid position #793. Verified Ad Details URL. Format: Single Image Ad.</t>
  </si>
  <si>
    <t>Explore your AI visibility now</t>
  </si>
  <si>
    <t>Our AI Visibility Index reveals how brands dominate AI results. See where your company or your competitors stand.</t>
  </si>
  <si>
    <t>Search Visibility, Competitive Intelligence</t>
  </si>
  <si>
    <t>CR11064578045103833089</t>
  </si>
  <si>
    <t>Ran from Oct 11, 2025 to Dec 31, 2025</t>
  </si>
  <si>
    <t>Discovered at visual grid position #794. Verified Ad Details URL. Format: Single Image Ad.</t>
  </si>
  <si>
    <t>https://adstransparency.google.com/advertiser/AR11070511645502472193/creative/CR18195837049259425793?region=anywhere</t>
  </si>
  <si>
    <t>Discover the leaders in AI search visibility and learn the strategies that put them on top.</t>
  </si>
  <si>
    <t>Discovered at visual grid position #795. Verified Ad Details URL. Format: Single Image Ad.</t>
  </si>
  <si>
    <t>CR18195837049259425793</t>
  </si>
  <si>
    <t>https://adstransparency.google.com/advertiser/AR11070511645502472193/creative/CR16988014145938915329?region=anywhere</t>
  </si>
  <si>
    <t>Discovered at visual grid position #796. Verified Ad Details URL. Format: Single Image Ad.</t>
  </si>
  <si>
    <t>CR16988014145938915329</t>
  </si>
  <si>
    <t>https://adstransparency.google.com/advertiser/AR11070511645502472193/creative/CR11670224234054942721?region=anywhere</t>
  </si>
  <si>
    <t>Discovered at visual grid position #797. Verified Ad Details URL. Format: Single Image Ad.</t>
  </si>
  <si>
    <t>Ran from Oct 12, 2025 to Dec 30, 2025</t>
  </si>
  <si>
    <t>Discovered at visual grid position #798. Verified Ad Details URL. Format: Single Image Ad.</t>
  </si>
  <si>
    <t>CR11670224234054942721</t>
  </si>
  <si>
    <t>https://adstransparency.google.com/advertiser/AR11070511645502472193/creative/CR00127174582929981441?region=anywhere</t>
  </si>
  <si>
    <t>Discovered at visual grid position #799. Verified Ad Details URL. Format: Single Image Ad.</t>
  </si>
  <si>
    <t>See your site the way AI does</t>
  </si>
  <si>
    <t>Site Intelligence uncovers what’s holding back growth. So you can move faster, protect visibility, and scale smarter in the AI search era.</t>
  </si>
  <si>
    <t>AI Search &amp; GEO, Search Visibility, Enterprise &amp; GTM, Growth Marketing</t>
  </si>
  <si>
    <t>CR00127174582929981441</t>
  </si>
  <si>
    <t>https://adstransparency.google.com/advertiser/AR11070511645502472193/creative/CR06978082002020859905?region=anywhere</t>
  </si>
  <si>
    <t>Discovered at visual grid position #800. Verified Ad Details URL. Format: Single Image Ad.</t>
  </si>
  <si>
    <t>CR06978082002020859905</t>
  </si>
  <si>
    <t>Discovered at visual grid position #801. Verified Ad Details URL. Format: Single Image Ad.</t>
  </si>
  <si>
    <t>https://adstransparency.google.com/advertiser/AR11070511645502472193/creative/CR13311727955395739649?region=anywhere</t>
  </si>
  <si>
    <t>Discovered at visual grid position #802. Verified Ad Details URL. Format: Single Image Ad.</t>
  </si>
  <si>
    <t>CR13311727955395739649</t>
  </si>
  <si>
    <t>https://adstransparency.google.com/advertiser/AR11070511645502472193/creative/CR15620748621933182977?region=anywhere</t>
  </si>
  <si>
    <t>Discovered at visual grid position #803. Verified Ad Details URL. Format: Single Image Ad.</t>
  </si>
  <si>
    <t>CR15620748621933182977</t>
  </si>
  <si>
    <t>https://adstransparency.google.com/advertiser/AR11070511645502472193/creative/CR11173781539974545409?region=anywhere</t>
  </si>
  <si>
    <t>Ran from Oct 12, 2025 to Dec 31, 2025</t>
  </si>
  <si>
    <t>Discovered at visual grid position #804. Verified Ad Details URL. Format: Single Image Ad.</t>
  </si>
  <si>
    <t>AI is changing how people shop and discover new products. The question is, how can your brand own the AI shelf?  With Semrush Enterprise AI Optimization, you can: -Filter real-time data to uncover trends -Compare your brand’s visibility against competitors and see the shifts live -Identify which products capture top positions -Trace product performance back to source pages for optimization  Here’s a quick look at how it works in ChatGPT Shopping  https://lnkd.in/dWjQRnZh</t>
  </si>
  <si>
    <t>CR11173781539974545409</t>
  </si>
  <si>
    <t>AI Search &amp; GEO, Search Visibility, Enterprise &amp; GTM, Competitive Intelligence</t>
  </si>
  <si>
    <t>https://adstransparency.google.com/advertiser/AR11070511645502472193/creative/CR09858967943293960193?region=anywhere</t>
  </si>
  <si>
    <t>Ran from Oct 17, 2025 to Nov 4, 2025</t>
  </si>
  <si>
    <t>Discovered at visual grid position #805. Verified Ad Details URL. Format: Video Ad.</t>
  </si>
  <si>
    <t>CR09858967943293960193</t>
  </si>
  <si>
    <t>https://adstransparency.google.com/advertiser/AR11070511645502472193/creative/CR14126618972413493249?region=anywhere</t>
  </si>
  <si>
    <t>Discovered at visual grid position #806. Verified Ad Details URL. Format: Single Image Ad.</t>
  </si>
  <si>
    <t>Discovered at visual grid position #807. Verified Ad Details URL. Format: Single Image Ad.</t>
  </si>
  <si>
    <t>CR14126618972413493249</t>
  </si>
  <si>
    <t>https://adstransparency.google.com/advertiser/AR11070511645502472193/creative/CR02238272092631990273?region=anywhere</t>
  </si>
  <si>
    <t>The brands that show up in LLMs aren’t just gaining mentions, they’re gaining authority, visibility, and influence in the new search era.  Our AI Visibility Index reveals who’s winning and why:  -Which companies lead across industries -Why AI chooses to cite them -How you can apply these insights to boost your own AI search strategy  Click here to get the full AI Visibility Index study with the actionables for your brand 👉 https://lnkd.in/dtPZYWGz</t>
  </si>
  <si>
    <t>Discovered at visual grid position #808. Verified Ad Details URL. Format: Video Ad.</t>
  </si>
  <si>
    <t>CR02238272092631990273</t>
  </si>
  <si>
    <t>https://adstransparency.google.com/advertiser/AR11070511645502472193/creative/CR06876193729808433153?region=anywhere</t>
  </si>
  <si>
    <t>Discovered at visual grid position #809. Verified Ad Details URL. Format: Single Image Ad.</t>
  </si>
  <si>
    <t>CR06876193729808433153</t>
  </si>
  <si>
    <t>Discovered at visual grid position #810. Verified Ad Details URL. Format: Single Image Ad.</t>
  </si>
  <si>
    <t>https://adstransparency.google.com/advertiser/AR11070511645502472193/creative/CR03941883446254632961?region=anywhere</t>
  </si>
  <si>
    <t>Discovered at visual grid position #811. Verified Ad Details URL. Format: Single Image Ad.</t>
  </si>
  <si>
    <t>CR03941883446254632961</t>
  </si>
  <si>
    <t>https://adstransparency.google.com/advertiser/AR11070511645502472193/creative/CR01548517662202527745?region=anywhere</t>
  </si>
  <si>
    <t>Discovered at visual grid position #812. Verified Ad Details URL. Format: Single Image Ad.</t>
  </si>
  <si>
    <t>CR01548517662202527745</t>
  </si>
  <si>
    <t>https://adstransparency.google.com/advertiser/AR11070511645502472193/creative/CR08922770076126412801?region=anywhere</t>
  </si>
  <si>
    <t>Discovered at visual grid position #813. Verified Ad Details URL. Format: Single Image Ad.</t>
  </si>
  <si>
    <t>CR08922770076126412801</t>
  </si>
  <si>
    <t>Ran from Oct 11, 2025 to Dec 30, 2025</t>
  </si>
  <si>
    <t>Discovered at visual grid position #814. Verified Ad Details URL. Format: Single Image Ad.</t>
  </si>
  <si>
    <t>https://adstransparency.google.com/advertiser/AR11070511645502472193/creative/CR00315903554814476289?region=anywhere</t>
  </si>
  <si>
    <t>Discovered at visual grid position #815. Verified Ad Details URL. Format: Single Image Ad.</t>
  </si>
  <si>
    <t>CR00315903554814476289</t>
  </si>
  <si>
    <t>https://adstransparency.google.com/advertiser/AR11070511645502472193/creative/CR00647542650030784513?region=anywhere</t>
  </si>
  <si>
    <t>Discovered at visual grid position #816. Verified Ad Details URL. Format: Single Image Ad.</t>
  </si>
  <si>
    <t>CR00647542650030784513</t>
  </si>
  <si>
    <t>Discovered at visual grid position #817. Verified Ad Details URL. Format: Single Image Ad.</t>
  </si>
  <si>
    <t>https://adstransparency.google.com/advertiser/AR11070511645502472193/creative/CR17083150763921768449?region=anywhere</t>
  </si>
  <si>
    <t>Discovered at visual grid position #818. Verified Ad Details URL. Format: Single Image Ad.</t>
  </si>
  <si>
    <t>CR17083150763921768449</t>
  </si>
  <si>
    <t>https://adstransparency.google.com/advertiser/AR11070511645502472193/creative/CR00003712621270269953?region=anywhere</t>
  </si>
  <si>
    <t>Discovered at visual grid position #819. Verified Ad Details URL. Format: Single Image Ad.</t>
  </si>
  <si>
    <t>CR00003712621270269953</t>
  </si>
  <si>
    <t>https://adstransparency.google.com/advertiser/AR11070511645502472193/creative/CR17580820512978763777?region=anywhere</t>
  </si>
  <si>
    <t>Discovered at visual grid position #820. Verified Ad Details URL. Format: Single Image Ad.</t>
  </si>
  <si>
    <t>CR17580820512978763777</t>
  </si>
  <si>
    <t>Discovered at visual grid position #821. Verified Ad Details URL. Format: Single Image Ad.</t>
  </si>
  <si>
    <t>https://adstransparency.google.com/advertiser/AR11070511645502472193/creative/CR01033117738391830529?region=anywhere</t>
  </si>
  <si>
    <t>Discovered at visual grid position #822. Verified Ad Details URL. Format: Single Image Ad.</t>
  </si>
  <si>
    <t>CR01033117738391830529</t>
  </si>
  <si>
    <t>https://adstransparency.google.com/advertiser/AR11070511645502472193/creative/CR12464725048453758977?region=anywhere</t>
  </si>
  <si>
    <t>Discovered at visual grid position #823. Verified Ad Details URL. Format: Single Image Ad.</t>
  </si>
  <si>
    <t>CR12464725048453758977</t>
  </si>
  <si>
    <t>https://adstransparency.google.com/advertiser/AR11070511645502472193/creative/CR07268240406171615233?region=anywhere</t>
  </si>
  <si>
    <t>Discovered at visual grid position #824. Verified Ad Details URL. Format: Single Image Ad.</t>
  </si>
  <si>
    <t>Discovered at visual grid position #825. Verified Ad Details URL. Format: Single Image Ad.</t>
  </si>
  <si>
    <t>CR07268240406171615233</t>
  </si>
  <si>
    <t>https://adstransparency.google.com/advertiser/AR11070511645502472193/creative/CR16616743119739682817?region=anywhere</t>
  </si>
  <si>
    <t>Discovered at visual grid position #826. Verified Ad Details URL. Format: Single Image Ad.</t>
  </si>
  <si>
    <t>CR16616743119739682817</t>
  </si>
  <si>
    <t>https://adstransparency.google.com/advertiser/AR11070511645502472193/creative/CR17946319893406154753?region=anywhere</t>
  </si>
  <si>
    <t>Discovered at visual grid position #827. Verified Ad Details URL. Format: Single Image Ad.</t>
  </si>
  <si>
    <t>CR17946319893406154753</t>
  </si>
  <si>
    <t>Discovered at visual grid position #828. Verified Ad Details URL. Format: Single Image Ad.</t>
  </si>
  <si>
    <t>https://adstransparency.google.com/advertiser/AR11070511645502472193/creative/CR08798130915470475265?region=anywhere</t>
  </si>
  <si>
    <t>Discovered at visual grid position #829. Verified Ad Details URL. Format: Single Image Ad.</t>
  </si>
  <si>
    <t>CR08798130915470475265</t>
  </si>
  <si>
    <t>https://adstransparency.google.com/advertiser/AR11070511645502472193/creative/CR09790502762981621761?region=anywhere</t>
  </si>
  <si>
    <t>Discovered at visual grid position #830. Verified Ad Details URL. Format: Single Image Ad.</t>
  </si>
  <si>
    <t>CR09790502762981621761</t>
  </si>
  <si>
    <t>https://adstransparency.google.com/advertiser/AR11070511645502472193/creative/CR04556417296930701313?region=anywhere</t>
  </si>
  <si>
    <t>Discovered at visual grid position #831. Verified Ad Details URL. Format: Single Image Ad.</t>
  </si>
  <si>
    <t>CR04556417296930701313</t>
  </si>
  <si>
    <t>Discovered at visual grid position #832. Verified Ad Details URL. Format: Single Image Ad.</t>
  </si>
  <si>
    <t>https://adstransparency.google.com/advertiser/AR11070511645502472193/creative/CR12456044026195345409?region=anywhere</t>
  </si>
  <si>
    <t>CR12456044026195345409</t>
  </si>
  <si>
    <t>Discovered at visual grid position #833. Verified Ad Details URL. Format: Single Image Ad.</t>
  </si>
  <si>
    <t>https://adstransparency.google.com/advertiser/AR11070511645502472193/creative/CR05242640096011747329?region=anywhere</t>
  </si>
  <si>
    <t>Discovered at visual grid position #834. Verified Ad Details URL. Format: Single Image Ad.</t>
  </si>
  <si>
    <t>CR05242640096011747329</t>
  </si>
  <si>
    <t>https://adstransparency.google.com/advertiser/AR11070511645502472193/creative/CR00322130948156030977?region=anywhere</t>
  </si>
  <si>
    <t>Discovered at visual grid position #835. Verified Ad Details URL. Format: Single Image Ad.</t>
  </si>
  <si>
    <t>CR00322130948156030977</t>
  </si>
  <si>
    <t>Discovered at visual grid position #836. Verified Ad Details URL. Format: Single Image Ad.</t>
  </si>
  <si>
    <t>https://adstransparency.google.com/advertiser/AR11070511645502472193/creative/CR17897473573946130433?region=anywhere</t>
  </si>
  <si>
    <t>Discovered at visual grid position #837. Verified Ad Details URL. Format: Single Image Ad.</t>
  </si>
  <si>
    <t>CR17897473573946130433</t>
  </si>
  <si>
    <t>https://adstransparency.google.com/advertiser/AR11070511645502472193/creative/CR04496419627462557697?region=anywhere</t>
  </si>
  <si>
    <t>Discovered at visual grid position #838. Verified Ad Details URL. Format: Single Image Ad.</t>
  </si>
  <si>
    <t>CR04496419627462557697</t>
  </si>
  <si>
    <t>https://adstransparency.google.com/advertiser/AR11070511645502472193/creative/CR15286433521573298177?region=anywhere</t>
  </si>
  <si>
    <t>Discovered at visual grid position #839. Verified Ad Details URL. Format: Single Image Ad.</t>
  </si>
  <si>
    <t>Discovered at visual grid position #840. Verified Ad Details URL. Format: Single Image Ad.</t>
  </si>
  <si>
    <t>CR15286433521573298177</t>
  </si>
  <si>
    <t>https://adstransparency.google.com/advertiser/AR11070511645502472193/creative/CR17853858559012372481?region=anywhere</t>
  </si>
  <si>
    <t>Help LLMs rank your brand. Semrush Enterprise AI Optimization delivers enterprise-grade insights for AI visibility</t>
  </si>
  <si>
    <t>Discovered at visual grid position #841. Verified Ad Details URL. Format: Carousel Ad.</t>
  </si>
  <si>
    <t>CR17853858559012372481</t>
  </si>
  <si>
    <t>https://adstransparency.google.com/advertiser/AR11070511645502472193/creative/CR02377492529818894337?region=anywhere</t>
  </si>
  <si>
    <t>Discovered at visual grid position #842. Verified Ad Details URL. Format: Carousel Ad.</t>
  </si>
  <si>
    <t>Improve your AI search visibility with Semrush Enterprise AI Optimization</t>
  </si>
  <si>
    <t>CR02377492529818894337</t>
  </si>
  <si>
    <t>Discovered at visual grid position #843. Verified Ad Details URL. Format: Carousel Ad.</t>
  </si>
  <si>
    <t>The AI Visibility Index decodes the tactics that work. Turn insights into action and stay ahead of your competitors.</t>
  </si>
  <si>
    <t>https://adstransparency.google.com/advertiser/AR11070511645502472193/creative/CR16901542985252995073?region=anywhere</t>
  </si>
  <si>
    <t>Ran from Sep 25, 2025 to Nov 7, 2025</t>
  </si>
  <si>
    <t>Discovered at visual grid position #844. Verified Ad Details URL. Format: Carousel Ad.</t>
  </si>
  <si>
    <t>CR16901542985252995073</t>
  </si>
  <si>
    <t>https://adstransparency.google.com/advertiser/AR11070511645502472193/creative/CR05458267279839985665?region=anywhere</t>
  </si>
  <si>
    <t>Discovered at visual grid position #845. Verified Ad Details URL. Format: Single Image Ad.</t>
  </si>
  <si>
    <t>Complete website health management combining crawling, monitoring and search data. Optimize for visibility in search engines and AI search.</t>
  </si>
  <si>
    <t>Semrush Enterprise launches Site Intelligence! What you get: Large-scale crawling, continuous monitoring, and accessibility audits to keep your sites technically sound, compliant, and AI-ready:  → Crawl millions of pages with full JS rendering → Daily site-health and performance checks → Advanced crawl analytics  → Integrated accessibility &amp; compliance audits → Cross-team collaboration &amp; customizable reporting  Uplift from the crawling features alone: → +93% more clicks from search results → +60% longer website sessions → +97% higher ROI from site improvements  Because visibility isn’t something you win once. It’s something you defend every day.</t>
  </si>
  <si>
    <t>Search Visibility, Enterprise &amp; GTM</t>
  </si>
  <si>
    <t>CR05458267279839985665</t>
  </si>
  <si>
    <t>Ran from Oct 10, 2025 to Nov 4, 2025</t>
  </si>
  <si>
    <t>Discovered at visual grid position #846. Verified Ad Details URL. Format: Single Image Ad.</t>
  </si>
  <si>
    <t>https://adstransparency.google.com/advertiser/AR11070511645502472193/creative/CR13516962898915622913?region=anywhere</t>
  </si>
  <si>
    <t>If your site isn’t FAST, your competitors are about to take your spot in AI search.  AI platforms have new rules for deciding which brands to cite and earn visibility.  And if your site isn’t: 🔹 Fetchable 🔹 Accessible 🔹 Structured 🔹 Trim …then you’re invisible where it matters most.  If you’ve got a complex site with thousands (or even millions of pages) keep every page FAST and visible in AI search with Site Intelligence 👇   https://lnkd.in/d6GCDeYR</t>
  </si>
  <si>
    <t>Ran from Oct 8, 2025 to Nov 4, 2025</t>
  </si>
  <si>
    <t>Discovered at visual grid position #847. Verified Ad Details URL. Format: Single Image Ad.</t>
  </si>
  <si>
    <t>CR13516962898915622913</t>
  </si>
  <si>
    <t>https://adstransparency.google.com/advertiser/AR11070511645502472193/creative/CR17421217913351700481?region=anywhere</t>
  </si>
  <si>
    <t>Discovered at visual grid position #848. Verified Ad Details URL. Format: Single Image Ad.</t>
  </si>
  <si>
    <t>Continue to be blown away by the speed of innovation from the Semrush Product and Engineering teams.  In just 15 months, our Enterprise Platform has evolved into a connected platform that enables global brands to track, measure, and execute their GTM strategies across SEO, AI Optimization, Big Data and now Site Intelligence(SI).  SI is purpose-built to safeguard visibility in the AI era, crawling millions of pages, monitoring continuously, and catching visibility, compliance, and accessibility issues before they cost revenue.  Early results:  ✅ +93% more clicks  ✅ +97% ROI  ✅ Fewer compliance penalties The world’s best brands are already using Semrush to protect and grow their visibility across the AI landscape.   SI Demo -&gt; https://lnkd.in/efHvk8sY AI Audit -&gt;  https://lnkd.in/d4KxShAP  Congrats to Vitalii Obishchenko, Marcus Tober and everyone who made this possible.</t>
  </si>
  <si>
    <t>SEO, Search Visibility, Enterprise &amp; GTM</t>
  </si>
  <si>
    <t>CR17421217913351700481</t>
  </si>
  <si>
    <t>https://adstransparency.google.com/advertiser/AR11070511645502472193/creative/CR16750526884244094977?region=anywhere</t>
  </si>
  <si>
    <t>Discovered at visual grid position #849. Verified Ad Details URL. Format: Video Ad.</t>
  </si>
  <si>
    <t>CR16750526884244094977</t>
  </si>
  <si>
    <t>Discovered at visual grid position #850. Verified Ad Details URL. Format: Carousel Ad.</t>
  </si>
  <si>
    <t>https://adstransparency.google.com/advertiser/AR11070511645502472193/creative/CR05978175716720640001?region=anywhere</t>
  </si>
  <si>
    <t>Discovered at visual grid position #851. Verified Ad Details URL. Format: Single Image Ad.</t>
  </si>
  <si>
    <t>CR05978175716720640001</t>
  </si>
  <si>
    <t>Our AI Visibility Index reveals how brands dominate AI results.</t>
  </si>
  <si>
    <t>https://adstransparency.google.com/advertiser/AR11070511645502472193/creative/CR18225740948036386817?region=anywhere</t>
  </si>
  <si>
    <t>Discovered at visual grid position #852. Verified Ad Details URL. Format: Carousel Ad.</t>
  </si>
  <si>
    <t>CR18225740948036386817</t>
  </si>
  <si>
    <t>Ran from Sep 25, 2025 to Dec 31, 2025</t>
  </si>
  <si>
    <t>https://adstransparency.google.com/advertiser/AR11070511645502472193/creative/CR15841171738042826753?region=anywhere</t>
  </si>
  <si>
    <t>Discovered at visual grid position #853. Verified Ad Details URL. Format: Carousel Ad.</t>
  </si>
  <si>
    <t>Ran from Sep 25, 2025 to Oct 9, 2025</t>
  </si>
  <si>
    <t>Discovered at visual grid position #854. Verified Ad Details URL. Format: Carousel Ad.</t>
  </si>
  <si>
    <t>CR15841171738042826753</t>
  </si>
  <si>
    <t>https://adstransparency.google.com/advertiser/AR11070511645502472193/creative/CR04883337288240594945?region=anywhere</t>
  </si>
  <si>
    <t>Discovered at visual grid position #855. Verified Ad Details URL. Format: Single Image Ad.</t>
  </si>
  <si>
    <t>CR04883337288240594945</t>
  </si>
  <si>
    <t>https://adstransparency.google.com/advertiser/AR11070511645502472193/creative/CR15186659541501607937?region=anywhere</t>
  </si>
  <si>
    <t>Discovered at visual grid position #856. Verified Ad Details URL. Format: Single Image Ad.</t>
  </si>
  <si>
    <t>CR15186659541501607937</t>
  </si>
  <si>
    <t>https://adstransparency.google.com/advertiser/AR11070511645502472193/creative/CR16140497732707024897?region=anywhere</t>
  </si>
  <si>
    <t>Discovered at visual grid position #857. Verified Ad Details URL. Format: Single Image Ad.</t>
  </si>
  <si>
    <t>Discovered at visual grid position #858. Verified Ad Details URL. Format: Single Image Ad.</t>
  </si>
  <si>
    <t>CR16140497732707024897</t>
  </si>
  <si>
    <t>27 Jun 2025 - 17 Oct 2025</t>
  </si>
  <si>
    <t>https://adstransparency.google.com/advertiser/AR11070511645502472193/creative/CR17007776767936561153?region=anywhere</t>
  </si>
  <si>
    <t>AI trusts some brands more than others. Why does that matter?   Because when LLMs mention your brand, you don’t just show up: you build visibility, trust, and influence in the AI search era.  Want to see which companies are leading? Explore our AI Visibility Index 2025 and get insights you can use to grow your own brand and improve your AI search strategy 👉 https://lnkd.in/eUP8Ximk</t>
  </si>
  <si>
    <t>Discovered at visual grid position #859. Verified Ad Details URL. Format: Single Image Ad.</t>
  </si>
  <si>
    <t>CR17007776767936561153</t>
  </si>
  <si>
    <t>Our data shows the proven strategies used by the brands winning AI search. Start growing your visibility now.</t>
  </si>
  <si>
    <t>https://adstransparency.google.com/advertiser/AR11070511645502472193/creative/CR04299303065485312001?region=anywhere</t>
  </si>
  <si>
    <t>Discovered at visual grid position #860. Verified Ad Details URL. Format: Carousel Ad.</t>
  </si>
  <si>
    <t>CR04299303065485312001</t>
  </si>
  <si>
    <t>25 Sep 2025 - 16 Oct 2025</t>
  </si>
  <si>
    <t>Discovered at visual grid position #861. Verified Ad Details URL. Format: Single Image Ad.</t>
  </si>
  <si>
    <t>https://adstransparency.google.com/advertiser/AR11070511645502472193/creative/CR10083838343419789313?region=anywhere</t>
  </si>
  <si>
    <t>Discovered at visual grid position #862. Verified Ad Details URL. Format: Single Image Ad.</t>
  </si>
  <si>
    <t>CR10083838343419789313</t>
  </si>
  <si>
    <t>https://adstransparency.google.com/advertiser/AR11070511645502472193/creative/CR04940425753020858369?region=anywhere</t>
  </si>
  <si>
    <t>Discovered at visual grid position #863. Verified Ad Details URL. Format: Carousel Ad.</t>
  </si>
  <si>
    <t>CR04940425753020858369</t>
  </si>
  <si>
    <t>04 May 2025 - 16 Oct 2025</t>
  </si>
  <si>
    <t>https://adstransparency.google.com/advertiser/AR11070511645502472193/creative/CR17631200170123198465?region=anywhere</t>
  </si>
  <si>
    <t>Discovered at visual grid position #864. Verified Ad Details URL. Format: Carousel Ad.</t>
  </si>
  <si>
    <t>CR17631200170123198465</t>
  </si>
  <si>
    <t>Discovered at visual grid position #865. Verified Ad Details URL. Format: Carousel Ad.</t>
  </si>
  <si>
    <t>09 Jan 2025 - 16 Oct 2025</t>
  </si>
  <si>
    <t>https://adstransparency.google.com/advertiser/AR11070511645502472193/creative/CR16274488858232487937?region=anywhere</t>
  </si>
  <si>
    <t>Can’t see how AI shows your brand? Fix it with Semrush</t>
  </si>
  <si>
    <t>Semrush Enterprise AIO reveals AI coverage, surfaces gaps, and automates next steps—so your team moves faster. Recognized as a Leader in The Forrester Wave™: SEO Solutions.</t>
  </si>
  <si>
    <t>SEO, Enterprise &amp; GTM</t>
  </si>
  <si>
    <t>Ran from Sep 25, 2025 to Sep 30, 2025</t>
  </si>
  <si>
    <t>Discovered at visual grid position #866. Verified Ad Details URL. Format: Single Image Ad.</t>
  </si>
  <si>
    <t>CR16274488858232487937</t>
  </si>
  <si>
    <t>18 Feb 2025 - 15 Oct 2025</t>
  </si>
  <si>
    <t>Save hours each week with Semrush</t>
  </si>
  <si>
    <t>Automate AI search monitoring, map queries to pages, and get clear next steps. Fewer spreadsheets. Faster approvals. Ready-to-use reports your leaders will value.</t>
  </si>
  <si>
    <t>https://adstransparency.google.com/advertiser/AR11070511645502472193/creative/CR08296851641538183169?region=anywhere</t>
  </si>
  <si>
    <t>Discovered at visual grid position #867. Verified Ad Details URL. Format: Single Image Ad.</t>
  </si>
  <si>
    <t>CR08296851641538183169</t>
  </si>
  <si>
    <t>https://adstransparency.google.com/advertiser/AR11070511645502472193/creative/CR16615073580052381697?region=anywhere</t>
  </si>
  <si>
    <t>Discovered at visual grid position #868. Verified Ad Details URL. Format: Carousel Ad.</t>
  </si>
  <si>
    <t>Ran from Sep 25, 2025 to Sep 29, 2025</t>
  </si>
  <si>
    <t>Discovered at visual grid position #869. Verified Ad Details URL. Format: Single Image Ad.</t>
  </si>
  <si>
    <t>CR16615073580052381697</t>
  </si>
  <si>
    <t>https://adstransparency.google.com/advertiser/AR11070511645502472193/creative/CR09375463992811585537?region=anywhere</t>
  </si>
  <si>
    <t>What if your SEO platform isn’t a Leader?</t>
  </si>
  <si>
    <t>Forrester-recognized. Semrush tracks AI search, exposes how your brand appears across engines, and turns market data into actions that cut time to impact—so competitors chase you.</t>
  </si>
  <si>
    <t>AI Search &amp; GEO, Competitive Intelligence</t>
  </si>
  <si>
    <t>Discovered at visual grid position #870. Verified Ad Details URL. Format: Single Image Ad.</t>
  </si>
  <si>
    <t>CR09375463992811585537</t>
  </si>
  <si>
    <t>https://adstransparency.google.com/advertiser/AR11070511645502472193/creative/CR14992088864338739201?region=anywhere</t>
  </si>
  <si>
    <t>Discovered at visual grid position #871. Verified Ad Details URL. Format: Single Image Ad.</t>
  </si>
  <si>
    <t>CR14992088864338739201</t>
  </si>
  <si>
    <t>Discovered at visual grid position #872. Verified Ad Details URL. Format: Carousel Ad.</t>
  </si>
  <si>
    <t>https://adstransparency.google.com/advertiser/AR11070511645502472193/creative/CR14257887294831722497?region=anywhere</t>
  </si>
  <si>
    <t>Discovered at visual grid position #873. Verified Ad Details URL. Format: Single Image Ad.</t>
  </si>
  <si>
    <t>CR14257887294831722497</t>
  </si>
  <si>
    <t>https://adstransparency.google.com/advertiser/AR11070511645502472193/creative/CR10853731675272118273?region=anywhere</t>
  </si>
  <si>
    <t>Discovered at visual grid position #874. Verified Ad Details URL. Format: Single Image Ad.</t>
  </si>
  <si>
    <t>CR10853731675272118273</t>
  </si>
  <si>
    <t>Discovered at visual grid position #875. Verified Ad Details URL. Format: Single Image Ad.</t>
  </si>
  <si>
    <t>https://adstransparency.google.com/advertiser/AR11070511645502472193/creative/CR05904275684791943169?region=anywhere</t>
  </si>
  <si>
    <t>Discovered at visual grid position #876. Verified Ad Details URL. Format: Single Image Ad.</t>
  </si>
  <si>
    <t>CR05904275684791943169</t>
  </si>
  <si>
    <t>https://adstransparency.google.com/advertiser/AR11070511645502472193/creative/CR17778617947531509761?region=anywhere</t>
  </si>
  <si>
    <t>Discovered at visual grid position #877. Verified Ad Details URL. Format: Carousel Ad.</t>
  </si>
  <si>
    <t>CR17778617947531509761</t>
  </si>
  <si>
    <t>Discovered at visual grid position #878. Verified Ad Details URL. Format: Single Image Ad.</t>
  </si>
  <si>
    <t>https://adstransparency.google.com/advertiser/AR11070511645502472193/creative/CR07053370545336745985?region=anywhere</t>
  </si>
  <si>
    <t>CR07053370545336745985</t>
  </si>
  <si>
    <t>https://adstransparency.google.com/advertiser/AR11070511645502472193/creative/CR00111334399944949761?region=anywhere</t>
  </si>
  <si>
    <t>Discovered at visual grid position #879. Verified Ad Details URL. Format: Single Image Ad.</t>
  </si>
  <si>
    <t>CR00111334399944949761</t>
  </si>
  <si>
    <t>Discovered at visual grid position #880. Verified Ad Details URL. Format: Single Image Ad.</t>
  </si>
  <si>
    <t>https://adstransparency.google.com/advertiser/AR11070511645502472193/creative/CR16752996318640603137?region=anywhere</t>
  </si>
  <si>
    <t>Discovered at visual grid position #881. Verified Ad Details URL. Format: Single Image Ad.</t>
  </si>
  <si>
    <t>CR16752996318640603137</t>
  </si>
  <si>
    <t>https://adstransparency.google.com/advertiser/AR11070511645502472193/creative/CR02748416900617732097?region=anywhere</t>
  </si>
  <si>
    <t>Discovered at visual grid position #882. Verified Ad Details URL. Format: Single Image Ad.</t>
  </si>
  <si>
    <t>CR02748416900617732097</t>
  </si>
  <si>
    <t>https://adstransparency.google.com/advertiser/AR11070511645502472193/creative/CR03078670370664873985?region=anywhere</t>
  </si>
  <si>
    <t>Discovered at visual grid position #883. Verified Ad Details URL. Format: Single Image Ad.</t>
  </si>
  <si>
    <t>CR03078670370664873985</t>
  </si>
  <si>
    <t>Discovered at visual grid position #884. Verified Ad Details URL. Format: Single Image Ad.</t>
  </si>
  <si>
    <t>https://adstransparency.google.com/advertiser/AR11070511645502472193/creative/CR12249444829263560705?region=anywhere</t>
  </si>
  <si>
    <t>Extraction completed with DOM fallback</t>
  </si>
  <si>
    <t>Fallback extraction: Page.goto: net::ERR_HTTP_RESPONSE_CODE_FAILURE at https://www.linkedin.com/ad-li</t>
  </si>
  <si>
    <t>CR12249444829263560705</t>
  </si>
  <si>
    <t>Discovered at visual grid position #886. Verified Ad Details URL. Format: Carousel Ad.</t>
  </si>
  <si>
    <t>https://adstransparency.google.com/advertiser/AR11070511645502472193/creative/CR02223775890813222913?region=anywhere</t>
  </si>
  <si>
    <t>Discovered at visual grid position #887. Verified Ad Details URL. Format: Carousel Ad.</t>
  </si>
  <si>
    <t>CR02223775890813222913</t>
  </si>
  <si>
    <t>https://adstransparency.google.com/advertiser/AR11070511645502472193/creative/CR08376417319445856257?region=anywhere</t>
  </si>
  <si>
    <t>CR08376417319445856257</t>
  </si>
  <si>
    <t>https://adstransparency.google.com/advertiser/AR11070511645502472193/creative/CR05259401463582425089?region=anywhere</t>
  </si>
  <si>
    <t>CR05259401463582425089</t>
  </si>
  <si>
    <t>https://adstransparency.google.com/advertiser/AR11070511645502472193/creative/CR12125193005938245633?region=anywhere</t>
  </si>
  <si>
    <t>CR12125193005938245633</t>
  </si>
  <si>
    <t>https://adstransparency.google.com/advertiser/AR11070511645502472193/creative/CR02879096640717717505?region=anywhere</t>
  </si>
  <si>
    <t>CR02879096640717717505</t>
  </si>
  <si>
    <t>https://adstransparency.google.com/advertiser/AR11070511645502472193/creative/CR16565052157540171777?region=anywhere</t>
  </si>
  <si>
    <t>CR16565052157540171777</t>
  </si>
  <si>
    <t>https://adstransparency.google.com/advertiser/AR11070511645502472193/creative/CR07022860918732095489?region=anywhere</t>
  </si>
  <si>
    <t>CR07022860918732095489</t>
  </si>
  <si>
    <t>https://adstransparency.google.com/advertiser/AR11070511645502472193/creative/CR11406254204012986369?region=anywhere</t>
  </si>
  <si>
    <t>CR11406254204012986369</t>
  </si>
  <si>
    <t>https://adstransparency.google.com/advertiser/AR11070511645502472193/creative/CR18294139333017337857?region=anywhere</t>
  </si>
  <si>
    <t>CR18294139333017337857</t>
  </si>
  <si>
    <t>https://adstransparency.google.com/advertiser/AR11070511645502472193/creative/CR08748060633410306049?region=anywhere</t>
  </si>
  <si>
    <t>CR08748060633410306049</t>
  </si>
  <si>
    <t>https://adstransparency.google.com/advertiser/AR11070511645502472193/creative/CR08323665191086587905?region=anywhere</t>
  </si>
  <si>
    <t>CR08323665191086587905</t>
  </si>
  <si>
    <t>https://adstransparency.google.com/advertiser/AR11070511645502472193/creative/CR15004638449540005889?region=anywhere</t>
  </si>
  <si>
    <t>CR15004638449540005889</t>
  </si>
  <si>
    <t>https://adstransparency.google.com/advertiser/AR11070511645502472193/creative/CR11841954824893497345?region=anywhere</t>
  </si>
  <si>
    <t>CR11841954824893497345</t>
  </si>
  <si>
    <t>https://adstransparency.google.com/advertiser/AR11070511645502472193/creative/CR11855760980086620161?region=anywhere</t>
  </si>
  <si>
    <t>CR11855760980086620161</t>
  </si>
  <si>
    <t>https://adstransparency.google.com/advertiser/AR11070511645502472193/creative/CR18382262441204514817?region=anywhere</t>
  </si>
  <si>
    <t>CR18382262441204514817</t>
  </si>
  <si>
    <t>https://adstransparency.google.com/advertiser/AR11070511645502472193/creative/CR01425920191560155137?region=anywhere</t>
  </si>
  <si>
    <t>Ran from Sep 24, 2025 to Sep 30, 2025</t>
  </si>
  <si>
    <t>CR01425920191560155137</t>
  </si>
  <si>
    <t>https://adstransparency.google.com/advertiser/AR11070511645502472193/creative/CR13723421186560360449?region=anywhere</t>
  </si>
  <si>
    <t>CR13723421186560360449</t>
  </si>
  <si>
    <t>https://adstransparency.google.com/advertiser/AR11070511645502472193/creative/CR04697841361578098689?region=anywhere</t>
  </si>
  <si>
    <t>CR04697841361578098689</t>
  </si>
  <si>
    <t>https://adstransparency.google.com/advertiser/AR11070511645502472193/creative/CR16737864221143859201?region=anywhere</t>
  </si>
  <si>
    <t>CR16737864221143859201</t>
  </si>
  <si>
    <t>https://adstransparency.google.com/advertiser/AR11070511645502472193/creative/CR01317989415758331905?region=anywhere</t>
  </si>
  <si>
    <t>CR01317989415758331905</t>
  </si>
  <si>
    <t>https://adstransparency.google.com/advertiser/AR11070511645502472193/creative/CR13475189909555773441?region=anywhere</t>
  </si>
  <si>
    <t>CR13475189909555773441</t>
  </si>
  <si>
    <t>https://adstransparency.google.com/advertiser/AR11070511645502472193/creative/CR13343771400721137665?region=anywhere</t>
  </si>
  <si>
    <t>CR13343771400721137665</t>
  </si>
  <si>
    <t>https://adstransparency.google.com/advertiser/AR11070511645502472193/creative/CR13996012762153615361?region=anywhere</t>
  </si>
  <si>
    <t>CR13996012762153615361</t>
  </si>
  <si>
    <t>https://adstransparency.google.com/advertiser/AR11070511645502472193/creative/CR06956907091697074177?region=anywhere</t>
  </si>
  <si>
    <t>CR06956907091697074177</t>
  </si>
  <si>
    <t>https://adstransparency.google.com/advertiser/AR11070511645502472193/creative/CR13955985419301552129?region=anywhere</t>
  </si>
  <si>
    <t>CR13955985419301552129</t>
  </si>
  <si>
    <t>https://adstransparency.google.com/advertiser/AR11070511645502472193/creative/CR10804507467409522689?region=anywhere</t>
  </si>
  <si>
    <t>CR10804507467409522689</t>
  </si>
  <si>
    <t>https://adstransparency.google.com/advertiser/AR11070511645502472193/creative/CR09880940377505005569?region=anywhere</t>
  </si>
  <si>
    <t>CR09880940377505005569</t>
  </si>
  <si>
    <t>https://adstransparency.google.com/advertiser/AR11070511645502472193/creative/CR10547103549009952769?region=anywhere</t>
  </si>
  <si>
    <t>CR10547103549009952769</t>
  </si>
  <si>
    <t>https://adstransparency.google.com/advertiser/AR11070511645502472193/creative/CR09809118250754113537?region=anywhere</t>
  </si>
  <si>
    <t>CR09809118250754113537</t>
  </si>
  <si>
    <t>https://adstransparency.google.com/advertiser/AR11070511645502472193/creative/CR03731511069013704705?region=anywhere</t>
  </si>
  <si>
    <t>CR03731511069013704705</t>
  </si>
  <si>
    <t>https://adstransparency.google.com/advertiser/AR11070511645502472193/creative/CR07016545461381103617?region=anywhere</t>
  </si>
  <si>
    <t>CR07016545461381103617</t>
  </si>
  <si>
    <t>https://adstransparency.google.com/advertiser/AR11070511645502472193/creative/CR17915550369740488705?region=anywhere</t>
  </si>
  <si>
    <t>CR17915550369740488705</t>
  </si>
  <si>
    <t>https://adstransparency.google.com/advertiser/AR11070511645502472193/creative/CR06056337558797811713?region=anywhere</t>
  </si>
  <si>
    <t>CR06056337558797811713</t>
  </si>
  <si>
    <t>https://adstransparency.google.com/advertiser/AR11070511645502472193/creative/CR04784680308903510017?region=anywhere</t>
  </si>
  <si>
    <t>CR04784680308903510017</t>
  </si>
  <si>
    <t>https://adstransparency.google.com/advertiser/AR11070511645502472193/creative/CR12238469229317193729?region=anywhere</t>
  </si>
  <si>
    <t>CR12238469229317193729</t>
  </si>
  <si>
    <t>https://adstransparency.google.com/advertiser/AR11070511645502472193/creative/CR13312965696250970113?region=anywhere</t>
  </si>
  <si>
    <t>CR13312965696250970113</t>
  </si>
  <si>
    <t>https://adstransparency.google.com/advertiser/AR11070511645502472193/creative/CR05051256250222772225?region=anywhere</t>
  </si>
  <si>
    <t>CR05051256250222772225</t>
  </si>
  <si>
    <t>https://adstransparency.google.com/advertiser/AR11070511645502472193/creative/CR11677419816104230913?region=anywhere</t>
  </si>
  <si>
    <t>CR11677419816104230913</t>
  </si>
  <si>
    <t>https://adstransparency.google.com/advertiser/AR11070511645502472193/creative/CR11780459380070154241?region=anywhere</t>
  </si>
  <si>
    <t>CR11780459380070154241</t>
  </si>
  <si>
    <t>https://adstransparency.google.com/advertiser/AR11070511645502472193/creative/CR07778814023692189697?region=anywhere</t>
  </si>
  <si>
    <t>CR07778814023692189697</t>
  </si>
  <si>
    <t>https://adstransparency.google.com/advertiser/AR11070511645502472193/creative/CR06435452707108028417?region=anywhere</t>
  </si>
  <si>
    <t>CR06435452707108028417</t>
  </si>
  <si>
    <t>https://adstransparency.google.com/advertiser/AR11070511645502472193/creative/CR17806000150749904897?region=anywhere</t>
  </si>
  <si>
    <t>CR17806000150749904897</t>
  </si>
  <si>
    <t>https://adstransparency.google.com/advertiser/AR11070511645502472193/creative/CR09021166127610331137?region=anywhere</t>
  </si>
  <si>
    <t>CR09021166127610331137</t>
  </si>
  <si>
    <t>https://adstransparency.google.com/advertiser/AR11070511645502472193/creative/CR00107832833367605249?region=anywhere</t>
  </si>
  <si>
    <t>CR00107832833367605249</t>
  </si>
  <si>
    <t>https://adstransparency.google.com/advertiser/AR11070511645502472193/creative/CR13411109238017622017?region=anywhere</t>
  </si>
  <si>
    <t>CR13411109238017622017</t>
  </si>
  <si>
    <t>https://adstransparency.google.com/advertiser/AR11070511645502472193/creative/CR09611199251447021569?region=anywhere</t>
  </si>
  <si>
    <t>CR09611199251447021569</t>
  </si>
  <si>
    <t>https://adstransparency.google.com/advertiser/AR11070511645502472193/creative/CR17213456154672234497?region=anywhere</t>
  </si>
  <si>
    <t>CR17213456154672234497</t>
  </si>
  <si>
    <t>https://adstransparency.google.com/advertiser/AR11070511645502472193/creative/CR17439792822273179649?region=anywhere</t>
  </si>
  <si>
    <t>CR17439792822273179649</t>
  </si>
  <si>
    <t>https://adstransparency.google.com/advertiser/AR11070511645502472193/creative/CR10724569398657417217?region=anywhere</t>
  </si>
  <si>
    <t>CR10724569398657417217</t>
  </si>
  <si>
    <t>https://adstransparency.google.com/advertiser/AR11070511645502472193/creative/CR11776635038110580737?region=anywhere</t>
  </si>
  <si>
    <t>CR11776635038110580737</t>
  </si>
  <si>
    <t>https://adstransparency.google.com/advertiser/AR11070511645502472193/creative/CR14828721708696862721?region=anywhere</t>
  </si>
  <si>
    <t>CR14828721708696862721</t>
  </si>
  <si>
    <t>https://adstransparency.google.com/advertiser/AR11070511645502472193/creative/CR01433030630177767425?region=anywhere</t>
  </si>
  <si>
    <t>CR01433030630177767425</t>
  </si>
  <si>
    <t>https://adstransparency.google.com/advertiser/AR11070511645502472193/creative/CR01571331669485420545?region=anywhere</t>
  </si>
  <si>
    <t>CR01571331669485420545</t>
  </si>
  <si>
    <t>https://adstransparency.google.com/advertiser/AR11070511645502472193/creative/CR08625619293419077633?region=anywhere</t>
  </si>
  <si>
    <t>CR08625619293419077633</t>
  </si>
  <si>
    <t>https://adstransparency.google.com/advertiser/AR11070511645502472193/creative/CR16024363981686702081?region=anywhere</t>
  </si>
  <si>
    <t>CR16024363981686702081</t>
  </si>
  <si>
    <t>https://adstransparency.google.com/advertiser/AR11070511645502472193/creative/CR16331909753481461761?region=anywhere</t>
  </si>
  <si>
    <t>CR16331909753481461761</t>
  </si>
  <si>
    <t>https://adstransparency.google.com/advertiser/AR11070511645502472193/creative/CR11443361656298536961?region=anywhere</t>
  </si>
  <si>
    <t>CR11443361656298536961</t>
  </si>
  <si>
    <t>https://adstransparency.google.com/advertiser/AR11070511645502472193/creative/CR03998802173927358465?region=anywhere</t>
  </si>
  <si>
    <t>CR03998802173927358465</t>
  </si>
  <si>
    <t>https://adstransparency.google.com/advertiser/AR11070511645502472193/creative/CR07990005262217904129?region=anywhere</t>
  </si>
  <si>
    <t>CR07990005262217904129</t>
  </si>
  <si>
    <t>https://adstransparency.google.com/advertiser/AR11070511645502472193/creative/CR13325210854170296321?region=anywhere</t>
  </si>
  <si>
    <t>CR13325210854170296321</t>
  </si>
  <si>
    <t>https://adstransparency.google.com/advertiser/AR11070511645502472193/creative/CR05641650907226570753?region=anywhere</t>
  </si>
  <si>
    <t>CR05641650907226570753</t>
  </si>
  <si>
    <t>https://adstransparency.google.com/advertiser/AR11070511645502472193/creative/CR01335320364711936001?region=anywhere</t>
  </si>
  <si>
    <t>CR01335320364711936001</t>
  </si>
  <si>
    <t>https://adstransparency.google.com/advertiser/AR11070511645502472193/creative/CR12072792893098557441?region=anywhere</t>
  </si>
  <si>
    <t>CR12072792893098557441</t>
  </si>
  <si>
    <t>https://adstransparency.google.com/advertiser/AR11070511645502472193/creative/CR02924431326197055489?region=anywhere</t>
  </si>
  <si>
    <t>CR02924431326197055489</t>
  </si>
  <si>
    <t>https://adstransparency.google.com/advertiser/AR11070511645502472193/creative/CR05296652986250952705?region=anywhere</t>
  </si>
  <si>
    <t>CR05296652986250952705</t>
  </si>
  <si>
    <t>https://adstransparency.google.com/advertiser/AR11070511645502472193/creative/CR10995233702165872641?region=anywhere</t>
  </si>
  <si>
    <t>CR10995233702165872641</t>
  </si>
  <si>
    <t>https://adstransparency.google.com/advertiser/AR11070511645502472193/creative/CR09062578133558886401?region=anywhere</t>
  </si>
  <si>
    <t>CR09062578133558886401</t>
  </si>
  <si>
    <t>https://adstransparency.google.com/advertiser/AR11070511645502472193/creative/CR17136723059235880961?region=anywhere</t>
  </si>
  <si>
    <t>CR17136723059235880961</t>
  </si>
  <si>
    <t>https://adstransparency.google.com/advertiser/AR11070511645502472193/creative/CR07249351552320667649?region=anywhere</t>
  </si>
  <si>
    <t>CR07249351552320667649</t>
  </si>
  <si>
    <t>https://adstransparency.google.com/advertiser/AR11070511645502472193/creative/CR13712553922869067777?region=anywhere</t>
  </si>
  <si>
    <t>CR13712553922869067777</t>
  </si>
  <si>
    <t>https://adstransparency.google.com/advertiser/AR11070511645502472193/creative/CR17667677911483678721?region=anywhere</t>
  </si>
  <si>
    <t>CR17667677911483678721</t>
  </si>
  <si>
    <t>https://adstransparency.google.com/advertiser/AR11070511645502472193/creative/CR15557928403037323265?region=anywhere</t>
  </si>
  <si>
    <t>CR15557928403037323265</t>
  </si>
  <si>
    <t>https://adstransparency.google.com/advertiser/AR11070511645502472193/creative/CR09957132032184156161?region=anywhere</t>
  </si>
  <si>
    <t>CR09957132032184156161</t>
  </si>
  <si>
    <t>https://adstransparency.google.com/advertiser/AR11070511645502472193/creative/CR10522292622452588545?region=anywhere</t>
  </si>
  <si>
    <t>CR10522292622452588545</t>
  </si>
  <si>
    <t>https://adstransparency.google.com/advertiser/AR11070511645502472193/creative/CR00675722205337747457?region=anywhere</t>
  </si>
  <si>
    <t>CR00675722205337747457</t>
  </si>
  <si>
    <t>https://adstransparency.google.com/advertiser/AR11070511645502472193/creative/CR10582093273180930049?region=anywhere</t>
  </si>
  <si>
    <t>CR10582093273180930049</t>
  </si>
  <si>
    <t>https://adstransparency.google.com/advertiser/AR11070511645502472193/creative/CR03681106707217383425?region=anywhere</t>
  </si>
  <si>
    <t>CR03681106707217383425</t>
  </si>
  <si>
    <t>https://adstransparency.google.com/advertiser/AR11070511645502472193/creative/CR13757083216081059841?region=anywhere</t>
  </si>
  <si>
    <t>CR13757083216081059841</t>
  </si>
  <si>
    <t>https://adstransparency.google.com/advertiser/AR11070511645502472193/creative/CR01612546141298098177?region=anywhere</t>
  </si>
  <si>
    <t>CR01612546141298098177</t>
  </si>
  <si>
    <t>https://adstransparency.google.com/advertiser/AR11070511645502472193/creative/CR08546944185570164737?region=anywhere</t>
  </si>
  <si>
    <t>Ran from Sep 22, 2025 to Oct 11, 2025</t>
  </si>
  <si>
    <t>Discovered at visual grid position #1084. Verified Ad Details URL. Format: Single Image Ad.</t>
  </si>
  <si>
    <t>CR08546944185570164737</t>
  </si>
  <si>
    <t>https://adstransparency.google.com/advertiser/AR11070511645502472193/creative/CR07836812506143129601?region=anywhere</t>
  </si>
  <si>
    <t>CR07836812506143129601</t>
  </si>
  <si>
    <t>https://adstransparency.google.com/advertiser/AR11070511645502472193/creative/CR02999281714129272833?region=anywhere</t>
  </si>
  <si>
    <t>CR02999281714129272833</t>
  </si>
  <si>
    <t>https://adstransparency.google.com/advertiser/AR11070511645502472193/creative/CR00664750213163909121?region=anywhere</t>
  </si>
  <si>
    <t>CR00664750213163909121</t>
  </si>
  <si>
    <t>https://adstransparency.google.com/advertiser/AR11070511645502472193/creative/CR14402127208757854209?region=anywhere</t>
  </si>
  <si>
    <t>CR14402127208757854209</t>
  </si>
  <si>
    <t>https://adstransparency.google.com/advertiser/AR11070511645502472193/creative/CR01984303529593929729?region=anywhere</t>
  </si>
  <si>
    <t>CR01984303529593929729</t>
  </si>
  <si>
    <t>https://adstransparency.google.com/advertiser/AR11070511645502472193/creative/CR05138274624101941249?region=anywhere</t>
  </si>
  <si>
    <t>CR05138274624101941249</t>
  </si>
  <si>
    <t>https://adstransparency.google.com/advertiser/AR11070511645502472193/creative/CR08936720988897280001?region=anywhere</t>
  </si>
  <si>
    <t>CR08936720988897280001</t>
  </si>
  <si>
    <t>https://adstransparency.google.com/advertiser/AR11070511645502472193/creative/CR07448454347693752321?region=anywhere</t>
  </si>
  <si>
    <t>CR07448454347693752321</t>
  </si>
  <si>
    <t>https://adstransparency.google.com/advertiser/AR11070511645502472193/creative/CR02037043322807123969?region=anywhere</t>
  </si>
  <si>
    <t>CR02037043322807123969</t>
  </si>
  <si>
    <t>https://adstransparency.google.com/advertiser/AR11070511645502472193/creative/CR13814129693261037569?region=anywhere</t>
  </si>
  <si>
    <t>CR13814129693261037569</t>
  </si>
  <si>
    <t>https://adstransparency.google.com/advertiser/AR11070511645502472193/creative/CR01079746927014182913?region=anywhere</t>
  </si>
  <si>
    <t>CR01079746927014182913</t>
  </si>
  <si>
    <t>https://adstransparency.google.com/advertiser/AR11070511645502472193/creative/CR16298024351301632001?region=anywhere</t>
  </si>
  <si>
    <t>CR16298024351301632001</t>
  </si>
  <si>
    <t>https://adstransparency.google.com/advertiser/AR11070511645502472193/creative/CR11894578482191007745?region=anywhere</t>
  </si>
  <si>
    <t>CR11894578482191007745</t>
  </si>
  <si>
    <t>https://adstransparency.google.com/advertiser/AR11070511645502472193/creative/CR02294644259946496001?region=anywhere</t>
  </si>
  <si>
    <t>CR02294644259946496001</t>
  </si>
  <si>
    <t>https://adstransparency.google.com/advertiser/AR11070511645502472193/creative/CR08570924774690127873?region=anywhere</t>
  </si>
  <si>
    <t>CR08570924774690127873</t>
  </si>
  <si>
    <t>https://adstransparency.google.com/advertiser/AR11070511645502472193/creative/CR01737218252943130625?region=anywhere</t>
  </si>
  <si>
    <t>CR01737218252943130625</t>
  </si>
  <si>
    <t>https://adstransparency.google.com/advertiser/AR11070511645502472193/creative/CR10968757462169026561?region=anywhere</t>
  </si>
  <si>
    <t>CR10968757462169026561</t>
  </si>
  <si>
    <t>https://adstransparency.google.com/advertiser/AR11070511645502472193/creative/CR13533984060468101121?region=anywhere</t>
  </si>
  <si>
    <t>CR13533984060468101121</t>
  </si>
  <si>
    <t>https://adstransparency.google.com/advertiser/AR11070511645502472193/creative/CR00202335204939923457?region=anywhere</t>
  </si>
  <si>
    <t>CR00202335204939923457</t>
  </si>
  <si>
    <t>https://adstransparency.google.com/advertiser/AR11070511645502472193/creative/CR17059132688327245825?region=anywhere</t>
  </si>
  <si>
    <t>CR17059132688327245825</t>
  </si>
  <si>
    <t>https://adstransparency.google.com/advertiser/AR11070511645502472193/creative/CR01310044791412621313?region=anywhere</t>
  </si>
  <si>
    <t>CR01310044791412621313</t>
  </si>
  <si>
    <t>https://adstransparency.google.com/advertiser/AR11070511645502472193/creative/CR13714471230629740545?region=anywhere</t>
  </si>
  <si>
    <t>CR13714471230629740545</t>
  </si>
  <si>
    <t>https://adstransparency.google.com/advertiser/AR11070511645502472193/creative/CR12028709005175029761?region=anywhere</t>
  </si>
  <si>
    <t>CR12028709005175029761</t>
  </si>
  <si>
    <t>https://adstransparency.google.com/advertiser/AR11070511645502472193/creative/CR06112763808340508673?region=anywhere</t>
  </si>
  <si>
    <t>CR06112763808340508673</t>
  </si>
  <si>
    <t>https://adstransparency.google.com/advertiser/AR11070511645502472193/creative/CR18172691676659712001?region=anywhere</t>
  </si>
  <si>
    <t>CR18172691676659712001</t>
  </si>
  <si>
    <t>https://adstransparency.google.com/advertiser/AR11070511645502472193/creative/CR13744804419977871361?region=anywhere</t>
  </si>
  <si>
    <t>CR13744804419977871361</t>
  </si>
  <si>
    <t>https://adstransparency.google.com/advertiser/AR11070511645502472193/creative/CR16577862155198529537?region=anywhere</t>
  </si>
  <si>
    <t>CR16577862155198529537</t>
  </si>
  <si>
    <t>Rankscale.ai</t>
  </si>
  <si>
    <t>https://rankscale.ai/</t>
  </si>
  <si>
    <t>Rankscale GmbH</t>
  </si>
  <si>
    <t>Search Text Ad: "Go From Visibility to Insight - Modern Platform for Clarity and Control"</t>
  </si>
  <si>
    <t>https://adstransparency.google.com/advertiser/AR00739524288117211137/creative/CR02154636529484431361?region=anywhere</t>
  </si>
  <si>
    <t>CR02154636529484431361</t>
  </si>
  <si>
    <t>Search Text Ad: "Better Rankings with AI - AI Visibility Tracker for AI Search"</t>
  </si>
  <si>
    <t>https://adstransparency.google.com/advertiser/AR00739524288117211137/creative/CR12006826069492498433?region=anywhere</t>
  </si>
  <si>
    <t>CR12006826069492498433</t>
  </si>
  <si>
    <t>Search Text Ad: "AI Search Visibility Tool - Trusted Insights for SEO Teams &amp; Digital Brands"</t>
  </si>
  <si>
    <t>https://adstransparency.google.com/advertiser/AR00739524288117211137/creative/CR13827474182419513345?region=anywhere</t>
  </si>
  <si>
    <t>CR13827474182419513345</t>
  </si>
  <si>
    <t>Digital Funda</t>
  </si>
  <si>
    <t>Search Text Ad: "Rankscale - AI Visibility Tracker for ChatGPT &amp; AI Overviews"</t>
  </si>
  <si>
    <t>https://adstransparency.google.com/advertiser/AR09953131201428455425/creative/CR03180908519503167489?region=anywhere</t>
  </si>
  <si>
    <t>CR03180908519503167489</t>
  </si>
  <si>
    <t>Search Text Ad: "Rankscale AI - Check Your AI Visibility Score - Optimize for GEO"</t>
  </si>
  <si>
    <t>https://adstransparency.google.com/advertiser/AR00739524288117211137/creative/CR18166801206322659329?region=anywhere</t>
  </si>
  <si>
    <t>CR18166801206322659329</t>
  </si>
  <si>
    <t>Search Text Ad: "AI Rank Tracker - AI Search Engines Tracker - Monitor ChatGPT, Claude &amp; Perplexity"</t>
  </si>
  <si>
    <t>https://adstransparency.google.com/advertiser/AR00739524288117211137/creative/CR04111750296164630529?region=anywhere</t>
  </si>
  <si>
    <t>CR04111750296164630529</t>
  </si>
  <si>
    <t>Search Text Ad: "Monitor And Rank On AI - Brand Visibility on ChatGPT, Perplexity &amp; Claude"</t>
  </si>
  <si>
    <t>https://adstransparency.google.com/advertiser/AR00739524288117211137/creative/CR00604732984414699521?region=anywhere</t>
  </si>
  <si>
    <t>CR00604732984414699521</t>
  </si>
  <si>
    <t>Search Text Ad: "Monitor And Rank On AI - Track AI Citations and Search Overviews"</t>
  </si>
  <si>
    <t>https://adstransparency.google.com/advertiser/AR00739524288117211137/creative/CR04271243485794795521?region=anywhere</t>
  </si>
  <si>
    <t>CR04271243485794795521</t>
  </si>
  <si>
    <t>ĐÀO QUANG VŨ</t>
  </si>
  <si>
    <t>Search Text Ad: "Rankscale AI Visibility - Track Brand Mentions &amp; Citations across Gemini &amp; AI Overviews"</t>
  </si>
  <si>
    <t>https://adstransparency.google.com/advertiser/AR14002065152757727233/creative/CR08576620133252857857?region=anywhere</t>
  </si>
  <si>
    <t>CR08576620133252857857</t>
  </si>
  <si>
    <t>HERA SEO SRL</t>
  </si>
  <si>
    <t>Search Text Ad: "Rankscale - Monitor AI Visibility with 94+ Technical Checkpoints"</t>
  </si>
  <si>
    <t>https://adstransparency.google.com/advertiser/AR13497936107894996993/creative/CR08725855334662406145?region=anywhere</t>
  </si>
  <si>
    <t>CR08725855334662406145</t>
  </si>
  <si>
    <t>Display Banner: "AI Search Engines Analytics - Track and Deeply Analyze Visibility in AI Search"</t>
  </si>
  <si>
    <t>https://adstransparency.google.com/advertiser/AR00739524288117211137/creative/CR03064711718362939393?region=anywhere</t>
  </si>
  <si>
    <t>CR03064711718362939393</t>
  </si>
  <si>
    <t>Video Ad: "Stay ahead with Rankscale today"</t>
  </si>
  <si>
    <t>https://adstransparency.google.com/advertiser/AR00739524288117211137/creative/CR03082580981337554945?region=anywhere</t>
  </si>
  <si>
    <t>CR03082580981337554945</t>
  </si>
  <si>
    <t>Shelea Kirksey</t>
  </si>
  <si>
    <t>Search Text Ad: "Rankscale.ai - Track Visibility, Citations, and Sentiment Across Major AI Engines"</t>
  </si>
  <si>
    <t>https://adstransparency.google.com/advertiser/AR16480343677202333697/creative/CR06832660276303626241?region=anywhere</t>
  </si>
  <si>
    <t>CR06832660276303626241</t>
  </si>
  <si>
    <t>Search Text Ad: "Track your AI Visibility - Google AI Mode Rank Tracker | AI Overviews"</t>
  </si>
  <si>
    <t>https://adstransparency.google.com/advertiser/AR00739524288117211137/creative/CR16115500567777771521?region=anywhere</t>
  </si>
  <si>
    <t>CR16115500567777771521</t>
  </si>
  <si>
    <t>ZENTRAVYX MEIDA LLC</t>
  </si>
  <si>
    <t>Search Text Ad: "AI SEO Tool for Websites - Benchmark Competitors and Optimize for AI"</t>
  </si>
  <si>
    <t>https://adstransparency.google.com/advertiser/AR00492563599877734401/creative/CR06318832722840125441?region=anywhere</t>
  </si>
  <si>
    <t>CR06318832722840125441</t>
  </si>
  <si>
    <t>https://rankscale.ai/rankscale_ai</t>
  </si>
  <si>
    <t>HYPERFAVOR COMPANY LIMITED</t>
  </si>
  <si>
    <t>Search Text Ad: "AI Rank Tracker - Rankscale Brand Visibility - Analyze AI-Generated Results"</t>
  </si>
  <si>
    <t>https://adstransparency.google.com/advertiser/AR09760715412437204993/creative/CR02011469670187532289?region=anywhere</t>
  </si>
  <si>
    <t>CR02011469670187532289</t>
  </si>
  <si>
    <t>Search Text Ad: "AI Rank Tracker - AI Search Engines Tracker - Monitor Brand Visibility"</t>
  </si>
  <si>
    <t>https://adstransparency.google.com/advertiser/AR00739524288117211137/creative/CR06185217364003389441?region=anywhere</t>
  </si>
  <si>
    <t>CR06185217364003389441</t>
  </si>
  <si>
    <t>Accuranker</t>
  </si>
  <si>
    <t>https://www.accuranker.com/</t>
  </si>
  <si>
    <t>eTarg Media ApS</t>
  </si>
  <si>
    <t>Search Text Ad: "Accuranker - Experience the world's fastest, most accurate rank tracking with AccuRanker."</t>
  </si>
  <si>
    <t>https://adstransparency.google.com/advertiser/AR01866760943401172993/creative/CR17962702857178185729?region=anywhere</t>
  </si>
  <si>
    <t>CR17962702857178185729</t>
  </si>
  <si>
    <t>Search Text Ad: "Accuranker - World's Fastest Rank Tracker - Sign up for a free trial! Superior rank tracking and SERP analysis."</t>
  </si>
  <si>
    <t>https://adstransparency.google.com/advertiser/AR01866760943401172993/creative/CR13817981832248950785?region=anywhere</t>
  </si>
  <si>
    <t>CR13817981832248950785</t>
  </si>
  <si>
    <t>https://www.accuranker.com/pricing</t>
  </si>
  <si>
    <t>Search Text Ad: "Affordable AccuRanker Price - Get the best value in SERP tracking with AccuRanker's transparent pricing plans."</t>
  </si>
  <si>
    <t>https://adstransparency.google.com/advertiser/AR01866760943401172993/creative/CR09302985698137079809?region=anywhere</t>
  </si>
  <si>
    <t>CR09302985698137079809</t>
  </si>
  <si>
    <t>Athena HQ</t>
  </si>
  <si>
    <t>https://athenahq.ai/</t>
  </si>
  <si>
    <t>Ran from Sep 15, 2025 to Sep 21, 2025</t>
  </si>
  <si>
    <t>Discovered at visual grid position #1194. Verified Ad Details URL. Format: Single Image Ad.</t>
  </si>
  <si>
    <t>NuvoTech, Inc</t>
  </si>
  <si>
    <t>Search Text Ad: "Agentic SEO Platform - AI agents that find and fix your AI search visibility gaps — automatically."</t>
  </si>
  <si>
    <t>https://adstransparency.google.com/advertiser/AR17913883853710163969/creative/CR09040885482107437057?region=anywhere</t>
  </si>
  <si>
    <t>CR09040885482107437057</t>
  </si>
  <si>
    <t>Search Text Ad: "AthenaHQ: Action on AI Search - Become The Brand AI Trusts - End-to-end AEO &amp; GEO platform."</t>
  </si>
  <si>
    <t>https://adstransparency.google.com/advertiser/AR17913883853710163969/creative/CR10575763900135899137?region=anywhere</t>
  </si>
  <si>
    <t>CR10575763900135899137</t>
  </si>
  <si>
    <t>https://athenahq.ai/aeo/platform</t>
  </si>
  <si>
    <t>Search Text Ad: "Generative Engine Optimization - Leading AEO &amp; GEO platform - Free 10-minute AI visibility audit."</t>
  </si>
  <si>
    <t>https://adstransparency.google.com/advertiser/AR17913883853710163969/creative/CR12852410984391770113?region=anywhere</t>
  </si>
  <si>
    <t>CR12852410984391770113</t>
  </si>
  <si>
    <t>Video Ad: "Athena HQ Overview"</t>
  </si>
  <si>
    <t>https://adstransparency.google.com/advertiser/AR17913883853710163969/creative/CR18280905636835229697?region=anywhere</t>
  </si>
  <si>
    <t>CR18280905636835229697</t>
  </si>
  <si>
    <t>https://athenahq.ai/report/2026</t>
  </si>
  <si>
    <t>Search Text Ad: "State of AI Search 2026 - Free 2026 AI Search Report - Download the free report."</t>
  </si>
  <si>
    <t>https://adstransparency.google.com/advertiser/AR17913883853710163969/creative/CR04924011856894361601?region=anywhere</t>
  </si>
  <si>
    <t>CR04924011856894361601</t>
  </si>
  <si>
    <t>Search Text Ad: "10x Your AI Citations - AthenaHQ: AI-powered platform for AI search optimization."</t>
  </si>
  <si>
    <t>https://adstransparency.google.com/advertiser/AR17913883853710163969/creative/CR02845759508293091329?region=anywhere</t>
  </si>
  <si>
    <t>CR02845759508293091329</t>
  </si>
  <si>
    <t>Comparison / Alternative</t>
  </si>
  <si>
    <t>https://athenahq.ai/seoclarity/alternative</t>
  </si>
  <si>
    <t>Search Text Ad: "seoClarity Alternative for AEO - Dedicated AEO tools for teams looking to implement AEO."</t>
  </si>
  <si>
    <t>https://adstransparency.google.com/advertiser/AR17913883853710163969/creative/CR16681113332203126785?region=anywhere</t>
  </si>
  <si>
    <t>CR16681113332203126785</t>
  </si>
  <si>
    <t>https://athenahq.ai/scrunch/alternative</t>
  </si>
  <si>
    <t>Search Text Ad: "AthenaHQ - Get a Free AI Search Audit - Best AI Search Insights."</t>
  </si>
  <si>
    <t>https://adstransparency.google.com/advertiser/AR17913883853710163969/creative/CR14799257399822647297?region=anywhere</t>
  </si>
  <si>
    <t>CR14799257399822647297</t>
  </si>
  <si>
    <t>https://athenahq.ai/search-report</t>
  </si>
  <si>
    <t>Search Text Ad: "State of AI Search 2026 - +8 Million AI Results Analyzed - Visibility &amp; Trust Report."</t>
  </si>
  <si>
    <t>https://adstransparency.google.com/advertiser/AR17913883853710163969/creative/CR07462500050392842241?region=anywhere</t>
  </si>
  <si>
    <t>CR07462500050392842241</t>
  </si>
  <si>
    <t>https://athenahq.ai/AISearch/Content</t>
  </si>
  <si>
    <t>Search Text Ad: "AI SEO Content - Improve Your Brand In AI - Draft &amp; update on-brand SEO content."</t>
  </si>
  <si>
    <t>https://adstransparency.google.com/advertiser/AR17913883853710163969/creative/CR00089787571223134209?region=anywhere</t>
  </si>
  <si>
    <t>CR00089787571223134209</t>
  </si>
  <si>
    <t>Search Text Ad: "Dominate AI Search Results - AthenaHQ: End to End Platform - Unlock AI Search insights."</t>
  </si>
  <si>
    <t>https://adstransparency.google.com/advertiser/AR17913883853710163969/creative/CR01253671412917338113?region=anywhere</t>
  </si>
  <si>
    <t>CR01253671412917338113</t>
  </si>
  <si>
    <t>https://athenahq.ai/AISearch/Monitoring</t>
  </si>
  <si>
    <t>Search Text Ad: "Monitor AI Search Performance - Competitor Monitoring - Track AI traffic &amp; visibility."</t>
  </si>
  <si>
    <t>https://adstransparency.google.com/advertiser/AR17913883853710163969/creative/CR09859460206675623937?region=anywhere</t>
  </si>
  <si>
    <t>CR09859460206675623937</t>
  </si>
  <si>
    <t>Display Banner: "AthenaHQ: Dominate AI Search - End to End AI Search Platform Built for You"</t>
  </si>
  <si>
    <t>https://adstransparency.google.com/advertiser/AR17913883853710163969/creative/CR16529671617115062273?region=anywhere</t>
  </si>
  <si>
    <t>CR16529671617115062273</t>
  </si>
  <si>
    <t>Video Ad: "AthenaHQ - Athena HQ - AI Search Platform"</t>
  </si>
  <si>
    <t>https://adstransparency.google.com/advertiser/AR17913883853710163969/creative/CR16686007988602798081?region=anywhere</t>
  </si>
  <si>
    <t>CR16686007988602798081</t>
  </si>
  <si>
    <t>Display Banner: "End to End AEO / GEO Platform - AthenaHQ: Action on AI Search"</t>
  </si>
  <si>
    <t>https://adstransparency.google.com/advertiser/AR17913883853710163969/creative/CR10443754635729567745?region=anywhere</t>
  </si>
  <si>
    <t>CR10443754635729567745</t>
  </si>
  <si>
    <t>Display Banner: "Athena: Action AI Search - AI-powered search optimization for a competitive edge."</t>
  </si>
  <si>
    <t>https://adstransparency.google.com/advertiser/AR17913883853710163969/creative/CR13206724251345747969?region=anywhere</t>
  </si>
  <si>
    <t>CR13206724251345747969</t>
  </si>
  <si>
    <t>Display Banner: "Dominate AI Search Results For Your Business - AthenaHQ"</t>
  </si>
  <si>
    <t>https://adstransparency.google.com/advertiser/AR17913883853710163969/creative/CR02313798233538691073?region=anywhere</t>
  </si>
  <si>
    <t>CR02313798233538691073</t>
  </si>
  <si>
    <t>Display Banner: "AthenaHQ - AI Search Optimization"</t>
  </si>
  <si>
    <t>https://adstransparency.google.com/advertiser/AR17913883853710163969/creative/CR06264284275948912641?region=anywhere</t>
  </si>
  <si>
    <t>CR06264284275948912641</t>
  </si>
  <si>
    <t>https://www.scrunch.com/ai-search/visibility</t>
  </si>
  <si>
    <t>Excelsa Labs</t>
  </si>
  <si>
    <t>Search Text Ad: "AI Visibility Platform - Monitor Your AI Visibility - Make Your Site AI-Friendly"</t>
  </si>
  <si>
    <t>https://adstransparency.google.com/advertiser/AR01685939160927436801/creative/CR16928783617759379457?region=anywhere</t>
  </si>
  <si>
    <t>CR16928783617759379457</t>
  </si>
  <si>
    <t>https://www.scrunch.com/aeo</t>
  </si>
  <si>
    <t>Search Text Ad: "Start Your Free 7-day Trial - Increase visibility in answer-driven search"</t>
  </si>
  <si>
    <t>https://adstransparency.google.com/advertiser/AR01685939160927436801/creative/CR01752131642115227649?region=anywhere</t>
  </si>
  <si>
    <t>CR01752131642115227649</t>
  </si>
  <si>
    <t>https://scrunch.com/</t>
  </si>
  <si>
    <t>Search Text Ad: "Track Your Brand in Claude - See exactly how and when Claude cites your brand in its answers"</t>
  </si>
  <si>
    <t>https://adstransparency.google.com/advertiser/AR01685939160927436801/creative/CR06070463835083374593?region=anywhere</t>
  </si>
  <si>
    <t>CR06070463835083374593</t>
  </si>
  <si>
    <t>https://www.scrunch.com/ai-search</t>
  </si>
  <si>
    <t>Search Text Ad: "Scrunch AI - Free 7-Day Trial, No Card Req - Monitor brand's AI visibility and fix inaccuracies"</t>
  </si>
  <si>
    <t>https://adstransparency.google.com/advertiser/AR01685939160927436801/creative/CR02272827363681107969?region=anywhere</t>
  </si>
  <si>
    <t>CR02272827363681107969</t>
  </si>
  <si>
    <t>https://www.scrunch.com/chatgpt/visibility</t>
  </si>
  <si>
    <t>Search Text Ad: "Track Your Brand in ChatGPT - Get Cited in ChatGPT - Turn ChatGPT into a measurable channel"</t>
  </si>
  <si>
    <t>https://adstransparency.google.com/advertiser/AR01685939160927436801/creative/CR12423139104919650305?region=anywhere</t>
  </si>
  <si>
    <t>CR12423139104919650305</t>
  </si>
  <si>
    <t>https://www.scrunch.com/ai-search/monitoring</t>
  </si>
  <si>
    <t>Search Text Ad: "Make Your Site AI-Friendly - Rank Higher in AI Answers - Track ChatGPT and AI Overviews"</t>
  </si>
  <si>
    <t>https://adstransparency.google.com/advertiser/AR01685939160927436801/creative/CR13454074261190737921?region=anywhere</t>
  </si>
  <si>
    <t>CR13454074261190737921</t>
  </si>
  <si>
    <t>Search Text Ad: "Rank in Google AI Overviews - Show Up in Google AI Answers &amp; Gemini Search"</t>
  </si>
  <si>
    <t>https://adstransparency.google.com/advertiser/AR01685939160927436801/creative/CR13414692984499208193?region=anywhere</t>
  </si>
  <si>
    <t>CR13414692984499208193</t>
  </si>
  <si>
    <t>https://www.scrunch.com/aeo/platform</t>
  </si>
  <si>
    <t>Search Text Ad: "Start a Free Trial - Make Your Brand the Answer - Dashboards, LLM audits, &amp; AI insights"</t>
  </si>
  <si>
    <t>https://adstransparency.google.com/advertiser/AR01685939160927436801/creative/CR08987697981503307777?region=anywhere</t>
  </si>
  <si>
    <t>CR08987697981503307777</t>
  </si>
  <si>
    <t>Search Text Ad: "Scrunch AEO Platform - End-to-end AEO workflows, LLM tracking, and reporting"</t>
  </si>
  <si>
    <t>https://adstransparency.google.com/advertiser/AR01685939160927436801/creative/CR03072615763857637377?region=anywhere</t>
  </si>
  <si>
    <t>CR03072615763857637377</t>
  </si>
  <si>
    <t>https://adstransparency.google.com/advertiser/AR01685939160927436801/creative/CR18097747615490768897?region=anywhere</t>
  </si>
  <si>
    <t>CR18097747615490768897</t>
  </si>
  <si>
    <t>https://adstransparency.google.com/advertiser/AR01685939160927436801/creative/CR17017660853484257281?region=anywhere</t>
  </si>
  <si>
    <t>CR17017660853484257281</t>
  </si>
  <si>
    <t>https://adstransparency.google.com/advertiser/AR01685939160927436801/creative/CR05076430599732854785?region=anywhere</t>
  </si>
  <si>
    <t>CR05076430599732854785</t>
  </si>
  <si>
    <t>https://adstransparency.google.com/advertiser/AR01685939160927436801/creative/CR01141904956442279937?region=anywhere</t>
  </si>
  <si>
    <t>CR01141904956442279937</t>
  </si>
  <si>
    <t>https://adstransparency.google.com/advertiser/AR01685939160927436801/creative/CR12315301066051682305?region=anywhere</t>
  </si>
  <si>
    <t>CR12315301066051682305</t>
  </si>
  <si>
    <t>Video Ad: "Scrunch: There's a better way to win AI search"</t>
  </si>
  <si>
    <t>https://adstransparency.google.com/advertiser/AR01685939160927436801/creative/CR09991094838264594433?region=anywhere</t>
  </si>
  <si>
    <t>CR09991094838264594433</t>
  </si>
  <si>
    <t>https://adstransparency.google.com/advertiser/AR01685939160927436801/creative/CR09509618696461484033?region=anywhere</t>
  </si>
  <si>
    <t>CR09509618696461484033</t>
  </si>
  <si>
    <t>https://adstransparency.google.com/advertiser/AR01685939160927436801/creative/CR14453840667996061697?region=anywhere</t>
  </si>
  <si>
    <t>CR14453840667996061697</t>
  </si>
  <si>
    <t>https://adstransparency.google.com/advertiser/AR01685939160927436801/creative/CR08189238478567899137?region=anywhere</t>
  </si>
  <si>
    <t>CR08189238478567899137</t>
  </si>
  <si>
    <t>https://adstransparency.google.com/advertiser/AR01685939160927436801/creative/CR07122813629572841473?region=anywhere</t>
  </si>
  <si>
    <t>CR07122813629572841473</t>
  </si>
  <si>
    <t>https://adstransparency.google.com/advertiser/AR01685939160927436801/creative/CR12154151419204599809?region=anywhere</t>
  </si>
  <si>
    <t>CR12154151419204599809</t>
  </si>
  <si>
    <t>https://adstransparency.google.com/advertiser/AR01685939160927436801/creative/CR02411251617010548737?region=anywhere</t>
  </si>
  <si>
    <t>CR02411251617010548737</t>
  </si>
  <si>
    <t>https://adstransparency.google.com/advertiser/AR01685939160927436801/creative/CR13069671595822284801?region=anywhere</t>
  </si>
  <si>
    <t>CR13069671595822284801</t>
  </si>
  <si>
    <t>https://adstransparency.google.com/advertiser/AR01685939160927436801/creative/CR03146520125113368577?region=anywhere</t>
  </si>
  <si>
    <t>CR03146520125113368577</t>
  </si>
  <si>
    <t>https://adstransparency.google.com/advertiser/AR01685939160927436801/creative/CR10930872371694796801?region=anywhere</t>
  </si>
  <si>
    <t>CR10930872371694796801</t>
  </si>
  <si>
    <t>https://adstransparency.google.com/advertiser/AR01685939160927436801/creative/CR11344427282203672577?region=anywhere</t>
  </si>
  <si>
    <t>CR11344427282203672577</t>
  </si>
  <si>
    <t>https://adstransparency.google.com/advertiser/AR01685939160927436801/creative/CR18019542445783515137?region=anywhere</t>
  </si>
  <si>
    <t>CR18019542445783515137</t>
  </si>
  <si>
    <t>https://adstransparency.google.com/advertiser/AR01685939160927436801/creative/CR01601899089170006017?region=anywhere</t>
  </si>
  <si>
    <t>CR01601899089170006017</t>
  </si>
  <si>
    <t>https://adstransparency.google.com/advertiser/AR01685939160927436801/creative/CR08062308519795228673?region=anywhere</t>
  </si>
  <si>
    <t>CR08062308519795228673</t>
  </si>
  <si>
    <t>https://adstransparency.google.com/advertiser/AR01685939160927436801/creative/CR13060001391055994881?region=anywhere</t>
  </si>
  <si>
    <t>CR13060001391055994881</t>
  </si>
  <si>
    <t>https://adstransparency.google.com/advertiser/AR01685939160927436801/creative/CR08938556614969917441?region=anywhere</t>
  </si>
  <si>
    <t>CR08938556614969917441</t>
  </si>
  <si>
    <t>https://adstransparency.google.com/advertiser/AR01685939160927436801/creative/CR09285988545451786241?region=anywhere</t>
  </si>
  <si>
    <t>CR09285988545451786241</t>
  </si>
  <si>
    <t>https://adstransparency.google.com/advertiser/AR01685939160927436801/creative/CR05192562005701033985?region=anywhere</t>
  </si>
  <si>
    <t>CR05192562005701033985</t>
  </si>
  <si>
    <t>https://adstransparency.google.com/advertiser/AR01685939160927436801/creative/CR16418315965671931905?region=anywhere</t>
  </si>
  <si>
    <t>CR16418315965671931905</t>
  </si>
  <si>
    <t>https://adstransparency.google.com/advertiser/AR01685939160927436801/creative/CR15472178625058439169?region=anywhere</t>
  </si>
  <si>
    <t>CR15472178625058439169</t>
  </si>
  <si>
    <t>https://adstransparency.google.com/advertiser/AR01685939160927436801/creative/CR16614962907335098369?region=anywhere</t>
  </si>
  <si>
    <t>CR16614962907335098369</t>
  </si>
  <si>
    <t>https://adstransparency.google.com/advertiser/AR01685939160927436801/creative/CR06921803250245042177?region=anywhere</t>
  </si>
  <si>
    <t>CR06921803250245042177</t>
  </si>
  <si>
    <t>https://adstransparency.google.com/advertiser/AR01685939160927436801/creative/CR15368473126413271041?region=anywhere</t>
  </si>
  <si>
    <t>CR15368473126413271041</t>
  </si>
  <si>
    <t>https://adstransparency.google.com/advertiser/AR01685939160927436801/creative/CR10473084357508595713?region=anywhere</t>
  </si>
  <si>
    <t>CR10473084357508595713</t>
  </si>
  <si>
    <t>https://adstransparency.google.com/advertiser/AR01685939160927436801/creative/CR17581008005481103361?region=anywhere</t>
  </si>
  <si>
    <t>CR17581008005481103361</t>
  </si>
  <si>
    <t>https://adstransparency.google.com/advertiser/AR01685939160927436801/creative/CR00934014932859486209?region=anywhere</t>
  </si>
  <si>
    <t>CR00934014932859486209</t>
  </si>
  <si>
    <t>https://adstransparency.google.com/advertiser/AR01685939160927436801/creative/CR05816130234184892417?region=anywhere</t>
  </si>
  <si>
    <t>CR05816130234184892417</t>
  </si>
  <si>
    <t>https://adstransparency.google.com/advertiser/AR01685939160927436801/creative/CR12854880143910371329?region=anywhere</t>
  </si>
  <si>
    <t>CR12854880143910371329</t>
  </si>
  <si>
    <t>https://adstransparency.google.com/advertiser/AR01685939160927436801/creative/CR02958719415920623617?region=anywhere</t>
  </si>
  <si>
    <t>CR02958719415920623617</t>
  </si>
  <si>
    <t>https://adstransparency.google.com/advertiser/AR01685939160927436801/creative/CR00646324528586162177?region=anywhere</t>
  </si>
  <si>
    <t>CR00646324528586162177</t>
  </si>
  <si>
    <t>https://adstransparency.google.com/advertiser/AR01685939160927436801/creative/CR03049339789892386817?region=anywhere</t>
  </si>
  <si>
    <t>CR03049339789892386817</t>
  </si>
  <si>
    <t>https://adstransparency.google.com/advertiser/AR01685939160927436801/creative/CR06843287262344511489?region=anywhere</t>
  </si>
  <si>
    <t>CR06843287262344511489</t>
  </si>
  <si>
    <t>https://adstransparency.google.com/advertiser/AR01685939160927436801/creative/CR08755261017233031169?region=anywhere</t>
  </si>
  <si>
    <t>CR08755261017233031169</t>
  </si>
  <si>
    <t>Otterly</t>
  </si>
  <si>
    <t>OtterlyAI GmbH</t>
  </si>
  <si>
    <t>Search Text Ad: "AI SEO Made for Answer Engines - Unlock Your AI Visibility Now - Optimize ChatGPT, Claude &amp; Perplexity"</t>
  </si>
  <si>
    <t>https://adstransparency.google.com/advertiser/AR13288297259528617985/creative/CR13585705181927964673?region=anywhere</t>
  </si>
  <si>
    <t>CR13585705181927964673</t>
  </si>
  <si>
    <t>Display Banner: "AI Replaced Your Ranking. Are You Still Visible? - #1 Ranking on ChatGPT &amp; Perplexity - Try for Free"</t>
  </si>
  <si>
    <t>https://adstransparency.google.com/advertiser/AR13288297259528617985/creative/CR01953369663299649537?region=anywhere</t>
  </si>
  <si>
    <t>CR01953369663299649537</t>
  </si>
  <si>
    <t>Search Text Ad: "Best AI Search Analytics - Track Brand Mentions across ChatGPT, Perplexity &amp; Overviews in One Dashboard"</t>
  </si>
  <si>
    <t>https://adstransparency.google.com/advertiser/AR13288297259528617985/creative/CR16505806511075753985?region=anywhere</t>
  </si>
  <si>
    <t>CR16505806511075753985</t>
  </si>
  <si>
    <t>Video Ad: "OtterlyAI - AI Search Visibility &amp; Generative Engine Optimization Platform"</t>
  </si>
  <si>
    <t>https://adstransparency.google.com/advertiser/AR13288297259528617985/creative/CR10778135844226072577?region=anywhere</t>
  </si>
  <si>
    <t>CR10778135844226072577</t>
  </si>
  <si>
    <t>Search Text Ad: "Optimize for ChatGPT &amp; Co - Rank #1 on ChatGPT &amp; AI Search - Free Trial &amp; Free GEO Guide"</t>
  </si>
  <si>
    <t>https://adstransparency.google.com/advertiser/AR13288297259528617985/creative/CR02101498481133748225?region=anywhere</t>
  </si>
  <si>
    <t>CR02101498481133748225</t>
  </si>
  <si>
    <t>Search Text Ad: "OtterlyAI - Start Free Trial - Track Brand Mentions across ChatGPT, Perplexity &amp; Overviews"</t>
  </si>
  <si>
    <t>https://adstransparency.google.com/advertiser/AR13288297259528617985/creative/CR10313232959016009729?region=anywhere</t>
  </si>
  <si>
    <t>CR10313232959016009729</t>
  </si>
  <si>
    <t>https://adstransparency.google.com/advertiser/AR13288297259528617985/creative/CR10031143312355753985?region=anywhere</t>
  </si>
  <si>
    <t>CR10031143312355753985</t>
  </si>
  <si>
    <t>Display Banner: "Otterly.AI - Monitor Your Brand's AI Visibility Across Major LLMs - Start Today"</t>
  </si>
  <si>
    <t>https://adstransparency.google.com/advertiser/AR13288297259528617985/creative/CR06892088398748581889?region=anywhere</t>
  </si>
  <si>
    <t>CR06892088398748581889</t>
  </si>
  <si>
    <t>https://adstransparency.google.com/advertiser/AR13288297259528617985/creative/CR03870825059178250241?region=anywhere</t>
  </si>
  <si>
    <t>CR03870825059178250241</t>
  </si>
  <si>
    <t>https://adstransparency.google.com/advertiser/AR13288297259528617985/creative/CR06706657343272124417?region=anywhere</t>
  </si>
  <si>
    <t>CR06706657343272124417</t>
  </si>
  <si>
    <t>https://adstransparency.google.com/advertiser/AR13288297259528617985/creative/CR10874498142795988993?region=anywhere</t>
  </si>
  <si>
    <t>CR10874498142795988993</t>
  </si>
  <si>
    <t>Search Text Ad: "Win Visibility in AI Results - Otterly.AI - Start Free Trial - AI-Driven Visibility across all LLMs"</t>
  </si>
  <si>
    <t>https://adstransparency.google.com/advertiser/AR13288297259528617985/creative/CR00072050704910385153?region=anywhere</t>
  </si>
  <si>
    <t>CR00072050704910385153</t>
  </si>
  <si>
    <t>https://adstransparency.google.com/advertiser/AR13288297259528617985/creative/CR06938318464650051585?region=anywhere</t>
  </si>
  <si>
    <t>CR06938318464650051585</t>
  </si>
  <si>
    <t>https://adstransparency.google.com/advertiser/AR13288297259528617985/creative/CR05811052483329392641?region=anywhere</t>
  </si>
  <si>
    <t>CR05811052483329392641</t>
  </si>
  <si>
    <t>Search Text Ad: "OtterlyAI - AI-Driven SEO &amp; Brand Presence Tracker for Generative Engine Optimization (GEO)"</t>
  </si>
  <si>
    <t>https://adstransparency.google.com/advertiser/AR13288297259528617985/creative/CR14521479711349014529?region=anywhere</t>
  </si>
  <si>
    <t>CR14521479711349014529</t>
  </si>
  <si>
    <t>https://adstransparency.google.com/advertiser/AR13288297259528617985/creative/CR15177782050259206145?region=anywhere</t>
  </si>
  <si>
    <t>CR15177782050259206145</t>
  </si>
  <si>
    <t>https://adstransparency.google.com/advertiser/AR13288297259528617985/creative/CR07693143298881355777?region=anywhere</t>
  </si>
  <si>
    <t>CR07693143298881355777</t>
  </si>
  <si>
    <t>https://adstransparency.google.com/advertiser/AR13288297259528617985/creative/CR14890108576746962945?region=anywhere</t>
  </si>
  <si>
    <t>CR14890108576746962945</t>
  </si>
  <si>
    <t>https://adstransparency.google.com/advertiser/AR13288297259528617985/creative/CR09325426378272669697?region=anywhere</t>
  </si>
  <si>
    <t>CR09325426378272669697</t>
  </si>
  <si>
    <t>https://adstransparency.google.com/advertiser/AR13288297259528617985/creative/CR11347744302626242561?region=anywhere</t>
  </si>
  <si>
    <t>CR11347744302626242561</t>
  </si>
  <si>
    <t>https://adstransparency.google.com/advertiser/AR13288297259528617985/creative/CR01350943119272574977?region=anywhere</t>
  </si>
  <si>
    <t>CR01350943119272574977</t>
  </si>
  <si>
    <t>https://adstransparency.google.com/advertiser/AR13288297259528617985/creative/CR14302112530128961537?region=anywhere</t>
  </si>
  <si>
    <t>CR14302112530128961537</t>
  </si>
  <si>
    <t>https://adstransparency.google.com/advertiser/AR13288297259528617985/creative/CR02542878895615508481?region=anywhere</t>
  </si>
  <si>
    <t>CR02542878895615508481</t>
  </si>
  <si>
    <t>https://adstransparency.google.com/advertiser/AR13288297259528617985/creative/CR03779732006875693057?region=anywhere</t>
  </si>
  <si>
    <t>CR03779732006875693057</t>
  </si>
  <si>
    <t>https://adstransparency.google.com/advertiser/AR13288297259528617985/creative/CR04802831244423331841?region=anywhere</t>
  </si>
  <si>
    <t>CR04802831244423331841</t>
  </si>
  <si>
    <t>https://adstransparency.google.com/advertiser/AR13288297259528617985/creative/CR00426208485458313217?region=anywhere</t>
  </si>
  <si>
    <t>CR00426208485458313217</t>
  </si>
  <si>
    <t>https://adstransparency.google.com/advertiser/AR13288297259528617985/creative/CR10409984484702158849?region=anywhere</t>
  </si>
  <si>
    <t>CR10409984484702158849</t>
  </si>
  <si>
    <t>https://adstransparency.google.com/advertiser/AR13288297259528617985/creative/CR17650077264353689601?region=anywhere</t>
  </si>
  <si>
    <t>CR17650077264353689601</t>
  </si>
  <si>
    <t>https://adstransparency.google.com/advertiser/AR13288297259528617985/creative/CR01167316663025008641?region=anywhere</t>
  </si>
  <si>
    <t>CR01167316663025008641</t>
  </si>
  <si>
    <t>https://adstransparency.google.com/advertiser/AR13288297259528617985/creative/CR02189641749897412609?region=anywhere</t>
  </si>
  <si>
    <t>CR02189641749897412609</t>
  </si>
  <si>
    <t>https://adstransparency.google.com/advertiser/AR13288297259528617985/creative/CR17483589969590091777?region=anywhere</t>
  </si>
  <si>
    <t>CR17483589969590091777</t>
  </si>
  <si>
    <t>https://adstransparency.google.com/advertiser/AR13288297259528617985/creative/CR11724449218369159169?region=anywhere</t>
  </si>
  <si>
    <t>CR11724449218369159169</t>
  </si>
  <si>
    <t>https://adstransparency.google.com/advertiser/AR13288297259528617985/creative/CR17207978963268272129?region=anywhere</t>
  </si>
  <si>
    <t>CR17207978963268272129</t>
  </si>
  <si>
    <t>https://adstransparency.google.com/advertiser/AR13288297259528617985/creative/CR12415117617839210497?region=anywhere</t>
  </si>
  <si>
    <t>CR12415117617839210497</t>
  </si>
  <si>
    <t>https://adstransparency.google.com/advertiser/AR13288297259528617985/creative/CR17589437754972831745?region=anywhere</t>
  </si>
  <si>
    <t>CR17589437754972831745</t>
  </si>
  <si>
    <t>https://adstransparency.google.com/advertiser/AR13288297259528617985/creative/CR15397169898861887489?region=anywhere</t>
  </si>
  <si>
    <t>Ran from Sep 4, 2025 to Dec 31, 2025</t>
  </si>
  <si>
    <t>100k-150k</t>
  </si>
  <si>
    <t>CR15397169898861887489</t>
  </si>
  <si>
    <t>https://adstransparency.google.com/advertiser/AR13288297259528617985/creative/CR15799337442319794177?region=anywhere</t>
  </si>
  <si>
    <t>CR15799337442319794177</t>
  </si>
  <si>
    <t>https://adstransparency.google.com/advertiser/AR13288297259528617985/creative/CR03772874997098348545?region=anywhere</t>
  </si>
  <si>
    <t>CR03772874997098348545</t>
  </si>
  <si>
    <t>https://adstransparency.google.com/advertiser/AR13288297259528617985/creative/CR14275034032638001153?region=anywhere</t>
  </si>
  <si>
    <t>CR14275034032638001153</t>
  </si>
  <si>
    <t>https://adstransparency.google.com/advertiser/AR13288297259528617985/creative/CR16277523295576784897?region=anywhere</t>
  </si>
  <si>
    <t>CR16277523295576784897</t>
  </si>
  <si>
    <t>https://adstransparency.google.com/advertiser/AR13288297259528617985/creative/CR09687367945231007745?region=anywhere</t>
  </si>
  <si>
    <t>CR09687367945231007745</t>
  </si>
  <si>
    <t>https://adstransparency.google.com/advertiser/AR13288297259528617985/creative/CR06019398254481899521?region=anywhere</t>
  </si>
  <si>
    <t>CR06019398254481899521</t>
  </si>
  <si>
    <t>DIGITAL FUNDA</t>
  </si>
  <si>
    <t>https://adstransparency.google.com/advertiser/AR12720725560519557121/creative/CR12216991326230544385?region=anywhere</t>
  </si>
  <si>
    <t>CR12216991326230544385</t>
  </si>
  <si>
    <t>TRỊNH LAN PHƯƠNG</t>
  </si>
  <si>
    <t>https://adstransparency.google.com/advertiser/AR06026558866907463681/creative/CR10651535945100165121?region=anywhere</t>
  </si>
  <si>
    <t>CR10651535945100165121</t>
  </si>
  <si>
    <t>https://adstransparency.google.com/advertiser/AR13852934980478435329/creative/CR02992695562169483265?region=anywhere</t>
  </si>
  <si>
    <t>CR02992695562169483265</t>
  </si>
  <si>
    <t>https://adstransparency.google.com/advertiser/AR12720725560519557121/creative/CR08825465358652538881?region=anywhere</t>
  </si>
  <si>
    <t>CR08825465358652538881</t>
  </si>
  <si>
    <t>https://adstransparency.google.com/advertiser/AR13288297259528617985/creative/CR03469681616312336385?region=anywhere</t>
  </si>
  <si>
    <t>CR03469681616312336385</t>
  </si>
  <si>
    <t>https://adstransparency.google.com/advertiser/AR13288297259528617985/creative/CR13651654825664839681?region=anywhere</t>
  </si>
  <si>
    <t>CR13651654825664839681</t>
  </si>
  <si>
    <t>https://adstransparency.google.com/advertiser/AR13288297259528617985/creative/CR08493621754273464321?region=anywhere</t>
  </si>
  <si>
    <t>CR08493621754273464321</t>
  </si>
  <si>
    <t>https://adstransparency.google.com/advertiser/AR13288297259528617985/creative/CR02328642602586341377?region=anywhere</t>
  </si>
  <si>
    <t>CR02328642602586341377</t>
  </si>
  <si>
    <t>https://adstransparency.google.com/advertiser/AR13288297259528617985/creative/CR05490352472247500801?region=anywhere</t>
  </si>
  <si>
    <t>CR05490352472247500801</t>
  </si>
  <si>
    <t>https://adstransparency.google.com/advertiser/AR13288297259528617985/creative/CR07346852223382454273?region=anywhere</t>
  </si>
  <si>
    <t>CR07346852223382454273</t>
  </si>
  <si>
    <t>https://adstransparency.google.com/advertiser/AR13288297259528617985/creative/CR13519526169757614081?region=anywhere</t>
  </si>
  <si>
    <t>CR13519526169757614081</t>
  </si>
  <si>
    <t>https://adstransparency.google.com/advertiser/AR13288297259528617985/creative/CR03916512009285271553?region=anywhere</t>
  </si>
  <si>
    <t>CR03916512009285271553</t>
  </si>
  <si>
    <t>https://adstransparency.google.com/advertiser/AR13288297259528617985/creative/CR00405919815866253313?region=anywhere</t>
  </si>
  <si>
    <t>CR00405919815866253313</t>
  </si>
  <si>
    <t>https://adstransparency.google.com/advertiser/AR13288297259528617985/creative/CR09595648171300618241?region=anywhere</t>
  </si>
  <si>
    <t>CR09595648171300618241</t>
  </si>
  <si>
    <t>Still guessing in SEO? Leaders aren’t.</t>
  </si>
  <si>
    <t>Forrester recognized Semrush for its market-best data and ability to cut time-to-impact. If your platform can’t track AI search or deliver real-time analysis, you’re stuck in the past.</t>
  </si>
  <si>
    <t>Ran from Sep 4, 2025 to Sep 17, 2025</t>
  </si>
  <si>
    <t>Discovered at visual grid position #1413. Verified Ad Details URL. Format: Single Image Ad.</t>
  </si>
  <si>
    <t>When customers ask AI, be the answer with AI Optimization</t>
  </si>
  <si>
    <t>Need a more granular view of AI search visibility? Meet AI Optimization:  - Performance data for markets, segments, or products - Targeted competitor analysis  - Customizable prompt tracking - Recommendations &amp; automations for growing visibility</t>
  </si>
  <si>
    <t>Ran from Aug 29, 2025 to Sep 11, 2025</t>
  </si>
  <si>
    <t>Discovered at visual grid position #1536. Verified Ad Details URL. Format: Single Image Ad.</t>
  </si>
  <si>
    <t>AI Optimization: Semrush’s market-leading data meets AI search</t>
  </si>
  <si>
    <t>Millions search, discover and purchase with AI every day.  AI Optimization enables in-depth visibility tracking via mentions, sentiment and topics. Get tailored recommendations to outperform competitors and reach new customers.</t>
  </si>
  <si>
    <t>Discovered at visual grid position #1537. Verified Ad Details URL. Format: Single Image Ad.</t>
  </si>
  <si>
    <t>Discovered at visual grid position #1538. Verified Ad Details URL. Format: Single Image Ad.</t>
  </si>
  <si>
    <t>Discovered at visual grid position #1539. Verified Ad Details URL. Format: Single Image Ad.</t>
  </si>
  <si>
    <t>Discovered at visual grid position #1540. Verified Ad Details URL. Format: Single Image Ad.</t>
  </si>
  <si>
    <t>Discovered at visual grid position #1541. Verified Ad Details URL. Format: Single Image Ad.</t>
  </si>
  <si>
    <t>Discovered at visual grid position #1542. Verified Ad Details URL. Format: Single Image Ad.</t>
  </si>
  <si>
    <t>Discovered at visual grid position #1543. Verified Ad Details URL. Format: Single Image Ad.</t>
  </si>
  <si>
    <t>Discovered at visual grid position #1544. Verified Ad Details URL. Format: Single Image Ad.</t>
  </si>
  <si>
    <t>Discovered at visual grid position #1545. Verified Ad Details URL. Format: Single Image Ad.</t>
  </si>
  <si>
    <t>Discovered at visual grid position #1546. Verified Ad Details URL. Format: Single Image Ad.</t>
  </si>
  <si>
    <t>Profound</t>
  </si>
  <si>
    <t>Incredibly excited to announce the Zero Click by Profound World Tour: bringing our AI marketing summit to London, Sydney, and Singapore this October.  Over 1,000 marketing leaders joined us in San Francisco and New York earlier this year. Now we're bringing together marketing leaders in three more cities.  Zero Click 2026 World Tour 📍London: October 22 📍Sydney: October 27 📍Singapore: October 29  Speaker lineup coming soon.   Space is limited. Request your spot → tryprofound.com/zeroclick</t>
  </si>
  <si>
    <t>Zero Click World Tour</t>
  </si>
  <si>
    <t>Ran from Sep 2, 2026 to Sep 8, 2026</t>
  </si>
  <si>
    <t>Verified</t>
  </si>
  <si>
    <t>Authentic text and creative extracted from live detail DOM</t>
  </si>
  <si>
    <t>Message Ad</t>
  </si>
  <si>
    <t>Sophie Piacentini  Hey %FIRSTNAME%,  Over 100 million people now search using AI every day. If your brand isn't showing up in those answers, you're invisible to a big chunk of your buyers.  Let's fix that. Get on a call and we'll walk through where %COMPANYNAME% ranks on the Profound Index today, then build you a full AEO strategy to close the gap and turn that visibility into traffic and pipeline.</t>
  </si>
  <si>
    <t>AI Visibility &amp; Growth</t>
  </si>
  <si>
    <t>Direct Sponsored InMail</t>
  </si>
  <si>
    <t>We're taking Zero Click by Profound global.  - October 22: London - October 27: Sydney - October 29: Singapore  1,000+ marketers joined us in San Francisco and New York this year. Now we're doing it across three more cities.  Speakers to be announced and spots are limited.   Request your spot: https://lnkd.in/gurBV9cJ</t>
  </si>
  <si>
    <t>Discovered at grid position #5. Verified Ad Details URL. Format: Video Ad.</t>
  </si>
  <si>
    <t>Discovered at grid position #6. Verified Ad Details URL. Format: Video Ad.</t>
  </si>
  <si>
    <t>Sophie Piacentini  Hey %FIRSTNAME%,  Buyers are picking brands in %COMPANYNAME%'s category based on what AI tells them, and most teams are stuck just watching it happen.  Profound is the platform that acts on it: real prompt data, visibility, accuracy, and agents that build and fix content to move your position. Not a leaderboard, an AI marketer.  Get a free Profound Index report for your industry to see where you stand, then we'll show you the agents that change it.</t>
  </si>
  <si>
    <t>Discovered at grid position #9. Verified Ad Details URL. Format: Video Ad.</t>
  </si>
  <si>
    <t>Sophie Piacentini  Hey %FIRSTNAME%,  Over 100 million people search with AI every single day now. If %COMPANYNAME% isn't showing up in those answers, someone else is getting the traffic and the leads instead.  Get on a call with us and we'll build you a complete AEO strategy: what to fix, what to build, and how to actually grow your visibility across ChatGPT, Gemini, Claude, and the rest.</t>
  </si>
  <si>
    <t>Discovered at grid position #13. Verified Ad Details URL. Format: Video Ad.</t>
  </si>
  <si>
    <t>Discovered at grid position #17. Verified Ad Details URL. Format: Video Ad.</t>
  </si>
  <si>
    <t>Discovered at grid position #18. Verified Ad Details URL. Format: Video Ad.</t>
  </si>
  <si>
    <t>Discovered at grid position #20. Verified Ad Details URL. Format: Video Ad.</t>
  </si>
  <si>
    <t>Profound Logic</t>
  </si>
  <si>
    <t>AI FOUNDATIONS TRAINING</t>
  </si>
  <si>
    <t>Your senior RPG developer has 20 years of business logic in her head that nobody ever wrote down. Now leadership wants AI in the mix. Who decides how that goes? Most AI training hands your team a tool and a login. We built something else. 👇   Our AI Foundations is hands-on AI training for IBM i and RPG developers. Three live 90-minute sessions over two weeks with an expert Profound Logic instructor, working through real RPGLE, SQL, and Node.js examples instead of generic demos.  No product to buy. No prior AI experience required. Just a team that wants to tell the difference between AI that works and AI that hallucinates something that looks like it works.  Your IBM i developers already understand this business better than any tool will. AI Foundations makes sure they're the ones deciding how AI gets used on it, not the last ones to find out.  Schedule your kickoff call: https://lnkd.in/ek8gTJ9W/?utm_campaign=Boost_Post_WebsiteVisits_Sep3,2026&amp;utm_source=linkedin&amp;utm_medium=paid&amp;utm_id=1195616836&amp;hsa_acc=508839812&amp;hsa_cam=1195616836&amp;hsa_grp=873928706&amp;hsa_ad=1589598116&amp;hsa_net=linkedin&amp;hsa_ver=3  #IBMi #AIFoundations #RPG #AgenticCoding #Futurization</t>
  </si>
  <si>
    <t>#IBMi, #AIFoundations, #RPG, #AgenticCoding, #Futurization</t>
  </si>
  <si>
    <t>AI Marketer &amp; Agents</t>
  </si>
  <si>
    <t>Discovered at grid position #22. Verified Ad Details URL. Format: Single Image Ad.</t>
  </si>
  <si>
    <t>Sophie Piacentini  Hey %FIRSTNAME%,  As a %JOBTITLE%, you know content output rarely scales without adding headcount. Profound’s AI Marketer changes that. It runs research, writing, and publishing in one cycle, so %COMPANYNAME% can produce more without growing the team.  Book a call and we'll first show you where you stand in AI Search today, then walk through how AI Marketer closes the gaps we find.</t>
  </si>
  <si>
    <t>AI Marketer &amp; Agents, B2B Marketing</t>
  </si>
  <si>
    <t>Sophie Piacentini  Hey %FIRSTNAME%,  %COMPANYNAME% is one of thousands of brands trying to figure out AI Search right now, most without a real plan.  Book a call and we'll show you exactly where %COMPANYNAME% stands, then show you how Profound’s AI Marketer builds the plan: research, writing, and publishing in one cycle, no added headcount needed.</t>
  </si>
  <si>
    <t>Answer Engine Optimization (AEO)</t>
  </si>
  <si>
    <t>Ran from Sep 2, 2026 to Sep 3, 2026</t>
  </si>
  <si>
    <t>You shouldn't have to become an expert to find one.  When Karias Health came to us, we took the time to understand their business first, then matched them with proven, vetted experts uniquely suited to their specific needs.  “Profoundly made addressing our HubSpot needs incredibly easy. The team took the time to understand our business, thoughtfully matched us with experts based on our unique requirements, and guided us through the entire process. I'm thrilled and would absolutely recommend Profoundly to anyone looking for help with HubSpot.”  — Britt Prim, Chief Experience Officer, Karias Health  Thank you for your kind words, Britt Prim, and for giving us the chance to help!  Have a HubSpot project you're trying to tackle? Let's talk!  https://profound.ly/</t>
  </si>
  <si>
    <t>Sophie Piacentini  Hey %FIRSTNAME%,  %COMPANYNAME%'s team is probably tracking AI Search by hand right now. Ramp handed that work to Profound's agents and grew AI visibility 7x.  Profound finds the gaps, writes and publishes the content to close them, and learns from what gets cited. One platform doing the work, not another dashboard.  Book a call and we'll run an agent on one of %COMPANYNAME%'s priority topics and show you what it ships.</t>
  </si>
  <si>
    <t>Trying to accomplish something complex with HubSpot?  The National Head Start Association came to us with a pretty unique HubSpot request.  They needed to manage state-level regulatory requirements across all 50 states + DC – including approvals, recurring obligations, deadlines and reporting – and wanted to build the entire system inside HubSpot.  That meant finding someone with real experience in HubSpot custom objects, data architecture, pipelines and workflow automation – but also someone who could work effectively with a largely non-technical team and be mindful of a nonprofit budget.  That's exactly where matching on more than just "HubSpot experience" matters.  A few weeks later, we received this:  “Profoundly made it easy to find the right partner for our HubSpot project. We are off and running – they’re doing amazing work and have been incredibly responsive. They really understand our organization and what we’re trying to accomplish, which isn’t typical. I would absolutely recommend Profoundly for anyone looking for help with HubSpot.”  — Dr. Deborah Bergeron, National Head Start Association  If you’re trying to make HubSpot do something complex, unique, or highly specific, there’s a good chance someone in the ecosystem has solved a problem just like it before.   𝗪𝗲 𝗸𝗻𝗼𝘄 𝘄𝗵𝗼 𝘁𝗵𝗲𝘆 𝗮𝗿𝗲.  https://lnkd.in/eBH4YDw5</t>
  </si>
  <si>
    <t>Ran from Aug 26, 2026 to Sep 10, 2026</t>
  </si>
  <si>
    <t>Sophie Piacentini  Hey %FIRSTNAME%,  I've been following %COMPANYNAME% for a while, so I wanted to reach out. Profound shows brands like yours exactly how they appear across ChatGPT, Claude, and Gemini.  Get a free walkthrough of your Profound Index results for %COMPANYNAME%. We'll cover your Mention Position Analysis, Topic Clusters, and LLM Comparison live on the call.</t>
  </si>
  <si>
    <t>47% of CMOs have moved past one off prompts into structured AI workflows and agents. See what the other 53% are missing.</t>
  </si>
  <si>
    <t>We started working with Fiona Erickson and the team at MongoDB back in 2025, when most marketing teams didn't even have AEO on their roadmap. I've been constantly impressed by how they've treated AI Search not as a side project, but as mission-critical to their business.   Their team noticed early on that AI was surfacing inaccurate information about MongoDB. They wanted to make sure developers continued to get correct answers to their questions, even as where they were asking changed. So they dug in with our team and made accuracy a priority.  We got a chance to work closely with them as one of our key design partners building FactCheck, the first accuracy analysis tool for AI Search.   Now they're seeing 90%+ accuracy in AI responses, visibility has increased by over 50%, and they are saving time with Profound Agents.   You can read more here: https://lnkd.in/gsPmNFtS</t>
  </si>
  <si>
    <t>Scale output without adding headcount. See how the Marketing Engineer builds the systems and agents that multiply what your team ships. Get the free guide.</t>
  </si>
  <si>
    <t>Your marketing team has outgrown every existing job title. Meet the role built to scale AI agents: the Marketing Engineer. Get the free guide.</t>
  </si>
  <si>
    <t>22% of CMOs now start vendor research in an LLM, ahead of Google. See what's driving the shift inside 100 marketing orgs.</t>
  </si>
  <si>
    <t>The first Marketing Engineers will set the bar. Leaders who build this capability now define how Marketing runs next. Get the free guide.</t>
  </si>
  <si>
    <t>Lucy Hoyle helped roll out Claude to 1,800 people at Carta then built the system her entire marketing team runs on. Here's what we talked about:  🔹 Her CEO's rule for using AI efficiently 🔹 Why giving Claude more context made the output worse 🔹 The marketing brain she's building 🔹 How Carta refuses to put token usage on a leaderboard, and what they do instead 🔹 How she pitched technical work to her CMO to get exec buy-in 🔹 Her advice for breaking into marketing engineering  This was super fun to record, not only because Lucy is brilliant and on the bleeding edge here, but she's also a good friend. Much of this podcast was planned over brunch in Park Slope (shoutout Little Purity).  Watch the full episode here, or wherever you get your podcasts: https://lnkd.in/eudKye-9</t>
  </si>
  <si>
    <t>Great social media content is designed to stop the scroll and capture attention, but now in the age of AI, it’s also being summarized and cited by LLMs.  On one hand, this is great news!  It means social media teams who have become used to imperfect analytics and spotty attribution models can finally track performance in a new channel. On the other, most companies have no formal social strategy that intersects with their AEO efforts. And that’s a major, missed opportunity.  What are your execs posting that can contribute to your citation share? How can your Employee Advocacy Program amplify your sentiment score? In 2026, these are questions you should have answers to.  If you lead social at your company I want to put Profound on your radar (and see more social teams incorporating AEO into their overall strategy!) because they have important features that benefit marketers pumping out tons of content.  The most crucial one is Aim, a marketing agent that’s always on in the background, identifying and alerting you to ✨opportunities✨. These are things like rising prompt volumes you don’t own yet, or inaccurate claims on Chat GPT that might be wreaking havoc in your AI summaries. In both scenarios Aim can surface the issue, and then with your approval, create and execute projects.  For me personally, it’s these kinds of agentic, non-performative use cases that are exactly the ways in which I’m trying to leverage AI. And if there’s one hope (and prediction!) I have about the future of social media roles, it’s that they’ll soon encompass AEO efforts AND algorithmic feeds because content is moving the needle on both.  Try it out here: https://lnkd.in/g_kZ8VWy #ProfoundPartner #ad</t>
  </si>
  <si>
    <t>Skills. In Profound. Today ⚒️   Build your brand voice, content rules, and AEO playbook once. Apply them anywhere you're generating content.  If you love Claude Skills you already get it. Same magic, built for the workflows marketers actually run at scale.  Team cooked 👏  Read more here: https://lnkd.in/e6-kDWer</t>
  </si>
  <si>
    <t>Dashboards are dead.  For years, marketing tools have told you what's happening. More clicks, more visitors, more mentions. But none of them ever told you what to actually do next...  Today, we're launching Aim: the first AI teammate built to THINK like a marketer.  Aim works in the background, all the time. It looks at how your brand shows up across AI Search, what your competitors are doing, and everything you already know about your business. Then it finds the moments that actually matter and tells you what to do about them.  Sarah Shaffer, Organic Growth Manager at Plaid says, "The projects Aim surfaces are literally gold. They are perfectly aligned to what we're trying to accomplish."  Every opportunity Aim shows you comes with a plan already built out: what to do, why it matters, and the steps to get there. From there, you can:  • Talk it through with Aim and adjust the plan • Put it to work with one click • Watch the results roll in automatically  Think of Aim as the newest member of your team, one that never sleeps and is always looking for what's next.  Want to see it in action? Josh Blyskal is walking through Aim live on July 15th.  Sign up → https://lnkd.in/gazyWsrT</t>
  </si>
  <si>
    <t>Profound FactCheck is the market's first tool for finding what AI Search gets wrong about your brand and fixing it.  Customers like MongoDB and WHOOP are, for the first time, seeing the false claims AI has been making about them at scale, and can now action with Profound.  Their reactions said more than any launch post could, so we pulled a few together.  To help brands learn more about FactCheck we're running a session in partnership with Ross Simmonds.  Tune in on Thursday, August 6 @ 12 PM ET → https://lnkd.in/gDNAQj_i</t>
  </si>
  <si>
    <t>When we started building Profound FactCheck, we knew we were onto something special.  Any marketer we showed it to had the same reaction. One that let us know our product was on the right track.  So we thought we'd pull a few of their reactions together into a video below.  If you'd like to learn more about FactCheck, join our webinar in partnership with Ross Simmonds on Thursday, August 6: https://lnkd.in/gvx4G7R9</t>
  </si>
  <si>
    <t>🚢 New ship from Profound: Citation Coverage  Citation Share tells you how much AI citation volume you own. Citation Coverage tells you how consistently AI answers cite your page or domain across different responses. It's a more accurate barometer for breadth.  Well done on this one Sherman Grewal.</t>
  </si>
  <si>
    <t>🚢 This morning, Ravish Agrawal at Gamma said he wished Profound could show the "lifetime" of a citation and its half-life. So we shipped it.  Introducing Citation Decay. See the full lifetime of a citation: first cited date, rise, peak, and half-life. Sort your citations by half-life, start with the pages decaying fastest, and let a Profound Agent draft the updates and stage them in your CMS.  If you'd like to see Citation Decay, let your Profound team know.  Read more here: https://lnkd.in/ghDb-k5g</t>
  </si>
  <si>
    <t>The Profound MCP is now available as an official Anthropic connector.   You could already ask Claude to analyze your AI Search data via the Profound MCP. In celebration of today's launch you can now also:   1/ Ask Claude to add new prompts to what you're tracking in Profound, just by describing them 2/ Ask Claude to build and run a Profound Agent for you, without leaving the conversation 3/ Brainstorm with Claude what marketing workflows you should automate next   Think of it this way:  • Claude is the generalist, good at reasoning across anything you bring it • A Profound Agent is the specialist, built to do one marketing job well using your brand's data • Now they work together: You ask, Claude figures out which specialist to call, and brings the answer back to you.  Enterprise customers can set up their connector today in just a couple of clicks → https://lnkd.in/gqwUhXjS</t>
  </si>
  <si>
    <t>Profound 🤝  Snap Inc.   We’re excited to welcome Snap as a partner.  Snap has redefined how hundreds of millions of people communicate, discover, and engage with the world around them.  Now, they’re moving early to adopt marketing Agents and building with Profound as this next wave of technology takes shape.  We are proud to support their team.</t>
  </si>
  <si>
    <t>80% of industries have a different AI Search leader in Europe than they do in the U.S.  Great work from Brandon P., Data Scientist, on the Profound Summer 2026 Index Report, our deepest look yet at how AI Search visibility splits by region.  The Profound Index is the definitive leaderboard for AI Search, powered by 1.9B+ real user conversations covering 50+ industries and every major LLM.   This edition uncovers: 1/ If a brand's position in the U.S. carries over to Europe 2/ How recent model updates changed the sources Answer Engines pull from 3/ Which companies saw the biggest movements this quarter.  Check out the whole report → https://lnkd.in/g_Yyyq7s</t>
  </si>
  <si>
    <t>🤯 Hey marketers: 69% of B2B software buyers chose a different vendor than they originally planned based on guidance from an AI chatbot. A third bought from a vendor they'd never even heard of. (G2, 2026)  AI search doesn't bury you on page 2 -- it just doesn't mention you at all.  SEO got you a spot in a wall of blue links. Ask ChatGPT or Perplexity a question and the answer gets built from the sources the *model* trusts enough to cite. Not one of them? You're straight up invisible.  I'm testing Profound on my own site because I think more and more search is going to happen inside AI tools. I asked Profound Aim tool, an always-on agent, how to boost my newsletter's visibility in AI search, and it had some great tips that I can’t believe I didn’t think of!  → Apparently my hero text is warm but too vague for a model to quote. It reads well to a human and says nothing a model could lift as an answer.  → Whoops -- my subscriber count and audience proof only live inside logos and images, so none of it exists as crawlable text anywhere on the page.  → My homepage says "monthly," but the archive has gaps. That mismatch gives a model a reason to doubt which source is right.  → And there's no section anywhere that plainly says who writes this newsletter and what gives it the authority to speak on the topic.  Time to get to work. 😅  None of these are magical AEO hacks, btw. They're just good website practices. But they're easy to miss when you're too close to your own site to see what's missing.  Which is why I've got Profound's agent running in the background now -- it keeps checking my site the way a model would and flags these gaps as they show up, instead of me remembering to re-audit pages I'm too close to see clearly. I'm not going to catch this stuff by hand, but something watching for it will.  Have you been playing with AEO yet? How are you tracking where your brand shows up across Claude, ChatGPT, Perplexity, Gemini, and everything else out there?  Learn more about AEO and Profound's Aim tool here: https://lnkd.in/gSJrjpT5  Partnering with Profound on this one -- they're a new sponsor of my work at Sara McNamara LLC / The Marketing Operations Strategist! 😍 More learnings to come as I go deeper on AEO.  #ProfoundPartner #marketing #sales #ai</t>
  </si>
  <si>
    <t>Marketers could finally see how AI talks about their brand, but not whether any of it was true.  So we built Profound FactCheck. Live today.  It's genuinely hard to build, which is why nobody had.  When AI answers a question about your brand, it produces a wall of prose: claims, opinions, hedges, filler. To measure accuracy, you first have to find the sentences that can even be true or false.  So we trained our own ML model to do exactly that: read AI responses at the sentence level, extract the verifiable claims, ignore the rest.  Every claim gets matched against a brand's ground truth in their Knowledge Base and is marked accurate or inaccurate, with the source that proves it.   FactCheck runs this process continuously and suggests Agents to correct the inaccurate claims.  None of this existed off the shelf. So we built it. Proud of what the team shipped.   FactCheck is live today and included in every configuration.  Read how WHOOP has been using FactCheck: https://lnkd.in/gA8EyKpM</t>
  </si>
  <si>
    <t>Optro saw a 70% increase in citation share across their most competitive prompts, all while rebranding from AuditBoard and growing equity for a completely new name.  The best part: they did it with a team powered by Profound Agents, turning AI visibility signals into content optimizations at 10x their previous output.   "Once the Agent is built, you can run it across dozens or hundreds of articles in minutes. That's the kind of scale and speed we needed," said Ron Samson Jr, Senior Growth Marketing Manager at Optro.  Full story here → https://lnkd.in/gSKMYCAS</t>
  </si>
  <si>
    <t>🚢 New ship in Profound: YouTube Citation Breakdown  YouTube's a top-cited domain in AI Search, but raw URLs are hard to act on. Now, for all cited YouTube videos, you can see the channel, video title, and video category, ranked by citation share.  With this data: 1/ Content teams focus on top-cited categories 2/ Creator marketers find partners with high AI influence 3/ Brands sees the videos/channels shaping AI perception  Nice work, Joseph Adelman!  Read more here: https://lnkd.in/eFW2MzyV</t>
  </si>
  <si>
    <t>Fractal speed from the Profound eng team. Less than 24hrs ago, Ravish Agrawal at Gamma said in a podcast that he wished Profound  could show the "lifetime" of a citation and its half-life. So, we built it the same day.  Citation Decay gives you the full lifetime of a citation: first cited date, rise, peak, and half-life. Marketers can sort their citations by half-life, start with the pages decaying fastest, and let Profound Agents draft the updates and stage them in your CMS.  Nice work Joseph Adelman!  If you want to start tracking Citation Decay, just let your Profound team know.  Read more here: https://lnkd.in/eiywct7r</t>
  </si>
  <si>
    <t>In under 30 days, Kiteworks went from building their AI Search strategy to outranking Microsoft, Box, and Dropbox in citations across their most competitive prompts. And, they hit ~50% aggregate AI visibility for their most important topics.   The best part is they did this with a lean team, powered by Profound Agents, turning AI visibility signals into on-brand content at 8x their previous output.  "Profound gives us a complete loop from AI visibility insights to content production to performance measurement," said Rob Dougherty, Senior Director of Search Content at Kiteworks.  Full story here → https://lnkd.in/gtrQTE-k</t>
  </si>
  <si>
    <t>Ran from Aug 20, 2026 to Aug 20, 2026</t>
  </si>
  <si>
    <t>Profound helps SEO leaders and professionals improve AI visibility, which translates into more traffic, leads, and customers. Book a free AEO audit and we'll show you exactly where you rank in AI search, what's costing you visibility, and how to fix it.</t>
  </si>
  <si>
    <t>Sophie Piacentini  Hey %FIRSTNAME%,  Does %COMPANYNAME% get mentioned by ChatGPT, Gemini, Claude, and other leading answer engines?  Top brands like US Bank, Chime, and Indeed trust Profound to improve their AI visibility so they can get more traffic, leads, and customers.  Book a free AEO audit for %COMPANYNAME% and we'll show you exactly where you rank in AI search, what's costing you visibility, and how to fix it.</t>
  </si>
  <si>
    <t>“To ensure all vulnerable children and families have access to high-quality early childhood education, health, and family support services.”  Profoundly recently had the chance to support the National Head Start Association.  Anyone who knows me knows I’ve always believed businesses can be (and should be) places to do "good" – places where you can help others and do work that truly matters.   So, the opportunity to support such an important organization doing such meaningful work for so many is absolutely an all-time personal and professional highlight.  I’m incredibly proud of the team and grateful for the opportunity to help.  “Profoundly made it easy to find the right partner for our HubSpot project. We are off and running – they’re doing amazing work and have been incredibly responsive. They really understand our organization and what we’re trying to accomplish, which isn’t typical.  I would absolutely recommend Profoundly for anyone looking for help with HubSpot.”  – Dr. Deborah Bergeron, Deputy Director  We’re grateful for the chance to support such an incredible organization. 💜</t>
  </si>
  <si>
    <t>INBOUND changed my life.  I was sitting in the back of the keynote auditorium in 2017 – it was my first INBOUND event. Everyone was listening quietly when Brian announced some updates to the product.  All of a sudden, people all around me 𝗹𝗲𝗮𝗽𝘁 𝗼𝘂𝘁 𝗼𝗳 𝘁𝗵𝗲𝗶𝗿 𝘀𝗲𝗮𝘁𝘀 – cheering, high-fiving... two people in front of me literally chest-bumped (not a joke)! I think there may even have been breakdancing.  I was leading strategy at Amazon Web Services at the time, and I remember thinking how rare and how special it was to see customers react to a software product like that. I joined HubSpot pretty much the very next day.  Fast forward and I’m so excited to be heading back for my 𝟭𝟬𝘁𝗵 (!) 𝗜𝗡𝗕𝗢𝗨𝗡𝗗/𝗨𝗡𝗕𝗢𝗨𝗡𝗗 in just a few short weeks.  I’ve experienced it from almost every angle now: customer, HubSpotter, speaker, sponsor... I can say with confidence it's a very special event. Dreams come true at INBOUND. I've seen it. Heck, I've experienced it!  The chance to meet with HubSpot customers, partners, and pros – to hear what they’re working on, what they’re wrestling with, to help them connect and grow better together. There’s nothing quite like it.  If you’re attending this year, Profoundly will be at 𝗕𝗢𝗢𝗧𝗛 𝟱𝟮. Come say hi. I’d love to connect.  https://profound.ly/</t>
  </si>
  <si>
    <t>Ran from Aug 12, 2026 to Sep 10, 2026</t>
  </si>
  <si>
    <t>48.6% of AI travel prompts ask an answer engine to plan the whole trip. Only 8% are ready to book. See where brands are missing out.</t>
  </si>
  <si>
    <t>We found how travelers really talk to AI about trips. Most brands are optimizing for the wrong moment.</t>
  </si>
  <si>
    <t>Google, Okta, Ramp, and American Express are already hiring Marketing Engineers. See how the role is taking shape in the free Profound guide.</t>
  </si>
  <si>
    <t>The product pages AI recommends most share five specific traits. Most retailers are missing at least half of them.</t>
  </si>
  <si>
    <t>200,000 real AI shopping prompts from Christmas 2025, decoded. See exactly how retailers can win the AI shelf in 2026. Download free.</t>
  </si>
  <si>
    <t>Markdown isn't the AI visibility silver bullet GEO circles claim. Our experiment shows where to focus instead. Download the full findings.</t>
  </si>
  <si>
    <t>Sophie Piacentini  Hey %FIRSTNAME%,  I've been following %COMPANYNAME% for a while, so I wanted to reach out.  The Profound Index analyzes over 400 million real AI conversations and more than 6 million prompts a day. %COMPANYNAME% shows up in some of them.  Book a call and we'll show you exactly where: how often you're mentioned, which AI models surface you, and which topics drive your visibility.  Want a look at the data?</t>
  </si>
  <si>
    <t>Sophie Piacentini  Hey %FIRSTNAME%,  Saw you're at %COMPANYNAME%, so I wanted to reach out. Profound helps SEO leaders and professionals improve AI visibility, which translates into more traffic, leads, and customers.  Top brands like US Bank, Wayfair, Chime, and Zapier trust us to help them grow.  Book a free AEO audit for %COMPANYNAME% and we'll show you exactly where you rank in AI search, what's costing you visibility, and how to fix it.</t>
  </si>
  <si>
    <t>AI Search has a leaderboard. Your brand is on it. Most teams have no idea where they rank or who's beating them. See where you stand.</t>
  </si>
  <si>
    <t>“Profoundly was a huge help.   Trying to identify the right people to talk to on my own would have taken a lot of time and felt pretty random.   Profoundly connected me with three excellent HubSpot experts, all of whom were strong fits, and made the process simple and efficient.   I’d absolutely use Profoundly again.”  – Dan Zauderer, Founder &amp; CEO, Grassroots Grocery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help you need --&gt; https://profound.ly/</t>
  </si>
  <si>
    <t>Sophie Piacentini  Hey %FIRSTNAME%,  I've been following %COMPANYNAME% for a while, so I wanted to reach out.  The Profound Index covers three things for any brand we track: Mention Position Analysis, Topic Clusters, and LLM Comparison.  Book a free call and we'll pull the numbers for %COMPANYNAME% and walk through all three live. You'll see exactly where you appear in real AI conversations and what to do about it.</t>
  </si>
  <si>
    <t>Sophie Piacentini  Hey %FIRSTNAME%,  Saw you're at %COMPANYNAME%, so I wanted to reach out. Profound helps SEO and marketing leaders and professionals improve AI visibility, which translates into more traffic, leads, and customers.  Top brands like US Bank, Wayfair, Chime, and Zapier trust us to help them grow.  Book a free AEO audit for %COMPANYNAME% and we'll show you exactly where you rank in AI search, what's costing you visibility, and how to fix it.</t>
  </si>
  <si>
    <t>We knew HubSpot could do a lot more for us than it was, but we didn’t have the time or expertise to figure it out ourselves. We had built a solid foundation – 20,000+ contacts, email campaigns, some automation – but everything was linear, manual, and starting to limit what our sales team could do.   We tried going the traditional route – Upwork, job posts, interviews – but it was frustrating. On paper, a lot of candidates looked great. In reality, most didn’t understand our business, hadn’t done this kind of work before, or couldn’t clearly explain how they’d solve our problem. We’ve never had this issue before when sourcing website development, design, or video editing talent – there were always at least one or two candidates we could move forward with. However, with our HubSpot search, we went 0 for 5 over the course of six weeks. It was costing us time and money, and frustrating our sales team, who were wondering when this upgrade would actually happen.   Then we connected with Profoundly, and the difference was immediate.   Instead of sorting through dozens of unqualified options, we were introduced to a small number of vetted experts who actually knew what they were doing – and more importantly, understood what we were trying to accomplish. The conversations were completely different – practical, specific, and focused on outcomes.   Within days, we went from feeling stuck to having real clarity and confidence in our next steps. We had meaningful conversations with experts who came prepared, understood our business, and could clearly articulate how they would approach the work. We shortlisted two of the applicants and were pleased that Profoundly’s handpicked options offered us the choice between a larger agency and a smaller, more boutique firm.   It’s been a night-and-day difference compared to trying to do it on our own.   If you’re using HubSpot and know you’re not getting everything out of it – but don’t want to waste time searching for the right help – Profoundly makes it easy to connect with people who actually know what they’re doing.   – Alex N, B2B Industrial Communication Systems Manufacturing Company</t>
  </si>
  <si>
    <t>I was scouring my network for a trusted HubSpot expert and didn't want to use an unvetted resource from Fiverr.  That's when I found Profoundly and got instant access to vetted HubSpot talent.  Profoundly instantly solved my problem and provided immediate value.  – Mike Theodore, CEO, Raised Consulting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help you need --&gt; https://lnkd.in/ekQsHpw4</t>
  </si>
  <si>
    <t>The teams winning with AI aren't just buying more tools. They're hiring differently. See who, live Aug 25 with Forrester and Profound.</t>
  </si>
  <si>
    <t>Most marketing teams are guessing at their AI rollout. Get Forrester and Profound's playbook. Register for Aug 25.</t>
  </si>
  <si>
    <t>We'd been working with a top-tier HubSpot partner for a while and they were great, but after an acquisition they shifted to a high-minimum retainer model that just didn't fit how we operate. I needed to find someone fast.  Someone mentioned Profoundly, so I booked a call. I honestly wasn't sure what to expect. Within 24 hours of that call I had an intro to a Platinum HubSpot partner, we aligned on scope, I signed the proposal, and we were off.   No agency pitch decks, no drawn-out sales process. Just a straight line from 'I have a problem' to 'I have the right person on it.'  The whole thing was free, which still kind of surprises me. If you need a HubSpot expert and you need one now, Profoundly is the fastest path I've found.  Blair Feldman, DMD President, Retainer Club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help you need --&gt; https://profound.ly/</t>
  </si>
  <si>
    <t>We analyzed over 200,000 AI prompts from last year's holiday season to see how consumers are using answer engines for Christmas shopping.  Check out our recent research report from Allen Wu (Research) and Katherine Underwood (Experience) to see our findings → https://lnkd.in/gVhrStam</t>
  </si>
  <si>
    <t>Profoundly has been a game-changer. Every expert on the platform is pre-screened and truly knows their stuff. It is a dream platform for anyone who needs HubSpot help without the guesswork.  -- Matt Lee, Managing Director &amp; Co-Founder, Strategy Collective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HubSpot help you need --&gt; https://profound.ly/</t>
  </si>
  <si>
    <t>Is running the same AI prompt once a day actually enough? This is one of the biggest questions in AEO measurement, Jennifer Zou looked at ~1 mil AI responses and 6.6 mil citations to see what’s going on:  The concern makes sense: ask ChatGPT the same thing twice and you can get two different answers, so it feels intuitive that brands should be running every prompt 10 or 100 times a day if they want a trustworthy number  We tested this directly across the same 753-prompt portfolio, spanning ChatGPT, Gemini, Perplexity, Copilot, DeepSeek, Google AI Mode, and Google AI Overviews over 14 days.  One version ran each prompt once per day, the other version ran each prompt 10x per day  The results were much closer than I expected: 1.) 1x/day citation share: 10.24%  2.) 10x/day citation share: 9.99%  3.) Difference after 10x the runs: 0.25 percentage points  So the answer is that repetition does help minorly:  The 10x/day version reduced citation-share movement from ~0.36 pts/day to ~0.21 pts/day, which is about a 40% reduction  The important piece here is that this is a 40% reduction on an already small amount of movement: 0.21 pts/day  That’s where I think people get tripped up: if you are looking at one prompt in isolation, AI answers feel wildly unstable  But if you are tracking a real portfolio of prompts, the portfolio itself is already doing a lot of averaging for you  Let me illustrate: an SEO rank tracker does not become more representative of a market because you refresh the wrong keyword set more often  The same thing is true for prompt tracking  My perspective is that the main measurement question in AEO is “what market did we define by choosing this prompt set?” rather than “how many times did we run the prompt?”  I believe this because we resampled 2,000 synthetic prompt portfolios and found that prompt selection can move citation share more than day-to-day platform drift  If your prompt portfolio is too narrow, too branded, too top-of-funnel, too bottom-of-funnel, or just not representative of how buyers actually ask questions, running it 10x/day will give you highly precise but wholly inaccurate data  AEO teams need to treat prompt selection with the same seriousness that search teams treat keyword research, gotta remember that the prompt portfolio decides what “visibility” actually means  I wonder how many AI visibility debates are actually prompt selection debates 👀</t>
  </si>
  <si>
    <t>Thanks Asa Hiken for including us in your Ad Age's Emerging Tech roundup this week covering OpenAI's next hardware move and Google's redesign of Images into a shopping-style discovery feed.   You flagged a problem we built Profound FactCheck to solve: LLMs don't just cite brands, they editorialize, and a lot of what they say ends up wrong.  FactCheck checks what AI is saying about a brand, flags what's wrong, and then helps marketing teams fix it at scale using Agents.  Read the full roundup here: https://lnkd.in/g54TVZRb</t>
  </si>
  <si>
    <t>Where do AI citations come from by industry? Profound’s latest research analyzed 11.8 billion citations across 29 industries and 8 AI models to find the answer. The spread is vast across industries.  Here’s an example. Pharmaceutical companies get 62% of their citations from earned media, while marketing agencies only see 12% of citations come from earned media.  This makes sense once you look at the restrictions placed on pharmaceutical companies creating their own content. Each blog post is scrutinized by legal, compliance, comms, and editorial, limiting the supply of brand media available for Answer Engines to ingest and create responses. Answer Engines then use third-party publishers to fill the information gap.  Marketing agencies operate on the other side of the conversation. Fewer restrictions for each blog post mean a higher quantity of information is produced by brands which Answer Engines can call on. Third-party publishers become a slightly smaller part of the equation.  For AEO teams, if your brand’s citation-mix doesn’t match that of your broader industry, your opportunity is to refocus your content strategy so it reflects how AI actually cites your industry. Within a single industry, the earned-media share gap between a 25th percentile company and a 75th percentile company can run 43 percentage points.  Before you greenlight another quarter of blog content, check which bucket drives citations in your industry on the models your buyers use.   A marketing agency can justify a serious owned content push; brand media already carries 72% of the industry’s citations. For a pharmaceutical company, an earned-media-based AEO strategy makes more sense.  I’m curious what you all make of this. Does this change how you think about your AEO strategy?  One caveat that’s important is that this is a snapshot from the last 3 months of citation data. Every model update has the potential to reshuffle citation preferences, and it’s very likely that the mix in this chart will look different in six months. Profound can help your brand figure out how to get started.  See the full report in the comments:</t>
  </si>
  <si>
    <t>The New York Times covered Cannes this week with one question at the center: how do brands show up to AI models?  That question was in every room we were in. We had nearly 300 meetings last week with F500 CMOs, agency leaders, and the biggest marketing organizations in the world, all grappling with the same reality: AI is now the most important referrer of brand perception, and most brands still have no idea how they show up.  Two things we believe deeply, and heard validated ALL week: 1/ Every company on the planet will care about how AI talks about their brand, their products, and their services. 2/ Every marketer will use AI every day, not just to work faster, but to do a kind of marketing that wasn't possible before.  Profound sits at the center of both. AI visibility analytics as the foundation. Agents that do the work. The modern workbench for marketing in the era of AI.  We launched less than two years ago. We've grown to 250 people. We work with 15% of the Fortune 500. Last week marked our first time on Cannes' stage, and we left more convinced than ever that the category we're establishing is where the whole industry is heading.  Thank you Marty Swant and the NYTimes for capturing the disruption  https://lnkd.in/g6r5M5my</t>
  </si>
  <si>
    <t>Ran from Aug 3, 2026 to Aug 21, 2026</t>
  </si>
  <si>
    <t>This is the next gen of growth marketing.   I took this video at a private briefing at Profound's office in NYC.   It was the first time I could actually SEE what AI is doing in the background… and why it is the next big platform for marketers to master.   Tell me:   Have you started building your org for AI Search yet?   #ProfoundPartner #Ad</t>
  </si>
  <si>
    <t>Ran from Jul 30, 2026 to Sep 10, 2026</t>
  </si>
  <si>
    <t>I'm hosting a marketing engineer meetup in San Francisco with OpenAI on August 13th and you should come. Details below.   I've been using Codex a *ton* in my daily work. Last week I had it take every video in Profound University and upload it to our Youtube channel with correct titles and descriptions. I gave it a Google drive folder and a link to Profound University and it did the rest.  Come see what other marketers are building at the first Codex for Marketers community event - 6pm on Thursday, Aug 13 at the Profound office in SF.  Speakers: - Pranav Deshpande (OpenAI) - Me (Profound) - Dan Beksha (Ramp) - 1 more to be announced soon  Food, drinks, surprise swag, and $100 in Codex credits for everyone in the room.  Only 150 spots and they will go fast. Tag a marketer who should be there: https://luma.com/fw8aheuk  ----- Photo from a morning run in Mykonos a few weeks ago :)</t>
  </si>
  <si>
    <t>I'm excited to share the next layer of our partnership between Profound and Noble: FactCheck x Mention Refresh.   FactCheck is the first accuracy analysis tool for AI Search and pinpoints the exact sources behind false claims. But knowing a source is wrong is just the beginning.  We have teamed up with Noble to let you fix inaccurate claims in third-party sources without leaving Profound.   Noble has built the largest publisher network in the space, and with it you can automate the whole correction: outreach, draft the new copy, and work with the publisher to update it on your behalf.  Today, Profound customers can use FactCheck to flag the sources getting details wrong and have Profound Agents hand those directly to Noble which goes to work fixing them.   Huge thanks to Rahul Jain and Joshua Budman at Noble, plus Jack Traina, Nitish Natarajan, and Eliott Lee for shipping this.  Learn more about how to use this Noble integration here: https://lnkd.in/gGZbXeYa</t>
  </si>
  <si>
    <t>New episode of The Marketing Engineer podcast with Holly Chen, VP of Growth Marketing at Samsara ($2B ARR).  They have a 230-person marketing team running 90+ AI Agents. Personal productivity agents, team agents for specific workflows, and functional super agents shared across the whole org.   It's refreshing to hear her share exactly how this transformation happens at scale through internal hackathons, AI power hours where people demo live, and their focus on building strong judgement (over taste alone) as a skill for the whole marketing department.   These episodes are getting better and better. Listen here: https://lnkd.in/g6Fc8MBX</t>
  </si>
  <si>
    <t>Harvey is now hiring for a Marketing Engineer.  Apply now or submit your own JD for hiring at marketingengineer.jobs to be listed alongside Okta, Databricks, and Figma.  Get certified in Marketing Engineering at Profound University.</t>
  </si>
  <si>
    <t>Ran from Jul 22, 2026 to Jul 29, 2026</t>
  </si>
  <si>
    <t>Discovered at grid position #514. Verified Ad Details URL. Format: Single Image Ad.</t>
  </si>
  <si>
    <t>TULSA-PRO is an MRI-guided, incision-free prostate therapy that offers you real-time control, treatment versatility, and a focus on preservation.</t>
  </si>
  <si>
    <t>TULSA-PRO is expanding what's possible in prostate treatment, allowing you to deliver both durable outcomes and quality-of-life preservation.</t>
  </si>
  <si>
    <t>Great to see AdExchanger cover how WHOOP has been using our newest product, FactCheck.  Profound FactCheck is the market's first tool that shows brands how AI is misrepresenting them, why it's happening, and which sources are feeding the errors. Then it routes the fix to an Agent.  WHOOP has been running FactCheck since the beta. Early on, 7.9% of AI responses were flagged for accuracy issues, then routed for correction in minutes.  As of today, FactCheck is now available for all Profound customers.  Thank you Joanna Gerber and AdExchanger for featuring the team's work.  See how WHOOP has been using FactCheck: https://lnkd.in/gVrzBAtP</t>
  </si>
  <si>
    <t>Bringing together 1,000+ marketers to Zero Click by Profound NY was a surreal experience.   Grateful to our incredible line-up speakers who took the stage:  • Katie Conrad, General Manager of Marketing Data and Analytics at Delta Air Lines, Allegra Pedretti, Executive Director, Customer Experience Measurement at CVS Health, and Kerry Janisch, Vice President, Head of SEO at U.S. Bank who spoke about how they’re navigating the disruption of AI Search in highly regulated industries and how to stay in the winner’s position.   • Robin Kendric Triplett, VP, Integrated Marketing Experiences at The Coca Cola Company and Mandi Ciocca, VP, Performance Content at Publicis Media Exchange showcased how AI Search is impacting brand relevance and reach at a global enterprise scale.  • George Bonaci, Vice President, Growth &amp; Demand at Ramp spoke to an experiment that shows how marketers need to start thinking about agents as an audience, and what that actually looks like in practice.  • Michael King, Founder &amp; CEO at iPullRank, spoke to the growing adoption of the Marketing Engineer, how it marks a structural shift in how modern marketing gets built, and how there's no turning back.  • Paolo Provinciali, Vice President, Marketing at LinkedIn, shared how one of the most sophisticated B2B marketing operations in the world needs to adapt as the game changes. Paolo shared what LinkedIn has learned, what broke, and how they're moving forward.  • Rob Gaige, Global Head of Insights at Reddit, shared a practical playbook, that shows the value of investing in and building human communities.  • Tim Sanders, Chief Innovation Officer at G2, dug into how models assign weight to different signals, and what that means for content in the era of AI.  If you want a look into the future marketing for the era of AI, these are the leaders building it from the ground up.   Sessions are now live on Unlocked → https://lnkd.in/g_tQexuh</t>
  </si>
  <si>
    <t>Today we introduce a new role to the marketing org: The Marketing Engineer.  We believe every business on the planet will eventually need one. Their job is to build the Agents, automations, and systems that create a new kind of marketing -- part-builder, part-strategist.  They build Agents that monitor media coverage, flag sentiment shifts, and draft journalist outreach before your PR team even knows there's a story.  They build Agents that track every competitor move, grade its severity, and rewrite your battlecards and talk tracks before your next sales call.  They build Agents that turn every webinar into a brand-voice article, refreshed weekly and queued for your team to review before posting.  Our first marketing hire Nick Lafferty has already become Profound's Founding Marketing Engineer -- the first person to hold this title at a company fully behind it.  Every marketing team on the planet will use AI to do their jobs better. But to build truly impactful systems, you need an owner and an orchestrator. That's the Marketing Engineer.  Because we believe this role is the future of marketing, we're offering a free course through Profound University -- high-quality lessons on exactly how we're doing this job internally.  Read the manifesto and start the course → https://lnkd.in/eBMfBn3U</t>
  </si>
  <si>
    <t>Excited to launch Pages today.  Pages brings your Answer Engine Insights and Agent Analytics data together, giving you a command center for your content's performance.   Two things I'm especially excited about, both live for every page on your site:  Content Optimizer: powered by our own machine learning model, trained on millions of pages, it tells you how a page is likely to perform in AI-generated results. Get a score, then run a Profound Agent in one click to act on it.  Bot View: see exactly what an AI bot sees when it crawls your page. Bots miss things all the time: client-side rendered content, content injected after load, stuff that only shows up after a user interacts. Bot View shows you what's missing.  Shoutout to Ian Armstrong, Kritika Parthasarathy, Elīza Marija Kraule, Erin Rairdan, and Gary Fishkin for their work here. This is the next step in making Profound your content command center. More on that soon 👀   Read more here: https://lnkd.in/gCxEvKTt</t>
  </si>
  <si>
    <t>Everyone in AEO/GEO should know how to do this: looking at ChatGPT's network logs.  This is how I catch changes before they hit the news. It's not complicated, and you should be doing it too.  Here's how:  1. Go to ChatGPT, write your query and press enter.  2. Copy the ID of the chat from your URL bar, it will look something like this: "6925bce2-6858-832f-aff1-a972d36142bf"  3. Open the 'Inspect' tool by right clicking anywhere in the window  4. In the inspect tool, navigate to the network tab from the elements tab  5. Paste the ChatGPT chat id into the search bar  6. Refresh the page  7. Look for the ChatGPT chat ID in the search results in the network tab, there will be two entries that look the same, click the one with the ORANGE icon.  That's it. You're in.  Some of my favorite Cmd+f searches I do (things I look for):  - search_queries: These are the query fanouts ChatGPT is generating from your prompt. This is gold. You can see exactly how the model is interpreting your question and what it's actually searching for. If you're doing prompt research, this is where you validate your assumptions.  - snippets: This is a selection of the content ChatGPT is pulling from each page, not the full page, just part of what it's extracting or using to decide to explore further. This tells you what content formats are actually getting lifted into responses.  - URL level data: You can see the title tags, the URLs, and meta-descriptions that ChatGPT actually sees before making a citation decision.  - Shopping backend (bonus): When the shopping carousel appears, search for "p0", "p1", or "p2". Each code maps to a different product database: Shopify, Etsy, or OpenAI's internal index. This is how you figure out where your products need to live.  When ChatGPT makes a change, this is where I go first. Anyone can do this, and you should too. 👀</t>
  </si>
  <si>
    <t>AI Marketer &amp; Agents, AI Visibility &amp; Growth</t>
  </si>
  <si>
    <t>Ran from Jul 16, 2026 to Jul 20, 2026</t>
  </si>
  <si>
    <t>Discovered at grid position #568. Verified Ad Details URL. Format: Single Image Ad.</t>
  </si>
  <si>
    <t>When OpenAI launched self-serve ads, ChatGPT Ads nodes were live in Profound Agents just a few hours later. Since then, customers have identified some great use cases.  Profound Agent Engineer Harrison MacLean shows how teams are: 1/ Surfacing topics with low organic visibility in AI Search in Profound 2/ Running ChatGPT ads against those topics to close the gap 3/ Tracking the lift in human traffic with Profound Agent Analytics  Read about our OpenAI nodes: https://lnkd.in/e_n9BVdX</t>
  </si>
  <si>
    <t>Answer Engine Optimization (AEO), AI Marketer &amp; Agents, AI Visibility &amp; Growth</t>
  </si>
  <si>
    <t>Ran from Jul 13, 2026 to Aug 20, 2026</t>
  </si>
  <si>
    <t>Discovered at grid position #630. Verified Ad Details URL. Format: Single Image Ad.</t>
  </si>
  <si>
    <t>Claude and ChatGPT only cite the same domains 8% of the time, I pulled from 600+ queries in the leadup to ZeroClick NYC to see what’s going on:  ChatGPT and Claude are answering the same prompts with almost entirely different source sets. At a domain level, the average overlap was just 8%, meaning the websites that shape an answer in ChatGPT are usually completely different from the websites shaping that same answer in Claude  That’s already surprising, but the Claude side is where it gets really interesting:   79.2% of Claude’s citations came from domains ranking in Brave’s top 10  Could Brave be the key to understanding Claude visibility?   It looks like yes  To be clear, I’m very much saying “understanding” here, because being sure ab out causation is always harder than pointing at a correlation.   But productively, as far as public signals go, Brave is by far the closest 1:1 analog I've ever seen between a browser and an answer engine. It very closely predicts Claude performance.  And yes, I know this was public news, BUT the *extent* of the overlap between Claude and Brave certainly wasn't clear before now  Here’s what I think: AEO is becoming engine-specific: doing well in one answer engine increasingly tells you less about how you’re doing in another.   You can have great ChatGPT visibility and weak Claude visibility, or vice versa, because the underlying citation systems are just behaving differently  And that matters because most teams are still asking “how visible are we in AI search?” when the better question is probably “which AI systems are our customers using, and which ones are we actually visible in?”  Secondly, Brave matters way more than people realize. If nearly 80% of Claude citations are coming from Brave’s top 10, then tracking ChatGPT and assuming you can apply the same insights to Claude will lead many teams wrong!  I’m going deeper on this in Profound’s State of AEO in 2026 webinar, where we’re sharing the Claude research, what ChatGPT’s ad ecosystem is starting to look like, and how Google AI Mode actually works.  Link here: https://lnkd.in/gqkK8jxN  I wonder how many brands think they’re “winning in AI search” while being completely invisible in the answer engines their customers actually use 👀</t>
  </si>
  <si>
    <t>Answer Engine Optimization (AEO), AI Visibility &amp; Growth</t>
  </si>
  <si>
    <t>Discovered at grid position #717. Verified Ad Details URL. Format: Single Image Ad.</t>
  </si>
  <si>
    <t>Okta is now hiring for a Marketing Engineer.  Apply now or submit your own JD for hiring at marketingengineer.jobs to be listed alongside Legora, Plaid, and Figma.   Get certified in Marketing Engineering at Profound University.</t>
  </si>
  <si>
    <t>Learn how to build an AEO practice with Emily Kramer and Nick Lafferty as they break down 3 workflows you can run in Claude today.</t>
  </si>
  <si>
    <t>Plaid is now hiring for a Marketing Engineer.  Apply now or submit your own JD for hiring at marketingengineer.jobs to be listed alongside Stripe, Figma, and Databricks.   Get certified in Marketing Engineering at Profound University.</t>
  </si>
  <si>
    <t>Emily Kramer and Nick Lafferty break down how to build an AEO practice, live in Claude. Walk away with 3 workflows you can run today.</t>
  </si>
  <si>
    <t>Ran from Jul 5, 2026 to Jul 13, 2026</t>
  </si>
  <si>
    <t>Databricks is now hiring for a Marketing Engineer.  Apply now or submit your own JD for hiring at marketingengineer.jobs to be listed alongside Stripe, Figma, and Databricks.   Get certified in Marketing Engineering at Profound University.</t>
  </si>
  <si>
    <t>Figma is hiring a Marketing Engineer.  Apply now via marketingengineer.jobs  Or, learn how to become a Marketing Engineer at Profound University</t>
  </si>
  <si>
    <t>Get a custom review of your brand's AI visibility: where you rank, who you're mentioned alongside, and how every topic in your industry breaks down by LLM. Grab a 15-min slot.</t>
  </si>
  <si>
    <t>More and more buyers are turning to AI tools like ChatGPT, Claude, and Perplexity for recommendations instead of Googling.  When they do, does your company show up?  If you’re not sure, the answer is probably “no.”  Which means your brand is essentially invisible to potential customers.  To help, we’re offering a free AI Visibility Audit that explains, in plain language:  ✓ Whether AI tools currently mention you ✓ What's keeping you out of the results ✓ The simple, prioritized steps to improve visibility  No commitment. No sales pitch. Just a clear audit report from certified experts.  Find out where you stand → https://lnkd.in/ebhXxBv6  #AISearch #ChatGPT #MarketingTips #SmallBusiness #DigitalMarketing</t>
  </si>
  <si>
    <t>Sophie Piacentini  Hey %FIRSTNAME%,  Top brands like Chime, Indeed, and Zapier already use Profound to track how AI talks about them. We can show you the same picture for %COMPANYNAME%.  Book a call and we'll walk you through your Mention Position Analysis, Topic Clusters, and LLM Comparison together.</t>
  </si>
  <si>
    <t>Sophie Piacentini  Hey %FIRSTNAME%,  I've been following %COMPANYNAME% for a while, so I wanted to reach out.  Three answers, one call. Mention Position Analysis, Topic Clusters, and LLM Comparison for %COMPANYNAME%, walked through live by the Profound team.  No prep, no homework. Just a clear picture of how AI sees your brand today and what to do next.  Want to book it?</t>
  </si>
  <si>
    <t>The Profound Agent Template Marketplace is now live.  Marketers can now use 50+ production ready agents built by our community across content optimization, research, and more.  Thank you to every contributor, and a special shoutout to our partners: iPullRank, Spotlight, Foundation Marketing, and Jordan Digital Marketing.  See what workflows you can automate today: https://lnkd.in/g6vBWWj6</t>
  </si>
  <si>
    <t>Great to take LinkedIn’s stage at Cannes alongside leaders at HubSpot, Adobe and Duolingo to discuss the future of work in the AI era.  AI is changing how we build trust in marketing, hiring, and growth, so it's a privilege to be able to discuss where we think it's heading.  LinkedIn’s Connected App integration with Profound is live.</t>
  </si>
  <si>
    <t>Arizona College of Nursing operates across 24 hyper-local markets, and needs to reach aspiring nurses who are researching BSN programs in tools like ChatGPT, Gemini, and Claude before they ever fill out an admissions form.  Francis Dayton, their former Web Product Manager, saw this shift early. When AI Overviews launched, he didn't wait. He started asking: Where does AZCN need to show up, in which markets, and for which questions?  90 days after getting deploying Profound Agents, Arizona College of Nursing saw:  • 51% increase in AI-referred enrollment inquiries, driven by surfacing the right content. • 26% increase in AI-driven website visits, consistent across markets.  And they became the #1 most cited domain ahead of competitors across their priority BSN prompts.  Read the full story: https://lnkd.in/gvp8KZHY</t>
  </si>
  <si>
    <t>Answer Engine Optimization (AEO), AI Marketer &amp; Agents</t>
  </si>
  <si>
    <t>Discovered at grid position #808. Verified Ad Details URL. Format: Single Image Ad.</t>
  </si>
  <si>
    <t>They say never meet your heroes, but couldn't resist grabbing Profound's in-house Wizard Josh Blyskal at Zero Click. My biggest takeaways from the day - not about "where things are going," but about "what you can do tomorrow":  1) optimizing for Claude - only 36% of Claude's searches actually go search the internet, and therefore only 36% of Claude searches actually have a chance of citing you because of the work you are doing in GEO. Go and play with Claude and see what searches do and do not search the internet for live data/information.   2) optimizing for Claude #2 - add years to your content titles, when appropriate. Claude adds "2025/2026" to 94% of its fan-out queries (as opposed to 17% on ChatGPT). This basically means if you search "best steakhouses," it will automatically assume (and search for) "best steakhouses in 2025." So you can game the system by adding the year to your content titles, making it more likely to be a match and drive an answer.  It seems Josh and Jasman are the first to actually do this type of research on Claude.  3) What drives GEO on LinkedIn: LinkedIn's head of AI came on stage and showed data on what types of content most likely to get cited in LLMs. Most important qualifiers were: * Accounts that have at least 3,000 followers  * Longer posts with at least 300 to 500 words  * Articles with closer to 1000 words   In a race with lots of players, what really stuck out was about how much more than “GEO Analytics” this company has become. Their Profound University for Marketing Engineers is a 10/10 example of “how to create a category, and add value for people whether they are your customers or not,” and I cant wait to see more of this.  Really an incredible event. Production value was 10 of 10. Networking was 10 of 10, and very cool to see the bigger vision of what Profound is building.  #ProfoundPartner, but wouldn’t post this if I didn’t believe it / learn something new.</t>
  </si>
  <si>
    <t>I just found out about a $280K role most marketers haven't heard of.  Last week I went to Zero Click by Profound to understand how AI search is changing the way brands get discovered and the roles available to marketers in the AI era of marketing.  Here's what stood out: The Marketing Engineer is the new high-paying role in marketing.  Companies like Figma are already paying up to $280K a year for it. It's also one of the fastest-growing roles in marketing right now. AI agents are becoming the new marketing team multiplier.  I saw live demos of marketers building AI agents to automate research, content workflows, and optimization. No engineering background required. The gap between teams using this and teams that aren't is growing fast. Most brands have no idea how they show up in AI search.  When someone asks ChatGPT, Claude, or Gemini a question in your category… are you the answer? Or are your competitors? And what’s being said about you?  Most brands don't actually know. And that's a problem.  Profound built a tool called FactCheck that shows marketers not only how their brand appears, but how accurate the answers are across AI search engines. It’s not enough to show up. The results also have to be correct. Watching people see their results in real time was one of the most eye-opening moments of the event.  The brands winning in AI search aren't waiting. They're already adapting how they build visibility, content, and discoverability for AI-driven search. This event made me rethink how I'm approaching content strategy for Miss EmpowHer . If AI is becoming the new front door for discovery, we need to know what's on the other side.  Question for marketers: Can you answer "what does ChatGPT say about my brand?" If not, that's your sign.  ♻️ Repost if someone in your network needs to see this  #Marketing #AI #ProfoundPartner</t>
  </si>
  <si>
    <t>Friday Profound ship 💅  This one's for our power users. You can now organize Agents and Sheets into folders, sub-folders, and favorites. Keep all your assets nice and organized.  Learn more: https://lnkd.in/gExRTNQS</t>
  </si>
  <si>
    <t>There's a window for marketers to leapfrog competition and achieve immortality in their jobs if they harness AI for automation. But it's a wild west, and if you aren't technical, it's a black box. Fortunately, there is a new course from Profound that combines my 2 favorite marketing trends:  1) make free content that adds value, even if someone's not a customer 2) help people show up in AI Search  Just got turned on to this full on curriculum for marketers to become "Marketing Engineers," aka how to build the systems to automate marketing to do the things it's never been capable of, aka become the most valuable person on your team.   If you are an AI-curious marketer and haven’t seen “Profound University,” see here: https://lnkd.in/gJucbcQU  Completely free, and covers topics like: *Frameworks for what to automate and what to do with humans *Writing chatbot prompts that work while you’re not working *Creating a roadmap, so this all seems less intimidating  Best part is... you don't need to be a Profound customer, and it's made to make you better whether or not you're a Profound customer.   To that end, they even published a Marketing Engineer Job Board, that is jobs NOT at Profound, highlighting who is hiring for this role: https://lnkd.in/gdUdiXQb  Check it out above, #ProfoundPartner</t>
  </si>
  <si>
    <t>Marketing conversations happen in Slack, so we brought Profound there too.  Tag Profound in any channel or thread and get answers in real time. It reads your thread context, so its answer actually reflects the conversation.   If that conversation turns into something worth acting on, you can spin up a Profound Project without ever leaving the chat.   Read more here: https://lnkd.in/gYkDNHsb</t>
  </si>
  <si>
    <t>I'm excited to announce The Marketing Engineer podcast: a show highlighting marketers building at the bleeding edge of AI.   My first guest is Matt Swulinski, Head of Growth at Wispr Flow. And we honestly couldn't have had a more brilliant first guest. Matt is building some incredible systems: he runs 100 newsletter sponsorships a month through a single AI agent.   And he did it all as the sole marketer until very recently.   I sat down with him to learn exactly how he built it:  1) He drops a contract in. Before anything else, it checks whether the CPM makes sense and researches whether the audience is a real fit, then pushes back on price like a thought partner.  2) On a signed insertion order, it writes the copy in the voice that works for newsletters, trained on every placement they've ever run.  3) It builds the Dub . co tracking link with the right UTMs and promo code already baked in.  4) Every placement gets a folder. Ask what ran in the TLDR newsletter two months ago and what it cost, and the answer is one place away.  In his words: "I just drop the PDF. I don't say anything, and it's like, oh, this is an insertion order. Time to start our sponsorship skill."  Full episode in the comments. And tag anyone below who you think I should chat with next :)</t>
  </si>
  <si>
    <t>Your competitors are already optimizing for ChatGPT and Perplexity. Get the complete playbook with checklists and actionable steps to outcompete them.</t>
  </si>
  <si>
    <t>Nearly 1 in 4 Americans prefer ChatGPT over Google. Is your brand showing up in AI answers? Get our AEO playbook.</t>
  </si>
  <si>
    <t>Ran from Jun 20, 2026 to Jun 28, 2026</t>
  </si>
  <si>
    <t>🚢 New ship: External MCP connectors.   Context is everything. Now, you can connect Profound to the tools in your stack to read, take action, or both, without leaving the platform.  Ask Profound to post in Slack or update Notion. Have it pull market intelligence from G2 or push new content to Sanity. Or, have it perform its own research via Exa or Parallel Web Systems.  More context means better work.   Nice work Rohan J. and Breno Lasserre!  Learn more: https://lnkd.in/grdBxdzN</t>
  </si>
  <si>
    <t>External MCP connectors are now live in Profound.   You can now connect Profound to the tools in your stack to read, write, and take action without leaving the platform.  Ask Profound to post in Slack or update Notion. Have it pull market intelligence from G2 or push new content to Sanity. Or, have it perform its own research via Exa or Parallel Web Systems.  Profound is the marketing platform where you do the work.  Check it out: https://lnkd.in/gfmzSZq5</t>
  </si>
  <si>
    <t>79.2% of Claude's citations come from Brave's top 10  I pulled ~35k URLs across 400 queries, matched them against Claude's actual fan-outs, and the answer is Brave! Brave is running the search layer for what I think is the single most important model in B2B right now.  Quick detour on that "most important" claim: Ramp tracks 50,000+ businesses by real corporate card spending. Anthropic (34% of businesses pay for it) just passed OpenAI (32% of businesses pay for it), meaning more businesses are using Claude than ChatGPT. Claude is arguably the most important answer engine in the world right now, especially so for B2B.  Here's the data: - 79.2% of Claude's cited URLs come from Brave's top 10 for the corresponding fan-out query  We also tested Claude and ChatGPT against Google to see how much overlap there is: - Against Google's top 10: Claude is 34% aligned, ChatGPT is 21% - Against Google's top 50: Claude gets to 64%, ChatGPT to ~37%  So even when you give Google 50 results to work with, Brave's top 10 still has more influence on Claude's citations.  I presented this at Zero Click NY last week and I'm putting the numbers here bc I keep seeing the talk referenced and I wanted to send out the actual data  Here's what I think (and let me know your thoughts below): - This is the most directly trackable and optimizable element of AEO and it's tbh it is kind of stupid how simple it is: the most consequential B2B model in the world is using a public search engine as its backbone. - At Profound, I’m always trying to understand ChatGPT's citation behavior and it is genuinely a black box: ChatGPT is building its own index, it's moving away from Bing, the overlap with Google keeps shifting etc. etc. Claude is beautifully *just Brave*.  - I implore you to check your Brave rank: if you're in Brave's top 10 for the right fan-out queries, you have a very strong chance at getting cited and if you're not, now you know why  So go and check your Brave rankings, Brave also has an API you can hit at scale. (And none of this is sponsored by Brave or Claude or anyone else).  IMO the next question is whether Anthropic keeps this or starts building their own index the way OpenAI has. If they do, this window closes, right now it's wide open. 👀</t>
  </si>
  <si>
    <t>Profound takeover of the MTA this week</t>
  </si>
  <si>
    <t>AI Search &amp; Marketing</t>
  </si>
  <si>
    <t>Discovered at grid position #881. Verified Ad Details URL. Format: Single Image Ad.</t>
  </si>
  <si>
    <t>Discovered at grid position #882. Verified Ad Details URL. Format: Single Image Ad.</t>
  </si>
  <si>
    <t>ProFoundry Inc</t>
  </si>
  <si>
    <t>Twenty-seven years ago, I watched enterprise organizations struggle with SEO adoption. The technology wasn't the problem. The challenge was getting teams across the business to understand how their work influenced search visibility and why it mattered to the organization as a whole.  Today, I'm seeing the exact same thing happen with GEO.  I recently began working with a large ecommerce brand that fully understands AI search is changing how consumers discover, research, and evaluate products. The challenge isn't convincing leadership that GEO matters. The challenge is figuring out how to transform GEO from a marketing initiative into an enterprise program that can scale across departments, gain executive support, and drive measurable business outcomes.  In my latest article, I share what many enterprise organizations are experiencing right now as they begin their GEO journey, the challenges they're encountering, and why organizational alignment may be more important than any optimization tactic.  In this article you'll learn:  • Why most GEO challenges are organizational, not technical  • How successful enterprise GEO programs move beyond marketing  • The role governance, ownership, and executive sponsorship play in adoption  • Why socializing GEO across the enterprise is critical for long-term success  • Lessons learned from the early days of enterprise SEO that apply directly to GEO today  If you're responsible for marketing, ecommerce, SEO, AI visibility, or digital growth, I'd love to hear whether you're seeing similar challenges inside your organization.  #JesseFarley #ProFoundry #GEO #GenerativeEngineOptimization #AIVisibility #AISearch #EnterpriseSEO #SEO #AEO #AnswerEngineOptimization #EntitySEO #DigitalMarketing #MarketingLeadership #GrowthStrategy #RevenueGrowth #BusinessStrategy #DigitalTransformation #EnterpriseMarketing #MarketingOperations #SearchMarketing #SearchStrategy #AI #ArtificialIntelligence #ChatGPT #Gemini #ClaudeAI #GoogleAI #FutureOfSearch #ContentStrategy #BrandAuthority #ThoughtLeadership #CMO #CEO #RevenueFirst #BusinessGrowth #CustomerAcquisition #DigitalGrowth #EnterpriseGrowth #SearchInnovation</t>
  </si>
  <si>
    <t>#JesseFarley, #ProFoundry, #GEO, #GenerativeEngineOptimization, #AIVisibility, #AISearch, #EnterpriseSEO, #SEO, #AEO, #AnswerEngineOptimization, #EntitySEO, #DigitalMarketing, #MarketingLeadership, #GrowthStrategy, #RevenueGrowth, #BusinessStrategy, #DigitalTransformation, #EnterpriseMarketing, #MarketingOperations, #SearchMarketing, #SearchStrategy, #AI, #ArtificialIntelligence, #ChatGPT, #Gemini, #ClaudeAI, #GoogleAI, #FutureOfSearch, #ContentStrategy, #BrandAuthority, #ThoughtLeadership, #CMO, #CEO, #RevenueFirst, #BusinessGrowth, #CustomerAcquisition, #DigitalGrowth, #EnterpriseGrowth, #SearchInnovation</t>
  </si>
  <si>
    <t>Answer Engine Optimization (AEO), AI Visibility &amp; Growth, B2B Marketing</t>
  </si>
  <si>
    <t>ProFoundry</t>
  </si>
  <si>
    <t>Discovered at grid position #883. Verified Ad Details URL. Format: Single Image Ad.</t>
  </si>
  <si>
    <t>Discovered at grid position #884. Verified Ad Details URL. Format: Single Image Ad.</t>
  </si>
  <si>
    <t>Discovered at grid position #885. Verified Ad Details URL. Format: Single Image Ad.</t>
  </si>
  <si>
    <t>Discovered at grid position #886. Verified Ad Details URL. Format: Single Image Ad.</t>
  </si>
  <si>
    <t>Ran from Jun 18, 2026 to Jun 22, 2026</t>
  </si>
  <si>
    <t>Discovered at grid position #887. Verified Ad Details URL. Format: Single Image Ad.</t>
  </si>
  <si>
    <t>Ran from Jun 19, 2026 to Jun 28, 2026</t>
  </si>
  <si>
    <t>Discovered at grid position #888. Verified Ad Details URL. Format: Single Image Ad.</t>
  </si>
  <si>
    <t>Book your Profound Index review</t>
  </si>
  <si>
    <t>Discovered at grid position #889. Verified Ad Details URL. Format: Single Image Ad.</t>
  </si>
  <si>
    <t>Discovered at grid position #891. Verified Ad Details URL. Format: Single Image Ad.</t>
  </si>
  <si>
    <t>Find out where your brand ranks in AI Search</t>
  </si>
  <si>
    <t>Answer Engine Optimization (AEO), Profound AI Index</t>
  </si>
  <si>
    <t>Discovered at grid position #892. Verified Ad Details URL. Format: Single Image Ad.</t>
  </si>
  <si>
    <t>Discovered at grid position #893. Verified Ad Details URL. Format: Single Image Ad.</t>
  </si>
  <si>
    <t>Ran from Jun 16, 2026 to Jun 21, 2026</t>
  </si>
  <si>
    <t>Discovered at grid position #904. Verified Ad Details URL. Format: Single Image Ad.</t>
  </si>
  <si>
    <t>The first Marketing Engineer job board is now live: marketingengineer.jobs   "Marketing Engineer jobs" became a breakout Google Search term after we introduced this new role.  Google already hired their first Marketing Engineer, and companies like Cloudflare, Ramp, Serval, and DistroKid are hiring for the same or similar role.  Interested in posting an opening to our job board? There's a link at the top of the page to submit your role or dm Matthew Huo.  This Saturday, some of the world's best builders compete at the first Marketing Engineering Hackathon at Profound's HQ in NYC.</t>
  </si>
  <si>
    <t>Anthropic released Claude Fable 5 (aka Mythos) earlier today.  Already available for immediate use within Profound Agents.  Read more: https://lnkd.in/e2wWnkVn</t>
  </si>
  <si>
    <t>New in Profound: We've officially shipped Documents.  Real-time collaborative docs, native to the platform, with AI Agents as active collaborators inside them.  Documents are first-class objects in Agent workflows, which means an edited doc can feed straight back into the next Agent, or push to your CMS without a copy-paste step in between.  Huge credit to William Kashdan and Andrew Han for shipping this. Will joined Profound about a month ago and led the build from day 1. Watching them go from prototype to live customer launch in a few weeks has been one of the most exciting things I've seen this year.  The team has a lot more coming on this front. Check out the full blog → https://lnkd.in/eVxjmxfr</t>
  </si>
  <si>
    <t>We hosted our first Marketing Engineering Hackathon on Saturday.  Hundreds applied. We accepted 50. 8 hours, $40,000 in prizes, and judges from 𝗔𝗻𝘁𝗵𝗿𝗼𝗽𝗶𝗰, 𝗦𝘁𝗿𝗶𝗽𝗲, 𝗥𝗮𝗺𝗽, 𝗚𝗼𝗼𝗴𝗹𝗲, and 𝗠𝗼𝗻𝗴𝗼𝗗𝗕.  The brief was simple: Ship a system or an Agent that runs a marketing process inhuman in scope or scale, and here's what our two winners built:  • Aaron Lu (AI Product Lead, Growth Marketing at Notion) built an always-on competitive intelligence agent that monitors real competitor pages and ads, infers what they're testing, and ships GitHub PRs against your own site. His framing: paid, organic, and Answer Engines aren't three workstreams, they're one surface.  • Brianna P. (Founder at Studio Ascend) built Gambit, a predictive marketing agent that surfaces new verticals before they're obvious. She ran it live on Ramp, flagged construction and hospitality as untapped segments, then auto-generated content for each.  Builders flew in from France, Colombia, Dallas, and Chicago. The most common thing we heard: "I finally have a way to describe what I do."  That's why we created the 𝗠𝗮𝗿𝗸𝗲𝘁𝗶𝗻𝗴 𝗘𝗻𝗴𝗶𝗻𝗲𝗲𝗿.  More to come at Zero Click by Profound this Thursday June 11 • Check out our Manifesto → https://lnkd.in/gvFeqwpr • Become a certified Marketing Engineer →https://lnkd.in/eww2HKum  Great work Eleanor Hooker Matthew Huo Katherine Underwood Josh Blyskal and team for bringing our first hackathon to life.</t>
  </si>
  <si>
    <t>What if understanding your organization's strengths and weaknesses could unlock untapped potential?   With Profound Hope Industries' Impact Audit, you'll gain essential insights into how well you're prepared for transformative outcomes—and discover exactly what steps will bring you closer to lasting success.</t>
  </si>
  <si>
    <t>We analyzed 50,000 prompts and found that nearly half of every AI response contains unsolicited editorial: comparisons, opinions, and recommendations the user never even asked for.  AI isn't just answering questions. It's making judgment calls about your brand on your behalf.  On June 3, Trevor Pyle and Jasman Singh are breaking down what this actually means for your strategy, and what you can do about it.  Join our webinar on Wednesday → ordnl.link/7D0KlN9</t>
  </si>
  <si>
    <t>You already know. When initiatives lack resources, clear goals, or structure, they underperform.   Find out where your gaps are.  Access Profound Hope Industries' Impact Audit.    Assess where your organization stands against the five critical elements every impact initiative needs to succeed.   You'll discover exactly where you're strong and what is holding you back from the impact - and growth - you desire.</t>
  </si>
  <si>
    <t>Profound is taking over NYC again… find us all over Manhattan citibike docking stations this month.   w/ the crew who makes the product the best in class: Siddharth Chandrappa, Praneeth A., and Jacob Goldstein</t>
  </si>
  <si>
    <t>You already know. When initiatives lack resources, clear goals, or structure, they underperform.   Find out where your community engagement gaps are.  Access Profound Hope Industries' Impact Audit.    Assess where your organization stands against the five critical elements every thriving initiative needs to succeed.   Find out what to do next - before you spend more time or money.</t>
  </si>
  <si>
    <t>Purpose drives every high performing organization. Every impact objective begins with clarity.   Without a clear map, even the best intentions can falter. Profound Hope Industries offers an Impact Audit to identify where you shine and where adjustments are needed.   Let’s uncover what’s holding you back from achieving the change you envision.</t>
  </si>
  <si>
    <t>Strong initiatives don’t happen by chance—they’re built on solid foundations of strategy and insight.   The Impact Audit from Profound Hope Industries provides a precise evaluation of your organization against five critical success factors for impactful projects.   Equip yourself with the data to make informed decisions that lead to meaningful growth.</t>
  </si>
  <si>
    <t>Discovered at grid position #933. Verified Ad Details URL. Format: Single Image Ad.</t>
  </si>
  <si>
    <t>There are some roles in a company which are hard, traditionally “lower status”/junior roles, but insanely valuable. Our Go To Market Associates are the team who drives new business. They wake up and crank every single day, it’s often thankless work - but it really is the lifeblood of our GTM motion.  This team are future rock stars and it’s a true privilege to have them working at Profound.   Last month I told them that if they hit a (big) number, we’d all go for a steak dinner.  Ofc they hit it!   Was a pleasure to dine with you tonight; James Hughes Asa Wold George Rafey Iago Zavala John Henry Slonieski Scott Cullinane Ryan Enger Jesse Ssengonzi Joe Long Aislinn Sullivan Juan Diego Campuzano Nick Phillips</t>
  </si>
  <si>
    <t>🚢 Shipping a complete rebuild of Sentiment in Profound.  Real sentiment analysis in AI Search is harder than it looks. Asking an LLM "is this positive or negative" gets you a label. It doesn't get you anywhere useful.   We built our own ML model and host it on our own GPU infrastructure. Every tracked response runs through a pipeline of vector embedding and re-ranking to pull out claims line by line.   Themes are grouped semantically, so duplicates collapse and the real patterns surface. Every claim links to the citations driving it. For negative claims, we surface the exact pages doing the most damage and pair each one with a recommended action and an Agent that drafts the response.  Huge credit to Siddharth Chandrappa, Bekzat Amirbay, and the data science team for the work behind this one.  Excited to see what people build on top of this. Available today for all Profound users.   Check out the full blog: https://lnkd.in/eZJR_DPn</t>
  </si>
  <si>
    <t>Google and Microsoft both doubt LLMs need separate Markdown pages. Our randomized experiment tested the claim directly. Here's what we found.</t>
  </si>
  <si>
    <t>I built an AI agent that finds the questions people ask Claude or ChatGPT, deep-researches each one, and writes a YouTube script designed to be the answer AI cites back.  I put one seed topic in and I get a batch of shoot-ready scripts out.  What it does on its own:  → Expands my topic into the queries people search in AI, then scores them by volume so I skip the topics nobody's searching  → Runs deep research on each query, pulling real sources and data  → Pulls the YouTube videos already ranking and reads their transcripts to see what's working  → Writes the script in my brand voice  → Strips the AI tells so it doesn't read like a bot  → Checks whether the script would get cited in AI answers  → Hands my video editor a shot list and a thumbnail brief  Everything's saved to one doc and the whole thing runs as one agent inside Profound. Built this today during their Marketing Engineer Hackathon in NYC!  Comment "video script agent" and I'll DM you the json agent file so you can try it! (send me a connection request first)</t>
  </si>
  <si>
    <t>We just launched the first Marketing Engineer job board: marketingengineer.jobs   "Marketing Engineer jobs" became a breakout Google Search term after we introduced this new role. To the brands seeking their first one and the marketers wanting to do this full-time, this is for you.  Google already hired their first Marketing Engineer, and companies like Cloudflare, Ramp, Serval, and DistroKid are hiring for the same or similar role.  If you want to post an opening to our job board, there's a link at the top of the page to submit your role or dm Matthew Huo.  In just a few days, we'll see some of the world's best builders compete at the first Marketing Engineering Hackathon in Profound's HQ in NYC.</t>
  </si>
  <si>
    <t>Reddit citation share grew at least 73% across every industry from October to January. Is your content showing up where AI looks?</t>
  </si>
  <si>
    <t>I'm in NYC today at the Profound office building alongside the contestants at the Marketing Engineer Hackathon!</t>
  </si>
  <si>
    <t>At ShopTalk Europe? Come find us at Stand K20.  When a shopper asks ChatGPT or Perplexity "what's the best [product]," your brand needs to show up. Profound helps retailers measure and improve their visibility across AI answer engines.</t>
  </si>
  <si>
    <t>7% of ChatGPT citations come from social media. Just 3% on Gemini. Where AI looks for sources is changing fast. See the trends.</t>
  </si>
  <si>
    <t>Does Markdown actually increase LLM bot traffic? We ran a randomized controlled experiment to settle it. Full study inside.</t>
  </si>
  <si>
    <t>9 categories. 7 AI platforms. One systematic look at how citations are trending. Tinuiti and Profound mapped where AI sources answers.</t>
  </si>
  <si>
    <t>Shipped today: A full rebuild of Sentiment in Profound.   AI sentiment tools are one of the biggest gaps for marketers in my opinion. Most are objectively useless. They give you a number. Maybe a chart. That's it.  That's not sentiment analysis. That's a vanity metric.  We rebuilt Sentiment in Profound from scratch to fix this.  Our own ML model. Our own GPU infrastructure. Vector embeddings and re-ranking on every tracked response to extract the actual claims AI is making about your brand. Themes grouped semantically. Citations and text chunks tied to every claim. For the negative ones, the exact pages doing the damage and an Agent that actually DOES the work to fix the problem.  There is a difference between knowing your sentiment score and knowing how to shape it. Profound Sentiment gives you the latter.   Available today for all Profound customers. Check out the full blog post to learn more: https://lnkd.in/eWt3za8y  Really proud of the team for this one.</t>
  </si>
  <si>
    <t>ChatGPT is explicitly searching for Reddit 24x more often in its query fanouts, and Reddit is back at 1st place with 8.5% of all ChatGPT citations  Brandon and I pulled fanout data from Jan through late May + ~7 million recent citations to figure out what changed, here's what's going on:  - ChatGPT fanouts w/ "reddit" went from ~0.15% to 3.68% of all responses - A ~24x increase in the model asking for Reddit by name before it answers - Reddit is once again the number 1 cited domain in ChatGPT - Reddit is now almost one out of every ten ChatGPT citations (8.5%) - The spike in Reddit fanouts and the spike in Reddit citations move together  Last year the Reddit story was about citations. This time we can see the layer underneath: ChatGPT is writing "reddit" into its own QFO's before it picks anyone to cite.  Here's what I think (and let me know your thoughts below):  Reddit is an information class in its own right: it represents real human buying signal  - People saying "we tried this and hated it"  - People saying "this worked until we hit 100 seats"  - People saying "support was great until renewal"   It’s messy, specific, (and sometimes wrong), but it’s full of the buyer language that answer engines clearly want  So the takeaway is not "go spam Reddit"  That is probably the worst possible read  The takeaway is that ChatGPT is starting to show us its source preference before it answers  - When it adds "reddit," it wants lived experience - When it adds "G2" or "Capterra," it wants third-party review data - When it adds "GitHub" or "docs," it wants implementation proof - When it adds "pricing," "alternatives," or "vs," it wants buying-context pages, not your generic category explainer  This is how I would use this as a marketer:  1. Pull the query fanouts for your highest-intent prompts before you look at citations  2. Bucket the source words ChatGPT adds on its own  3. Then ask the uncomfortable question: are we actually present in the places ChatGPT is choosing to search?  Bc if ChatGPT has already decided a query needs Reddit, you are not solving that with another 1,500-word SEO page that says the same thing as everyone else  You need to know what buyers are saying on these channels, you need to answer those objections on your site. You need customers talking about you in the places models trust for that category. And if Reddit is full of bad or missing information about you, that's no longer some marketing team sidequest, it'll need to be part of your AEO strat.  IMO we are seeing the birth of a new AEO signal, something along the lines of 'fanout injections' or 'fanout features'  What are the most prevalent fanout features in your category?  Citations tell you who won the answer, but fan-outs will tell you where the answer was allowed to come from 👀</t>
  </si>
  <si>
    <t>CoderFlow is writing CoderFlow. That's not a thought experiment. That's what's happening right now. 40 to 50 commits a week, generated by the platform itself, moving fast enough that the team built an automated weekly commit report just to keep up.  Here's why that's possible when other AI tools struggle with IBM i 🔽   Frontier models like Claude and Gemini don't know IBM i. Not really.  So instead of pointing a generic LLM at your RPG codebase and hoping, CoderFlow ships with IBM i Bob, an AI trained specifically on IBM i, RPG, and COBOL, plus a Skills system that encodes exactly how your environment compiles, resolves dependencies, and builds objects.  The result? Claude handles logic. Gemini handles UX (it's exceptional at Open Access and embedded JavaScript work). IBM i Bob handles the IBM i layer. Each model doing what it does best, inside a governed pipeline that knows your environment.  That's not a retrofitted AI tool. That's purpose-built agentic infrastructure for IBM i.  Watch the full breakdown of how CoderFlow differs from just using an LLM: https://hubs.la/Q04jmSKd0  Learn more at https://lnkd.in/eG4F3FAA or reach out to our team to see CoderFlow in your environment at Futurization@ProfoundLogic.com  #IBMi #AgenticCoding #CoderFlow #Futurization #EnterpriseAI</t>
  </si>
  <si>
    <t>We launched ChatGPT Ads nodes in Profound just hours after OpenAI launched self-serve ads on May 5.   17 days in, the use cases are already impressive. Check out this video from our Agent Engineer Harrison MacLean showing how teams are:  1/ Surfacing topics with low organic visibility in AI Search in Profound 2/ Running ChatGPT ads against those topics to close the gap 3/ Tracking the lift in human traffic with Profound Agent Analytics  Read more our OpenAI nodes and reach out for a demo today → https://lnkd.in/esANVggx</t>
  </si>
  <si>
    <t>I’m excited to share our partnership between Profound and Noble to automate one of the highest-leverage motions in AI Search: getting your brand mentioned in third-party citations.  Noble's built the largest publisher network, they automate the entire process from outreach to negotiation to payment, and have improved AI visibility for some of the largest B2B brands by up to 300%.  Now, you can build an Agent that:  1/ Knows the prompts that matter most to your brand 2/ Finds the third-party sources AI platforms are citing for those prompts 3/ Filters to the citations where your brand is not mentioned 4/ And exports those citation domains directly to your Noble workspace 5/ Then, Noble reaches out to publishers, negotiates placement, drafts content, and handles payment. You review the offers and accept with a click.  Huge thanks to Rahul Jain, Joshua Budman, and Nick Talone at Noble, plus Jack Traina, Nitish Natarajan, and Eliott Lee on Profound's side for shipping this.  Learn more here: https://lnkd.in/eEB8P9JR</t>
  </si>
  <si>
    <t>Launching Benchmarking in Agent Analytics. This is the first peer level benchmark for AI Search, built on real citation bot traffic from 800,000+ pages in the Profound Network.  Most heads of search can tell me their Google rank for any keyword off the top of their head.  For AI Search, that kind of ranking has never existed. And without it, neither has a definition of what "good" looks like for how often your site is getting cited. Until today.  Customers who opt in can now unlock: 1/ Page by page breakdowns of citation performance  2/ Drill downs by industry and company size 3/ Weekly rankings to measure progress over time   Josh Blyskal explains what we've built. Learn more → https://lnkd.in/ehkS3aYu</t>
  </si>
  <si>
    <t>Sophie Piacentini  Hey %FIRSTNAME%,  Does %COMPANYNAME% get mentioned by ChatGPT, Gemini, Claude, and other leading answer engines?  Top brands like US Bank, Chime, Indeed, and Zapier trust Profound to improve their AI visibility so they can get more traffic, leads, and customers.  Book a free AEO audit for %COMPANYNAME% and we'll show you exactly where you rank in AI search, what's costing you visibility, and how to fix it.</t>
  </si>
  <si>
    <t>ChatGPT referral traffic to brand websites increased ~60% starting May 7, I pulled 8+ million referral visits across thousands of sites to figure out what's going on:  ChatGPT has fully pivoted to hyperlinking brand homepages directly inline in its answers instead of primarily using citation chips to link. It’s the same brands being mentioned, but now every mention routes to the brand's site.  1.) OpenAI referral traffic to monitored brand sites: ~1.6x overnight (and held there) 2.) Share of logged-out ChatGPT answers containing a clickable brand URL: ~4-5% to ~22% (~5x increase) 3.) Homepage share of all OpenAI referrals: 3.5% → 24.2% (~7x) 4.) Hitting logged-out users the hardest  As far as I can tell, this is the largest single-day change in AI-driven brand traffic we've measured all year.  So, here's what I think (and let me know your thoughts below):  The fact that this happened the same day OpenAI rolled out self-serve ads is def not a coincidence. I’d bet embedding brand URLs in answers and watching which ones get clicked creates great CTR signal for an ad ranking model. I think OpenAI are building their down-funnel infrastructure and brands are the direct beneficiaries (for now).  If you've been using ChatGPT regularly you've probably seen these brand hyperlinks show up every so often, but the jump from ~4-5% to ~22% tells me OAI is committing to this as the default way to link brands in answers.  This is a massive challenge to the idea that CTR from ChatGPT will always be low, CTR was low because there was nowhere to click.  There are differences by industry: B2B SaaS referrals are up ~3x, but E-commerce is basically flat. My take here is that this update rewards being recommended as a brand, not having product pages, if ChatGPT recommends your company, you get linked. If it recommends a product, it routes through their shopping surface instead.  Everyone should be tracking chatgpt.com and openai.com as named referral sources. Your homepage also matters way more than it did two weeks ago because ~1 in 4 ChatGPT referral clicks now lands on /, often from people who only know you because ChatGPT just recommended you.  Are we still living in a zero-click world? 👀   Credit to Brandon P. for the data and analysis behind the update, read his rigorous breakdown in the comments.</t>
  </si>
  <si>
    <t>Two numbers from our recent customer story with Alchemy:   - 3x increase in AI’s share of Alchemy signups in one year - 7x higher signup rate from AI-referred visitors vs. other sources  The first shows what's possible when you shape how Answer Engines talk about your brand. The second shows the kind of buyers AI Search brings to your site, already educated and ready to buy.  Read how Max Crawford and the Alchemy team are measuring and acting on their AEO playbook: https://lnkd.in/e48BXMw4</t>
  </si>
  <si>
    <t>We shipped the Profound MCP last October... but October is basically 7 years ago in Profound time.  Since then, we've been studying how the best Marketing Engineers in the world use Profound, and designing our MCP roadmap around how they work with agents.  Today is the first ship: a new knowledge graph + 15 new capabilities, so your agents can start working hard from the moment you hook up your MCP.  You can read more about this ship and what to expect next in Part 1 of our blog series.  Read it here: https://lnkd.in/egZgtG-u</t>
  </si>
  <si>
    <t>Discovered at grid position #1060. Verified Ad Details URL. Format: Single Image Ad.</t>
  </si>
  <si>
    <t>Very proud of the team for shipping this one.  Most AI Search prompt lists are built from SEO keywords, social listening data, or 1st party audience research. Useful starting points, but proxies for what buyers are asking.  Our new Prompt Research Reports take the keywords that matter most to your brand and run them through  Profound's dataset of 1.5B+ real user prompts from ChatGPT, Gemini, Perplexity, and Claude.   Through semantic search, filtering, and clustering, we build a data-backed prompt list organized by topic, with an intent layer on top so you can see exactly where your buyers are in their journey.  You can remove the guesswork and start tracking in one click.   Read more → https://lnkd.in/eZgKDnaK</t>
  </si>
  <si>
    <t>Ran from May 20, 2026 to May 31, 2026</t>
  </si>
  <si>
    <t>This is hard to admit, but I didn't want the Head of Marketing job at Profound.  I'm not the right fit for it. And I told that to Trevor Pyle when he started as the second marketer here.   But that left me with a question: what do I actually want?   Throughout my career, I've learned the hard lesson that you have to be honest with yourself in order to get to where you want to go. Sometimes that means saying no. I was honest with myself, and I was honest with Trevor, too.  I told him what I didn't want: a bigger title following the same path. What I wanted was something different. Something that didn't exist yet.  I thrive when I can make a direct impact: rapidly experimenting with new tools and ways of unblocking my team, creating authentic relationships online and in-person, and building the brand in public across conferences, webinars, and podcasts.   Today, Profound is announcing a first-of-its-kind role: The Marketing Engineer. And I'm becoming Profound's Founding Marketing Engineer.  A Marketing Engineer isn't an ops person. They're part builder, part marketer. They sit inside your marketing team and build the AI agents, automations, and data infrastructure that let everyone else do their highest-leverage work. And that’s exactly the kind of work I love doing.  The Marketing Engineer serves the marketing function. Sales got RevOps. Go-to-market got the GTM Engineer. It’s long overdue for marketing to have its own role.   Every marketing team I talk to tells me some version of the same story: brilliant people buried under operational weight. 80% of the week is eaten by work that could be systematized. The remaining 20% is supposed to be where the magic happens.  The Marketing Engineer changes that, giving the rest of the team something rare: permission to focus. On taste. On creativity. On the slow, deliberate, deeply human work of building a brand people remember.  I didn't want a Head of Marketing job. I wanted this one. And I'm grateful to Trevor and James Cadwallader for believing in me to help bring this new role to the world.  My role is unique. Not only will I be doing the work, but I will be talking about the entire process. What I’m building, what I’m learning, and what it’s like to travel around the world talking about how AI is changing marketing right now.   The era of the Marketing Engineer starts now. Take our free course on Marketing Engineering: https://lnkd.in/gzEe6Ncr</t>
  </si>
  <si>
    <t>New ship from Profound: Agent Assistant 🚢  You can now create Profound Agents using just your voice. Describe the marketing process you want to automate, and Agent Assistant builds it in minutes.  If you can articulate the workflow, you can build it.  Spin up a Reddit Agent that pings your brand team when a competitor gets cited in a thread you care about. Create a Demand Gen Agent that builds landing pages based on real user queries to AI platforms.  More importantly, there is no black box.  As the orchestrator, you keep full control and visibility into the Agent you're building. Rather than re-prompting to try and nail the final details, every node is exposed and directly editable. You can also ask Agent Assistant to make surgical changes to any step.  Try it today inside Profound.</t>
  </si>
  <si>
    <t>How long does it take to get cited in ChatGPT or Claude? This is one of the biggest open questions in AEO. I dug through billions of logs and pulled ~900 newly published marketing pages to track time-to-citation, here's what's up:  - Median time from publishing to citation: 6.81 days - 75th percentile (75% of pages are cited within): 18.68 days - 90th percentile (90% of pages are cited within): 37.10 days  As far as I can tell, this is the first number on time-to-citation for either engine, especially Claude.  Here's what I think (and let me know what your thoughts below):  AEO finally has a clock: up until now, a huge question every marketer has been quietly sitting with is "will my content get picked up by answer engines, and how long should it take?" I hear it constantly: "how long until I start seeing results?" and we've all kind of had to take a guess at it. "Usually we see citations in the first two weeks" or something similar.  But now we have an answer: by 37 days, 90% of pages have gotten their first citation. If you're beyond that point w/o citations, the issue is most likely going to be on your end (either the page is buried, your robots.txt is blocking it, or the crawler can't reach it, etc.)  If you're under 6 days to first citation, your performance is better than average (you're doing something right and should keep doing it!)  IMO the next question is, if your content is cited earlier and is theoretically more discoverable by ChatGPT and Claude, does that mean ChatGPT and Claude are going to cite it more often? 👀</t>
  </si>
  <si>
    <t>The Marketing Engineer.  Profound just broke LinkedIn yesterday. But the real story isn't the title.  They named something the best marketers could feel but nobody could articulate.  The best marketers didn't wait for permission to become this. They just started building. Started writing. Started shipping. And then they started standing out in ways that made the specialists look slow.  What's actually happening is the functional split inside marketing orgs is quietly breaking down. The domain lines between technical and creative, between strategist and operator, between analyst and storyteller are blurring. Not because leadership drew up a new org chart. Because the best people stopped honoring the old one.  That person exists at every high-performing team already. They just had no name for what they were.  Now they do.  Part builder. Part artist.   This is what I've been calling The Great Convergence. And it is not coming. It is here.  The Marketing Engineer owns the entire loop.  Research → Idea → Build → Distribute → Learn → Iterate.  No handoffs. No waiting. No fragmentation.  Real example.  Builds a Reddit scraping agent to surface competitor chatter. Identifies the pain points their customers are screaming about. Builds a displacement narrative. Activates across channels. Measures. Refines. Done in days not quarters.  That's not a team. That's one person with the right tools and the range to use them. End to end. Fast. With AI. One loop.  Earlier stage companies have run this way forever out of necessity. What's different now is it's moving upmarket fast. The orgs winning already have this person somewhere inside them. The ones that don't are starting to feel the gap.  Nick Lafferty being the first person on earth to hold this title officially is worth pausing on. James Cadwallader and the Profound team didn't just make a hire announcement.  They drew a line.  This is the evolution of marketing. The only question is which side of that line you're on.  🎥 Sharing their video below. Worth your time.</t>
  </si>
  <si>
    <t>Launches are great, but building in public is better.  The Profound platform is about to take a major leap, and the early feedback from customers is getting me fired up. So I wanted to give everyone a glimpse into what’s coming soon.  Where we're taking the product: https://lnkd.in/ekF8QFyq  Everyone at Profound is doing the best work of their careers. This is just the start.</t>
  </si>
  <si>
    <t>New launch 🚢   Starting today, you can talk to your AI Search data in Profound. And it talks back.  Ask "Why did our sentiment drop last week?" and Ask Profound pulls from every relevant source at once (sentiment, citations, visibility, Prompt Volumes, and more) to surface the data that explains the shift.  This is just the beginning. Much more to come...  Learn more about Ask Profound. Available today for all customers. https://lnkd.in/eUkaepJc</t>
  </si>
  <si>
    <t>We're hosting a $40,000 Marketing Engineering Hackathon on June 6th, at Profound HQ in NYC. You can build with any tool. Anyone can apply.   We're gathering 50 of the world's top marketing engineers to push the limits of one of the most consequential new roles in tech.  The challenge: Take a marketing process that would be impossible to perform manually, and build a system or agent that runs it.  To help us define what "great" looks like, we've invited three incredible judges, with more being announced soon: - Cindy Zhang, PM overseeing AI for Growth &amp; Marketing at Ramp - Fiona Erickson, AI Response at MongoDB - Abimbola Oladipo, AI Acceleration team for Marketing at Stripe   The applicant pool is even stronger than we'd anticipated. From directors at top startups to hungry college students, this will be an incredible event.  Apply now: https://lnkd.in/er6jMxiv</t>
  </si>
  <si>
    <t>On October 18th, ChatGPT rolled out what I'm calling 'The Entity Update' which structurally changed the way ChatGPT recommends and recognizes brands. We pulled millions of ChatGPT responses, here's what's going on:  1. The avg. number of brands mentioned per response dropped from 6 to 3.5  2. At the same time, average brand visibility fell 31%  3. The competitive gap between 1st and 10th compressed by 23%.  And of couse, this happened right as ChatGPT began explicitly tagging brands as structured entities using a new Entity["brand", ...] field. The share of responses containing brand entity references spiked dramatically on October 18th.  At the same time, citations continue to be concentrated at the top: Wikipedia and Reddit control a massive share of citations, with the long tail of sources stretching further than ever.  Here's what I think is actually happening (and tell me your thoughts below):  This is the infrastructure for ChatGPT Shopping. OpenAI just launched their shopping feature, and this entity recognition update (which surfaces fewer, more structured brand mentions) looks suspiciously like the foundation needed to power reliable product recommendations and transactions. You can't build a reliable shopping platform on messy, unstructured text. You need clean entities.  The brand entity tagging is likely pulling from multiple validation sources simultaneously: maybe Wikipedia for entity confirmation, Reddit for social proof and experience data, review sites for credibility signals. If you're missing from these verification layers, you might not pass the entity recognition threshold regardless of how good your website SEO is.   So yes, I 100% think this is bigger than OAI making GPT-5 "more opinionated/direct", I feel like this is ChatGPT building the data infrastructure to actually handle transactions, rather just recommending.  The compression creates opportunity for challengers too. There has been a 23% narrowing between 1st and 10th, as a result, the competitive moat just got smaller. A brand at 7th is now much closer to 1st than before. This is good news for aggressive challengers with tight positioning, and tougher news for legacy brands who aren't actively thinking about AEO.  The mandate is becoming: "we need to be definitively recognizable as an entity across the validation ecosystem ChatGPT trusts." this update is telling me the opportunity is existing comprehensively across Wikipedia, Wikidata, Reddit, major review platforms, and news sources (the gaps in that map are probably why your visibility dropped.)  Whether this particular configuration becomes permanent or not, the direction is clear: ChatGPT is moving from research assistant to opinionated advisor to transaction platform. The brands positioning themselves as validated entities now are setting themselves up for a future where ChatGPT is a major force in commerce.  I wonder what they'll test next 👀</t>
  </si>
  <si>
    <t>Tyler Jordan and Adam Tanguay saw the shift coming. Their clients like Baseten, Cursor, and Sentry needed to show up where buyers were searching. Traditional SEO platforms couldn't provide the granularity of insights they needed to make it happen.   Partnering with Profound, the JDM team built a differentiated AEO practice for their clients: → Pinpointing which content earns AI citations for every client → Using Prompt Volumes to surface real user queries and optimize against them → Restructuring client sites for LLM discoverability based on Agent Analytics  Adam Tanguay said it best: "Everyone wants to know what topics people are searching in AI and how often specific questions come up. With Profound, we have the answers."  Excited to announce our partnership with Jordan Digital Marketing today, who are among one of the first Profound Agency Partners.   Check out the full story: https://lnkd.in/eqDyCn6V</t>
  </si>
  <si>
    <t>Charlie Rhomberg knew that when customers searched for FP&amp;A tools in Answer Engines, Aleph needed to show up.  Charlie wanted to set Aleph up for success from the start. He enrolled in Profound Pods, a week-long intensive through Profound University, and left with a concrete AEO playbook:   • Mapped the AI-native buyer journey using real prompts prospects were asking LLMs • Built targeted content around high-volume prompt clusters tied to core Aleph capabilities • Used Profound Agents to automate tedious tasks like content briefs and internal linking  Aleph has since seen a 𝟮𝟱𝟯% 𝗶𝗻𝗰𝗿𝗲𝗮𝘀𝗲 𝗶𝗻 𝗰𝗶𝘁𝗮𝘁𝗶𝗼𝗻 𝘀𝗵𝗮𝗿𝗲 and an 𝟴𝟮% 𝗶𝗻𝗰𝗿𝗲𝗮𝘀𝗲 𝗶𝗻 𝗟𝗟𝗠-𝗮𝘁𝘁𝗿𝗶𝗯𝘂𝘁𝗲𝗱 𝘁𝗿𝗮𝗳𝗳𝗶𝗰. All in 2 months.  Charlie put it simply: "Profound serves as our AEO command center. The platform provides us with real-time AI visibility intelligence, so we stay on the tip of that spear as the AEO space evolves."  Learn more about Charlie's experience in Profound Pods and get started today → https://lnkd.in/exN35qze</t>
  </si>
  <si>
    <t>Ran from May 21, 2026 to May 31, 2026</t>
  </si>
  <si>
    <t>You can now talk to your AI Search data in Profound, and it talks back.  Run root cause analysis, build detailed reports, and generate insights, all within a single chat window.  This is just the start...  Read more here: https://lnkd.in/e_7br7ic</t>
  </si>
  <si>
    <t>Ran from May 20, 2026 to Jul 5, 2026</t>
  </si>
  <si>
    <t>NYC! Excited to announce we're bringing Profound's Zero Click to the biggest marketing hub in the world on June 11th with some killer speakers:  • Robin Kendric Triplett, VP, Integrated Marketing Experiences at The Coca Cola Company • Katie Conrad, General Manager, Marketing Data and Analytics at Delta Air Lines • Allegra Pedretti, Executive Director, Customer Experience Measurement at CVS Health • Kerry Janisch, Vice President, Head of SEO at U.S. Bank • George Bonaci, VP, Growth &amp; Demand at Ramp • Paolo Provinciali , VP, Marketing at LinkedIn • Rob Gaige, Global Head, Insights at Reddit • Tim Sanders, Chief Innovation Officer at G2 • Mandi Ciocca, VP, Performance Content at Publicis Media Exchange • Michael King, Founder &amp; CEO at iPullRank  NY is the most talent dense city for marketers I've ever seen, and we're curating the world's top AI Marketing experts into one room for Zero Click NY 2026.  There's no better place to learn cutting edge research on AI Search, hear how the biggest brands &amp; startups alike are adapting in real-time, and network with other marketing leaders.  If you're in NYC on June 11th, this is where the best marketers will be. Tickets are free, but we have limited spots. Apply here: https://lnkd.in/eraAsE3Y</t>
  </si>
  <si>
    <t>Thrilled to share we're bringing Zero Click back to our NYC home base on June 11, and we’ve got an insane line-up of speakers taking the stage:  • Robin Kendric Triplett, VP, Integrated Marketing Experiences at The Coca Cola Company • Katie Conrad, General Manager, Marketing Data and Analytics at Delta Air Lines • Allegra Pedretti, Executive Director, Customer Experience Measurement at CVS Health • Kerry Janisch, Vice President, Head of SEO at U.S. Bank • George Bonaci, VP, Growth &amp; Demand at Ramp • Paolo Provinciali, VP, Marketing at LinkedIn • Rob Gaige, Global Head, Insights at Reddit • Tim Sanders, Chief Innovation Officer at G2 • Mandi Ciocca, VP, Performance Content at Publicis Media Exchange • Michael King, Founder &amp; CEO at iPullRank  If you want a look into the future marketing for the era of AI, these are the leaders building it from the ground up.   Tickets are free, but we've got limited spots. Apply here to join us on June 11th → https://lnkd.in/eZbCVnhj</t>
  </si>
  <si>
    <t>How do you build a marketing system that runs without you? Well, on June 6th in NYC, Profound is putting $40,000 on the table to find out. Here's the deal:  - 50 builders in one day, in our Union Square HQ - 2x prizes of $10k cash + $10k Profound credits for the top two winners - Plus an interview offer at Profound for the winners - It's free to enter and build with whatever stack you want  This past April, we introduced Marketing Engineering to the world. Since then, companies like Google have already hired their first Marketing Engineers. The thesis is simple: one marketing engineer should be able to do the work of an entire marketing team. We're hosting this hackathon to push that idea as hard as we can  The theme is to find a marketing process that's inhuman in scope or scale (a human could NEVER do it - analyze thousands of pages, compare hundreds of competitors... you get the point), and ship a system or agent that runs it. You'll get like ~8.5 hours of build time, and the chance to do a 4-minute demo to a panel of judges who already've built with agents at massive scale  If you're one of the people reading my posts and already running citation tests, scraping logs, or vibe-coding scripts to track your brand across answer engines this is literally the room to be in  Applications close May 24, IMO if you've been waiting for a reason to build the thing you've been thinking about, this is it 👀   https://lnkd.in/eCNc4PMZ</t>
  </si>
  <si>
    <t>I used to hate vanity metrics.  I still do. I just used to, too.  (Shout out to the Mitch Hedberg fans that picked up on that)  I tear down vanity metrics for a living. Right now, AEO is full of them.  You're tracking prompts. That's not the problem.  The problem is the list is mixed. Real buyer prompts. SEO keywords rewritten as prompts. Sales team intuition. Competitor scraping. No tag, no weight, no way to tell them apart.  Every program I audit has at least two of three contamination sources on its list. Most have all three:  → SEO keywords rewritten as prompts (search intent, not prompt intent) → Sales team intuition (objection-handling only, 95% of buyer journey invisible) → Competitor scraping (copying their guesses, calling it strategy)  Your dashboard treats all of it the same. High-value prompts your buyers actually ask, low-value prompts they never will. Averaged together. Labeled visibility.  "Best CRM for B2B" is a keyword tool query.  "We just raised a Series A, have a 12-person sales team selling into mid-market manufacturers, what CRM should we evaluate first?"  That's a real buyer prompt.  Both are on your list. Your score doesn't know the difference.  The dashboard works. The math is correct. The prompt list is contaminated.  AEO equivalent of measuring conversion rate without separating buyer traffic from noise.  The CMO presenting the numbers to the board isn't lying.  The tool is lying to the CMO.  Here's the upstream move nobody is naming:  How you cluster your prompts is a positioning decision, not a technical one. Use case vs. buyer concern vs. journey stage produces completely different competitive surfaces. Accept the default clustering and you've outsourced your category framing to a generic algorithm.  The whole industry is arguing about citation rate and schema. The upstream decision is silently choosing what category you exist inside.  Profound shipped Prompt Research Reports last week. First product in the category that fixes the denominator instead of decorating it. 1.5 billion real user prompts, retrieved, ranked, clustered, scored (it's awesome...big props to that team).   I tore the methodology apart on Substack.  What's inside:  → Why coverage score replaces visibility as the metric that matters → The 4-stage methodology to run this yourself → Why the moat is half data, half math, and nobody else can copy either  If you're running an AEO program, this is the highest-leverage audit you can do before next quarter.  👇</t>
  </si>
  <si>
    <t>Proud to share Profound has been named to the CB Insights AI 100 -- the tenth annual list of the 100 most promising private AI companies in the world.  Check out the full announcement: https://lnkd.in/ebU_Ez28</t>
  </si>
  <si>
    <t>Context is everything, an Agent is only going to be as good as the context you give it.  That's why we're making it dramatically easier to get your source-of-truth content into your Profound Knowledge Base with two new integrations:  1/ Notion: connect your workspace, pick the pages and databases you want, and Profound pulls them straight into your Knowledge Base.  2/ Google Drive: browse your Drive in a familiar file picker and select the docs you want to bring in.  Both support sync schedules, so your Knowledge Base stays as current as your docs.  Once your content is in, every Profound Agent you build can reference it.   Learn more here: https://lnkd.in/e-TASbFK</t>
  </si>
  <si>
    <t>Ran from May 13, 2026 to May 31, 2026</t>
  </si>
  <si>
    <t>Sophie Piacentini  Hey %FIRSTNAME%,  Saw you're at %COMPANYNAME%, so I wanted to reach out. Profound helps SEO leaders and professionals improve AI visibility, which translates into more traffic, leads, and customers.  Top brands like US Bank, Wayfair, Chime, Zapier, G2, and Figma trust us to help them grow.  Book a free AEO audit for %COMPANYNAME% and we'll show you exactly where you rank in AI search, what's costing you visibility, and how to fix it.</t>
  </si>
  <si>
    <t>Hey %FIRSTNAME%,  Saw you're at %COMPANYNAME%, so I wanted to reach out. Profound helps SEO leaders and professionals improve AI visibility, which translates into more traffic, leads, and customers.  Top brands like US Bank, Wayfair, Chime, Zapier, G2, and Figma trust us to help them grow.  Book a free AEO audit for %COMPANYNAME% and we'll show you exactly where you rank in AI search, what's costing you visibility, and how to fix it.</t>
  </si>
  <si>
    <t>Discovered at grid position #1195. Verified Ad Details URL. Format: Single Image Ad.</t>
  </si>
  <si>
    <t>Your engineering backlog doesn't care that your team is stretched thin.  CoderFlow does.  Join us Tuesday, May 26th at 10 AM PST for a walkthrough of how CoderFlow autonomously executes the full engineering workflow, compile, test, fix, retest, deliver, without a developer in the loop at every step.  This isn't another AI that hands you a draft. It hands you a completed, verified, ready-to-commit outcome.  If you've been exploring AI coding tools and wondering if there's something more capable for complex, real-world systems, this session will answer that question directly.  The engineering backlog problem isn't a headcount problem anymore. See how CoderFlow changes the math, May 26th. 👉  https://hubs.la/Q04g5qkC0   #CoderFlow #AgenticCoding #DigitalLabor #IBMi #EnterpriseAI #Futurization</t>
  </si>
  <si>
    <t>OpenAI shipped self-serve ChatGPT Ads yesterday.  We shipped four OpenAI Ads nodes for Profound Agents the same day.  Pull performance data -- account, campaign, ad group, ad level -- directly into your workflows. Pair it with your organic AI visibility data. Build the dashboards, alerts, and reports your team actually needs.  ChatGPT Ads is a brand new performance channel. Benchmarks don't exist yet. The marketers who move first will be the ones who learn what works.  We're making sure our customers are first.  Learn more → https://lnkd.in/esANVggx</t>
  </si>
  <si>
    <t>Proud to share Profound has been named to the inaugural Prosumer AI 40 by Notable Capital.   The list recognizes 40 AI-native tools reshaping the modern tool stack, including Anthropic, Replit, Clay, Cursor, OpenAI, Vercel and more.  Grateful to our customers and partners who build with us every day. Full list here https://lnkd.in/gb94Zw9c.</t>
  </si>
  <si>
    <t>Discovered at grid position #1217. Verified Ad Details URL. Format: Single Image Ad.</t>
  </si>
  <si>
    <t>Three weeks ago, we hit publish on a manifesto for a role we believed should exist: the 𝗠𝗮𝗿𝗸𝗲𝘁𝗶𝗻𝗴 𝗘𝗻𝗴𝗶𝗻𝗲𝗲𝗿. Since then, some of the largest companies in the world have already started hiring for it.  Over 20,000 marketers came through Profound University to learn the fundamentals of the role, and marketing engineers are now getting hired weekly.   With such strong response to Marketing Engineering, we decided to upgrade the manifesto (and included a JD template if you want to hire one).  See it for yourself: https://lnkd.in/eSTMnaHm  To keep the momentum, we're launching a Marketing Engineering Hackathon on June 6th with $40,000 in prizes in NYC. More on this soon.</t>
  </si>
  <si>
    <t>In August of last year, I was introduced to Semal Khalil via my friend Vitoria Lima. She described Semal as an incredibly talented, passionate, and interdisciplinary designer. I knew immediately I had to meet her.  Fast forward 8 months, and we're so incredibly proud to have Semal as part of the Profound team. The most impressive part is that she's been able to spread her attention across both product and brand design. One of the reasons the Profound brand is in such a good state is because of the work Semal's done.   A truly special moment for us at Profound was our Union Square ad campaign. We lined it up with our Series C campaign so we could pair up our digital attention with some physical assets in the heart of the NYC transit system. This project was MASSIVE - more than 500 unique placements, and Semal absolutely crushed it in terms of creative direction and the execution.  Thank you for everything, Semal! I'm excited to continue building this company with you! Take a look at her awesome story in our first of many in the Profound Profiles series.</t>
  </si>
  <si>
    <t>When we launched Profound back in August 2024, we had two big ideas about where the future of Marketing was heading;  1/ In the future every company on the planet will care deeply about how AI talks about their brand, products and services  2/ In that same future, every marketing team will use AI to do a new, better kind of marketing - maybe even a new role of marketer will evolve?  It’s crazy to see the world start to reflect these two predictions. 3 weeks ago we launched the concept of the ‘Marketing Engineer’ - and it’s taken off like wildfire.  The world is recognizing that AI responses are way more than just “appearing in the answer”, it is a new question of HOW does AI talk about my business and what does it say?</t>
  </si>
  <si>
    <t>Our company is the people.   Excited to launch Profound Profiles - short stories about the humans behind the work.  First up: Semal Khalil who leads brand at Profound. She created every single visual asset in our recent Union Square takeover. Hundreds of placements. In record time.  This story goes past her current work and into her journey to design, which started before she even had access to the internet.  Excited to share Semal's story and humbled to work alongside her.</t>
  </si>
  <si>
    <t>The future of marketing is about to get very strange:</t>
  </si>
  <si>
    <t>We run a lean team at OptimalDX, and HubSpot is central to how we manage thousands of practitioners worldwide. When a platform update broke our lead scoring system and we decided it was time to stand up Service Hub properly, I didn’t want to go back to a large agency. I’d been down that road before. High turnover, lots of strategy talk, not enough execution.  A colleague pointed me to Profoundly. I was skeptical at first, but the experience was different. Within 24 hours of our initial conversation, I had introductions to two vetted HubSpot consultants who actually understood our world: functional medicine, a global practitioner base, lean automation-heavy operations. These weren’t generic CRM people. They got it.  The matching was specific to what we actually needed: someone who could come in and execute, not just advise. We selected our consultant, got started quickly, and the work has been exactly what we asked for.  If you’re a niche SaaS company with a real HubSpot problem and you need someone who can hit the ground running, Profound.ly is the fastest path to the right person. I wish I’d found them sooner.  – Dicken Weatherby, Founder &amp; CEO, Optimal DX</t>
  </si>
  <si>
    <t>Profoundly</t>
  </si>
  <si>
    <t>Our HubSpot database was scaling from 200k to 2 million contacts and we didn't have anyone on the team to manage it. We needed help from a true HubSpot expert – fast.  We got on a call with Profoundly, they understood the problem immediately and came back with three highly vetted consultants within 24 hours.   The quality of talent was impressive – exactly what we were looking for.  If you need a great HubSpot consultant quickly, this is the fastest path I've found.  – Chris Shapiro, Director of Sales, US &amp; Canada, AlphaTheta</t>
  </si>
  <si>
    <t>Profoundly, Inc.</t>
  </si>
  <si>
    <t>Discovered at grid position #1252. Verified Ad Details URL. Format: Single Image Ad.</t>
  </si>
  <si>
    <t>What if your IBM i team stopped writing code and started reviewing finished work?  That's not a hypothetical. That's CoderFlow.  This isn't just another AI coding assistant. This is fully autonomous development, built for enterprise complexity, with full governance baked in.  From the team that's been futurizing IBM i for over 25 years. Something big is coming to CoderFlow. June 1. 👀  #CoderFlow #IBMi #ProfoundLogic #Futurization</t>
  </si>
  <si>
    <t>Working with Profoundly has been a game changer.  We’ve grown really fast over the past year and hit a point where demand was outpacing our capacity. I knew we needed additional HubSpot expertise, but I wanted to find someone who could truly plug into our team and operate at a high level.  Through Profoundly, we were connected with an expert who has been incredible. He’s super smart, picks things up quickly, and has already helped us scale across clients. Honestly, I’d love more of his time.  What stood out most was how easy the process was. Instead of spending weeks searching, vetting, and interviewing, within 24 hours we were connected with someone who just gets it and we were off and running.  If you’re building on HubSpot and need high-quality, flexible support, Profoundly is a no-brainer.    – Erin Martinez, CEO, FinHive Solutions</t>
  </si>
  <si>
    <t>Sophie Piacentini  Hey %FIRSTNAME%,  I’ve been following %COMPANYNAME% for a while, so I wanted to reach out.  Top brands like US Bank, Chime, Indeed, and Zapier trust Profound to improve their AI visibility so they can get more traffic, leads, and customers.  Get your free AI Search Report for %COMPANYNAME%. See where you stand and what to do about it.</t>
  </si>
  <si>
    <t>Profound 🤝 Checkout.com   Honored to partner with a global payments platform powering thousands of businesses.  We’re excited to help Checkout.com understand and shape how they show up when buyers explore payment solutions across AI Search.</t>
  </si>
  <si>
    <t>I spoke to a room full of CMOs this week and a lot of them feel behind on how their marketing teams are adopting AI into their workflows.   This is exactly why the Marketing Engineer role needs to exist on every marketing team right now.   Data teams have Data Engineers. GTM teams have GTM Engineers. And marketing teams now have Marketing Engineers.   Marketing Engineers sit inside your marketing team and build the systems, agents, and automations that make every function faster. They build at the system architecture level, with the goal of automating at the campaign level.  A question we get a lot is whether Marketing Engineering is just Marketing Ops with a new name.  It's not.  Marketing Ops is your foundation: clean data, working integrations, reliable processes. If nothing breaks, they've done their job.  Marketing Engineers build on that foundation, but the similarity ends there. They're building agents, automations, and entirely new capabilities, and they're measured on the same KPIs as any other marketer: conversion, traffic, pipeline influenced, cost per lead.  Ops keeps the infrastructure running. Marketing Engineering uses that infrastructure to invent new ways of marketing.  You need both: most companies already have Ops, the Marketing Engineer is what's missing.</t>
  </si>
  <si>
    <t>Profound Agents now integrate with Framer.  Framer is one of the most design-forward website builders out there, and they've been one of the few platforms treating AEO as a first-class concern from day one.   Now you can wire all of that directly into your Agents. Read your live CMS, write new content to it, and keep the whole loop inside Profound.  Available today for Enterprise customers. Blog and setup docs below.</t>
  </si>
  <si>
    <t>Profound already surfaces which publishers drive AI citations in your category, so you know exactly who to partner with next.  Now, Content Marketplace inside PartnerStack connects you directly with those publishers and creators. No cold outreach required. Just browse upfront pricing, send a request, align on details, and pay in one place.  Close the loop with Profound and PartnerStack.</t>
  </si>
  <si>
    <t>Honoured to be included in The Wall Street Journal's piece on how AI is rewriting the rules of search.   There's no universal playbook. Every platform weights its sources differently, by industry and by query. What works in fintech looks nothing like what works in e-commerce. Thats why every marketer will use Profound to do better marketing.  Worth reading in full -- Andrew Blackman did a great job capturing the industry's shift: https://lnkd.in/ednHBmVG</t>
  </si>
  <si>
    <t>Ran from Apr 22, 2026 to Apr 27, 2026</t>
  </si>
  <si>
    <t>Discovered at grid position #1301. Verified Ad Details URL. Format: Single Image Ad.</t>
  </si>
  <si>
    <t>We brought Zero Click by Profound San Francisco last week.  750+ marketers. Speakers from Stripe, Parallel, Figma, Expedia, Reddit, OpenAI, iPullRank, LinkedIn, G2, and Webflow. A surprise conversation with Brian Halligan. And the official launch of a new role we've been building toward: the Marketing Engineer.  We started Zero Click in New York in 2025. Then London. Each one better than the last. SF was our biggest yet, and the one that felt most like a movement.  What keeps striking me is how consistent the signal is. Every CMO I talk to — across industries, company sizes, geographies — is saying some version of the same thing. The platform is shifting. Buyers are using AI. The rules are being rewritten in real time.  Zero Click exists because this category moves fast and the people navigating it deserve a room to think, share, and figure it out together.  Grateful to everyone who showed up, spoke, and made it what it was.   And to the Profound Marketing team and many others who made it possible — you continue to raise the bar.  We're back in New York on June 11. Register here → https://lnkd.in/eZbCVnhj</t>
  </si>
  <si>
    <t>Profound 🤝  Checkout.com   Honored to partner with a global payments platform powering thousands of businesses.  We’re excited to help Checkout.com understand and shape how they show up when buyers explore payment solutions across AI Search.</t>
  </si>
  <si>
    <t>Answer Engine Optimization (AEO), Zero Click World Tour, AI Visibility &amp; Growth</t>
  </si>
  <si>
    <t>Discovered at grid position #1310. Verified Ad Details URL. Format: Video Ad.</t>
  </si>
  <si>
    <t>We are proud to announce the release of our latest documentary showcasing a massive production journey that tested our systems, endurance, and team coordination at scale.  Over the course of 2 months, our crew traveled across multiple provinces in Zimbabwe, delivering full event coverage for a big choral musical competition series proudly sponsored by Econet Wireless Zimbabwe.  The assignment required video filming, live streaming and real-time photography delivery for immediate social media updates, and consistent post-event content production, every single weekend, across different cities and venues.  This project was not only about capturing moments.   It was about executing under pressure, maintaining reliability across diverse environments, and meeting demanding turnaround expectations without compromise.  The documentary provides a behind-the-scenes look at the workflow, teamwork, and technical discipline required to sustain production at this level.  We extend our sincere appreciation to Econet Wireless Zimbabwe for the opportunity to support such a significant national initiative.  At Profound Photography Private Limited, we remain committed to partnering with organizations that require dependable production teams capable of delivering results in real time, wherever the assignment takes us.  We invite you to watch the documentary and connect with us for future collaborations.   #EventProduction   #LiveStreaming   #CorporateEvents   #ContentCreation   #Teamwork   #Zimbabwe   #Econet</t>
  </si>
  <si>
    <t>You know that person on your marketing team who builds something and everyone goes “wait, we can do that?”  Maybe they vibe coded a dashboard last week. Before that it was some automation that cut a manual process from a few hours to a few minutes. They’re always in Claude or ChatGPT, and they're not writing blog posts with it, they're wiring things together while the whole team watches in awe.  They’re not a developer. They’d never call themselves one. But they’re not doing what most marketers are doing either.  I was this person at HubSpot. I built automations that sent hundreds of thousands of deeply personalized emails using AI and pushed email conversion rate up 82%. And every time someone asked what my job was I gave a different answer because I didn’t have a word for it.  The word is Marketing Engineer.  Right now this person’s LinkedIn says “Growth Marketing Manager”, “Marketing Ops”, or “Martech”: something that sort of describes half of what they do.  I built Profound University’s Marketing Engineering course for them. You learn how to see your marketing work as a system. And from there you start inventing entirely new ways of doing marketing that are only possible now because of agents.  Here's the link to dive in: https://lnkd.in/eExTwsYJ  If this is you, drop your current title below. I really want to see how many ways we’re currently labeling the same job.  And if someone came to mind while you were reading this, they should probably see this!</t>
  </si>
  <si>
    <t>Over a dozen CMOs and VPs hit me up this past week. Texts, DMs, a couple of emails.  All asking a version of the same question: "Where do I find a marketing engineer?"  Not "what is one." Where do I find one.  Pulled up Google Trends yesterday morning. Two breakouts in 90 days. "Marketing engineer jobs" and "what is a marketing engineer." Google defines a breakout as 5000%+ growth. Yes, that can be off a low base. Which is when categories form.  Translation: the market is trying to hire this role faster than it can define it.  So let me clear something up.  Marketing engineer isn't a lofty tech title marketers invented to sneak into higher comp bands.  What's actually happening: the functional split inside marketing orgs is quietly breaking down. The lines between technical and creative, between strategist and operator, between analyst and storyteller are blurring. Not because leadership drew up a new org chart. Because the best people stopped honoring the old one.  The marketing engineer is that shift made official. Part builder, part artist. One role in place of three.  Modern pipeline means AI agents running outbound, AEO systems owning LLM visibility, PLG loops that need real engineering, and experiments that used to take a quarter shipping in days.   That work doesn't fit Marketing Ops. Growth PMs won't own it. Engineering won't prioritize it. Someone has to, so a new function gets carved out of all three.  Bolting AI onto marketing isn't a strategy. It's a structural shift. Structural shifts need new roles.   Earlier-stage companies have run this way forever out of necessity. What's different now: it's moving upmarket fast.  The orgs winning already have this person somewhere inside them. The ones that don't are starting to feel the gap.  HubSpot did this with inbound marketers. Gainsight did it with customer success managers. Profound is doing it right now with marketing engineers. Nick Lafferty being their first.   I dropped the full playbook on Substack this morning. Where they sit. What they actually do. Comp bands. JD template included.  The loudest dismissers today are posting this JD in 3 months.</t>
  </si>
  <si>
    <t>Mediums change. Marketers adapt.   The practice of marketing evolves.  The next evolution is happening now and it will birth an entirely new way of working.   Good news is... marketers are a resilient and creative bunch.   Marketing engineers are here https://lnkd.in/ej5Ji2iJ</t>
  </si>
  <si>
    <t>Every marketing leader I advise right now is asking the same question:  Do I need to hire a dedicated AI person? And what's that person's skillset?  Profound's take: You need a Marketing Engineer. They shared their take on this new role last week at Zero Click SF.   They define a Marketing Engineer as: • The person who builds the systems, agents, and automations that help marketing teams do better work, faster. Part builder, part marketer. • Not a marketing ops role. Sits within your marketing team and is measured on the same KPIs as every other marketer. • The job isn't automating one workflow. It's looking across your team's work, finding what's repeatable, and building systems for it. Then building things that weren't possible before agents.  If you follow content on future marketing org charts, you may be wondering: is this the same as a #GenMarketer?  Not exactly. But it addresses the same issue: how we do marketing is changing. We'll have teams of humans working alongside agents, and the old org chart won't hold.  A Gen Marketer is a marketing generalist who's an expert at using AI to execute across all of marketing. A Marketing Engineer owns the architecture. So, you could have both!  - If you want to gain the Marketing Engineer skillset, Profound just launched a free course to go deeper on this role: https://lnkd.in/gbPXZ2Wu</t>
  </si>
  <si>
    <t>Our third round of Zero Click by Profound.   The energy in San Francisco was electric. Valuable sessions, great conversations, and a beautiful venue.   Awesome meeting so many customers in person - they are the leaders defining the future of marketing.   See you all in June for Zero Click New York City!</t>
  </si>
  <si>
    <t>Apartment List doubled their AI Search citations with Profound.   Megann Sept and her team came in with a strong SEO foundation and a clear hypothesis: local, high-intent renter queries were going to dominate AI-driven discovery.  With Profound, the team built a full AEO strategy from scratch: • Identified which renter questions LLMs surface most • Tracked citation share against competitors • Used Agent Analytics to see exactly how AI indexes their site • Iterated content weekly based on what the data showed  Megann put it simply: "LLMs are becoming a core discovery and decision-making surface for people making housing decisions. Showing up there with expert, human-centered guidance is critical to fulfilling our promise to renters."  Check out the full partner story https://lnkd.in/eNmq9yFP</t>
  </si>
  <si>
    <t>Does your Tax bill keep you up at night ?  If your CPA only shows up in April, you’re probably missing out on $300K–$3M+ in tax savings.  Most accountants just file. At Profound Financial, we engineer your financials with advanced strategies to legally and significantly reduce your tax burden — while you focus on running your business.  We specialize in working with 7–9 figure entrepreneurs and business owners using strategies like: ✅ Multi-entity structuring &amp; profit optimization ✅ Cash balance plans &amp; retirement layering ✅ Captive insurance &amp; conservation easements ✅ Oil &amp; gas + solar tax credits ✅ Private foundations ✅ Augusta Rule, Accountable Plans, Hire Your Kids  Real results we’ve delivered:  - $4.5M saved for a $25M healthcare SaaS firm using multi-entity structuring, retirement layering, and advanced tax vehicles like captive insurance and conservation easements.  - $850K saved for a $5M electrical contractor through entity optimization, cash balance plans, and solar &amp; energy incentives.  - $350K saved for a $2M designer-turned-trader using trader elections, financed insurance, and family tax planning.  👉 Book a free strategy session to find out how much you’re overpaying — and what we’d do differently.</t>
  </si>
  <si>
    <t>Big update for Profound customers: we just up leveled our reporting capabilities.  Excited to announce Custom Dashboards: a fully configurable and shareable view of your Profound data. Build it once and come back to it anytime.  With Custom Dashboards you can: • Filter by date, platform, competitor, topic, region, and more  • Drag and drop charts to build the exact view you need • Export as a clean PDF in one click   Helen Martin, from our Product Marketing team, walks us through how to build a weekly report from scratch.  Available now for all Profound customers. Link in comments to learn more.</t>
  </si>
  <si>
    <t>Excited to announce Profound's partnership with Partnerize.  When a consumer clicks a link from an AI Search response and makes a purchase, that conversion can now be traced back to the AI answer and the partner whose content was cited.  Brands can see when AI Search influenced a sale and pay the partners who helped drive it. Partnerize handles the verification and payment infrastructure. Profound handles the AI discovery layer.  Read more in the comments 👇</t>
  </si>
  <si>
    <t>Huge shoutout to Kevin Miller, Angie Bergmann, and the entire GR0 team.  They've been one of our earliest and most ambitious Profound agency partners. While a lot of teams are still trying to figure out where AI Search fits, GR0 went all in. They built an entire AEO practice and are now helping dozens of clients navigate this shift.  What stands out about GR0 isn't just the results, it's how leaned in the team is. They get that this is a real marketing discipline, not a big red button you press for instant results. They're in the platform every day, doing the work, and their clients are seeing it pay off.  Kevin framed it in a way that really stuck with me: Profound's building a net-new sales channel for their clients.   Check out the full partner story https://lnkd.in/eDZWDX83</t>
  </si>
  <si>
    <t>Profound just raised $96M at a $1B valuation in a series C led by Lightspeed 👀🔥  In case you didnt know, it's an AEO tool for marketers, which is apparently like SEO but for AI tools like ChatGPT, Perplexity, etc., which is dope, but their Agents feature is pretty sick ngl  so Profound itself:  --&gt; tracks how AI tools like Gemini, etc. talk about your brand (how often you're mentioned, what they're saying, whether it's accurate, etc etc etc) --&gt; shows you what topics and questions people are asking AI in your space --&gt; creates and publishes content that the ai tools might surface, cite to, etc.  which is pretty cool, but that last part is where the Profound Agents come in, they are autonomous agents that can:  --&gt; monitor how your brand appears across AI platforms and get alerted when something changes --&gt; create content based off signals (e.g. someone asks chatgpt about something in your space that you dont have content on, this shit will pick it up and draft something around it and publish it once you review it so it'll show up next time someone asks lololol)  Agents can also be can do other stuff too (for demand , but i think this is sooo interesting how seo has evolved and how now we're here lol  I used to run a content marketing agency for 4 years in the 2010s and we wrote 100s of blog posts/mo, drove hundreds of thousands of search visitors/mo, and all that, and i cant imagine what we would've done had all this stuff existed back then lol  if you're responsible/involved in AEO/SEO at your company, id suggest giving this a shot for sure  you can learn more about Profound and how they plan to use the money (expanding Agents, etc.) by checking out their founder James Cadwallader's post on the announcement: https://lnkd.in/gtcC-tWj  LMK what you think if you try it!  -----  this post is a brand collab with Profound</t>
  </si>
  <si>
    <t>We've gotten a ton of interest since launching our Gamma integration nodes for Profound Agents, so we had one of our PMMs Garrett Gomez record a walkthrough showing exactly how it works.  If you've been curious about automating how you report on your AEO data, this is the fastest way to see it in action.  Full blog post below.</t>
  </si>
  <si>
    <t>Sophie Piacentini  Hey %FIRSTNAME%,  %COMPANYNAME% has been on my radar for a while, so I wanted to reach out. Profound helps SEO leaders and professionals improve AI visibility, which translates into more traffic, leads, and customers.  Top brands like US Bank, Chime, Indeed, and Zapier trust us to help them grow.  Get your free AI Search Report for %COMPANYNAME%. See where you stand and what to do about it.</t>
  </si>
  <si>
    <t>Latest in Profound Agents: Google Search Console.  Access GSC data directly in your marketing agents:  - Top Keywords for Site - Top Pages for Site - Top Keywords for Page - Top Pages for Keyword - Page-Keyword Breakdown - Keyword-Page Breakdown - Page Performance Summary - Check Indexing Status  Available today for all customers. Link in the bio to read more</t>
  </si>
  <si>
    <t>Profound 🤝 U.S. Bank   Honored to partner with a financial leader pioneering AI Search.   We're proud to support a brand focused on trust, performance, and clarity when customers turn to AI Agents for answers.  Thank you for your partnership Kerry Janisch, John Dotto and team.</t>
  </si>
  <si>
    <t>This is actually CRAZZZYY when you think about it.  A year ago… If you told me I’d open Google and not search, but click “Ask Gemini” instead…  I would’ve laughed. Now I do it daily.  Which is why I use Profound. (No gatekeeping)  I ask Gemini. I ask ChatGPT. I ask Perplexity. I don’t browse.  I don’t compare 10 links. (How pre-historic.)  I get one answer and move on. That shift is bigger than most marketing teams realise.  Your audience isn’t “searching” anymore. They’re asking. And if AI doesn’t mention you… you don’t exist in that moment.  That’s not dramatic. That’s reality.  So I started testing it, asking AI about categories I know well.  Seeing who gets recommended. Seeing who doesn’t.  And it’s wild. Some huge brands are invisible. Smaller players dominate. Not because they’re bigger. Because AI better understands them. That’s the unlock.  Profound gives you visibility there: How you appear across ChatGPT, Gemini, and Perplexity When competitors are recommended instead What signals shape AI responses How to optimise so you’re actually inside the answer In real time.  This isn’t SEO 2.0. It’s monitoring where attention’s going and evolving with it. The marketers who win won’t be the loudest. They’ll be the most adaptive.  Attention has shifted.  The question is: Have YOU?  Profound  Marketers are finally getting the tools they need for the era of superintelligence.   Read the full story behind their Series C and the rise of AEO in their founder’s fundraise announcement: https://lnkd.in/ePk-fKwD</t>
  </si>
  <si>
    <t>Agents are already deciding who wins AI search. Most companies are still doing it manually.  I'm still seeing teams screenshotting ChatGPT, dumping it into a spreadsheet, and talking about it weeks later.  By then it’s over. A competitor already owns the answer.  The teams pulling away aren’t doing more work...they’ve just stopped doing it manually.  Five layers. Five agents. One system.  Monitoring — tracks what AI models, Reddit, Inc., G2, and comparison pages are actually saying about you. Spots shifts in positioning and citations in days, not after deals are lost.  Consistency — creates one source of truth everywhere AI looks. Without it, models stitch together fragmented inputs and return those weird, averaged answers.  Reporting — tracks how often you actually show up in the answers that drive decisions. Answer Capture Rate by question cluster. Weekly. You see movement before pipeline feels it.  Distribution — takes a single answer and spreads it across the surfaces AI actually cites. Same POV, just multiplied coverage.  Brand — voice, tone, and guardrails baked in at the output layer. So quality doesn’t drift as this scales.  The manual version just can’t keep up. The agent version runs in the background.  Ramp did this with Profound.  They looked at what AI engines were actually citing, built targeted pages around those answers, and moved from 3.2% to 22.2% visibility in a month.  I wrote up the full Answer Ownership System if you want the full breakdown 👇</t>
  </si>
  <si>
    <t>For our customers... showing up in AI answers is one thing. Proving it drove revenue is a bit more complicated.  That's why we are partnering with Partnerize.   Profound tracks how brands appear across LLMs and AI search. Partnerize helps over 1,800 brands manage, track, and pay their affiliates and partners. With this partnership, Profound customers  can verify which AI citations led to conversions and pay partners for the outcomes they drove.  AI discovery meets affiliate economics. Excited to work with Maura Smith, Jeff Thompson, Katie M., Matt Gilbert and the whole team. Check out the full announcement below.</t>
  </si>
  <si>
    <t>What are people searching for in ChatGPT was one of the biggest questions that Profound helped solve in 2025. We addressed this with Prompt Volumes, the world's ONLY dataset of what real people are searching for in ChatGPT, helping marketers understand intent and interest from real users.  As Profound expands from just AEO Analytics into building Agents to help marketers become 10x more effective in their workflows, we had to bring these two together.  Today, we're excited to announce Profound Prompt Volumes data can be programmatically accessed within our Agents and Sheets product. You are no longer constrained to viewing this data in our pre-built data viz tools. You can customize your queries and use the data however you want.  This release brings a huge unlock - we're excited to let marketers use this data as they please when it comes to building agents and automations.  Like always - shoutout to the super talented team I have the pleasure of working with. Manik Narang absolutely crushed this. How many people do you know can both do infra and product eng at the same time?  Link in the comments to learn more.</t>
  </si>
  <si>
    <t>We launched Profound Agents just a few weeks ago and the adoption has been astonishing. From enterprise, to Series A SaaS, we've seen marketers dive in and build.   10K is just the start.</t>
  </si>
  <si>
    <t>Profound has raised $96M at a $1B valuation from Lightspeed alongside Sequoia Capital, Kleiner Perkins, Evantic Capital, Saga Ventures and South Park Commons.   In exactly 18 months, Profound has gone from an idea to serving 10% of the Fortune 500 and becoming the #1 leader on the G2 Grid for our category, and now unicorn status.  We’re building technology around two fundamental beliefs about where marketing is heading:  1/ Every company will care deeply about how AI talks about their brand. 2/ Every marketing team will use AI to do their job better and faster.  And, today we’re announcing:  • Profound Agents: Customizable AI workers that take marketing teams from campaign concept to execution, without cutting corners.  • Profound University: Courses, certifications and cohort-based programs for marketers who want to lead in the AI era.  To every customer and partner who believed in this when it was just a thesis, thank you.  If you want to try Profound, comment “AGENT” below for free access to one of our most popular agents. No account required. No strings attached.</t>
  </si>
  <si>
    <t>Profound Agents now connect natively to Webflow.  Agents can optimize existing CMS items, generate net-new drafts, and route staged content to Slack for review and approval... all in a single Agent run. Your CMS becomes a self-iterating content engine that responds directly to your AEO data.  Dave Steer, CMO at Webflow, is taking the stage at Zero Click by Profound SF to showcase the integration and speak to his vision for the future of AEO.   Request your spot today https://lnkd.in/eDdj8WrE</t>
  </si>
  <si>
    <t>New in Profound Agents: access Semrush data  AEO + SEO ❤️</t>
  </si>
  <si>
    <t>Launching Google Search node for Profound Agents.  Traditional search data is some of the most impactful data in marketing. So we've introduced an integration to pull it directly into your Agents.  With the new Google Search node, you can: •⁠  ⁠Pull organic results and AI Overview information •⁠  ⁠Use People Also Ask questions to build better FAQs •⁠  ⁠Source related searches, and more  Now available for every Profound customer.  Link in comments to learn more 👇️</t>
  </si>
  <si>
    <t>I came back to Ramp to work with data like this.   We have a front row seat to the astronomical rise of AEO and how it’s changing the way people find and trust information. And in turn, how growth teams operate. It feels like the early days of Search all over again, except the potential is so much bigger.  Getting to see it play out in real time through Ramp Rate spend data is one of the most exciting parts of my job.  Check out our latest deep dive by Rebecca Moretti, featuring Profound the breakout leader in the space.   https://lnkd.in/ej_weyBk</t>
  </si>
  <si>
    <t>We officially kicked off Zero Click by Profound SF last night with Zero Click Eve.  Thank you to everyone who joined us in taking over North Beach, and to our incredible sponsors iPullRank, Edgar Allan, Webflow, and Spotlight.  See you later today at Profound's global conference dedicated to AI Marketing and the future of AI Search.</t>
  </si>
  <si>
    <t>If your CPA only shows up in April, you’re probably missing out on $300K–$3M+ in tax savings.  Most accountants just file. At Profound Financial, we engineer your financials with advanced strategies to legally and significantly reduce your tax burden — while you focus on running your business.  We specialize in working with 7–9 figure entrepreneurs and business owners using strategies like: ✅ Multi-entity structuring &amp; profit optimization ✅ Cash balance plans &amp; retirement layering ✅ Captive insurance &amp; conservation easements ✅ Oil &amp; gas + solar tax credits ✅ Private foundations ✅ Augusta Rule, Accountable Plans, Hire Your Kids  Real results we’ve delivered:  - $4.5M saved for a $25M healthcare SaaS firm using multi-entity structuring, retirement layering, and advanced tax vehicles like captive insurance and conservation easements.  - $850K saved for a $5M electrical contractor through entity optimization, cash balance plans, and solar &amp; energy incentives.  - $350K saved for a $2M designer-turned-trader using trader elections, financed insurance, and family tax planning.  👉 Book a free strategy session to find out how much you’re overpaying — and what we’d do differently.</t>
  </si>
  <si>
    <t>Stop hoping AI tools recommend your brand. Start making it happen with proven strategies for ChatGPT, Perplexity, and more.</t>
  </si>
  <si>
    <t>Ranking on Google isn't enough anymore. Your customers are asking ChatGPT and Perplexity for recommendations. Here's how to show up.</t>
  </si>
  <si>
    <t>Technology is no longer the barrier in marketing. Having smart, savvy people who understand how to build and drive revenue is the differentiator.  Spotlight sees Profound as one of the most powerful tools in the marketing stack, and we’ve spent the last several months becoming the team that knows how to fully leverage it to help marketing teams win in the AI era.   Spotlight has been working with Profound for a while, but recently went all in on AEO Foundation, AEO Analytics, and Agent Engineering certifications. We now have 100+ certifications and a robust agent library ready to be deployed across our clients (See one of mine below).  We believe AEO can’t be won by any single piece of content or source. It requires orchestrating the influencers AI actually trusts. Profound provides the roadmap and the tools. Spotlight wants to be your partner to build, optimize, and execute.  If you’re in the AEO space and haven’t taken the time to go through Profound University led by Josh Blyskal, you’re missing out.  We’re proud to be an official partner on Profound’s Partner Directory. See more about our partnership in the comments.</t>
  </si>
  <si>
    <t>Proud new owner of my Agent Engineering Certification from Profound! I had so much fun creating my first agent – it completely opened my eyes to the innovation and efficiency this has the potential to bring to our team. Huge thanks to Josh Blyskal and the rest of the Profound team for the partnership with Spotlight, and for always paving the way! 💪</t>
  </si>
  <si>
    <t>Headed back from Shoptalk Spring feeling incredibly energized about the future.   Nothing beats speaking with industry professionals face-to-face. Hearing their experiences live, their challenges, their questions.... especially as a product marketer there is nothing more impactful.  Couldn't be more excited to partner with the retail leaders we met there to ensure their products are chosen and recommended by AI.  A massive shoutout to Katherine Underwood for helping us show up with a powerful presence, the Profound team for crushing it on the ground at the booth, and a huge thank you to every partner, client, and retail leader who stopped by.</t>
  </si>
  <si>
    <t>I have just arrived back home from Shoptalk Spring!  It was a proud moment watching our CEO, James Cadwallader take the stage to unpack agentic commerce and the future of brand discovery. The energy in that room was incredible.  A massive shoutout to the Profound team for crushing it on the ground at the booth, and a huge thank you to every partner, client, and retail leader who stopped by. The conversations we had this week about driving real growth were unmatched.  Jessica KommorKatherine UnderwoodCharlie DemuthNikki LebedinNick PhillipsJuan Diego CampuzanoHana HajebianGarrett GomezConnor JoyceSophie Piacentini</t>
  </si>
  <si>
    <t>Excited to share that I’ve officially completed #AEO Foundations and am now #AEOcertified.  Last year, Spotlight launched a strategic partnership with Profound, a platform designed to help enterprises understand and improve their visibility in AI search. Through this partnership, Spotlight and Profound now offer clients enhanced capabilities, including: -Real-time visibility into brand mentions across AI platforms -Comprehensive AI visibility metrics -Strategic guidance to strengthen brand performance across AI channels  ➡️ This certification helps me to provide more strategic, data-driven recommendations to my clients, ensuring they show up effectively across two of AI’s most trusted sources: industry analysts and peer review platforms.  Curious to learn more? Feel free to DM me!  #AI #IndustryAnalyst #AnalystRelations</t>
  </si>
  <si>
    <t>A great experience proves you belong at the top. Described as the "hottest company" at the event, we didn’t just turn up to Shoptalk hoping for footfall. We engineered it.  Our active outreach secured 80+ pre-booked meetings before doors even opened.   On the floor, we strategically anchored our booth next to the Marketing Stage to catch leaders primed for growth.   A glamorous booth drove the buzz (and a great party), while our custom VIP rooftop secured high-value conversations away from the chaos.   We didn't just exhibit; we educated the market, taking the stage twice with Garrett Gomez and our CEO, James Cadwallader.  The energy was electric. Seeing so many brands actively seeking us out to help them with thier visibility was the ultimate payoff.  #Shoptalk #EventStrategy #ExperientialMarketing #B2BMarketing Mark Ebert Charlie Demuth Hana Hajebian Jessica Kommor Nikki Lebedin Sophie Piacentini Connor Joyce Nick Phillips Juan Diego Campuzano Layla Baradaran Trevor Pyle Helen Martin</t>
  </si>
  <si>
    <t>Officially AEO certified through Profound University!   As AI reshapes how brands are discovered, the way influence is built and measured is fundamentally changing with it.   I’m so proud to earn this certification and deepen the partnership between Spotlight and Profound (the G2 recognized leader in AEO).   Together, we’re helping clients navigate the next generation of influence. We’re ensuring brands don’t just show up in traditional search, but are cited, recommended, and trusted across the AI engines shaping buyer decisions.   The future of visibility lives in AI-driven discovery, and Spotlight + Profound are leading the way.</t>
  </si>
  <si>
    <t>Excited to share I am one of the first people in the world to receive the AEO Foundations Certification from Profound!  Profound, a Spotlight partner, is the leading AEO platform for measuring brand visibility across AI models like ChatGPT, Perplexity, CoPilot, and more. Through our partnership, we equip our clients with the metrics, reasoning, and tools to optimize for AI-driven discovery.   Interested in our partnership? Check it all out here: https://lnkd.in/gheMpCSS</t>
  </si>
  <si>
    <t>That’s a wrap on Shoptalk Spring 2026.  Agentic commerce is fundamentally changing the way retailers operate. The energy and time on the ground showed that leading retailers are tackling it head on.   A massive shoutout to the Profound team for bringing the vision to life at our epic booth, and a huge thank you to everyone who stopped by to connect.   The future of retail is here and we're just getting started.</t>
  </si>
  <si>
    <t>I was super excited to see my AEO foundations certification results in my email this morning! I loved this training and how clearly Josh Blyskal broke everything down. It was refreshing to see the test relied on the practical application of what you learned vs. a simple multiple choice exam.   The engines might be different, what we’re looking for might be different, but the diagnostic and reasoning skills needed to do this work are so similar to good SEO work. SEOs truly are so well positioned to do this work!</t>
  </si>
  <si>
    <t>The moment you stop learning in this industry is the moment you fall behind. With the shift toward Answer Engine search, it was time to update the toolkit.  I recently earned the AEO Analytics Diploma from Profound University. It’s a brand-new frontier for search, and it’s pretty cool to be one of the first in the world to hold this certification.  Kudos to Josh Blyskal, James Cadwallader and Dylan Babbs for running such a slick learning and certification process.    #LifeLongLearning #AEO #Profound Profound Pearson</t>
  </si>
  <si>
    <t>Here’s why you should come to Zero Click SF on April 8th!   This will be the best event in the world for anyone who wants to learn from the best minds in AI marketing and AI search.   I’ve seen an early preview of the content and I promise you’re going to be blown away.   Request your spot here and drop a comment, I can make sure you get approved!   https://lnkd.in/e3-27NbF</t>
  </si>
  <si>
    <t>Profound has become the industry standard for AI visibility analytics. But the mission was never to just show what’s happening. It was to help marketers and brands own and control the narrative in AI search. To do that requires action.  That’s why we built Agents, and now our customers are harnessing an entire AEO flywheel in one platform to go from analytics and insights to marketing orchestration, execution, and measurement fast.  Agents just got a MAJOR upgrade with Profound Sheets.  Profound Sheets lets you run hundreds of agents in parallel, saving you hours of time. No need to bounce between multiple different tools.  Optimize blog posts, conduct competitive analysis, craft personalized ad copy - all at scale.  Available today for all enterprise customers... see link comments for more info.</t>
  </si>
  <si>
    <t>Profound Agents now connect natively to Webflow.  Agents can optimize existing CMS items, generate net-new drafts, and route staged content to Slack for review and approval... all in a single Agent run. Your CMS becomes a self-iterating content engine that responds directly to your AEO data.  Check out the integration https://lnkd.in/gZNpCFBU</t>
  </si>
  <si>
    <t>A mission without a business model won’t survive to build legacy; a business without a mission never inspired.   Ambitious leaders feel the tension between building the bottom line and living with purpose. But at Profound Hope Industries, we see these as two sides of the same coin.   Stop viewing these as competing interests and start building processes so they can fuel one another.   Profitability and purpose are not at odds; they are partners in progress.    Visit our website to learn more about how the H.O.P.E. framework makes this possible.   https://lnkd.in/gnE-YySq</t>
  </si>
  <si>
    <t>Zapier built one of the most sophisticated AEO programs I've seen.  A year ago, Zapier's attribution data started showing a pattern no one could explain.  Brand traffic was spiking. The source was invisible.  A causal analysis surfaced the answer: one in four signups was being influenced by LLM recommendations. People were researching in ChatGPT and Gemini, then arriving ready to convert.  The channel was real. They had zero visibility into it.  Zapier assembled a cross-functional team spanning content, SEO, PR, social, and reputation management, and onboarded Profound.  The results: • Zapier is now the #1 cited domain for their most competitive prompts. A 4x increase since launch. • 40% of surveyed homepage visitors say they found Zapier through an LLM. • LLM-referred visitors convert to free trials at 3x the rate of Google Organic.  The brands that understand how AI Search represents them today will have a structural advantage tomorrow.  See how they did it via the full customer story: https://lnkd.in/ePM3CBbu</t>
  </si>
  <si>
    <t>Do you have your ticket for Zero Click by Profound?  Leaders from OpenAI, Stripe, Figma, Expedia, Reddit, Parallel, G2 and more are taking the stage.  Due to demand, we've opened up a few more spaces.  Request your spot now → https://lnkd.in/eDdj8WrE</t>
  </si>
  <si>
    <t>Presenting at SXSW last weekend was a career highlight for me. Here's a cool recap video:  We had about 100 people in the room who asked great questions about AI search. Seriously, Q&amp;A lasted almost an hour and folks came up to me afterwards saying they took *pages* of notes.   Before the event started, we walked the line outside (yes, there was a line!!) and asked folks to submit their brand for a live AEO audit during the event. Many people bravely volunteered, and we had them come up on stage and talk about their results.  This was seriously one of the most fun events I've spoken at lately. And of course it came after I moved from Austin to NYC so I had to take some gnarly late night flights to make it work 😂  Thanks to our friends at Avenue Z for being great partners: Rachael Zahn - RZ, Tina Fleming, and Jonathan Snow, DMD. Massive thanks to Katherine Underwood for helping coordinate everything and thanks to my friend Stephen Bristol for grabbing lunch with me and ensuring I didn't fly back to NYC without some HEB tortillas in my backpack.</t>
  </si>
  <si>
    <t>Discovered at grid position #1484. Verified Ad Details URL. Format: Video Ad.</t>
  </si>
  <si>
    <t>Do you have your ticket for Zero Click San Francisco?   It's on April 8th in SF and features the most stacked lineup we've had yet:  OpenAI Stripe Figma Expedia Reddit Parallel G2  I can push the magic *approve* button so let me know if you want to go and drop a comment below 😉  Request your spot now → https://lnkd.in/ef2yzNir</t>
  </si>
  <si>
    <t>🚨Are you an agency/consultancy that wants to learn how to win in AEO? Join me and Nigel Stevens (CEO, Founder &amp; Growth Lead) at Organic Growth Marketing Wednesday, March 25th at 1 PM ET. It will be a good one!   Register here: https://lnkd.in/dpXyYdZB</t>
  </si>
  <si>
    <t>Hey %FIRSTNAME%,  I’ve been following %COMPANYNAME% for a while, so I wanted to reach out.  Ramp used Profound to increase AI brand visibility 7X for its Account Payable solution. Other top brands like US Bank, Chime, Indeed, and Zapier also trust Profound to improve their AI visibility so they can get more traffic, leads, and customers.  Get your free AI Search Report for %COMPANYNAME%. See where you stand and what to do about it.</t>
  </si>
  <si>
    <t>We're three weeks out.  Zero Click by Profound is our global conference dedicated to AI Marketing and the future of AI Search.  Headliners from Stripe, OpenAI, Reddit, Figma, Expedia, Parallel, Webflow, iPullRank, G2 and more.  Spots are limited, request yours today https://lnkd.in/eDdj8WrE  See you in SF 🌉</t>
  </si>
  <si>
    <t>Hey %FIRSTNAME%,  I’ve been following %COMPANYNAME% for a while, so I wanted to reach out. Profound helps SEO leaders and professionals improve AI visibility, which translates into more traffic, leads, and customers.  Top brands like US Bank, Chime, Indeed, and Zapier trust us to help them grow.  Get your free AI Search Report for %COMPANYNAME%. See where you stand and what to do about it.</t>
  </si>
  <si>
    <t>Hey %FIRSTNAME%,  Does %COMPANYNAME% get mentioned by ChatGPT, Gemini, Claude, and other leading answer engines?  Top brands like US Bank, Chime, Indeed, and Zapier trust Profound to improve their AI visibility so they can get more traffic, leads, and customers.  Book a free AEO audit for %COMPANYNAME% and we'll show you exactly where you rank in AI search, what's costing you visibility, and how to fix it.</t>
  </si>
  <si>
    <t>April 8, 2026 San Francisco</t>
  </si>
  <si>
    <t>Hey %FIRSTNAME%,  I’ve been following %COMPANYNAME% for a while, so I wanted to reach out.  Top agencies use Profound to improve their clients’ AI visibility so they can get more traffic, leads, and customers.  Capture more traffic for your clients through AI search with Profound.</t>
  </si>
  <si>
    <t>Are you a senior executive looking for leadership roles on a part-time or fractional basis?   oolu was built specifically for executive-level leaders who are looking for roles that are contract or part-time.   oolu becomes your sales and admin engine, as it handles everything from client introductions to contracts and billing.   It's free to join. There are roles waiting. Try oolu today.</t>
  </si>
  <si>
    <t>I'm honoured for Profound to be named G2's Best AI Software Products of 2026, putting up alongside ChatGPT, Gemini, ElevenLabs, Notion, and Lovable.  We still have a lot to built, but this is extra validation.</t>
  </si>
  <si>
    <t>If you're an executive leader looking for contract or part-time roles, you need to try oolu.  oolu helps seasoned executive leaders find fractional roles while also handling contracts and billing. All from one easy to use platform.   It's free to join. Try oolu today. You can onboard in just a few minutes.</t>
  </si>
  <si>
    <t>If you're leading search, content, or growth strategy in 2026, this is your event. Zero Click SF. April 8 in San Francisco. Free to attend. Request your spot.</t>
  </si>
  <si>
    <t>Proprietary AI Search research. Real practitioner playbooks. Speakers from OpenAI, Stripe, and Figma. Zero Click SF, April 8. Free to attend. Request your spot.</t>
  </si>
  <si>
    <t>If you’re already running a successful e-commerce brand, you’re perfectly positioned to capture a share of one of the highest repeat-purchase categories in e-commerce: Dietary Supplements.  Most supplement startups fail because they lack capital, experience, or distribution.  What you need is the right market-driven supplement formula that stands out.  With 16 years in the supplement industry — including time with AG1 and GNC — I help established founders develop differentiated, market-ready supplements designed to dominate their niche.  If this sounds like you - lets talk.</t>
  </si>
  <si>
    <t>Hey %FIRSTNAME%,  Profound is hosting an exclusive gathering for the world's top AI Search experts in SF on April 8th. We have a few spots left, would you or someone from your team like to go?  The event is free and features speakers from OpenAI, Stripe, Expedia, Reddit, Figma, and Webflow.  Let me know and I can put you on the list!</t>
  </si>
  <si>
    <t>OpenAI. Stripe. Figma. Reddit. Expedia. Webflow. One stage. Zero Click SF brings top AI Search minds to San Francisco on April 8. Plus, it's free. Request your spot now.</t>
  </si>
  <si>
    <t>I’m coming up on a year working at Profound. Here are the top ten things I’ve learned as the first marketer.  1. Ask yourself “what can I ship in the next hour?” Then, use AI to speed up your workflows and outputs. The social proof on our Contact Sales page was something I built in Cursor during my first week here.   2. Be an expert in your product and maintain your knowledge as the product evolves (Profound has SO many more features now than when I started)  3. Every marketer who sells to marketers should spend a few weeks as a seller. Take demo calls, talk to prospects, close deals. See where your messaging is landing or missing, you'll get no better feedback. (I did this for about 4 weeks)  4. Events are still one of the best ways to build real relationships with customers. Go bigger than you think! (Request your spot for Zero Click 2026 here https://lnkd.in/gfJ3jbaD)  5. Spend hours every week using your own product. You notice things immediately that you’d otherwise miss.  6. Being the first marketer at a rocketship like Profound requires INSANE confidence in yourself. Be ready for hard work, long hours, and the massive sense of relief when you get someone like Trevor Pyle to back you up.   7. Hiring is everyone’s job. Source your own candidates. Slide into everyone's DMs.   8. Output &gt;&gt;&gt;&gt; Title  9. The best companies are built by people who actually care about what they’re building. Everyone at Profound knows what a privilege it is to be here right now. We don't take any of this for granted.   10. This will be a generational business and I'm honored to be part of it.   ---- Photo from my first week at Profound in our old office when we were ~20 people.</t>
  </si>
  <si>
    <t>Aura should be a marketing KPI (hear me out on this).  I've spent most of my career in performance marketing. I am the measurement king.  But I also know that good brand marketing has an unmeasurable halo effect on everything else.   Good brand campaigns make my paid campaigns better.   Good brand campaigns help with recruiting and hiring (every candidate is mentioning our subway ads right now)  Good brand campaigns create an aura around the company, the culture, and the product.   If you're in New York, stop by Union Square station and walk around to see the incredible work that Semal Khalil designed and that Garrett Gomez, Karina Popovich, and Trevor Pyle helped bring to life.  They'll only be up for a few more weeks so snap a photo while you can :)</t>
  </si>
  <si>
    <t>Sophie Piacentini  Hey %FIRSTNAME%,  Does %COMPANYNAME% get mentioned by ChatGPT, Gemini, Claude, and other leading answer engines? Profound helps SEO leaders and professionals improve AI visibility, which translates into more traffic, leads, and customers.  Top brands like US Bank, Chime, Indeed, and Zapier trust us to help them grow.  Book a free AEO audit for %COMPANYNAME% and we'll show you exactly where you rank in AI search, what's costing you visibility, and how to fix it.</t>
  </si>
  <si>
    <t>It's finally here 🤩  The thing all of you have been waiting for in the past year (right, riiiight??)  No, for real. If you're doing LinkedIn ads in any shape or form, and/or you're in B2B, this is a must-have piece of content.  Dreamdata's Benchmark Report 2026.  Dreamdata sits with sooooo much gold and they're once again sharing it for free for you to benefit 👏  And I'm really excited and happy to be sharing a few of my own thoughts to LinkedIn ads in the report as well.  A few key highlights: * 81% of the B2B customer journey happens outside of the sales pipeline * LinkedIn now takes up 41% of digital ad budgets in B2B * The average number of channels, stakeholders and touchpoints involved in a B2B deal compared to the year before   This is one of those whitepapers where you'll actually sit back with truly relevant new knowledge after you've read it (so what are you waiting for?)  You can find and download the full report here 👉 https://lnkd.in/eQ5tJEz4  Let's get it! 💪</t>
  </si>
  <si>
    <t>Today, we announce the most incredible lineup for Zero Click SF 2026 on April 8th.  Zero Click by Profound is the global conference dedicated to AI Marketing and the future of AI Search.  • Jeff Titterton, Chief Marketing Officer at Stripe • Asad Awan, Monetization at OpenAI • Parag Agrawal, Founder at Parallel (Ex-Twitter CEO) • Dave Steer, Chief Marketing Officer at Webflow • Reema Batta, VP, Marketing at Figma • Michael King, Founder &amp; CEO at iPullRank • Daniel Shin Un Kang, Head, Organic &amp; Agentic Search at Expedia • Rob Gaige, Global Head, Insights at Reddit  A couple more guests being announced shortly too.  Tickets are free, but very limited. Apply for your spot → https://lnkd.in/ggTM5F5S</t>
  </si>
  <si>
    <t>As a certified LinkedIn Guy™️, it’s super validating to see how often LI posts are cited in answer engines.   I was at a networking event this morning in the city and multiple people said that LinkedIn is the only social media they regularly consume these days (myself included).    I’ve been posting here for years and if you scroll my post history back for years then you can get a surprisingly good understanding of me as a person and the evolution of my career.   Thanks to Axios  for covering our new research on how often LinkedIn is cited! Great job on this Layla Baradaran and Davis McCain  Brandon P.</t>
  </si>
  <si>
    <t>New in Profound Agents: Gamma integration.  Automatically create AI-generated presentations with Gamma directly with your marketing agents.  Link in comments for more info on the integration</t>
  </si>
  <si>
    <t>Sophie Piacentini  Hey %FIRSTNAME%,  I’ve been following %COMPANYNAME% for a while, so I wanted to reach out. Profound helps SEO leaders and professionals improve AI visibility, which translates into more traffic, leads, and customers.  Top brands like US Bank, Chime, Indeed, and Zapier trust us to help them grow.  Get your free AI Search Report for %COMPANYNAME%. See where you stand and what to do about it.</t>
  </si>
  <si>
    <t>marketing for the ai era.</t>
  </si>
  <si>
    <t>New research from Profound:  LinkedIn has gone from #11 to #5 on ChatGPT's most-cited domains in three months -- the largest shift in domain authority we've tracked this year.  Answer Engines are pulling more heavily from published content on the platform: posts, articles, and newsletters.   Read the full research about LinkedIn for Marketing - shoutout Davis McCain and Brandon P.: https://lnkd.in/e3Vm_yzZ</t>
  </si>
  <si>
    <t>If you told me just 7 months ago when I joined Profound that I'd be filming a video about how the most innovative marketers on the planet are using Agents in Profound to do their jobs 10x faster and better I'm not sure I would've believed it.   (James Cadwallader and Dylan Babbs definitely would have)  Our customers have pushed us in unbelievable ways.  I can't wait to share more on what our incredible product, engineering, data science, and design team is building and how marketers are elevating their brands in new ways with it.  If you're a marketer and want to learn more -&gt; please reach out / let me know what you think in the comments  If you're interested in joining the Profound team, please let me know as we're hiring across the board.</t>
  </si>
  <si>
    <t>You may have already heard some news... but super excited to announce that Profound raised $96M at a $1B valuation to build a marketing platform for the era of AI.   Incredibly proud of this team and the work that got us here.  Now back to work.   https://lnkd.in/eMuZPVaa</t>
  </si>
  <si>
    <t>I pulled 667k ChatGPT conversations from our database to figure out when the model actually searches versus just answering from training. Segmented by intent, here's what came back:  - Commercial queries: 53.5% web search rate - Informational queries: 18.7% web search rate - Generative queries: 8.9% web search rate  Overall: 17.4% web search rate  Most teams I talk to are already prioritizing commercial prompts, so this confirms that instinct. But now you have an actual ratio to work with: roughly 3:1 toward commercial makes sense given what's actually winnable.  Here's what I mean by winnable: I think of web search % as the size of the arena. It's the percentage of queries where your content can even step into the ring. Outside that percentage, the model answers from training data alone, with no chance to influence it in real time.  But I keep staring at that 18.7% informational web search % because I don't think it stays there.  Browsing is exponentially cheaper than inference: you can run hundreds of web searches for the compute cost of one GPT-5.2 response. At the same time, every major model provider is compute-bottlenecked and also bleeding money. The obvious move they can make is towards smaller models paired with more retrieval, let the web do the work (which will look something like Google AI Overviews imo).  OAI is not launching commerce and tool features because they're bored. They're building toward lean models that orchestrate retrieval rather than brute-forcing answers from 1.7 trillion parameters.  If we’re watching the lowest retrieval rates this industry will ever see, what does using an answer engine look like a year from now? 👀</t>
  </si>
  <si>
    <t>The way we use the internet is about to completely change  I've been watching this shift for months.  AI chatbots like ChatGPT and Perplexity now handle over 5% of all US desktop search traffic. A year ago, that number was 1.3% (384% YoY growth)  This is a complete platform shift  We're moving from just SEO (search engine optimization) to AEO (AI engine optimization), and most marketers are left wondering what to do  Engineers have Cursor Designers have Figma Marketers now have Profound  Profound just raised $96M (Series C)  They work with companies like Figma, US Bank, MongoDB, and Chime - helping them show up when people ask AI for recommendations  Consider this: When someone asks ChatGPT "what's the best CRM for startups," your brand either shows up or it doesn't…. There is no page 2 to rank on  Profound tracks how your brand appears across ChatGPT, Perplexity, Gemini, Grok, then helps you create content that these bots actually understand and cite  They provide an army of autonomous workers that collaborate with every function of your marketing team, from AEO/SEO and content teams to PR, Comms, and Demand Gen   For the first time ever, marketers are creating content for bots, not humans  WILD that this exists now.  Check it out: https://lnkd.in/eYVJ3Fu8  #ProfoundPartner</t>
  </si>
  <si>
    <t>🔎 The team at Profound just published new research on one of the biggest questions in AEO right now: - A popular theory has emerged across some SEO and GEO communities: if you want your content to show up more in ChatGPT, Perplexity, and other AI tools, serve Markdown instead of HTML to their crawlers.   - The logic seems sound, Markdown is cleaner, more structured, easier for LLMs to parse. Several high-profile sites reported gains after implementing the switch.  - But most of these stories have been anecdotal.  - So we decided to run a thorough, controlled test (link in comments below)  TL;DR: We A/B tested 381 pages across six sites. Markdown pages saw ~1 extra median bot visit over three weeks. Not nothing, but not the game-changer some have hypothesized. Huge shoutout to Brandon P. for this incredible work.</t>
  </si>
  <si>
    <t>Shopify powers a massive share of D2C e-commerce. And until now, every one of those brands has been locked out of understanding how AI Agents discover and recommend their products.  The reason is technical but simple: Agent Analytics requires server log access. Shopify doesn't expose server logs to merchants. Full stop.  We've been hearing this from brands for over a year. "We see ChatGPT driving revenue. We can see it in our attribution. But we can't see what's actually happening on the AI side."  Now they can.  With partners like Nostra AI, whose edge infrastructure sits in front of 300+ Shopify stores, we've unlocked full Agent Analytics for Shopify brands.  Omnilux, the world leader in medical-grade LED light therapy, was the first brand to go live. Their team had spent weeks trying to configure the integration manually through Cloudflare. With Profound and Nostra working together, it took 98 seconds. Zero engineering effort from the brand.  Since working with Profound, Omnilux has seen their LLM-attributed revenue grow from ~1% to 3% of total revenue, and climbing.  Shopify is rolling out agentic shopping. AI Agents are going to browse, compare, and buy on behalf of consumers. The brands that understand how those agents see them today will have a massive advantage tomorrow.  If you're a Shopify brand and you've been wondering what AI Search means for your business, you now have the answer.  Link to the full case study in comments.</t>
  </si>
  <si>
    <t>When we created Profound 18 months ago, we watched customers take our data and insights and then jump to separate tools to act on it. So we made the full suite in-house. Now you can do everything in one platform with Profound Agents.</t>
  </si>
  <si>
    <t>I put together a 2,600+ word AEO guide covering everything I've learned about making your brand visible to AI. Here's what's inside:   → How AI decides which brands to cite (based on 700K+ ChatGPT conversations analyzed by Profound)  → The 5-step AEO playbook: Analyze, Create, Distribute, Measure, Iterate  → A full technical checklist: llms.txt, schema markup, AI crawler access  → A 90-day adoption roadmap with week-by-week action items  → A copy-paste Claude prompt that scores any page's "AI citability" on a 35-point scale   Want the full guide?   1. Comment "AEO guide" below.  2. Send me a connection request  I'll DM it to you!</t>
  </si>
  <si>
    <t>I just tracked Reddit citations across 100M+ ChatGPT responses, I found that Reddit is massively competitive and it's not going away:  Reddit (currently in 2nd place) is sitting at 3.3% of all ChatGPT citations while Wikipedia (currently 1st) is at 3.9%. That’s only a 0.6% gap.   Six months ago, Wikipedia was at 11% and Reddit was barely visible at 1%.  The crossover happened in August when both sources hit 5.6%. Since then, both dropped (part of that broader citation adjustment everyone saw), but Reddit held up much better than Wikipedia did.  My big takeaway here:   Reddit will be permanent in AI search because it represents its own class of information. It's the human layer: what people actually think about products. Your site has the official specs and features. Reddit has the discussions, comparisons, and actual user experiences. ChatGPT needs both.  This is why there's no cannibalization risk between Reddit and brand websites. (And why spamming Reddit with promotional content is pointless: OpenAI uses Reddit specifically because it's where people share real experiences)  The citation mix can change overnight, we've watched it happen with Reddit 3 times this year. But Reddit's role is fundamentally locked in: how ChatGPT understands what humans actually think. Reddit changes when OAI under/overweights on the human side.  So, if Reddit overtakes Wikipedia before year-end, what does that mean for how we think about AI visibility strategy? 👀  Btw, this convergence is just one piece of what we discovered in our full research piece we created in collaboration with Reddit, Inc. (Link in the comments!)</t>
  </si>
  <si>
    <t>You heard it first on TBPN: Profound now supports more than 10% of the F500, helping thousands of marketers understand and control how AI talks about their brand.</t>
  </si>
  <si>
    <t>Incredibly excited to announce our annual conference, Zero Click by Profound 2026, kicks off in San Francisco on April 8, then returns to our home base in New York on June 11.  - The world’s leading conference on AI Marketing and AI Search. - Leaders from brands like Reddit, Inc., Figma, Gamma, Expedia, Ramp, PartnerStack, U.S. Bank and G2.  More headliners dropping soon.   You won't want to miss this one.   Zero Click 2026 📍San Francisco: April 8  📍New York: June 11  Request your spot → tryprofound.com/zeroclick  PS: We are giving away 5 guaranteed spots to people who comment below with “Zero Click”</t>
  </si>
  <si>
    <t>It's time for Zero Click Round 3 and 4!  Incredibly excited to announce our in-person conference, Zero Click by Profound 2026, is back for TWO more sessions: San Francisco on April 8th and New York on June 11th.  - The world’s leading conference on AI Marketing and AI Search. - Leaders from brands like Reddit, Inc., Figma, Gamma, Expedia Group, Ramp, PartnerStack, U.S. Bank and G2. More headliners dropping soon.   You won't want to miss these.  🌁 San Francisco: April 8 🗽 New York: June 11  Request your spot in the link in the comments</t>
  </si>
  <si>
    <t>We’ve raised $96M in Series C funding at a $1B valuation, led by Lightspeed.  Grateful to our team, customers, and investors for their trust and partnership over the past 18 months.  We're excited for the next chapter of our journey: building AI agents for marketers.</t>
  </si>
  <si>
    <t>LinkedIn ads have a reputation for being pricey.  But when you think about it, what does pricey even mean and do you have the right context?  Because, when you're only factoring in regular CPM, then yes, LinkedIn can come out more "expensive" than the likes of Meta, X etc.  However, what most don't think about are the price per 1.000 qualified/ICP impressions, which in many cases are cheaper here compared to other platforms.  Additionally, when you're showing up on LinkedIn you know people are already in the right mindset. People come here for learning and inspiration on things related to their professional life and it's such a huge difference to anywhere else.  So yes, LinkedIn can be "expensive" if you just use it to show ads to everyone, but cost-effective if you focus on who matters most.  And even if you were to show ads to a broad selection of people, they'd still be in the right mindset for you to influence them more easily.  Let's get it! 💪</t>
  </si>
  <si>
    <t>We’ve raised $96M in Series C funding at a $1B valuation, led by Lightspeed alongside Sequoia Capital, Kleiner Perkins, Evantic Capital, Saga Ventures and South Park Commons.   Grateful to our team, customers, and investors for their trust and partnership over the past 18 months.  We're excited for the next chapter of our journey: building AI Agents for marketers.</t>
  </si>
  <si>
    <t>Why is your organization running its community engagement program?   Is it because of:   - A new leader with a new vision?   - A regulatory requirement?  - A decision around brand positioning?   - A strategy to grow into a new market?   Or something else? The best community engagement programs start with the community in mind.   And the most effective programs have structure and core business integration.   Read on to learn how to break free from disconnected tactics and frustrating results:   https://lnkd.in/dZczuvu2</t>
  </si>
  <si>
    <t>100× increase in AI-driven revenue.  Watch how GR0 is using Profound to turn AI Search into a scalable, revenue-driving channel for their clients, from F500 to emerging DTC brands.  🎥 ft. Kevin Miller, Co-founder &amp; CEO, and Angela Bergmann, Director, SEO &amp; AI Search at Gr0.  Full case study coming soon.</t>
  </si>
  <si>
    <t>We have 91 open positions at Profound  https://lnkd.in/ekF4k6Wy</t>
  </si>
  <si>
    <t>Most manufacturing improvements increase activity—but not profitability.  In this live leadership session, learn how successful Indian manufacturers align sales, operations, inventory, and cash flow to scale profitably.  Led by Imran Shaikh (Ex-CXO, Business Consultant &amp; Board Advisor), this session focuses on what to fix first to regain control and predictability.  🗓 14th March | Zoom Live 💰 Entry fee: ₹199</t>
  </si>
  <si>
    <t>You're going to see Profound alot today. They just raised $96M at a $1B valuation. Your founder might even ask you about AEO (again) after they see the news. And rightfully so.  A lot of marketers have been crossing their fingers on AI visibility, delaying buying a product to help, or looking at analytics here but taking no action.  The reason investors are betting big on this space is that a lot of things are converging right now: → Discovery is moving beyond search engines, but many teams are still crossing their fingers on AI visibility  → Your website will matter less and less to humans and more and more to LLMs; they're the new front door to discovering and buying products → You need to move at AI speed now, especially on manual work. Agents are how you get there.  Profound sits at the center of all of this. And 10% of the Fortune 500 already use it, from Figma, to Walmart and U.S. Bank.  The raise also comes on the same day they launch agents (not a coincidence). This is the next chapter for AEO. You don't just need to be looking at this data. You need to be building for it.  Agents let you take action on what's next right from the tool. No more "here's a bunch of stats, now what?"  I'm bullish on Profound.  I use it, I recommend it to my advisees, and I'm excited to start building out agents...more to come on what I build.  #profoundpartner, customer &amp; fan.  Register for their agents Webinar on Wed March 4 here: https://lnkd.in/gUGmy45Y</t>
  </si>
  <si>
    <t>Profound Agents continue to get more powerful with additional integrations being added everyday. Today we're pleased to announce our integration and with Contentful, one of the leading industry headless content management systems.  Available in Profound Agents for all Enterprise users: create, update, get, list all of your content.  Congrats to Rohan J. on this ship - he put this together at fractal speed. Stay tuned for what's coming next.  Link to learn more in the comments</t>
  </si>
  <si>
    <t>The technology exists. The ROI is proven. So why aren't more IBM i organizations adopting agentic coding? It's not a technology problem...it's an organizational one.  The most common barriers we see: 🚧 Leadership doesn't understand the difference between agentic AI and traditional automation 🚧 Teams fear AI will replace jobs instead of amplifying capabilities 🚧 Budget holders see "AI" and assume massive infrastructure investments 🚧 IT is buried in maintenance work with no bandwidth for evaluation  The gap between IBM i organizations thriving with AI and those struggling isn't technical capability. It's organizational readiness.   Learn how to overcome organizational resistance to agentic coding → https://lnkd.in/e3GvdiFk   #AgenticCoding #ChangeManagement #ProfoundLogic #Futurization #AIAdoption #ITLeadership</t>
  </si>
  <si>
    <t>Profound 🤝 Calendly   Proud to partner with a company transforming how the world schedules.  "Helping our customers protect their time, monetize their expertise, and strengthen their relationships is core to how we're building Calendly. Profound helps us understand how people are researching these business solutions through AI, so we can show up with helpful content at the moment someone is looking for answers." Krista Sohmer, Website Strategy Lead at Calendly.  Thank you for your partnership, Krista Sohmer and Calendly team.</t>
  </si>
  <si>
    <t>Excited to share our partnership with CRS Credit API, the all-in-one platform for credit data, fraud, and compliance, powering thousands of fintechs, lenders, and screening providers.  As inbound growth from paid advertising slowed, CRS saw demand shifting to Answer Engines like ChatGPT and Grok. With AEO being new territory, they needed a partner to provide prescriptive guidance and translate data into action.  CRS and Profound built a repeatable content system using Answer Engine Insights to surface high-impact opportunities. The result: 20× increase in AI search visibility and 15%+ pipeline lift from AI-driven traffic.  “Profound isn’t just giving us a dashboard to monitor: we’re getting strategic counsel on how to adapt as answer engines evolve and how to optimize our content for LLMs,” said Ronak Patel, Head of Marketing at CRS Credit API.  We’re proud to partner with the CRS team as they move quickly and push the boundaries of discoverability in a zero-click internet.</t>
  </si>
  <si>
    <t>Sophie Piacentini  Hey %FIRSTNAME%,  I’ve been following %COMPANYNAME% for a while, so I wanted to reach out.  Ramp used Profound to increase AI brand visibility 7X for its Account Payable solution. Other top brands like US Bank, Chime, Indeed, and Zapier also trust Profound to improve their AI visibility so they can get more traffic, leads, and customers.  Get your free AI Search Report for %COMPANYNAME%. See where you stand and what to do about it.</t>
  </si>
  <si>
    <t>Why is your organization running its community engagement program?   Is it:   - A new leader with a new vision?   - A regulatory requirement?  - Brand positioning?   - A growth strategy?   Or something else? The best community engagement programs start with the community in mind.   And the most effective programs have structure and integration - they aren't just delegated into a small team's role.   Read on to learn how to break free from disconnected tactics and frustrating results:   https://lnkd.in/gQ5cJ5rz</t>
  </si>
  <si>
    <t>🚢 Big ship today as part of Profound Agents: Knowledge Bases.  AI agents are powerful for marketing teams. But without the right context, they can confidently get your brand completely wrong.  A Knowledge Base gives your agents a single source of truth for your brand. Upload your style guides, product specs, blogs, compliance docs, webpages, or even your full sitemap. From that point on, every agent can reference the same accurate, up to date context before taking action.  Fortune 500 teams are using Profound Knowledge Bases to: 1. Protect brand voice and messaging 2. Monitor and correct misinformation in AI search results 3. Verify generative content before it hits their CMS 4. Automatically enforce compliance and required disclaimers  If you are building agentic workflows for marketing, context is not optional. It is the difference between scale and chaos.  Live for all enterprise customers starting today. Shoutout to the killer team for this launch: Joshua Prunty and Edgar Ambartsoumian.  More details in blog linked in comments.</t>
  </si>
  <si>
    <t>Thank you to Allison Smith at Modern Retail for including Profound in your coverage of how Amazon sellers are adapting SEO strategies for AI Search.  Josh Blyskal shares how Profound is helping our brand partners increase traffic and drive meaningful revenue growth in AI-powered shopping experiences.  Read the piece in the comments👇</t>
  </si>
  <si>
    <t>You're successful and growing. But you don't have a senior HR team to properly process executive leadership hiring. That's where we come in.   We've helped hundreds of mid-market companies in this exact situation, bringing best-practice methods, senior insights, and a robust network to the table to deliver exceptional candidates.  Let's find your next leader.   Connect with us at beprofound@profoundtalent.com</t>
  </si>
  <si>
    <t>I joined Riding Unicorns to talk about what I believe is the biggest shift since the birth of the internet.  Search is no longer about humans clicking links... It’s about AI agents deciding what gets surfaced.  In the episode, we cover: - Why AI visibility ≠ SEO - How user agents change discovery and competition - What advertising inside AI Search will look like - Why SEO teams will become the heroes of marketing  We also talk about building Profound from first principles and why this is the last company I’ll ever build.  Give it a listen and comment your biggest takeaway.</t>
  </si>
  <si>
    <t>At Profound, we’re honored to partner with Charlotte Tilbury Beauty, an iconic global beauty brand setting the standard for AI Search.  Great to see Cosmetics Business spotlight how Charlotte Tilbury is winning in this new era of discovery.  “At Charlotte Tilbury, our website is more than just a shop, it’s a destination for beauty expertise. Profound enables us to build authoritative content at scale, generating strategic briefs that ensure when someone asks AI for beauty advice, Charlotte Tilbury is the trusted answer,” said Kishan Pattni, Director, AI &amp; Data.  Proud to partner with a team that’s redefining how brands earn trust and visibility when consumers turn to AI for answers.  https://lnkd.in/eR-TpWJU</t>
  </si>
  <si>
    <t>Every social platform has a different citation pattern in ChatGPT. Profound analyzed 238,637 social media citations from ChatGPT and broke down the top cited content type per platform.  Outside of Reddit, the results are not what most people would expect: 👉 Reddit: Discussion threads (99.2%) 👉 YouTube: Channel pages (64.9%) 👉 LinkedIn: Personal profiles (46.9%) 👉 Instagram: Reels (36.5%)  YouTube is the one that surprised me most. ChatGPT cites channel pages 65% of the time. Individual videos? Just 2.3%. It's citing creators as authorities, not specific content.   LinkedIn citations go to people, not companies. Personal profiles get cited at more than double the rate of company pages. If your AI visibility strategy on LinkedIn is running through your brand page...sorry. It's probably not your decision anyway.    Instagram is the only platform with no dominant format. Reels edge out profiles and posts, but just barely. It's genuinely balanced, which actually makes it the most resilient across different AI models.  Here's what I think this means strategically:  You can't run one social playbook for AI visibility. Each platform has a completely different citation pattern:   Reddit = the thread.   YouTube = the creator.   LinkedIn = the person.   Instagram = the post.</t>
  </si>
  <si>
    <t>Want to pile on here because we've been seeing the exact same thing.  I presented this data at TechSEO Connect in early December: listicles were already sliding as a citation source in AI search.  Blogs/opinion: increased from 23% to 34.2% of AI citations Listicles: dropped from 35% to 27.3% of all AI citations  Blogs are now the top cited content category, listicles aren't.  What Lily Ray has been surfacing from the Google side lines up perfectly. Self-promotional listicles are getting repriced in traditional search AND AI search. Same direction and story.  This is a case of a single strategy carrying too much weight.</t>
  </si>
  <si>
    <t>Discovered at grid position #1695. Verified Ad Details URL. Format: Single Image Ad.</t>
  </si>
  <si>
    <t>Discovered at grid position #1696. Verified Ad Details URL. Format: Single Image Ad.</t>
  </si>
  <si>
    <t>Ran from Feb 12, 2026 to Apr 13, 2026</t>
  </si>
  <si>
    <t>Discovered at grid position #1697. Verified Ad Details URL. Format: Single Image Ad.</t>
  </si>
  <si>
    <t>Discovered at grid position #1698. Verified Ad Details URL. Format: Single Image Ad.</t>
  </si>
  <si>
    <t>Discovered at grid position #1699. Verified Ad Details URL. Format: Single Image Ad.</t>
  </si>
  <si>
    <t>Discovered at grid position #1700. Verified Ad Details URL. Format: Single Image Ad.</t>
  </si>
  <si>
    <t>You can now produce incredible marketing with Agents at Profound!  New Ship from the team 🚢 :  Below is a peak into Profound Data nodes, which the best teams are using to infuse AI visibility and citation data into content that increases visibility for their brands, products, and services.  If you'd like a personal demo please reach out in the comments or DMs and I’ll get it set up.</t>
  </si>
  <si>
    <t>Only 2.6% of earned media citations in AI search come from Tier 1 publications. I pulled from a dataset of 27 million citations across ChatGPT, Gemini, AI Overviews, Perplexity, Copilot, and Claude to figure out where they're actually coming from:  - 2.6%: Tier 1 media (AP, Bloomberg, etc.) - 97.4%: everything else in earned media  That 97.4% is trade publications, niche industry blogs, specialist review sites, regional outlets, vertical-specific media. This is where answer engines are actually pulling their citations at scale, and at n=27 million, the signal is clear.  The prevailing playbook in comms right now is: get into Tier 1 outlets, win AI visibility and brands are focusing accordingly. But the data says that entire strategy is optimizing for roughly 3% of their earned media citation surface area. That's a lot of budget aimed at a very small target.  Here's what I think is actually going on (and let me know your thoughts below):  1. Tier 1 publishers have spent the last two years aggressively blocking AI crawlers, filing lawsuits, and negotiating licensing deals. A large part of me thinks the system is working as they intended: they don't want to be cited.  2. Answer engines don't reason in media tiers. When ChatGPT is resolving "best ERP system for mid-market manufacturers," it's completely indifferent to whether the source is the Wall Street Journal or a specialist manufacturing technology blog.  And this is where I think the real shift is, one that goes way beyond "focus more on niche publications":  For 50+ years, Tier 1 media has bundled two functions together: Discovery + Validation  Forbes got you found and Forbes made you credible. This data is the first hard evidence I've seen that AI search is unbundling them.  Discovery has moved. It's being routed through niche publications, trade media, specialist review sites, the entire long tail that accounts for 97.4% of citations. That's where AI is going to find the answer to a buyer's question.  But Validation hasn't moved. You still want the Forbes logo on your homepage. You still need the WSJ hit for your Series B deck. Investors, board members, enterprise buyers doing final diligence, they still check Tier 1, that function is intact.  The problem is that most PR budgets are structured around discovery. And if discovery has migrated to publications that cost a fraction of Tier 1 placements, then earned media is fundamentally misaligned right now.  Niche publications are delivering multiples of the AI visibility at a fraction of the cost, and almost nobody is allocating against that because they're still operating on the old bundled model.  I believe the moment niche publishers see their own citation data (and they will soon btw) their standing will increase. Brands that refocus now'll get coverage that quietly earns outsized AI visibility.  What happens to the PR industry's economic model when media is valued by citation impact instead of circulation? 👀</t>
  </si>
  <si>
    <t>The 2026 Profound Autism Summit will feature leaders advancing autism genomics, brain development research, health data science, epilepsy research, and clinical care for individuals with complex support needs.  A serious, inclusive agenda — grounded in science and shaped by lived experience.  🔗 Learn more: https://lnkd.in/eShkN75b  #ProfoundAutism #AutismSummit #InclusiveResearch #AutismCommunity</t>
  </si>
  <si>
    <t>Profound analyzed 700,000+ ChatGPT conversations to understand citation patterns.  Here are our takeaways:   The first question determines everything. Opening questions are 2.5x more likely to generate citations than turn 10. If you’re not cited in the initial response, you’ve already lost.  Wikipedia dominates with citations in 1 out of every 6 conversations. The real question isn’t whether you can beat Wikipedia. It’s whether you’re the brand cited immediately after it.  Citations cluster. ChatGPT cites direct competitors together. Redfin and Zillow appear side by side in 28% of conversations citing either brand. Glassdoor and Indeed co-appear in 29% of their citations.  Your competition isn’t just for visibility. It’s for context proximity to the category leader.  Shout-out to Brandon P. on the research. Read the full analysis in the comments 👇</t>
  </si>
  <si>
    <t>The Profound Agents team has been shipping A TON of new features the past few weeks and I'm so hyped to share what teams are accomplishing with them.  Below is a peak into our Profound Data nodes, which marketers are using to infuse AI visibility and citation data into content that increases visibility for their brands, products, and services.  Stay tuned, over the next few weeks I'm going to be sharing more on the latest of what's coming, but if you'd like a personal demo please reach out in the comments or DMs and we'll get that set up!</t>
  </si>
  <si>
    <t>Thank you Jim Squires (EVP, Marketing &amp; Growth) at Reddit, Inc. for including Profound in “The Secret to Brand Visibility in the LLM Era” piece in ADWEEK.   Great to see our research spotlighted on how credibility, human context, and real engagement influence visibility in AI Search.  Check out the article in the comments 👇️</t>
  </si>
  <si>
    <t>The team has been shipping like crazy in our Profound Agents product (our AI agents tool for Marketers). A big area we've been investing in is integrations for content management systems (CMS) so that you can automatically publish content created in Profound to your owned sites.  Both Sanity and WordPress are now live inside the product. These two integrations are just the beginning... lots more coming soon :)  We're super excited to bring additional functionality to our Agents product to help marketers build and deploy ANYTHING... bringing the power for anyone to be to CREATE.  Shoutout to our excellent Agents team for the ship. Without you all, none of this would be possible. Love you all. Jack Traina, Breno Lasserre, Anwith Telluri, Jacob Goldstein, Rohan J., Joshua Prunty, Kirk Xu, Mikael Sargsyan, Edgar Ambartsoumian, Lucas Romero Di Benedetto, Rahib K.    Link in the comments for more info!</t>
  </si>
  <si>
    <t>People are building Agents with Profound and it is incredible to see. Almost every day, our engineering team ships something new and exciting.   Check out this video from the incredible Garrett Gomez from our team talking through some of the latest:</t>
  </si>
  <si>
    <t>Thank you Rafe Rosner-Uddin and Gregory Meyer at Financial Times for including me in your piece on how agentic AI is reshaping retail.   The future of commerce is agents marketing to agents.  Read the article in the comments 👇</t>
  </si>
  <si>
    <t>Sophie Piacentini  Hey %FIRSTNAME%,  I’ve been following %COMPANYNAME% for a while, so I wanted to reach out.  Top agencies use Profound to improve their clients’ AI visibility so they can get more traffic, leads, and customers.  Capture more traffic for your clients through AI search with Profound.</t>
  </si>
  <si>
    <t>Your business is growing — but profits, cash flow, or execution may not be keeping pace.  Join this FREE Executive Webinar to learn how SME leaders identify profitability leaks, fix execution gaps, and regain control across sales, operations, supply chain, and finance.  👉 Click to register. Limited seats.</t>
  </si>
  <si>
    <t>This clip is a must-watch for anyone in marketing.  I genuinely think most people are still underestimating just how much the internet is about to change…  Sonya Huang’s take that software will switch  from “product led growth” to “agent led growth” is inevitable.  Agents will browse and decide on our behalf. How they interpret your brand, products and services is determined by the content that exists on the open internet (this is quite literally the case today).  Combine this with the recent stat (below in comments) that Google Referral traffic dropped by a third in 2025; and it’s clear that this change is already well underway.  Profound is the platform used by marketing teams globally to understand and control how your products are surfaced by agents.</t>
  </si>
  <si>
    <t>Who’s actually shaping the AI answers about your brand?  Answer Engines pull from media, institutions, and social platforms they favor more.  We just rolled out enhanced Citation Categories in Profound's Answer Engine Insights.  You can now see: • Your domain vs. media, institutional, and social sources • Editorial coverage vs. social mentions • Where competitors are getting cited and you’re not  If you want to influence AI Search, start by understanding what domains already do.</t>
  </si>
  <si>
    <t>Happy 2026! We're back in the office already shipping. Today, we're rolling out Brand Relevant Prompts in Profound's Prompt Volumes.  Keywords tell you what users ask, but not when your brand is actually chosen as the answer. Brand Relevant Prompts highlights the exact prompts where Answer Engines cite your brand or your competitors, helping you understand which prompts drive citations, who you compete with at the answer level, and where opportunities exist when others appear and you do not.  Shoutout to the team for this excellent ship: Joshua Prunty, Ali Vaghar, Ralfi Berk, Gabrielle Gayles, and Dimas T.!  Read more in comments below</t>
  </si>
  <si>
    <t>With the launch of Google UCP, it's pretty clear that AI Agents are now "shopping" your PDPs. In response, Profound just launched the PDP FAQ Generator workflow.   This is a new automation that scrapes your product info, researches real-time search intent and builds AEO-optimized FAQs in seconds.  Marketing is changing, and Profound is the platform that keeps you ahead of the curve.</t>
  </si>
  <si>
    <t>What makes this chart even crazier, is that even personally I’ve found myself starting to use Gemini more often.   ChatGPT is still my day-to-day workhorse - but I find that if I need a really good answer, or am working on something important, I will often run the same prompt through Gemini.  The Gemini response is increasingly beating out ChatGPT too! I say this as a ChatGPT super-user 🤯   Interested to hear if others are experiencing something similar.</t>
  </si>
  <si>
    <t>Marketing teams are using Workflows to fundamentally change how they operate and scale.  "I was delighted when I saw Workflows demoed at Zero Click by Profound's NYC event, and it’s even more exciting to now have it in our hands.  Profound Workflows open up possibilities that enable our SMEs to focus on the innovative work that truly requires human attention," said Fiona Erickson, SEO Lead at MongoDB.   Workflows unifies research, content creation, approvals, publishing, and measurement into one automated, repeatable system built for modern SEO and content teams.  The result: Less time managing tools. More time driving visibility and demand in AI search.</t>
  </si>
  <si>
    <t>Thank you Jason Del Rey at The Aisle for featuring Profound in a deep conversation on the rapidly evolving world of AI visibility and agentic Search.  The discussion explores:  - Why AI visibility is fundamentally different from traditional SEO - How user agents are reshaping discovery, ranking, and competition - What advertising inside AI-powered search and chat interfaces will look like - Why SEO teams are well positioned to lead the next era of marketing - How Profound differentiates as the category rapidly crowds - How Profound avoids “AI slop” by using context-rich, data-driven inputs to produce high-quality AI marketing  As AI becomes the primary interface for discovery, this conversation breaks down what actually matters for brands navigating the shift and where the real signal sits beneath the hype.</t>
  </si>
  <si>
    <t>Expectations around social impact are rising, but too many organizations aren’t set up to meet them.   Efforts fall flat when they rely on goodwill instead of strategy.   The H.O.P.E. Framework brings structure back into the work—helping leaders align their teams and build initiatives that actually endure, and bring ROI and goodwill to your efforts.  Preview the 4-step approach guiding organizations into 2026.</t>
  </si>
  <si>
    <t>The rollout of Profound Workflows over the past 7 days has been very exciting so far. This new toolset gives advanced marketing teams the ability to leverage the rich data in our platform, combine it with external data sources, and create marketing automation at scale. There are hundreds of content builders and automation tools on the market. What makes Profound Workflows different is the integration of our data.  In AI-driven marketing, context is the number one input that determines quality.  The marketing team at MongoDB is widely regarded as one of the most sophisticated in the world, so naturally, we were keen to get Fiona Erickson, (SEO Lead @ MongoDB), hands-on with early beta access. It has been incredibly exciting to see how Fiona and team are already using Profound Workflows, even at such an early stage, to do genuinely impressive work.  Profound Workflows is about to improve 100x as we roll out hundreds of new ideas, integrations, and mini-features, so expect more updates like this.  It's truly an honour to work with our customers to build the future of marketing technology together.</t>
  </si>
  <si>
    <t>Today we're introducing the Profound Resource Center.  You can explore all of our resources in one place: white papers, webinars and recordings, upcoming live events and recaps, and articles.  Never miss an update from Profound. Check it out.</t>
  </si>
  <si>
    <t>Thank you Patrick Coffee at The Wall Street Journal for the inclusion in your piece on how AI Search is reshaping, rather than replacing, traditional SEO.</t>
  </si>
  <si>
    <t>Sophie Piacentini  Hey %FIRSTNAME%,  I’ve been following %COMPANYNAME% for a while, so I wanted to reach out.  Top agencies like Edelman, Dentsu, and Wpromote trust Profound to improve their clients’ AI visibility so they can get more traffic, leads, and customers.  Become the agency that helps clients show up in AI answers with Profound.</t>
  </si>
  <si>
    <t>Sophie Piacentini  Hey %FIRSTNAME%,  I’ve been following %COMPANYNAME% for a while, so I wanted to reach out.  Top brands like US Bank, Chime, Indeed, and Zapier trust Profound to improve their AI visibility so they can get more traffic, leads, and customers.  Get a free Answer Engine Optimization (AEO) Report today to see how your brand already ranks in AI search and how to drive more traffic from it.</t>
  </si>
  <si>
    <t>Today, Profound Workflows is available in public beta to all enterprise customers. A few things I believe:  1/ Every company will eventually use AI to create quality marketing 2/ Avoiding 'AI slop' becomes the challenge every marketer faces 3/ Context is the antidote to 'AI slop' - by feeding AI models original data, context, insights you can create high quality marketing at scale  Profound's platform already surfaces incredible data/insights (context), which can now be transformed into quality marketing via Workflows. Combine this with a suite of integrations and our customers now have a complete workbench to create quality content at scale.  Workflows is an incredibly versatile feature set, which beyond content creation can also automate research, reporting, and more. Our private beta customers have built some incredible workflows and I can’t wait to see what others can create.  Join our webinar on Tue Dec 16 at 1pm EST to learn more. Link in comments.</t>
  </si>
  <si>
    <t>A big thank you to all of our customers who helped Profound land as the #1 choice for Answer Engine Optimization (AEO) in the G2 2026 Winter Report.  If you're a brand or agency looking to market yourself to Superintelligence, Profound is the only option that can give you both:  1) advanced analytics on your presence in Answer Engines like ChatGPT, Gemini, and Perplexity 2) automated creation and workflows tools to automatically build content for AI Agents  If you're interested in working together, visit our website to get started.</t>
  </si>
  <si>
    <t>Profound just got named the AEO Leader in G2's Winter 2026 Report.  I'm not going to lie, this one hits different.  A year ago, we were explaining to people what AEO even meant. Six months ago, we were still getting "is this real or just hype?" Now G2 has an entire category for it, and we're leading it.  If I could emphasize one thing, it would be this: that every single data point, every analysis, every piece of content created from workflows came from listening to you, our customers. The analytics suite exists because you genuinely need to understand what's happening in AI search. Workflows exists because once you see the data, you need to be able to act on it to create content that increases your visibility and citations.  The teams using Profound right now are running AEO strategies that are working. They're seeing their brands show up in AI responses while their competitors are less visible. That satisfaction score isn't limited to being about UI or our customer service (though both are good), it's about the fact that this actually moves the needle.  The space is real now, the tools exist, the playbook is getting written; thank you all for being part of this journey...  ...because we're only just getting started together.</t>
  </si>
  <si>
    <t>I thought this was an interesting slide from Josh Blyskal's latest presentation at Tech SEO Connect last week</t>
  </si>
  <si>
    <t>Very excited to share that Profound was just named the AEO Leader in G2’s Winter 2026 Report. Over 140 customers took the time to write detailed reviews about how Profound is helping them navigate the shift to Answer Engines - which really means so much to me and the team. We have so much more to do, so will not over-celebrate this - but I am extremely proud of the team for building something people love and thankful to all our customers who push us every day to build more and ultimately push harder! Onwards.</t>
  </si>
  <si>
    <t>Today, I'm super excited to announce Profound Workflows is available in public beta to all enterprise customers! Workflows is the the automation layer for content operations in the era of AI Search.  Profound has more data on how AI Agents surface brands to consumers than any other platform on earth combined.  With this data, we created playbooks that have helped our 1000+ customers win in AI Search and beyond.  But executing these playbooks was too manual. So we built a way to automate from scratch.   Profound Workflows is the first and only content automation technology for marketers with access to: 1. Prompt volumes from real users 2. An agent analytics platforms that measure how bots are citing your webpages  Combine this with a suite of integrations and marketers now have a complete workbench to continue pushing the bounds of what is possible with their existing resources.  With Profound Workflows, marketers can automate research, reporting, content creation, and more. Our customers have built some incredible workflows during private beta and I can’t wait to see what the rest of our innovative customers build.  This is just the beginning.  To learn more, join our webinar on Tues Dec 16 at 1pm EST to learn more. Link in comments below.</t>
  </si>
  <si>
    <t>Query fanout is alive and well. A recent study we carried out shows how one prompt in AI Answer Engines like ChatGPT will on average trigger 2-3 separate web searches by User Agents. How a website is viewed by the User Agent during this moment will determine if the content is sucked into the answer.</t>
  </si>
  <si>
    <t>More than half of community impact initiatives fail in the first year.   The reason? They are built on goodwill and vague metrics instead of business strategy.  The gap? A strategic framework that bridges corporate objectives with community impact—without the guesswork.  Watch our 30-minute training on the HOPE Framework: the system that turns "nice to have" initiatives into business-critical investments.</t>
  </si>
  <si>
    <t>New launch: ahead of Black Friday, we’re excited to release Shopping Analysis, for marketers who want to understand and control how their products appear in AI Shopping experiences.   Shopping Analysis is now available for retailers, ecommerce leaders, merchandisers, and marketing teams looking to capitalize on the shift to AI-powered commerce.   A big thank you to Trishla Ostwal at ADWEEK  for the exclusive feature and insightful conversation with Trevor Pyle from our team.  Great work team: Sherman Grewal, Joey Loi, Julia Moseyko, Josh Blyskal for pulling this together in record speed ahead of Black Friday coming up!  Link in comments 👇</t>
  </si>
  <si>
    <t>Although it is an honor to be quoted and see Profound mentioned in New York Magazine's latest article called "SEO IS DEAD" - I have to say that I find the spirit of the headline to be totally wrong. Yes, SEO in the literal sense is "dead" to the extent that the three letter acronym no longer applies as consumers shifts away from search engines to AI, but the skillset is more alive than ever. AI Visibility (GEO/AEO) is becoming become board-level critical for every company on the planet, and the folks that have been "doing SEO" for the past 20 years have all of the right muscle groups to help businesses understand and control how they show up  in AI responses - especially, when equipped with bleeding edge technology (like Profound 😉). A hot-take, that I have maintained for a while, is that SEO professionals are arguably positioned to become THE MOST important minds in marketing... *especially, more technical SEO teams*.  Onwards!</t>
  </si>
  <si>
    <t>🚢 Monday ship from Profound: Agent Analytics now integrates with Google Cloud!  This integration brings comprehensive AI observability to GCP's global content delivery network, enabling teams to track and understand how AI crawlers and agents interact with their GCP-hosted content.  Shoutout to the one man army Ian Armstrong for this integration!</t>
  </si>
  <si>
    <t>Announcing Profound’s AEO Brand Audit. A free tool to measure and improve your brand’s visibility in AI answers.  Get a personalized report with: - Visibility Score - Sentiment Analysis - Citation Share - AEO Content Score  If your brand isn’t showing up in ChatGPT, you’re already behind.  We’re giving early access to 100 brands before we launch it publicly.  COMMENT “Profound” to get your free audit today.</t>
  </si>
  <si>
    <t>Are you ready to redefine your limits and achieve what once seemed impossible? Join our free 90-minute MasterClass, "How to Achieve Impossible Goals," led by Turo Founder, Shelby Clark. Discover science-backed strategies and actionable tools that empower you to transform crazy ambitions into reality. Your journey to extraordinary begins here.</t>
  </si>
  <si>
    <t>The recap video of Zero Click London last week honestly gives me chills.  I never fully appreciated how much work goes into an event like this until we started hosting them ourselves. The answer is an insane amount of work, stress, planning, and last-minute pivots that somehow all come together. I gave a shoutout to the team on stage at the event, but this event would not have happened without Layla Baradaran putting in absolute WORK.   We landed not one but two massive events in the back half of this year and that's on top of our standard warp-speed pace of product releases, partnerships, research, and other marketing activities we have going on at all times.   I have a lot to be thankful for this week, but working at a place that puts on events of this caliber is definitely one of them.   Watch the recap below and I'll see you at the next one in 2026 :)</t>
  </si>
  <si>
    <t>Sophie Piacentini  Hey %FIRSTNAME%,  Figma, Chime, and SeatGeek use Profound to improve AI visibility and create content for ChatGPT, helping them get more traffic, leads, and customers.  Get a free Answer Engine Optimization (AEO) Report to see how your brand ranks in AI search and get tailored optimizations so you can drive more traffic and customers too.  Takes less than 5 minutes, no demo call required.</t>
  </si>
  <si>
    <t>Sophie Piacentini  Hey %FIRSTNAME%,  Profound helps agencies like %COMPANYNAME% improve AI visibility for clients, which translates into more traffic, leads, and customers.  Top agencies like Edelman and Wpromote trust us to improve clients’ visibility and traffic in LLMs like ChatGPT, Google AI Overviews, and more.  Turn AI search into your agency’s new growth channel with Profound.</t>
  </si>
  <si>
    <t>Sophie Piacentini  Hey %FIRSTNAME%,  Figma, Chime, and SeatGeek use Profound to improve AI visibility and create content for ChatGPT, helping them get more traffic, leads, and customers.  Get a free Answer Engine Optimization (AEO) Report to see how your brand ranks in AI search plus customized content suggestions so you can drive more traffic and customers too.  No demo call required.</t>
  </si>
  <si>
    <t>Sophie Piacentini  Hey %FIRSTNAME%,  I’ve been following %COMPANYNAME% for a while, so I wanted to reach out.  Top brands use Profound to improve AI visibility, which helps lead to more traffic, leads, and customers.  We’re so confident you’ll find value that I’d like to offer a $100 gift card for you to take a demo of the platform.</t>
  </si>
  <si>
    <t>Your strategic investments require exceptional leadership.   For over 25 years ProFound Talent has helped private equity and venture capital firms find the best leaders, with the expertise and experience to grow revenues.  Let's talk about what you need.  Connect with us today at beprofound@profoundtalent.com</t>
  </si>
  <si>
    <t>🚢 Today’s Ship: empowering every Agency to build and grow inside Profound!  Last month we introduced Agency Mode, and today we’re continuing that investment. We now extend full AEO capabilities to agencies of all sizes, not just the big ones.  We’ve heard from so many small agencies and independent consultants who want to build their own AEO practices on Profound. You can now do exactly that.  Trial Workspaces: to pitch prospects Client Workspaces: to serve ongoing relationships Prompt Volumes: to track key topics and opportunities Unified billing and team dashboards: to keep track usage  Self serve agency mode scales as you do. You can spin up new client or trial workspaces directly from the dashboard completely self-serve w/o having to talk to anyone.  Big props to the team for pulling this one together at record speed: Tyler Benning, Joey Loi, Rahib K., Joshua Prunty, and Gary Fishkin!</t>
  </si>
  <si>
    <t>Engineering at Profound has always been about curiosity and craft. Today, we’re making that thinking public.  When we first started, we had only a few hundred thousand prompts; just enough to glimpse how people use AI to ask, explore, and decide. Fast forward to today: we’re parsing hundreds of millions of conversations each month to understand how people use Answer Engines like ChatGPT, Claude, and Perplexity.  Today, we’re opening up a new chapter to share what we’re learning.  We’re launching the Profound Engineering Blog: a place where our engineers, researchers, and data scientists share the systems and discoveries behind what we build.  Our first piece, written by Ali Vaghar and Siddharth Chandrappa, dives into how people use answer engines: from parsing billions of prompts to building classifiers that mirror OpenAI’s own research. It’s part data science, part product story, and a lot of curiosity.  If you’re interested in how we measure the invisible shifts in generative search behavior, this one’s for you.  Full blog in the comments</t>
  </si>
  <si>
    <t>OpenAI just launched Instant Checkout. I’ve spent an hour in their merchant docs and product feed spec, and I think I see the first play here:  First, the basics: It's live now with Etsy, Shopify's coming soon. If you're on either, you're auto-enrolled. Everyone else has to build a product feed, enable their Stripe-based checkout (ACP), and submit a form.  Now, for the strategy: Everyone's first instinct will be to just map their Google Shopping feed over. I think that's a mistake. After reading the spec, it's clear that this isn't a search index, it's moreso a conversational database.  There are no keyword fields, no custom labels and as a result, your usual shopping query SEO won't work 1:1.  Winning in ChatGPT Shopping at this stage may well come down to data density.  Think about how a user asks a question: "I need waterproof trail running shoes with good cushion for under $150 that will arrive by Friday." ChatGPT isn't matching keywords. It's breaking that query down across structured fields: [product_category], [description], [price], and [delivery_estimate].  The brand that wins is the one that has provided the most complete, accurate data for every single field. [material], [weight], [shipping], [return_window], [product_review_count] in order to capture all possible long tail queries and query fan-outs.  Let's be honest: most brands won't do this. Their product data is a mess and they won't put in the work to fill out every optional field. The attrition will be massive. But that's the entire opportunity. This is a raw informational advantage for the companies willing to do the boring, detailed work of getting their data into the system.  And I think your [description] field (with its 5,000-character limit btw) is now a really potent long-tail battleground. It's the source material for the AI's answer and it needs to be packed with tons of context.  These are the three tactics I'll be watching:  - Aiming for 100% field completion if its relevant, I'd bet every optional field is more chance to answer a question and fulfill a filter. - Treating your [description] like a knowledge base for your product. - Structuring everything to build your data moat: [material], [color], [size], [weight] etc.  At it's core, this strategy is about feeding the e-commerce agent with the most comprehensive data possible, so that when a user describes what they need, your product appropriately shows up and is the only logical answer.  The docs are at https://lnkd.in/eSPNZc7z, so go and build the most detailed feed you can. Happy hunting. 👀</t>
  </si>
  <si>
    <t>This one’s really cool…  Announcing: The Profound Index. (Link to check it out is in comments)  A public leaderboard showing the top 10 most visible brands in ChatGPT across 12 industries - updated weekly.  It’s the largest public dataset of AI Visibility powered by real AI conversations ever published, built to help brands understand how they’re being represented (and discovered) across AI platforms.  Huge congratulations to the incredible team behind this launch - Nick Lafferty, Siddharth Chandrappa, Ali Vaghar, Ralfi Berk, Joshua Prunty, and Semal Khalil.  We’ll be rolling out Power Ranking Cards soon - comment below what industries you’d like to see added next.</t>
  </si>
  <si>
    <t>The best way to ruin a profitable portfolio company is to hire the wrong executive leaders. That's where you benefit from ProFound Talent's 25 years of executive recruitment experience.  Through our global candidate networks, we guarantee that we will find you experienced executive leaders who can preserve and grow value.  Let's talk.  Reach us at beprofound@profoundtalent.com</t>
  </si>
  <si>
    <t>🚨 Introducing AGENCY MODE 🚨 Profound is already powering some of the world’s biggest agencies - helping them deliver AI Visibility insights and shape how their clients appear across ChatGPT, Gemini, Perplexity, Copilot, and more.  Today we’re making that even easier with the introduction of Agency Mode. Agency Mode gives agencies the ability to move faster, win more clients, and deliver AI insights at scale - all from one dashboard.  With Agency Mode, teams can: 1/ Run custom audits for every client 2/ Create and manage brand environments autonomously 3. View usage and manage subscriptions across accounts  It’s everything an agency needs to bring AI Visibility directly into client workflows.  Agency Mode is live on Profound, today. Get in touch at tryprofound.com to get started.  Big shoutout to Gary Fishkin who drove this project from a vague idea into a fully-fleshed solution in less than two weeks.</t>
  </si>
  <si>
    <t>Introducing the Profound Index: a public dataset of the most visible brands in AI search. Refreshed weekly and grounded by our Prompt Volumes data.   The initial idea for the Profound Index was simple: let's track a bunch of prompts per industry and make the results public.  While the idea may have seemed simple, executing it at scale with a defensible methodology all while making it public facing was not easy.  The key challenge in building an AI visibility index is knowing which prompts to track. That's where Profound's dataset of real user prompts becomes critical.  The Index starts with real conversations from Prompt Volumes, collected from millions of users engaging with answer engines like ChatGPT every day, not hypothetical queries or search data. From there, we map the question landscape for each industry, track brand mentions, and calculate visibility scores that update continuously.  For each industry, we identify relevant user questions through a two-step process combining keyword and semantic filtering. Once we've mapped the question landscape, we collect responses daily from ChatGPT and apply Profound's proprietary entity extraction models to identify which brands appear in each response.  We calculate a visibility score based on the percentage of responses where each brand was mentioned. The rankings update continuously as new data flows in each week.  The Index also includes estimated prompt volumes for each cluster, showing not just where you rank, but how much the conversation matters.  This was truly a labor of love and a massive team effort. Major thanks to Sartaj R., Siddharth Chandrappa, Ali Vaghar, Joshua Prunty, Dimas T., Josh Blyskal, and Layla Baradaran who all played significant roles in getting this project over the finish line.  The Profound Index is now live on our website, check it out and drop a comment with what industry we should add next!  Check out the Profound Index here: https://lnkd.in/gbws-2xH</t>
  </si>
  <si>
    <t>Some things are sacred. Like investments. Like profits. And more profits.   That's why PE and VC firms choose ProFound Talent for their executive leadership recruitment.  For over 25 years we have served private equity and venture capital partners, finding them the exceptional among the ordinary.  Let's talk about how we can help you keep the cash flowing.  Connect with us at beprofound@profoundtalent.com</t>
  </si>
  <si>
    <t>Sophie Piacentini  Hey %FIRSTNAME%,  I’ve been following %COMPANYNAME% for a while, so I wanted to reach out.  Top brands like US Bank, Chime, Indeed, and Zapier trust Profound to improve their AI visibility so they can get more traffic, leads, and customers.  We’re so confident you’ll find value that I’d like to offer a $100 gift card for you to take a demo of the platform.</t>
  </si>
  <si>
    <t>We specialize in helping private equity and venture funding firms  resource portfolio companies with exceptional executive leaders.   With over 25 years in executive recruitment, we know that the only thing you want to see broken are new revenue targets.  Reach us today at beprofound@profoundtalent.com</t>
  </si>
  <si>
    <t>I spent some time in the network logs of OpenAI's new Atlas browser, and there’s a fundamental technical shift here that marketers need to understand:  First, the basics: Atlas is a browser where the ChatGPT is the default interface. It's built to answer questions and complete tasks directly, without necessarily sending you to a URL.  Now the strategy: most marketers' first reaction will be that this just means 'fewer clicks.' I think that misses the real story, which you can only see in the logs. The difference isn't just what Atlas returns; it's how it gets the answer.  Classic ChatGPT works like a souped-up search engine. It runs a series queries, scrapes the snippets, and summarizes them. It's entirely dependent on what a search crawler has already indexed.  Atlas is a fundamentally different machine. It's an agent and it can see and interact with everything (even JS). It's executing DOM clicks on size selectors, dismissing modals, and scrolling through dynamic product grid. It's interacting with the live, JavaScript-rendered front end.  But I think this isn't just about Atlas. This is a clear preview of where Google AI Mode is headed, and a peek into the future of the SERP: led by chat with blue links as secondary information. The user adoption of Atlas itself doesn't matter bc this is the beginning of chat-first browsing and 'agent experience' as an entire pillar of the web.  Winning in this new environment will come down to agent readiness:  Think about how Atlas resolves a query like "waterproof trail shoes under $150 delivered by Friday." It isn't sitting around matching keywords, it's executing a task against your live site. If your JavaScript is slow, or your checkout flow is clunky, the agent will fail.  Let's be honest: most brands' front ends are a mess of JavaScript and clunky user flows, many sites will inadvertently block Atlas' bot, and their design is optimized for humans who know how to get around the web, not for an impatient agent. That's the entire opportunity. The advantage goes to the companies who do the unglamorous work of making their sites fast, clean, and scriptable.  These are the strategies I'll be watching:  - Optimizing for agent usability, not just crawler indexability. This is the moment when a fast, scriptable, client-side rendered front end becomes a major competitive advantage. - Treating your website like an API for agents. Every interactive element is a chokepoint that must be fast and reliable. - Doubling down on structured data. Structured data will be the ground truth an agent can use to validate the information it finds on your live site.  At its core, this is about shifting from optimizing for discovery to optimizing for action. The game is no longer just about being found; it's about being usable by an AI.  Atlas is live @chatgpt.com/atlas  Spend an hour looking at how it actually interacts with sites in your vertical.   Happy optimizing 👀</t>
  </si>
  <si>
    <t>There's been a lot of chatting lately about Reddit citations, so I went into our dataset of over 3B+ AI citations to figure out what might be happening and why:  First things first, this citation decrease ONLY happened in ChatGPT. Reddit went from about 7% of citations down to 1%, now increasing to around 3% (more on this recovery in a moment).  The more interesting thing is that NONE of the other models seem to have changed their Reddit citations much over the same timeframe.  There's a lot of discussion going on around the num=100 parameter in Google (which limited bulk search result scraping) and that it might've had an effect on this number, but if it were truly this fundamental shift in web infrastructure causing a shift in how Reddit was picked up, we would expect to see any of the other models cite Reddit less often as well. After all, the scrapers and APIs these models are using for their RAG functionality are in large part built on top of Google SERPS at their origin point.  There's the discussion that these results might've been cached, that we'd soon see other models decrease their Reddit citation shares, but after waiting a month and a half, I'm going to call it and say that the caching hypothesis likely isn't realistic.  So if it's not a technical change or caching, what's really going on?  Here's what I think (and please let me know your thoughts below): this is an example of how relationships and partnerships play a massive role in AI visibility in this era of AEO. It reminds me of this Sinatra quote: "You're riding high in April, shot down in May..." – but it's actually true in AEO, a domain's relationship with AI models *can* change that fast.  Speaking of relationships: as of October 18th, Reddit citations doubled from around 1.5% to 3%. Maybe there's a deal in the works. Nobody could know for certain, but the timing is interesting...  As for what I think marketers should be doing, I don't think we should rush to leave Reddit or start devaluing it as a result. Times are volatile, but Reddit is still the most cited website overall in AI and is still second in ChatGPT, plus it's still got a massive data advantage in UGC. If AI models want to index on what real people say and think, they'll need Reddit, whether they like it or not.  All of this makes me think: how many other partnership-driven visibility changes are we missing while we're all focused on Reddit's changes? 👀</t>
  </si>
  <si>
    <t>We launched Profound 14 months ago as the world's first tool to measure and control your presence in Answer Engines. We primarily focused on driving impact for large enterprise brands like MongoDB, Indeed, U.S. Bank, Docusign, and Zapier.  We’ve since expanded the product to help businesses of all sizes. Whether you’re a seed-stage startup, a family business, or a massive Fortune 500 brand, Profound is here to help.  What’s new Profound is now self-serve - you can sign up instantly! Today, we’re introducing three plans priced for different needs:  - Starter ($99/month): monitor your presence with ChatGPT only.  - Growth ($399/month): additional platforms (Perplexity, Google AI Overviews), and content creation.  - Enterprise (custom pricing): 10 answer engines, SSO, SOC2 compliance, dedicated support.  We'll remain the #1 and only enterprise platform to quantify your AI visibility and orchestrate your content creation flows, but we're excited to also open our platform for businesses of all sizes to use.  Try Profound today. We’re constantly improving, so email me at dylan@tryprofound.com with feedback, bugs, or ideas and we’ll move fast.</t>
  </si>
  <si>
    <t>Prompt selection strategies are the new keyword research.  "𝗛𝗼𝘄 𝗱𝗼 𝘆𝗼𝘂 𝗸𝗻𝗼𝘄 𝘁𝗵𝗲𝘀𝗲 𝗮𝗿𝗲 𝘁𝗵𝗲 𝗯𝗲𝘀𝘁 𝗽𝗿𝗼𝗺𝗽𝘁𝘀 𝘁𝗼 𝘁𝗿𝗮𝗰𝗸?"  When we onboard brands into Profound, this is one of the most common questions we get from clients about prompt selection.   With any LLM visibility monitoring platform right now, deciding which user questions, intents, and phrasings will define your measurement.  Here’s what we’ve learned works best:  💡 𝗧𝗵𝗶𝗻𝗸 𝗶𝗻 𝘁𝗼𝗽𝗶𝗰𝘀, 𝗻𝗼𝘁 𝗸𝗲𝘆𝘄𝗼𝗿𝗱𝘀 Keywords describe queries; topics describe ecosystems. Start with your customer's needs: product lines, real world applications, comparisons, problem areas.  💡 𝗦𝗽𝗹𝗶𝘁 𝗽𝗿𝗼𝗺𝗽𝘁𝘀 𝗶𝗻𝘁𝗼 “𝗖𝗼𝗿𝗲” 𝘃𝘀. “𝗖𝘆𝗰𝗹𝗶𝗰𝗮𝗹” Keep 75–80% of your tracking evergreen (what defines your business year-round). Use the remaining 20–25% for seasonal or campaign moments (Black Friday, back-to-school, New Years Resolutions)  💡 𝗖𝗼𝗻𝘀𝗶𝗱𝗲𝗿 𝗮𝗻𝗱 i𝗻𝗰𝗹𝘂𝗱𝗲 𝗴𝗲𝗻𝗲𝗿𝗮𝘁𝗶𝘃𝗲 𝗶𝗻𝘁𝗲𝗻𝘁 People can ask AI search to 'do' now. Track prompts like “build me a list,” “generate a plan,” or “create a comparison.” They surface different results, often pulling new sources.  💡 𝗧𝗮𝗴 𝗳𝗼𝗿 𝗺𝗲𝗮𝗻𝗶𝗻𝗴  Every prompt should carry context like where it falls in your funnel (TOFU/MOFU), intent (informational / navigational / generative), or cadence (core / cyclical). Tags keep reporting clean and insights actionable. Bonus: Use tags to look at performance for specific brand nuances or customer concerns like "cost" or "best" or a brand characteristic  💡 𝗕𝗮𝗹𝗮𝗻𝗰𝗲 𝗯𝗿𝗲𝗮𝗱𝘁𝗵 𝗮𝗻𝗱 𝗿𝗲𝗮𝗹𝗶𝘀𝗺 You don’t need to track 5,000 prompts. You need the right prompts. Enough to mirror how your customers actually talk and analyze the topics your brand should own.  Prompt selection will define your outputs from any LLM visibility tool.  Without a good strategy for prompt selection, you could be missing insight into major opportunities.</t>
  </si>
  <si>
    <t>The Profound team is shipping so fast I can't even find the time to write these LinkedIn posts at this point.   There are three big customer segments for us at Profound when it comes to Answer Engine Optimization: enterprise (our initial focus we launched with), SMBs (covered with our self-serve launch), and agencies (today's release). No matter what type of customer you are, we're here to support you.  Today we're introducing Agency Mode. Agencies manage many brands: each with its own objectives, AEO maturity, and audience. They run pitches, analyze data, and configure unique Profound environments for each of these brands.  Profound's Agency Mode introduces a self-serve experience designed specifically for agencies. It gives teams the power to create and manage brand environments, right inside the platform and on demand.  Three big features in Agency Mode: run custom audits for your customers, create brand configurations, view usage and manage subscriptions.   We're live and ready to use today. Reach out on our website to get started.  And of course massive shoutout to 🐐 Gary Fishkin who drove this project from a vague idea into a fully-fleshed solution in less than two weeks. Talk about creating impact. And if you think this guy is a talented Software Engineer, you should see him on the pickleball court. I'm scared to play against him again.  Sign Up For Agency Mode Today: https://lnkd.in/eEhtQJZB</t>
  </si>
  <si>
    <t>Profound now allows you to see prompt volume not just by topic, but by intent - extremely cool - well done team.  (Also looks beautiful)</t>
  </si>
  <si>
    <t>Sophie Piacentini  Hey %FIRSTNAME%,  Profound helps SEO leaders and professionals at companies like %COMPANYNAME% improve AI visibility, which translates into more traffic, leads, and customers. Top brands like US Bank, Chime, Indeed, and Zapier trust us to improve their AI visibility.  Book a personalized demo, and after you complete it, you’ll receive a $100 gift card to thank you for your time.</t>
  </si>
  <si>
    <t>I've been analyzing how people use AI for shopping, and the data from our recent study of 2,739 consumers reveals something I wasn't expecting:  First, some context: we ran this study BEFORE Instant Checkout and found that 58% of people had used AI tools like ChatGPT for shopping in just the past week. I imagine after Instant Checkout, that number is now higher.  On the journey itself, people are making buying decisions in AI chats: 46.4% of AI users said they "got what they needed" and left. They didn't need to click through to website to feel complete. They didn't open multiple tabs to compare options. They had a conversation with AI and walked away with their decision made. Nearly half of all AI shopping interactions end this way completely invisible to any analytics platform.  The conversion data tells an even more interesting story: among people who bought something, 79.7% said AI handled at least half of their decision-making process.   Here's where conversion rates get insane and where I want to dive even deeper into next time: when AI influenced 80% or more of the purchasing process, 85.9% of those people completed a purchase. When AI only influenced 20% of the purchasing process? The purchase rate dropped to 32.6%. This is such a fun stat because it's the other side of the 'LLM traffic converts 4-6x more' stat. AI is driving purchases because it is a personalized decisionmaking machine for consumers.  Basically, AI is creating a fully guided consideration -&gt; purchase path with dramatically higher conversion rates than we typically see in e-commerce.  The path people take after using AI confirms this isn't traditional shopping behavior. After their AI conversation, only 24.2% went to Google. The majority went straight to purchase: 20.3% to Amazon, 18.6% directly to brand websites, 15.1% to physical stores. They weren't searching for more information, they were executing a decision that they had already made.  Two other findings that didn't make it in:  1. 14.5% of people left AI ready to buy but couldn't check out, and... 2. Another 14.2% just needed live pricing or availability.   These aren't window shoppers, these are buyers who are blocked by technical limitations. ChatGPT launched checkout capabilities a few weeks ago. Those barriers are disappearing.  I keep coming back to what this means for how we understand the customer journey. That person who bought from you on Amazon this afternoon? They might have chosen your product yesterday in a ChatGPT conversation you'll never see. Your analytics will credit the sale to direct traffic or Amazon ads, but the real moment of decision, when they picked you over competitors, happened somewhere else entirely.  Hope this sparks some ideas. Link to the PDF in the comments 👀</t>
  </si>
  <si>
    <t>We have a lot of fun building, designing, and engineering the product at Profound, but one of the most unique parts of working here is the firsthand access to the data and insights shaping the AI Search world.  We’re excited to pioneer research and share key insights into how people are interacting with and using Answer Engines like ChatGPT, Perplexity, and Google AI Overviews.  We’re excited to introduce the Profound Research Hub, our official collection of research reports and insights. You saw it first at Profound. Shoutout to the team of talented researchers and data professionals I have the pleasure of collaborating with everyday: Josh Blyskal, Ali Vaghar, Sartaj R., Siddharth Chandrappa, Brandon P., Dimas T., and Jiaying Du.  On that note, we're also hiring an Economist to further take our research to the next level... 📪 dylan@tryprofound.com</t>
  </si>
  <si>
    <t>Wow… we’ve had over 500 registrations for the Zero Click by Profound London conference since we announced it 72 hours ago!  Register below if you’re interested in attending (link in comments 👇)  Nov 19th, 2025 Tottenham Court Road</t>
  </si>
  <si>
    <t>One interesting finding from ChatGPT's usage study that nobody's talking about: people are using ChatGPT as a search engine: the "seeking information" category jumped from 14% to 24% of all usage in just one year.   Google's probably not too excited about this.  👀  https://lnkd.in/eJfScFS7  Get a demo of Profound here: https://tryprofound.com/</t>
  </si>
  <si>
    <t>ChatGPT referral traffic is down -52% since July 21st, I pulled from our dataset of 1+ billion ChatGPT citations and 1+ million referral visits from ChatGPT to figure out what's going on:  ChatGPT is shifting towards sites that provide 'answers', and the long tail of citations is shrinking as a result.  The referral decline started right as citation patterns shifted dramatically. Reddit citations increased +87% starting July 23rd, reaching more than 10% of all ChatGPT citations. Wikipedia simultaneously hit historic highs, up +62% since its July low to nearly 13% citation share yesterday.  The top 3 domains (Wikipedia, Reddit, TechRadar) combined have grown +53%, now controlling 22% of all citations. That's 1 in 5 ChatGPT citations going to just three sites.  At the same time, branded websites are seeing fewer citation opportunities: millions of potential referrals are being absorbed by these dominant platforms. This isn't a GPT-5 change because the consolidation started weeks before the model shipped.  Here's what I think (and let me know your thoughts below): Reddit and Wikipedia aren't winning because they're special. They're winning by default because they're the only ones providing direct answers. When someone asks "what's the best CRM for startups?" and a brand page says "Schedule a demo," while Reddit has a thread comparing 10 options, Reddit gets cited.   Brands are being pushed by OAI to become the answer on their own site: Create comparison guides, answer real questions, publish what your customers actually search for, in the language they use. The citation opportunity is massive for brands willing to shift from conversion first to answer first content.  This test is just OpenAI experimenting with their citation weighting. The +87% Reddit surge and +62% Wikipedia spike in just a month isn’t organic, but this is what happens when you turn the dials on a RAG system to let high-utility answers get prioritized over branded content.  The concerning part for SEOs in the short-term: when OpenAI adjusts these weights, referral traffic swings violently. A manual adjustment created a -52% traffic collapse in under a month. We're all downstream from OpenAI's experiments.  Whether this particular test becomes permanent or not, the direction is clear: the sites and brands who surface answers are gaining ground.  I wonder what they'll test next 👀  Get a demo of Profound here: https://tryprofound.com/</t>
  </si>
  <si>
    <t>🚢 Friday Ship from the Profound team.  Our Content Optimization tool now accepts 3 different input sources:   ◆ URL Analysis ◆ Direct Text Input ◆ File Upload    3 ways to ensure your existing website content is optimized for Answer Engines.  Congrats to the team! Jack Traina, Lucas Romero Di Benedetto</t>
  </si>
  <si>
    <t>Big news 🇬🇧🇬🇧🇬🇧🇬🇧🇬🇧 We’re bringing our Zero Click conference to London next month! ZC 2025, will be the UK’s first conference focused entirely on AI Search and the future of agentic discovery and commerce.  Zero Click by Profound NYC was a big hit (see video below), so we are moving fast to bring it to my home city!  The NYC event was extremely oversubscribed (thousands of people competing for just a few hundred seats) - and we expect the same to be true in London.  Speaker lineup to be announced soon! NYC brought in brand leaders from Walmart, Amazon, Apple, Google and more. London will raise the bar.   • Date: 19 November 2025  • Time: 1:30–9 PM GMT  • Where: Outernet, Tottenham Court Rd, London  Link to request a ticket (free) here: https://lnkd.in/eW4FphAv</t>
  </si>
  <si>
    <t>Levi Strauss &amp; Co. doesn’t make my favorite pants anymore, and my only pair is wearing out. I handed the problem to ChatGPT, and it pulled off something close to magic.  I took a photo, sent it to ChatGPT, and described all the attributes I love about them. The style of pockets, how the fabric is reinforced in certain places, the cut and color. Where they’re manufactured (I prefer NYC). Everything that matters to me.   I honestly got back the perfect recommendation from a brand I hadn't heard of before (Mission Workshop). But doing this precise type of search would’ve taken forever in the old version of Google: crawling through multiple links, reddit threads, asking friends, and then going back to refine my search over and over again.   This is what online shopping will be like in 2026. More of your customers will discover products through ChatGPT and Perplexity, and they’ll be able to purchase items in one click.   So here's the question for the retailers out there: Are your products showing up in these AI-powered shopping conversations?  We're pulling back the curtain on this shift with our upcoming webinar: From Prompt To Purchase - Understanding Shopping in Answer Engines  Join Joey Loi (Product Management), Trevor Pyle (Product Marketing), and Julia Moseyko (AI Strategy) from Profound on Nov 6th at 12 EST as we walk through:  ✅ How agentic commerce is reshaping the retail landscape ✅ How answer engines are interpreting and representing your products ✅ How Profound’s latest release (Shopping Analysis) helps you stay visible and competitive in this new era  This is for anyone in retail, ecommerce, merchandising, SEO, or digital marketing who wants to understand how shopping has changed and what to do about it.   👉 Register here (we'll send you the recording if you can't make it!) https://lnkd.in/g_c9W_QH</t>
  </si>
  <si>
    <t>Your offer might be perfect. But if you’re not showing up in AI platforms, it’s like running a sale with no store sign.  Profound shows you exactly where your brand stands in ChatGPT, Gemini, Claude, and Perplexity — and how to win visibility before Black Friday hits.</t>
  </si>
  <si>
    <t>You can’t buy placement in AI chat.  You can earn it — and Profound shows you how.  Get your brand visible in the platforms shaping Black Friday decisions.</t>
  </si>
  <si>
    <t>When shoppers ask AI platforms for Black Friday deals, who shows up first?  With Profound, you can track, optimize, and dominate your AI rankings — before your competitors do.</t>
  </si>
  <si>
    <t>Big Monday Ship 🚢 from the Profound team today: Conversation Intent in Prompt Volumes.  Earlier this year, we launched Prompt Volumes to help brands see what their customers are asking across Answer Engines. Today, we’re taking it a step further.   You can now break down every keyword by conversation intent in an AI search convo.  Want to know if people are comparing your product vs. learning what it does? If your category drives discovery or purchase intent? If users are asking AI to create content about you?  Prompt Volumes now shows Conversation Share across four intent categories: - Commercial - Informational - Generative - Conversational  Live today in the platform... shoutout to the team Ralfi Berk (first ship at Profound!), Joshua Prunty, Gabrielle Gayles, Ali Vaghar, and Dimas T.. Onwards to the next.</t>
  </si>
  <si>
    <t>This Black Friday, the competition isn’t just for clicks.  It’s for positioning inside AI answers.  Profound helps brands dominate the “AI shelf” — where buying decisions now begin.</t>
  </si>
  <si>
    <t>Google isn’t the only shelf anymore.  AI platforms are where shoppers are asking, “What’s the best Black Friday deal” on every category.  Are you showing up? Profound gives you the answer.</t>
  </si>
  <si>
    <t>OpenAI's Instant Checkout is live on Etsy. Most sellers think they're now selling in ChatGPT, they're actually wrong:  I spent the an hour testing the Agentic Commerce Protocol (ACP) with Etsy sellers: the 'Buy' button is missing for any product on Etsy with variants or custom fields.  Let me be clear here: even after a user selects their size, color, or personalization, the option to purchase simply does not appear.  Everyone is celebrating being "auto-enrolled", but for the products that define your brand's depth and value (the ones with options and customizations), they're blocked from direct transactions (for now).  But that's the opportunity: while your competitors are celebrating a feature they *think* they have, you can be one of the few who understands how the system is actually broken, and honestly, that's a pure informational advantage.  This creates a clean fork in the road for sellers as I see it, if you're on Etsy, this is what I'd be thinking about:  - For sellers with variants/customizations: Use ChatGPT and explore which of your products are currently unsellable. (I've seen things like text "Personalization" fields be enough to disqualify the buy button from appearing). There is a world where you may want to create simplified versions of some of these products in the meantime, but honestly only if this bug goes unfixed for a while. Right now, just monitor and observe in my opinion.  - For sellers with simple, single-SKU products: you are the only ones for whom this is a real sales channel right now. This is a green field for you right now. Run with your simplest products, and see if you're making any sales.  My view here is that this is a raw execution problem from Etsy and OAI in the early stages, and one that ought to be quickly patched. The brands that win are the ones who audit the AI rather than relying on the headlines.  The headlines are celebrating a commerce revolution. The responses are telling a very different story.  Listen to the responses. 👀</t>
  </si>
  <si>
    <t>ChatGPT now account for 20% of Walmarts referral traffic…  And this is only direct referral traffic they're talking about here, and it's already huge. But the impact of Answer Engines on shopping and commerce is even bigger:  Next week, Profound will release a proprietary study based on a survey of ~2000 US respondents. One stat I can tease ahead of time below, backs up the Walmart news:  Of people who used an Answer Engine in a product research / shopping journey (in the past week), 78.2% of them go to Google, physical stores, brand websites, or Amazon / other marketplaces after they're done, and 70% of those people buy something.   The impact is MASSIVE if you take into account how much consumers use AI for their decision making (on top of tracking their clicks).  Anyway, more to come there.  https://lnkd.in/emv8VeFR</t>
  </si>
  <si>
    <t>Quick hit: discovered today that memories don't consistently factor into ChatGPT search. When I set up a test persona with a dog and enabled search, suddenly my (ficticious) German Shepherd named Rocky was totally unknown.  When I clicked 'Try Again Without Web Search', Rocky appeared again.  I ran this test again, but this time I put the fact that I had a dog named Rocky in the "Custom Instructions" ('About Me') section. That data did pull through into the search-enabled prompt, but only about 25% of the time. It's leaky, at best.  This is completely different from conversational "Memories." That context seems to be walled off from the search pipeline entirely. The test flow here:  1.) Add a conversational memory,  2.) Turn on search  3.) Model says, "I have no idea who your dog is."  then...  4.) Turn off search in the same chat  5.) Ask again  6.) Model says, "Of course, Rocky the German Shepherd!"  You can also test this by running two separate chats: one with web search and one without.  Food for thought because it confirms that memory and search are operating in different, and mostly disconnected, pipelines. The rich context from your chat history is stripped out before the query is sent to the search tool.  Are you all seeing the same thing? 👀</t>
  </si>
  <si>
    <t>New Feature Launch 🚀 🚀 🚀   PROMPT INTENT  Consumers use AI Answer Engines very differently to how they use blue link search.  - Generative (help me write an email) - Commercial (what’s the best ____) - Informational (What is a ______) - Conversational (I need your advice on ____)  This behavioural difference is key to marketers who are building their GEO strategies - it is now important to know the different types of conversations you should show up in.  Today we announce “Prompt intent” - which builds on our ‘Prompt Volume’ feature we launched last month - to now showcase HOW people are talking about specific topics.   Very powerful new feature, congrats to the team on this one.</t>
  </si>
  <si>
    <t>Lately, I've been talking a lot about the value of impossible goals. So, we decided to pull together a Masterclass to showcase their power for founders, creatives, entrepreneurs and athletes. As we all start thinking about our 2026 goals, I encourage you take a dip into the idea of Impossible Goals.  Sign up here: https://lnkd.in/gCH4bzYU</t>
  </si>
  <si>
    <t>Profound ships 10x faster than anyone else. See our new features here.</t>
  </si>
  <si>
    <t>Get Started With Profound Today</t>
  </si>
  <si>
    <t>NEW LAUNCH 🔔: When you ask ChatGPT a question, often it will go and carry out a bunch of different searches to build its answer. This paradigm is called ‘query fan out’.  Today we are excited to announce a new ‘Query fan out’ feature in Profound which helps our users really dig into the details of these fan outs.  Full blog post in comments. Congrats to the team.</t>
  </si>
  <si>
    <t>Today we are excited to launch: Personas in Profound 👥  Answer Engines like ChatGPT tailor responses based on who’s asking. With Personas by Profound, marketers can see those answers through the eyes of each audience segment - making it the most advanced way to understand and shape how your brand shows up in AI Search.  Quick story: We’d been offering persona-based insights within Profound for a while, but it always felt like an under-the-radar superpower. We knew it needed to be reimagined and packaged into something bigger. Enter Gabrielle Gayles - just a few weeks ago she left Google DeepMind to join Profound. Within her first week, she designed the entire Personas UX turning a raw capability into a sophisticated feature-set.  Now, marketers can use Profound to finally see how Answer Engines respond through the eyes of every audience they care about.  Congrats to Gaby, Praneeth A. and the rest of the team for the quick ship and for always building product that feels incredible.</t>
  </si>
  <si>
    <t>3 big ships today in the Profound developer platform:  ◆ MCP Server ◆ TypeScript SDK ◆ Python SDK  Easily work with and query Profound visibility reports, citation data, and bot analytics.  Read more in the blog linked in the comments</t>
  </si>
  <si>
    <t>I’m an introvert. And for years, it held me back.  I thought technical smarts would be enough: do good work, deliver on time, keep my head down.  As you can probably guess: it wasn’t.  I watched peers with half my technical depth pass me by because they knew how to be seen.  What I eventually learned: career growth isn’t just about being the smartest.  It’s about visibility. It’s about communication. It’s about influence.  These are the muscles introverts need to grow if we want our work to be recognized and rewarded.  And in today’s AI-driven world, what used to take 20 years of career growth now has to happen in 5.  It’s grow intentionally, or be left behind.  That’s why I wrote Beyond the Technical: An Introvert’s Guide to Outperforming Your Peers. It’s the playbook I wish I had.  👉 Get it here: https://lnkd.in/gfKP7eXX  Question: Have you ever felt overlooked even when your work was stronger than others’?</t>
  </si>
  <si>
    <t>That's a wrap on Brighton SEO San Diego 2025!  Shared some wild data from our analysis of 3B+ AI citations and 250M+ answer engine responses:  Reddit citations have been jumping 800%+ (now 8% of all citations). ChatGPT quietly switched from Bing to a hybrid index using SerpApi. And traditional SEO signals like traffic explain less than 5% of AI citation behavior.  The most surprising finding: 37% of AI search prompts have "generative intent" - users asking AI to create something, not find something. That's an entirely new search behavior we need to optimize for.  Practical takeaways from the data: - Semantic URLs get 11.4% more citations - Positions 5-10 on Google are viable for AI visibility - Listicles and comparative content dominate (25%+ of all citations) - Meta descriptions that "spoil the content" perform better  Slides dropping in the comments for those who want to dig into the data. Incredible energy in San Diego as always. For those asking about tracking your own AI visibility or getting access to the citation data we showed: reach out and we'll get you sorted.  Already counting down to SEOIRL in Toronto. See you there 👀  Get a demo of Profound here: https://tryprofound.com/</t>
  </si>
  <si>
    <t>Over the last 9 months, we've been continuing to build out and add granularity to the Profound Prompt Volumes product (the world's first tool to see what real humans are asking ChatGPT).  Today we're excited to announce another major milestone in our dataset quality: the ability to slice and segment by different demographic fields: age, income, gender.  This release means you can see how different groups are shaping the conversation: - Is Gen Z asking about emerging brands while Millennials focus on value? - Are higher-income groups leaning toward premium products? - Do men and women frame their questions differently?  Available today to all enterprise customers.  Congrats to Gabrielle Gayles on her first ship with the existing team: Ali Vaghar, Siddharth Chandrappa, and Joshua Prunty.  Read more in blog post linked below.</t>
  </si>
  <si>
    <t>Hiring top executive leaders doesn’t have to be stressful.  With over 30 years of expertise, ProFound Talent streamlines the executive recruitment process with proven methodologies and guaranteed outcomes.  Imagine a smoother executive hiring experience that saves you time and resources, and gives you peace of mind. That’s the ProFound difference.   Let’s simplify your next executive search. Connect today at beprofound@profoundtalent.com.  Visit profoundtalent.com to learn more.</t>
  </si>
  <si>
    <t>OpenAI released their intent study with "purchasable products" as one category. That's it. So I pulled 8,011 shopping conversations from our dataset of 400+ million ChatGPT prompts to see what's actually happening:  24.78% of commercial queries start with a price constraint. Users lead with "under $200", "budget laptop $1000", or "cheap options" before stating what they actually need.  Price-first queries resolve in 16 turns vs 26 turns for standard queries. That's 39% faster when someone states their budget upfront.  Here's what I think (and let me know your thoughts below): Everyone's building comparison content for AEO because that's what gets cited. But 25% of commercial queries are from users who state their budget upfront and want to buy, not browse. They want one answer: "For $50/month, get this CRM."  We're building for the 75% who compare everything while ignoring the 25% who delegate the decision to AI within their constraints.  Practical moves: - Create "Best [product] under $X" pages with one confident recommendation - Test if "$50" content outranks "$49.99" when users ask for "under $50" - Track which sites AI cites for price-constrained queries  Price-first users make their choice in 16 turns. Everyone else takes 26. Do what you want with that information.  Wonder if next year we'll all be optimizing for 'budget laptop' instead of 'best laptop' 👀</t>
  </si>
  <si>
    <t>Another big ship from Profound today. We're expanding our Conversation Explorer dataset from just ChatGPT to now also include Perplexity, Gemini, and Claude.  Brands are leveraging Conversation Explorer to tackle big questions like: - What are customers really asking AI about my category? - What are the top keywords relevant to my brand and industry? - What prompts should I track my AI visibility against?  Congrats to Joshua Prunty, Siddharth Chandrappa, Ali Vaghar, and Sherman Grewal on the launch!</t>
  </si>
  <si>
    <t>Happy Friday Ship Day! 🚢 Today we're rolling out a new feature to Conversation Explorer (Prompt Volumes), letting users see how AI conversations evolve.  Keyword Hierarchies lets visualize a single query into deeper intent paths. Instead of flat keywords like “running shoes,” you can visualize cascades like “running shoes → women’s running shoes → best under $150.”   Built for scale with sub-second search, Keyword Hierarchies reveal intent-rich structures to power smarter SEO and conversation insights.  Great work to Ali Vaghar, Joshua Prunty, and Siddharth Chandrappa, shipping new features every week!</t>
  </si>
  <si>
    <t>Took some time tn to do some tests on GPT‑5’s browsing (first pass). Here’s the net new:  - GPT-5 is almost certainly using a proprietary meta layer, not a clean Google/Bing pass‑through from either engine.  - GPT-5 search strips most advanced operators and re‑ranks results; filetype: works, but contains:, ip:, related:, hasfeed:, location:, even quotes had little/no effect.  - Direct SERP behavior is asymmetric: GPT-5 could not scrape a live Google results page (fell back to its own custom pipeline), but it could parse a live Bing SERP when I instructed it to open the exact URL for the Bing SERP. That suggests Bing pages are more accessible to the tooling, but not that results are Bing‑pure.  - Ranking fingerprint: the GPT-5's lists of cited sources do overlap with slightly more with Bing but are VERY blended/re‑ranked with off‑brand roundup sites and occasional duplicates. It also omits some engine rank 1's (e.g., Google’s passwordmanager.com; Bing’s PCMag if you're looking at my attached example below) and shuffles order which is classic meta stack behavior.  - Sonic_tool is still the search backend (this is publicly known: OAI's proprietary search product has been known as 'Sonic' for a year now.) Just more evidence that the in‑chat experience is OpenAI’s own retrieval/reranker layer rather than exposing any single engine’s SERP.  - Agent vs non‑agent are different pipelines: We know that Agent mode presents a Bing frontend in a real browser and actually produces different, more action‑biased outputs; in‑chat search uses the Sonic meta layer. OpenAI configured scraping guards in the agent mode which is still present in agent mode (Agent mode can't access the NYT, for example.) Sonic has some/most of these restrictions as well (to varying extents.)  I did some quick correlation tests as well:  - Q1 (best password managers 2025 review): mixed overlap; LLM diverges from both engines’ top picks and injects weaker sites which is consistent with proprietary re‑ranking   (see attached below: Yellow = exact match, Red = domain match). There is only 1 URL-level match and 1 domain-level match.  - Q2 (best standing desks 2025 review): same pattern... mainline pubs plus lower‑signal aggregators; ordering doesn’t match either engine closely.  - Q3 (site:www.cdc.gov norovirus food service guidelines): both LLM and Bing return CDC pages; LLM favored HTML guidance pages while Bing also surfaced PDFs... again points to its own ranking preferences.  GPT-4o's search had been trending closer to Google; tonight’s GPT‑5 browse feels ever so slightly more Bing‑anchored for what it can scrape, but still fundamentally proprietary/blended in what it returns.  👀</t>
  </si>
  <si>
    <t>Today on KSNV News 3, Las Vegas, former pro football player (and TULSA Procedure patient) Leonard Wheeler and Joseph Busch, MD of the Busch Center talked about Leonard's prostate cancer journey—and how the TULSA Procedure is changing the game for men and their prostate health.  Their message is simple: prioritize your health today and don’t delay your PSA check.💙  #ProstateCancerAwareness #EarlyDetectionSavesLives #MensHealth  🔗 https://lnkd.in/gCQXJbPi</t>
  </si>
  <si>
    <t>The foundation of every successful business is its leadership.   At ProFound Talent, we deliver exceptional leaders who drive real, positive change.   Just as every success story begins with the right people, your recruitment journey starts with us, with tailored executive recruitment solutions that will propel your organization forward.   Ready to transform your business? Connect today at beprofound@profoundtalent.com.  Visit profoundtalent.com to learn more.</t>
  </si>
  <si>
    <t>Today, we are very excited to announce the first conference dedicated to AI Search / GEO.   Zero Click 2025 October 8th Hosted at Ramp HQ in NYC  We're bringing together the brightest minds shaping the future of visibility within AI Platforms. Build connections with trailblazers in the space.  Every company on the planet just got a new customer: AI. Answer Engines now sit between brands and consumers. The ones who take control define the next decade of discovery.  George Bonaci (Ramp), Lily Ray (Amsive), Michael King (iPullRank). More speakers dropping soon.  Spots are very limited. Request your seat → https://lnkd.in/esu2rZpu</t>
  </si>
  <si>
    <t>Suit Up for Your Health.   When it comes to prostate cancer, awareness is powerful — but action is life-changing. Leonard Wheeler, Co-Executive Director of NFL Legends, not only advocates for men’s health, he’s lived it. After being treated with TULSA-PRO®, Leonard has made it his mission to share his story and inspire men everywhere to prioritize their health.  His journey is a reminder that strength isn’t just about what happens on the field — it’s about making choices that protect your future, your family, and your legacy.  Together with Profound Medical, Leonard is raising awareness and driving conversations that can save lives.  Tulsaprocedure.com  #SuitUpForYourHealth #ProstateCancerAwareness #MensHealth #ProfoundMedical #NFLLegends #TULSAPRO</t>
  </si>
  <si>
    <t>Talent is the ultimate differentiator. And the ultimate indicator of business success.   At ProFound Talent, we’re laser-focused on delivering rare and exceptional executive leaders with the ability to transform organizations.   Discover the power of a brilliant executive hire. Discover ProFound Talent today.  Get started at beprofound@profoundtalent.com.   Visit profoundtalent.com for details.</t>
  </si>
  <si>
    <t>High-stakes executive hiring is demanding. The pressure is always on to get it right the first time.   ProFound Talent’s rigorous executive recruitment process eliminates uncertainty, minimizes risks, and ensures you secure the highest-calibre leaders.  Whether it’s filling critical C-suite roles or building a dynamic professional team, you can count on us to deliver results. We guarantee it.   Let us take the lead. Contact us today at beprofound@profoundtalent.com.  Explore more at profoundtalent.com.</t>
  </si>
  <si>
    <t>Support for Anthropic Claude is available starting today to select customers inside of the Profound platform.  Profound now tracks ALL ten of major answer engines: ◆ ChatGPT ◆ Google AI Mode ◆ Google AI Overviews ◆ Google Gemini ◆ Microsoft Copilot ◆ Perplexity ◆ Grok ◆ Meta AI ◆ DeepSeek ◆ Anthropic Claude  Congrats to Federico M., Praneeth A., and Charles Zhou for the awesome launch!</t>
  </si>
  <si>
    <t>Strong body, strong health. Strength isn’t just about reps — it’s about checkups, too.  Visit tulsaprocedure.com to explore your options for prostate health.  #menshealth #fitness #getchecked #prostateawareness</t>
  </si>
  <si>
    <t>Today we’re launching Prompt Volumes - answering the biggest question in Answer Engine Optimization (and maybe even marketing):  ‘How many people are talking about &lt;any topic&gt; in AI platforms like ChatGPT?’  This feature has taken nearly a year to build, millions of dollars, and some of the best minds in data science to bring it together (Ali Vaghar and Siddharth Chandrappa!).  Prompt Volumes maps hundreds of millions of real, anonymized user conversations across ChatGPT, Gemini, Claude, and more.   We’ve pulled from dozens of sources (well beyond standard clickstream data) to create what I believe is one of the largest prompt panels in the world - now approaching 150M per month.  Getting the data is just the first problem. Processing and modeling is where we have taken things to a new level: proprietary systems that analyze hundreds of millions of prompts to  identify intent, sentiment, volume, and trends - all with strict privacy compliance.  With Prompt Volumes, Profound customers can:  • Discover what customers are really asking in your category  • Prioritize topics by actual demand and brand impact  • Turn prompts into briefs that win answer boxes  No more guessing what people are talking about with AI. No more fuzzy guesses based on traditional search volume extrapolations.  Huge congrats to the team on this one.   Prompt Volumes is available today for all Profound Enterprise customers.  Comment below which topic you're interested in seeing volume for and I'll post some screenshots in responses.</t>
  </si>
  <si>
    <t>For anyone asking why GPT5 matters- read the below.  GPT5 introduces the mainstream consumer to the power of deep reasoning models.  Here's an example of why reasoning impacts shopping: Last month, I moved into a new apartment in NYC and the water pressure sucked. I asked o3 (Deep Reasoning) to help me find a solution. Below is a screenshot from the ChatGPT search. - o3 spent over 6 MINUTES researching - it carried out 14 separate web searches - It visited 39 different web pages  - Interestingly, if you look at the second reasoning chunk, you can see that o3 (successfully) inferred from its memory of our previous conversations that I am renting an apartment, therefore not looking for any solutions which require heavy installation.  To me, it is obvious that this is what the future of (high consideration) product discovery looks like. Personally, GPT5 doesn't change much, as i've been using reasoning models for a while. But for the masses - GPT5 will be a really big deal, as mainstream ChatGPT users - who didn't previously feel confident enough to toggle between models - will experience reasoning outputs for the first time.</t>
  </si>
  <si>
    <t>No explicit commentary in ad preview</t>
  </si>
  <si>
    <t>I pulled 534 million citations from ChatGPT, Perplexity, and Google AI Overviews and tracked how often Wikipedia is used as a source. Here's what's up:  ChatGPT flipped a switch in November, Wikipedia jumped from almost zero to 13% of all citations almost overnight. The dependency grew even more extreme by March 2025, with Wikipedia accounting for a full 15% of all ChatGPT's citations.  Google AI Overviews stays around 1%, Perplexity is lower, so those two still look for non-Wikipedia answers almost every time.  In March the Wikipedia share inside ChatGPT slid from 15% to 4% in three weeks which just shows directly how drastically the source mix can be rewritten.  Now, Wikipedia accounts for 7.5% of all ChatGPT citations and is growing slowly again.  I've got two takeaways here: (but please contribute your own thoughts in the comments) this is a beautiful illustration of both the appeal and risks of heavy Wikipedia reliance, or even generally, reliance on any single undiversified strategy in AI search. This is not stable ground.  If the dials can move overnight like this, the next question is: whose domain do they point at? 👀</t>
  </si>
  <si>
    <t>AI Answers continue to rely on UGC.  We sampled 2 million domains and ran a UGC vs. non-UGC classifier on the top 10 000 (74% of our data because of the long-tail of cited domains).  Here’s what we saw: - ChatGPT 17.4% - Perplexity 15.8% - Google AI Overviews 12.3% - Microsoft Copilot relies on UGC just 4.6%.  If your brand isn’t in Reddit, X, Wikipedia, or Quora, you will likely struggle with AI Visibility.  Profound maps where AI finds answers, helps you add high-value content to the right UGC sites and tracks your share of citations.  Want AI answers steering back to your expertise? Let’s talk!</t>
  </si>
  <si>
    <t>With 25+ years of experience transforming organisations, Imran Shaikh shares a practical blueprint to help leaders build companies that thrive under pressure.</t>
  </si>
  <si>
    <t>Today we publish a killer case study on how the team at Airbyte worked with Profound to TRIPLE their AI Visibility on platforms like ChatGPT within one week.  Congrats to Tanmay Sarkar and the team. This is epic.   (Link to case study in comments)</t>
  </si>
  <si>
    <t>ChatGPT is leaving Bing behind fast. I analyzed a sample from our dataset of 240 million ChatGPT citations to see how its index is evolving and the shift I found was huge:  In April 2025: - ChatGPT shared only 12% of citation sources with Google SERP results. - Bing was significantly more aligned, sharing 26% of its SERP results with   ChatGPT citations.  Now, as of July 2025: - Google’s alignment has surged, with 33% overlap between Google's SERPs and ChatGPT citations. - Bing’s alignment has plummeted to just 8% overlap.  Until recently, we know that ChatGPT relied on Bing’s index via the Bing API to do all of its web scraping. But that’s clearly changed.  So what’s going on? I see two plausible scenarios and both have massive implications:  Scenario 1: ChatGPT is quietly deploying its own proprietary index.   A recent leaked internal memo from OpenAI explicitly states: "ChatGPT is a super assistant that deeply understands you and serves as your interface to the internet. To fully be that interface, we need a search index."   The timing of the leaked memo + OpenAI's plans to build a browser + OAI sitting on this massive index that its has been building quitely using the OAI-SearchBot... it makes complete sense if OpenAI decided that now is the moment to switch to their index.  Link to the leaked memo: https://lnkd.in/ehWijiDB   Scenario 2: ChatGPT is pivoting toward Google as its primary search partner.   With the announced deprecation of Microsoft's Bing API, OpenAI faces a choice: transition to Azure Agents, Microsoft's successor infrastructure, or forge a new partnership with Google. Given recent strategic tensions between Microsoft and OpenAI, and Google's interest in AI search and desire to consolidate the industry into its own index, this pivot could well be underway.   Either way, the key takeaway is clear: ChatGPT's index and citation sources are changing significantly. The information feeding its RAG model is shifting rapidly.  I'm curious: with these shifts, how can we track and confirm whether ChatGPT is relying on its own emerging hybrid index or quietly aligning itself with a major search partner like Google? 👀</t>
  </si>
  <si>
    <t>I've worked with hundreds of brands to answer this exact question: how do you get recommended by Answer Engines like ChatGPT, Google AI Overviews and others? So I sat down with Kyle Poyar to create *the* definitive guide.   Answer Engines look at the world in a fundamentally different way than traditional search engines do. (They use entirely different infrastructure and datasets!)  You can read the full piece below, but here are the takeaways: 👀  1. Reddit is a major driver of citations in LLMs. Ignore this at your own peril.   2. Default to well organized, comparative content. Fewer images, more tables.   3. Influence on the answer matters more than you think and should be one of the top metrics to measure.  Thanks again to Kyle for collaborating on this with us!  https://lnkd.in/eAmaR_gf</t>
  </si>
  <si>
    <t>I'm excited to share my first joint data study with Profound on the Amsive blog!  We looked at 10 popular business categories to determine which brands/domains are mentioned and cited the most across 6 LLMs. (U.S. data)  https://lnkd.in/dsNWb75V</t>
  </si>
  <si>
    <t>Reddit citations are up +400% in ChatGPT over the last 2 weeks, I pulled from our dataset of 630 mil citations to see what's going on:  Could the OpenAI x Reddit partnership finally start to have impact? Reddit citations jumped 436% starting on May 19th. Reddit now accounts for 5.9% of all of ChatGPT's search sources, which makes Reddit the second most cited domain overall behind Wikipedia (which is hovering right around 7%). Reddit is ChatGPT's 2nd largest source of truth.  At the same time, Google AI Overviews' citation rate is staying near 2% and Perplexity holds around 6%: only ChatGPT is seeing this spike.  Here's what I think (and let me know your thoughts below): Doing AEO through Reddit used to get you visibility mainly in Perplexity, and to a lesser extent, GAIO. With this partnership with OpenAI and ChatGPT, Reddit has absolutely legitimized itself as a major source of truth across answer engines.  Secondly, OpenAI is still making massive manual changes to their RAG process: 1 partnership immediately quadrupled Reddit's influence in a week to become ChatGPT's 2nd most trusted source. That's an insane shift at an insane timescale.  I wonder what other changes are going on that we all haven't caught yet. 👀</t>
  </si>
  <si>
    <t>BREAKING RESEARCH: AI Responses primarily pull from OUTSIDE of the Top10 blue links.  But, comparing ChatGPT to Google AI Mode shows an interesting difference. Google AI Mode utilizes the long tail HEAVILY.  Profound helps you show up in AI responses, by using a deep understanding of which websites AI models are using to inform their answers.</t>
  </si>
  <si>
    <t>Search Volumes, but for ChatGPT. We've built it. And the data is super interesting. How did we do this? We've built one of the largest aggregated datasets in the world of what people are searching for in ChatGPT, and we can use it to see trends.  Below, you can see that the number of user prompts talking about 'Alexandr Wang' rocketed by 7X in June 2025 with the announcement of Meta's recent purchase of his company, Scale AI. Conversation Explorer is available to all Profound Enterprise Customers.</t>
  </si>
  <si>
    <t>Rankscale AI</t>
  </si>
  <si>
    <t>Paid for by Rankscale GmbH</t>
  </si>
  <si>
    <t>Ad Details</t>
  </si>
  <si>
    <t>AI Visibility Tracking: OMR Reviews nutzt Rankscale.   Die Suche verändert sich durch ChatGPT, AI Overviews und AI Mode. Marketing Manager sind mit zahlreichen Herausforderungen wie der Zero Click Search konfrontiert. Traditionelle SEO-Metriken sind nicht mehr ausreichend.  OMR Reviews hat Rankscale als ihr AI-Search-Analytics- und Tracking-Tool implementiert, um Sichtbarkeit in AI-Engines für verschiedene Anwendungsfälle zu messen.  In dem Video stellt Hannah von OMR Reviews ein Tutorial zu Rankscale vor, geht auf wesentliche AI Metriken ein und erklärt wichtige Learnings.  Wir freuen uns sehr über dieses Video und sind stolz, dass OMR unsere Lösung nach einem Vergleich zahlreicher Anbieter ausgewählt hat.  Hier geht es zum YouTube-Video: https://lnkd.in/erJapsei  Hier geht es zu Rankscale: https://rankscale.ai/  #marketing #digitialmarketing #geo #seo #aioverviews</t>
  </si>
  <si>
    <t>#marketing #digitialmarketing #geo #seo #aioverviews</t>
  </si>
  <si>
    <t>Rank Tracking, Search Visibility &amp; AI Intelligence</t>
  </si>
  <si>
    <t>Ran from Apr 3, 2026 to May 26, 2026</t>
  </si>
  <si>
    <t>I have published an article in Ad Age on AI commerce and AI visibility. It explores how the customer journey is undergoing fundamental change:  https://lnkd.in/dnRBQ_4p  In it, I discuss the latest developments in ChatGPT and how they are transforming product discovery through the Agentic Commerce Protocol (ACP).  I also look at aspects of Google, such as AI Mode in Chrome and their roll-out of its new Universal Commerce Protocol (UCP) integration in Merchant Center. In addition, I will shed light on Amazon Alexa for Shopping. The implications of this cannot be left out of a post like this.  All in all, this means that product discovery is changing dramatically, which presents brands and manufacturers with many new challenges of varying complexity.  Legacy tool providers may find this overwhelming, which is why AI-native tools, meaning those “born” during the AI era, often provide a more comprehensive approach.  To better understand these new marketing analytics, we at Rankscale have launched an AI Shopping Analysis feature that enables brands and retailers to quickly and intuitively monitor and analyze the visibility of their products in ChatGPT, AI Mode (currently only in the U.S.) and Copilot, allowing campaign decisions based on those metrics.  Looking forward to your feedback: https://lnkd.in/dnRBQ_4p</t>
  </si>
  <si>
    <t>Ran from Jun 16, 2026 to Jun 17, 2026</t>
  </si>
  <si>
    <t>Ran from Dec 9, 2025 to Jan 31, 2026</t>
  </si>
  <si>
    <t>Ran from Apr 3, 2026 to Apr 24, 2026</t>
  </si>
  <si>
    <t>Scaling AI visibility across multiple brands or clients? We’re introducing the Agency Growth plan.  Built for growth teams and agencies that need more scale and capabilities than Pro, without jumping straight to Enterprise.  What you can scale with Growth - 22,000 AI responses - 50 brand dashboards - 200 page audits - REST API: integrate AI visibility data into your workflows - White-label dashboards: Deliver reports without Rankscale branding - Private Slack + resources: Connect with other agencies in the space - Early feature access  Additional agency benefits - Affiliate program: Earn from recommended clients - Accelerator webinars: Learn how agencies package AI visibility services - Partner directory listing: Get discovered by companies looking for support  If you're already using Pro and managing multiple brands or clients, the Agency Growth plan gives you the scale and features to grow.  👉 See everything included in the Agency Growth plan: https://lnkd.in/diEjme-t</t>
  </si>
  <si>
    <t>Ran from Mar 17, 2026 to Mar 21, 2026</t>
  </si>
  <si>
    <t>Starting next week, ChatGPT ads go live in 31 European countries, including Austria, Germany, and France - and guess what - rankscale.ai got you covered 🤓  Next to gathering AI search visibility insights, we started tracking sponsored placements in ChatGPT, Google AI Mode, and Google AI Overview ever since they appeared, and long before this rollout was even confirmed for Europe. Not because we predicted the exact date, but because paid placement inside AI answers was clearly coming, and we wanted our users to see it before they had to react to it!  I think this is the moment AI search advertising becomes real for European brands. Not because the ad format itself is new, but because of what it changes: until now, showing up in a ChatGPT answer meant earning it through content and structure. From next week, a competitor can simply pay for the placements in or below the answer.  If you're deciding whether ChatGPT ads are worth testing, the real first question isn't whether the channel works. It's who's already there. That and much more is what we built Rankscale's ad tracking to answer.  Go check out your Rankscale AI Shopping View / Tab 'Ad placements' to dive in 💪✨</t>
  </si>
  <si>
    <t>Ran from Aug 23, 2026 to Aug 27, 2026</t>
  </si>
  <si>
    <t>We’ve just raised the bar for AI shopping analysis - again. Until now, most tools focused on tracking visibility in ChatGPT. That’s no longer enough.  Search is evolving fast: → AI-generated answers are replacing traditional rankings → Product discovery is happening inside conversational interfaces → Shopping journeys are fragmented across multiple AI systems  So we enhanced our Shopping Analysis feature to reflect how people actually discover products today.  Here’s what’s new:  📦 Inline product tracking Monitor product placements directly inside AI responses, not only shopping cards - where purchase decisions are increasingly made.  🧠 Google AI Mode coverage Understand how your products surface in Google’s AI-driven search experience - where traditional SEO rules no longer fully apply. (US only for now)  🛍️ Copilot Shopping insights Did you even realize Microsoft Copilot has a shopping feature? Most teams haven’t caught up yet.  If your product isn’t part of what AI actually suggests, you’re not in the game. And if you’re not measuring it, you won’t even know you’re losing.  #AISEO #Ecommerce #Growth #Search #AI #AIShopping  Mathias Cosmin Benjamin Jules Hendrik Sascha Patrick</t>
  </si>
  <si>
    <t>#AISEO #Ecommerce #Growth #Search #AI #AIShopping</t>
  </si>
  <si>
    <t>Ran from Apr 13, 2026 to Apr 17, 2026</t>
  </si>
  <si>
    <t>Ran from Apr 3, 2026 to Apr 19, 2026</t>
  </si>
  <si>
    <t>Discover how your brand appears inside ChatGPT, Google AI Mode, Perplexity, Claude, and many more. Track visibility, deeply analyze brand reputation and cited sources, and uncover actionable insights. All in one dashboard.</t>
  </si>
  <si>
    <t>Ran from Dec 16, 2025 to Dec 24, 2025</t>
  </si>
  <si>
    <t>Ran from Apr 3, 2026 to May 20, 2026</t>
  </si>
  <si>
    <t>AccuRanker</t>
  </si>
  <si>
    <t>Paid for by AccuRanker Aps</t>
  </si>
  <si>
    <t>If your rank tracker still rely on a static CTR in organic search, you're basing your SEO optimizations and reports on fiction. Click below for the full breakdown 👇</t>
  </si>
  <si>
    <t>We just removed one of the most frustrating parts of SEO 🗑️ Our MCP connects your SEO data directly to your favorite LLM. No exporting. No switching tabs. No manual data prep😎  Just questions and answers.  Not sold yet?   Here's what the MCP actually does for you:   1. You can 'talk' with your keyword- and LLM data Ask 'What changed this week?' or 'Which pages are losing visibility?' and get instant answers, analysis, and visualization directly in the LLM chat.  2. An extra SEO specialist, always on call Filter, analyze, and visualize data simply by asking. Then let Claude or ChatGPT explain what you can learn from the results and what you should do next, based on the findings.   3. Fewer manual tasks for you No restructuring, cleaning, or exporting before you can analyze. The steps between data and insight are gone, and you'll have more time for the fun stuff.   Ready to try it? Explore AccuRanker MCP below 👇</t>
  </si>
  <si>
    <t>Ran from Jun 1, 2026 to Sep 8, 2026</t>
  </si>
  <si>
    <t>Ranking #1 but traffic is flat? It's because the SERP layout is stealing your clicks. Learn how pixel position and dynamic CTR reveal what rank never tells you 👇</t>
  </si>
  <si>
    <t>Work with your keyword and prompt data directly in ChatGPT 🤖 Simply install the app, connect your AccuRanker account, and you're done. Here's what it means for you 👇  No more tab-switching, manual exports, or time-consuming analysis. Just open ChatGPT and ask it to analyze, structure, or visualize any data from your AccuRanker or AccuLLM account - it's that easy.   Your data. Your questions. Instant answers.  See the full announcement below!👇</t>
  </si>
  <si>
    <t>𝐀𝐈 𝐎𝐯𝐞𝐫𝐯𝐢𝐞𝐰𝐬 𝐧𝐨𝐰 𝐡𝐚𝐯𝐞 𝐚𝐝𝐬 📈  At AccuRanker, we've been monitoring this development, and for now, it's mostly unfolding across English-language searches in the US, CA, AUS, and NZ.   Europe and the UK aren't there yet, but considering how Google tends to handle these rollouts, it's likely just a matter of time.  𝐖𝐡𝐚𝐭 𝐭𝐡𝐢𝐬 𝐦𝐞𝐚𝐧𝐬: → Google has started monetizing AI Overviews at scale → Organic visibility in AIO is now competing with paid placement  𝐀 𝐟𝐞𝐰 𝐭𝐡𝐢𝐧𝐠𝐬 𝐰𝐨𝐫𝐭𝐡 𝐰𝐚𝐭𝐜𝐡𝐢𝐧𝐠 𝐚𝐬 𝐭𝐡𝐢𝐬 𝐝𝐞𝐯𝐞𝐥𝐨𝐩𝐬: → How Google balances ad placement without ruining the AIO experience → Whether click behaviour differs from traditional paid placements → How it will affect the relationship between SEO and paid search teams  It's still early days, but easily one of the bigger SERP stories this year.   Are you seeing it in your market yet?</t>
  </si>
  <si>
    <t>𝐀𝐝𝐬 𝐀𝐈 𝐎𝐯𝐞𝐫𝐯𝐢𝐞𝐰𝐬 now have ads 📈  At @AccuRanker, we've been tracking this closely.  For now, we're primarily seeing it unfold across English-language searches in the US, Australia, New Zealand, and Canada.  The UK and larger European countries? Nothing yet. But based on how these rollouts tend to unfold, it’s a matter of time.  𝐖𝐡𝐚𝐭 𝐭𝐡𝐢𝐬 𝐦𝐞𝐚𝐧𝐬: → Google has started monetizing AI Overviews at scale → Organic visibility in AIO is now competing with paid placement  𝐀 𝐟𝐞𝐰 𝐭𝐡𝐢𝐧𝐠𝐬 𝐰𝐨𝐫𝐭𝐡 𝐰𝐚𝐭𝐜𝐡𝐢𝐧𝐠 𝐚𝐬 𝐭𝐡𝐢𝐬 𝐝𝐞𝐯𝐞𝐥𝐨𝐩𝐬: → How Google balances ad placement without degrading the AIO experience → Whether click behaviour differs from traditional paid placements → How it will affect the relationship between SEO and paid search teams  Still early days, but it's one of the more interesting SERP developments we've seen this year.  Are you seeing this in your market yet?</t>
  </si>
  <si>
    <t>Ran from May 26, 2026 to Jul 10, 2026</t>
  </si>
  <si>
    <t>Ran from Jun 2, 2026 to Sep 8, 2026</t>
  </si>
  <si>
    <t>Are you struggling with unreliable search volumes? 😩 Learn how our new AI Search Volume gives you the accurate insights you’ve been missing out on 👇</t>
  </si>
  <si>
    <t>Ran from May 13, 2026 to Jun 8, 2026</t>
  </si>
  <si>
    <t>Ran from May 26, 2026 to Sep 8, 2026</t>
  </si>
  <si>
    <t>We just made it easy to work with your SEO data. AccuRanker MCP connects your SEO data directly to your favorite LLM. No exporting, no switching tabs. Just questions &amp; answers 😎   Not sold yet?   Here's what it actually means for you:  1. You can 'talk' with your data Ask 'What changed this week?' or 'Which pages are losing visibility?' and get instant answers, analysis, and visualization directly in the chat.  2. An extra SEO specialist, always on call Filter, analyze, and visualize data simply by asking. Then let Claude or ChatGPT explain what it means and tell you exactly what to do with it next.  3. Fewer manual tasks for you No restructuring, cleaning, or exporting before you can analyze. The steps between data and insight are gone, and you'll have more time for the fun stuff.   Ready to try it? Explore AccuRanker MCP below 👇</t>
  </si>
  <si>
    <t>Ran from Jun 1, 2026 to Jun 12, 2026</t>
  </si>
  <si>
    <t>Ran from Jun 5, 2026 to Jun 8, 2026</t>
  </si>
  <si>
    <t>Ran from May 21, 2026 to Sep 8, 2026</t>
  </si>
  <si>
    <t>Ran from May 27, 2026 to Jun 1, 2026</t>
  </si>
  <si>
    <t>Ran from May 20, 2026 to Jul 10, 2026</t>
  </si>
  <si>
    <t>We analyzed 1.3 billion SERPs to prove how more than 120 dynamic factors - like pixel position, SERP features, and search intent - affect your organic CTR 👇</t>
  </si>
  <si>
    <t>Ran from May 13, 2026 to Jun 12, 2026</t>
  </si>
  <si>
    <t>We analyzed 1.3 billion SERPs to prove how more than 120 dynamic factors - like pixel position, SERP features, ads, and search intent - affect your organic CTR 👇</t>
  </si>
  <si>
    <t>Ran from May 13, 2026 to Aug 19, 2026</t>
  </si>
  <si>
    <t>As SERPs became more complex and unpredictable, Glass Atlas needed deeper keyword insights to keep delivering the strong results their clients expect 👇</t>
  </si>
  <si>
    <t>Ran from May 13, 2026 to May 26, 2026</t>
  </si>
  <si>
    <t>Ran from May 13, 2026 to Jun 1, 2026</t>
  </si>
  <si>
    <t>Comment down below, and I'll send it to you 👇'</t>
  </si>
  <si>
    <t>Ran from Apr 10, 2026 to May 12, 2026</t>
  </si>
  <si>
    <t>Ran from Apr 28, 2026 to Sep 8, 2026</t>
  </si>
  <si>
    <t>By now B2B marketers SHOULD be able to answer questions like:  ❔ Percentage of my leads that come from LLM's ❔ How the conversion rate varies vs. outbound/paid/organic etc. ❔ Your share of mentions vs competitor performance etc. etc.  If you've still got more questions than answers, we’re hosting a senior-level lunch for leaders and marketers to unpack what’s changing - and what you need to do about it.  Join us and walk away with: • Clarity on how AI is reshaping buyer journeys • Practical actions for your SEO, Paid Media, Web and Content strategies • Insights you can apply immediately to drive growth  🗓️ 15th April 📌 Central London  Register and secure your place here:  https://lnkd.in/em8cpk3C   Enjoy the long weekend 🐰🐣 and hope to see you there.  In partnership with AccuRanker.  #aisearch #geo #aio #seo #ppc #b2bmarketing #b2btech #leadgeneration #marketingstrategy</t>
  </si>
  <si>
    <t>#aisearch #geo #aio #seo #ppc #b2bmarketing #b2btech #leadgeneration #marketingstrategy</t>
  </si>
  <si>
    <t>Your SEO tool should scale with you.  Most don't.  At first, the growth feels great! More clients. More keywords. More opportunities.  Until…   You open a list with 100k+ keywords and think, “where do I even start?”  Your report takes 3x longer to build than the meeting where you'll present it.  You spend more time looking at the loading screen than your actual rankings.  You realize you haven't done SEO today. You've just moved data around.  Most SEOs hit this wall at some point.  It's not a skill issue. It's a scale issue.  The work didn't get harder. There's just more of it.  More markets to track. More clients to report to.   The setup that worked at 5,000 keywords starts to crumble at 50,000.  What used to take minutes starts taking hours.  Suddenly, you're spending more time organising data than actually improving it.  And…  The bottleneck is rarely the team. Sometimes the tool that got you here just wasn't built for where you're going.   A colleague of mine put together an article about exactly that.  If any of the above sounds familiar to you, it might be worth a read!  Find it here 👉 https://lnkd.in/eut3CUPe</t>
  </si>
  <si>
    <t>We could tell you how great AccuRanker is, but we'll let our actual users do the talking instead. Here’s how teams like yours describe working with us 👇</t>
  </si>
  <si>
    <t>Ran from Mar 20, 2026 to Sep 8, 2026</t>
  </si>
  <si>
    <t>Rank tracking shows one side of SEO. AI answers show another. To understand your true organic visibility, you need to consider both. Here’s why 👇</t>
  </si>
  <si>
    <t>Ran from Mar 14, 2026 to Sep 8, 2026</t>
  </si>
  <si>
    <t>Ran from Mar 20, 2026 to Jun 5, 2026</t>
  </si>
  <si>
    <t>Ran from Mar 20, 2026 to Mar 25, 2026</t>
  </si>
  <si>
    <t>AI search summaries and recommendations are reshaping the way B2B tech brands are discovered, evaluated and selected.  Next month we're hosting an event in partnership with AccuRanker for Senior Leaders and Marketers to discuss what it mean for business growth and the marketing mix for B2B lead generation.  Walk away with actionable insights and an understanding of how other B2B brands are capitalising on this shift.  🗓️15th April 📍Central London  More info + register here: https://lnkd.in/em8cpk3C  Look forward to seeing you there!  #aisearch #aio #geo #seo #ppc #sem #b2bmarketing #b2btech #networking #roundtable</t>
  </si>
  <si>
    <t>#aisearch #aio #geo #seo #ppc #sem #b2bmarketing #b2btech #networking #roundtable</t>
  </si>
  <si>
    <t>Managing a lot of prompts can get messy fast 😵💫 Now, you can bring structure and control to your analysis with our popular Tag Cloud 👇  With the addition of Tag Cloud in AccuLLM, you can easily organize and analyze your prompts to spot patterns, understand your market position, and compare historical changes.  Click down below to see how it works! (You’ll love it).</t>
  </si>
  <si>
    <t>Typo for the win?   I saw this post on Reddit today:  A plumbing company noticed they were getting leads from a keyword they never planned to target:  “Plumbering services.” A simple typo.  Turns out people actually search for it.  Enough that the company now ranks #1 locally for “plumbering services”.   It’s a good reminder of something that shows up all the time in SEO and marketing (especially in B2B):  Product descriptions will look like this: • “enterprise-grade digital transformation platform.” • “end-to-end data ecosystem.” • “intelligent automation framework.”  Meanwhile, buyers are searching for: • “software to automate invoice processing” • “tool to clean duplicate CRM contacts” • “how to connect Salesforce and HubSpot” • “alternatives to x tool”  One sounds like a typical product brochure. The other sounds like a human trying to solve a problem.  Same intent. Different language.  This doesn’t mean you should start intentionally misspelling all your keywords (however, there might be hidden opportunities here 👀).  It's simply a reminder to pay attention to how you communicate and how your buyers search.   Because, the person searching often: - Doesn’t fully know what solution they need yet - Doesn’t have the same level of product knowledge  - Doesn’t use the same internal terminology/acronyms  - Or, as the example above, doesn’t know how to spell it   Thus, remember to take your time to understand how your customers actually think and talk.  So, how do you do that in practice?   Talk to your customers. Review transcripts from sales and CS calls. Look through support tickets. Dig into search queries and internal site searches.  That’s usually where the most valuable content opportunities are hiding.</t>
  </si>
  <si>
    <t>We could tell you how powerful AccuRanker is, but we'll let our actual users do the talking instead. Here’s how teams like yours describe working with us 👇</t>
  </si>
  <si>
    <t>For agencies managing many clients, outdated &amp; unreliable SEO data slows down decisions. That’s the challenge s360 had to solve. Here’s what they did👇</t>
  </si>
  <si>
    <t>Ran from Mar 9, 2026 to Sep 8, 2026</t>
  </si>
  <si>
    <t>I'm fine. I'll just sit here. Waiting. Until you join me for a talk about what AccuRanker and AccuLLM can do for you 🐯</t>
  </si>
  <si>
    <t>Ran from Mar 13, 2026 to Jul 10, 2026</t>
  </si>
  <si>
    <t>Hi!  Magnus here. Waiting for you to join me for demo has taken its toll...  I've aged considerably.  My vision and hearing have gotten significantly worse.  But I'm still optimistic!   So what do you say? Should we finally make it happen?   What we will cover:  ✓ How AccuRanker can support your rank tracking and LLM tracking goals.  ✓ The use-cases, integrations, and features that matter most to you.  ✓ Limited-time offers &amp; and a sneak peek into our new LLM tracking   Request a 20-minute speed run of AccuRanker/AccuLLM 👇</t>
  </si>
  <si>
    <t>More clients. More keywords. More opportunities. Scaling SEO is fun! IF your tool can keep up. AccuRanker can. Here are 6 ways we fix your scaling headaches 👇</t>
  </si>
  <si>
    <t>Ran from Mar 26, 2026 to Jun 5, 2026</t>
  </si>
  <si>
    <t>Ran from Mar 31, 2026 to Jul 10, 2026</t>
  </si>
  <si>
    <t>We're close to a new signup record!'  These were the words of Sara, when we spoke yesterday.  And honestly, it makes sense.  Over the past year, many of the conversations we've had with SEO teams have been pretty similar. With the rise of LLMs, everyone is simply trying to make sense of a search landscape that no longer looks like it used to.  This is exactly what we'll be talking about tomorrow during our live webinar with OuterBox.   If you haven't already signed up, now is the last chance to do so!   📅 January 28th, 11am CST 🎙️ Jay Mattison (OuterBox) 🎙️ Mikkel Wegener Nielsen (AccuRanker)  📹 Can’t make it live? Register anyway and get the recording.  👉 Sign up now: https://lnkd.in/ezrUvRar</t>
  </si>
  <si>
    <t>Ran from Jan 27, 2026 to Jan 28, 2026</t>
  </si>
  <si>
    <t>Wondering if your brand shows up in LLMs, and how it performs? Here’s how quickly you can go from zero setup to actionable insights 👇</t>
  </si>
  <si>
    <t>Ran from Mar 6, 2026 to Sep 8, 2026</t>
  </si>
  <si>
    <t>Everyone says “AI is killing organic traffic”.  While that explanation feels convenient, it’s not the entire story.  Because something else changed at the same time.  Ads quietly expanded. Search became more pay-2-play.  A recent SERP analysis by Aleyda Solís comparing January 2025 vs January 2026 across multiple industries confirms this, and we’re seeing the same trend in our dataset.  The biggest shift is not AI Overview.  It’s ads. Text ads in particular.  Across the industries studied:  • Traditional organic click share declined significantly • Text ads increased by roughly 7–13 percentage points • Zero-click behaviour stayed relatively stable  And in product-heavy searches (here it gets wild):  Paid results now capture close to one-third of all clicks.  So the clicks didn’t just disappear because of AI.  They moved.  From organic listings → to paid placements.  Which creates a predictable cycle:  Less organic visibility  → Brands rely more on paid  → More advertisers enter the auction  → Search exposure becomes more expensive  → Organic space becomes harder to win So, what should you do?  1. Don’t frame this purely as an “AI problem.” Review how much ad space exists in your target SERPs today compared to last year.   2. Look beyond rankings and start monitoring SERP layout. Ranking #2 beneath several ads and features is very different from ranking #2 on a clean page. AccuRanker’s SERP snapshot tool or Top100 report is great for this.   3. Expand investments to where attention still converts: video content, user-generated content, strong brand signals, and entity authority.  4. Break down the wall between SEO and paid. Your organic insights should actively guide your paid search strategy.  Search isn’t dying.  What’s changed is where the attention goes.  More clicks go to paid results. Some users get their answers without leaving Google. And some attention goes to third-party platforms that appear directly in the search results.  Have you noticed this same development during your own searches?</t>
  </si>
  <si>
    <t>#2 #2</t>
  </si>
  <si>
    <t>Ran from Mar 6, 2026 to Jul 10, 2026</t>
  </si>
  <si>
    <t>With our native Looker Studio and BigQuery integrations for AccuLLM, it’s easier than ever to monitor, analyze, and share the impact of your LLM performance!👇  The Looker Studio integration makes it easy to visualize your LLM performance, report on results, and share insights with stakeholders. Use our pre-made template, build your own LLM dashboard, or combine rank tracking and LLM data in one dashboard.  With the BigQuery integration, you can access your AccuLLM data alongside other datasets for faster and more in-depth analysis. This is ideal for you who work with large amounts of data that need to be stored, processed, and analyzed 📊  Find them under ‘Integrations’ in the app!  If you are not using AccuLLM yet, let us have a chat about how we can help you 👇</t>
  </si>
  <si>
    <t>IYKYK</t>
  </si>
  <si>
    <t>AI models like ChatGPT mention brands every day. AccuLLM shows you what they say about your brand, and how you rank against competitors 👇</t>
  </si>
  <si>
    <t>Digital PR = more AI brand mentions in 2026.  Digital PR used to be fairly “straightforward”. You secured a feature, got a backlink, helped a page rank (simply put).  Don’t get me wrong - that is still a big part of it.  What’s changed is who we’re building authority for. It’s not just search engines anymore. Now it’s also answer engines (LLMs).  And when you look at how AI surfaces brands, different patterns show up:  - Consistent and branded web mentions correlate more strongly with visibility in AI overviews than classic backlink metrics (Ahrefs).   - 85% of brand mentions in AI search come from third-party content, not brand-owned sites (AirOps Research).  - In fact, LLMs have been proven to consistently pull facts and recommendations from trusted third-party sources like Reddit, LinkedIn, Wikipedia, reports, and expert articles (Semrush).   Google has also been fairly explicit about this shift.   As Robby Stein, VP of Product at Google Search, put it: “If you’re mentioned in top business lists or public articles people actually find, those become useful for the AI to reference.”  In short: A mention in a trusted report, an expert quote, or a discussion in a comment section on a trusted forum now carries more weight - not because links have become less important, but because AI models rely more on context, repetition, and consensus to form recommendations.  In my opinion, securing brand mentions is shaping up to be one of, if not the most, important digital PR activity in 2026.  What do you think?</t>
  </si>
  <si>
    <t>Ran from Feb 17, 2026 to May 12, 2026</t>
  </si>
  <si>
    <t>More clients. More keywords. More pressure. That's agency SEO in a nutshell. See how OuterBox handles AI Overviews, local SEO &amp; client reporting at scale👇</t>
  </si>
  <si>
    <t>Strong agency-client relationships are built on trust and clarity. Transact is a great example of this. See what they do differently from other agencies 👇</t>
  </si>
  <si>
    <t>Ran from Mar 2, 2026 to Sep 8, 2026</t>
  </si>
  <si>
    <t>Ran from Feb 27, 2026 to Mar 13, 2026</t>
  </si>
  <si>
    <t>As SEO Sherpa began managing more keywords for their clients, the team needed a better way to track rankings &amp; deliver reports. Here's what they did👇</t>
  </si>
  <si>
    <t>Are you navigating the shift from monitoring keyword rankings to measuring LLM visibility? Here’s what to look for when choosing your LLM tracker 👇</t>
  </si>
  <si>
    <t>Ran from Mar 7, 2026 to Sep 8, 2026</t>
  </si>
  <si>
    <t>SEO success isn’t just about rankings anymore.  You can be ranking #1 on Google and still miss out on visibility if your brand isn’t showing up in AI-generated answers.   That’s just the reality right now as LLMs and AI-powered SERPs have become part of how people search, compare, and make decisions.  As search behavior changes, the way we think about SEO performance needs to change too.  That’s why, on January 28th at 11am CST, @AccuRanker is hosting a live webinar together with @OuterBox on how modern SEO teams are adjusting their KPIs to reflect this change - and how they’re measuring SEO success in a time when rankings no longer tell the full story.  🎙️ Jay Mattison, Director of SEO Operations at @OuterBox 🎙️ Mikkel Wegener Nielsen, CRO at @AccuRanker  We’ll walk you through how top teams are evaluating SEO today, including: - Visibility beyond traditional blue links - Share of Voice across SERPs and AI answers - Search intent signals - Revenue impact (not just traffic)  If you work with SEO - agency-side or in-house - this session will give you a practical way to think about SEO performance in an AI-influenced search landscape.  🗓️ January 28th, 11am CST 📹 Can’t make it live? Register anyway and get the recording.  Register here 👉 https://lnkd.in/eKFhaDHk</t>
  </si>
  <si>
    <t>Ran from Jan 23, 2026 to Jan 27, 2026</t>
  </si>
  <si>
    <t>Our moody tiger has been working hard on self-improvement 🐯 And now he’s better than ever at spotting Google’s ranking fluctuations.  What’s new 👇  - Grump now tracks a significantly larger dataset  - His calculations have been adjusted to Google's top 100 shenanigans  - Ratings and insights are more accurate than ever before  What's not new 👇  - It's still 100% free to use!  Want to keep an eye on ranking fluctuations on Google in real-time?  Grump got you covered.   Click below to try it out - no signup needed.</t>
  </si>
  <si>
    <t>Ran from Jan 9, 2026 to May 5, 2026</t>
  </si>
  <si>
    <t>SEO teams are starting to realize something uncomfortable:  With the rise of LLMs in search, SERP rankings no longer tell the full story.  So, how do you go about measuring your SEO success in a time like this?  On January 28th at 11am CST, my colleague Mikkel is co-hosting a live webinar with our friends from OuterBox, showing how top SEO teams are adjusting their KPIs, and measuring SEO success in the AI era.   🎙️ Jay Mattison, Director of SEO Operations at OuterBox 🎙️ Mikkel Wegener Nielsen, CRO at AccuRanker  During this sessions they will talk about:  - Measuring SEO visibility where rankings fall short - Understanding presence in AI answers and modern SERPs - Connecting SEO performance to real business outcomes  If you work with SEO - in-house or agency-side - you don’t want to miss this.  🗓️ January 28th, 11am CST 📹 Can’t make it live? Register anyway and get the recording.  Register here 👉 https://lnkd.in/eKFhaDHk</t>
  </si>
  <si>
    <t>LLM visibility IS NOT just an SEO task…!  Simply put:  When a user asks an AI engine about a brand, product or industry, the LLM is not just ranking links.  It’s generating a narrative. It’s selecting which facts to highlight. It’s shaping brand reputation in real-time.  If that answer is wrong, outdated, biased, or hands the spotlight to a competitor, that’s not just an SEO issue:  That’s a brand problem. A legal risk. A content failure. A PR crisis.  And worst of all..  I just put that previous line there for dramatic effect.  Anyway…  Has your Head of Brand, Content, PR, Comms, Marketing, Legal - you name them - started paying some attention to how the LLMs talk about your brand - or is it still siloed in SEO? 👀</t>
  </si>
  <si>
    <t>Ran from Jan 23, 2026 to Jan 28, 2026</t>
  </si>
  <si>
    <t>8:54am – Coffee ☕ 8:56am – Inbox already feels aggressive. 9:01am – Client email: “Are we showing up in ChatGPT?” 9:03am – You know exactly what they’re asking. 9:04am – You also know you don’t have the answer. 9:10am – Client follows up: Are any of our competitors there? 9:15am – You consider logging off again.  Agency SEO was already part SEO, part chaos management. The addition of LLMs in search has not made it any less chaotic.  That’s why the strongest teams aren’t debating whether LLMs matter anymore.  They’re putting systems in place that let them:  1. See where brands actually appear &amp; rank inside AI answers  2. Understand which prompts trigger mentions (and which don’t)  3. Compare visibility against competitors without manual digging  4. Automate reporting so clients and management stay informed  5. Answer questions related to LLM visibility without saying“it depends”  LLM tracking is still in the early stages. Which makes it an opportunity.  You can either be reactive - or you can be the agency that has the answers ready to go when clients invade your inbox with questions about AI visibility.  Be the agency that knows, not the one that guesses.</t>
  </si>
  <si>
    <t>Ran from Dec 19, 2025 to Jul 10, 2026</t>
  </si>
  <si>
    <t>Ran from Jan 24, 2026 to Jan 28, 2026</t>
  </si>
  <si>
    <t>Ran from Dec 15, 2025 to Jul 10, 2026</t>
  </si>
  <si>
    <t>Google Num100 🥴 March 2024 core update 🤬 AI Overviews rolling out globally 😩  If you’ve been doing SEO for the past few years, I don’t need to explain these.  You may even recall the panic, frustration, and confusion as dashboards lit up, rankings jumped, and visibility dropped or spiked overnight.  And with it came the question: was this unique to your site, or was something bigger going on?   That's why we created our “Google Grump Rating”.  A free tool that utilizes @AccuRanker’s AI Search Volume (a SV metric combining data from GSC, Google Keyword Planner, and Google Trends) to accurately track Google’s ranking fluctuations:  - Globally - In real time - Across devices  When your rankings suddenly look wrong, this is the first place to check: https://lnkd.in/eipDdHQT  Don’t forget to bookmark it, so the next time you suspect Google is acting up, you can confirm or deny it right away.</t>
  </si>
  <si>
    <t>Ran from Jan 22, 2026 to Feb 11, 2026</t>
  </si>
  <si>
    <t>You work with SEO every day. But how often do you get to look beyond your own data?  At AccuRanker, we have access to tons of aggregated keyword and prompt data, which enables us to identify patterns that individual setups cannot.  Now, instead of deciding internally what we think would be interesting, we want to start the year by inviting SEO professionals like yourself to pitch in.  So, my question to you is:  What are you curious about?  Is there an analysis you think the industry is missing? A question you’ve never had enough data to answer?  A hypothesis you’ve wanted to test - but couldn’t?  It could be big. It could be small.  I’ve got my pen out.  Now is the time to drop a comment below, and I’ll run your suggestion by our data 🦈👇  #SEO #AccuRanker #RankTracking #LLM #Keywords</t>
  </si>
  <si>
    <t>#SEO #AccuRanker #RankTracking #LLM #Keywords</t>
  </si>
  <si>
    <t>Ran from Jan 8, 2026 to Jan 29, 2026</t>
  </si>
  <si>
    <t>Ran from Jan 24, 2026 to Jan 27, 2026</t>
  </si>
  <si>
    <t>Ran from Jan 8, 2026 to Jan 27, 2026</t>
  </si>
  <si>
    <t>Ran from Jan 9, 2026 to Sep 8, 2026</t>
  </si>
  <si>
    <t>SEOs, content teams, agencies, brand managers, PR people - LLM tracking is relevant for all of you. Here's everything you need to know 👇</t>
  </si>
  <si>
    <t>Ran from Dec 3, 2025 to Sep 8, 2026</t>
  </si>
  <si>
    <t>If you don’t track your presence in LLMs like ChatGPT, and adapt accordingly, you’re handing over visibility - and customers - to competitors who do 👇</t>
  </si>
  <si>
    <t>Ran from Dec 1, 2025 to Sep 8, 2026</t>
  </si>
  <si>
    <t>SEOs have two blind spots: how they rank on the SERP - and how they appear inside LLMs. Most tools solve one, but AccuRanker solves both. Learn how 👇</t>
  </si>
  <si>
    <t>Ran from Dec 1, 2025 to Jan 9, 2026</t>
  </si>
  <si>
    <t>AI models mention brands daily - sometimes incorrectly. With AccuLLM you'll know what they say about you, and if it matches your intended brand image 👇</t>
  </si>
  <si>
    <t>Why is your mascot a tiger and why is he named Grumpy?   Honestly at first I had no idea myself, but here is the origin story revealed:  It actually started as an internal joke, because everyone in SEO knows the feeling when ranking have some 'wild' fluctuations. - All of a sudden.   Or when Googles comes with another update- happy days 😂   We wanted to embrace the emotions we all experience, like the monday in september, where Google made it harder to scrape top 100.. I think we all got a bit grumpy, especially the ones of us who didn't even get a coffee before the chaos started.   Thats why Grumpy is shown in our tool, when he is chilled - everything is good, when he is Grumpy the ranking is volatile. 🐅   If you more often than not catch urself feeling a bit 'Grumpy' feel free to reach out, maybe we are able to help lighten the mood 😄   So when you are ready to talk about it, you can book me in for an intro here: https://lnkd.in/ei98kg65 😉   #AccuRanker #Grumpy #SEO #Ranks #Google</t>
  </si>
  <si>
    <t>#AccuRanker #Grumpy #SEO #Ranks #Google</t>
  </si>
  <si>
    <t>Ran from Dec 4, 2025 to Feb 27, 2026</t>
  </si>
  <si>
    <t>Ran from Dec 11, 2025 to Jan 5, 2026</t>
  </si>
  <si>
    <t>Is LinkedIn the new SEO cheat code? 🤔  Let’s talk about it.   AIO has taken over the top position on the SERP. No surprise there.   But earlier this year, something new started happening inside the AIO boxes: LinkedIn posts and articles began showing up as sources.  Not from LinkedIn itself, but from creators on the platform.  This was quite a big deal, as it gave creators a chance to get featured in AI overviews by tapping into LinkedIn’s authority.  But, is it worth optimizing your LinkedIn content for AIO, and if so, what should you pay attention to?  After looking into it, here’s what I found across ~122 million AIOs:   1) In early 2025, LinkedIn content was featured in AIO ~ 1.6% of the time for informational queries (0.8% for buying-intent queries).   2) It peaked mid-year at ~4.2% for informational queries (1.3% for buying intent).  3) Late Q3, it started declining, settling at ~1.4% (informational) and ~0.5% (buying intent).  What the data shows is pretty simple:  Google features creator content in AIO, but at a relatively low rate.   Google mostly leans on LinkedIn for informational queries where it wants expert takes, practical frameworks, and personal experiences.   The type of content (most) users post on LinkedIn every day.  So, can LinkedIn be considered an SEO cheat code? Not quite.  But it is a legitimate channel for increasing your AIO presence - if done right.  So, how can you get featured?  Here’s what I found works the best:   Pick a few topics and talk about them consistently.  Write short, punchy lines (max two per paragraph).  Prioritize practical, “do-this” or “how-to” information.  Use lists (like this one) - they’re LLM-friendly.  Keep the language and structure clear and simple.  (Like how I’ve done in this entire post)  That’s it!</t>
  </si>
  <si>
    <t>Ran from Dec 5, 2025 to Feb 18, 2026</t>
  </si>
  <si>
    <t>With AccuRanker, we have saved 3 days per month of highly manual work compiling &amp; sending client reports' - Matt Burns, SEO Division Lead. See how 👇</t>
  </si>
  <si>
    <t>“Are we showing up in LLMs like ChatGPT?” Your SEO clients will ask. Will you have the answer? With AccuLLM, you'll be the agency with all the insights 👇</t>
  </si>
  <si>
    <t>Ran from Dec 1, 2025 to Jan 29, 2026</t>
  </si>
  <si>
    <t>Ran from Dec 1, 2025 to Feb 11, 2026</t>
  </si>
  <si>
    <t>Ran from Dec 4, 2025 to Sep 8, 2026</t>
  </si>
  <si>
    <t>Ran from Dec 1, 2025 to Dec 10, 2025</t>
  </si>
  <si>
    <t>Ran from Dec 2, 2025 to Sep 8, 2026</t>
  </si>
  <si>
    <t>The fight for AI shelf space continues this holiday season! 🥊   Target recently launched its new shopping experience directly within ChatGPT, enabling customers to discover and purchase products without ever leaving the chat.  And they’re not alone - Walmart did the same thing. 💡   Additionally, OpenAI just announced the launch of ChatGPT Shopping Research - a new feature that makes it even easier to find and compare products without opening your web browser, let alone juggling multiple open tabs.  These moves aren’t experiments. They’re signals that OpenAI and major retailers are proactively adapting to (and facilitating) shifts in customer behavior by embracing LLMs as the new “digital shelf”, where research starts, buying decisions happen, and visibility turns into revenue.  And the fact of the matter is: If you’re not being mentioned in the AI answers, you’re essentially invisible to a lot of potential customers.  So the question for you heading into this holiday season is:  Is your brand being mentioned in AI answers, or are you quietly losing shelf space to competitors who are moving faster?  Without tracking your LLM visibility, you’ll have no way of knowing. 🤷♂️   Luckily, Q4 is the best time to measure this. Customer volume is high, intent is high, and LLM outputs are more revealing than at any other point in the year.  Start tracking your LLM visibility.  #SEO #LLM #ChatGPT #GEO #AISearch</t>
  </si>
  <si>
    <t>#SEO #LLM #ChatGPT #GEO #AISearch</t>
  </si>
  <si>
    <t>Ran from Nov 27, 2025 to Nov 28, 2025</t>
  </si>
  <si>
    <t>They have a combined 26 years of experience in SEO. In this case, they reveal the process they built to merge SERP and LLM insights into a single workflow 👇</t>
  </si>
  <si>
    <t>Ran from Nov 26, 2025 to Dec 15, 2025</t>
  </si>
  <si>
    <t>They have 26 years of combined SEO experience - and still hit a point where the numbers didn’t add up.  Jamie and Michael from Eagle Eyed Digital saw rankings stay solid while impressions and clicks fell off a cliff.  The problem wasn’t their SEO. It was a gap in how visibility was measured.   Today, people don’t just search on Google. They also ask ChatGPT, Gemini, and Perplexity. And zero-click results mean fewer users ever reach a website - even when rankings look “great.”  So, Jamie and Michael rebuilt their strategy to merge SERP and LLM insights into one workflow.  Here’s what it looks like 👇  1. Keyword research and intent mapping Analyse keyword demand and intent, separating commercial from informational queries to align insights with business priorities.  2. SERP-level insights Track approved keywords in AccuRanker and review SERP snapshots and search volumes to identify patterns, opportunities, and intent signals across organic and AIO responses.  3. LLM question modelling Use SERP insights to surface natural-language prompts in ChatGPT, Gemini, and other LLMs, validating them against AccuLLM’s prompt suggestions.  4. Prompt categorisation Group prompts into intent-based clusters, track them in AccuLLM, and validate with clients to ensure content planning reflects real customer questions and commercial themes.  5. Upload and reporting setup in AccuRanker Import prompts, map them to keyword groups, tag by theme or funnel stage, and configure reports that combine SERP and LLM visibility insights.  6. LLM tracking and trend analysis Monitor brand mentions, sentiment, and visibility trends across LLMs, pairing them with SERP data for a complete, scalable view of organic and LLM performance.  Before: “You’re ranking well = performance is good.”  After: “Here’s exactly how your brand performs on Google and in AI answers”  This is what modern organic visibility should look like.  Full case study here 👇  https://lnkd.in/dhGpdMvP</t>
  </si>
  <si>
    <t>Ran from Nov 20, 2025 to Sep 8, 2026</t>
  </si>
  <si>
    <t>Q4… the season of joy, panic, and approximately 47 overlapping deadlines.  You’re buying Christmas gifts, juggling holiday plans, wrapping up reporting, fighting for next year’s budget, and pretending everything is totally fine 🫠    -Your customers ask about it. -Your boss asks about it. -And deep down, you know you probably need to look into it.   If you want a quick walkthrough of what we’re doing with LLMs at AccuRanker, you can book in a chat with me here: https://lnkd.in/ei98kg65  Let's sum up the questions you have in an affective 30 minutes instead of looking into it all by yourself.  #AccuRanker #LLM #AI #SEO #GEO</t>
  </si>
  <si>
    <t>#AccuRanker #LLM #AI #SEO #GEO</t>
  </si>
  <si>
    <t>Ran from Nov 26, 2025 to Nov 28, 2025</t>
  </si>
  <si>
    <t>Unlike keywords, AI prompts don’t come with search volumes or historical data. So, how do you identify which prompts to track? You start with this blog post 👇</t>
  </si>
  <si>
    <t>Ran from Nov 20, 2025 to Nov 28, 2025</t>
  </si>
  <si>
    <t>Ran from Nov 27, 2025 to Dec 3, 2025</t>
  </si>
  <si>
    <t>Why settle for 50% SEO insights? With AccuRanker, you'll know exactly how you rank on the SERP AND across various LLMs like ChatGPT, Gemini, and Perplexity.</t>
  </si>
  <si>
    <t>Ran from Nov 11, 2025 to Feb 26, 2026</t>
  </si>
  <si>
    <t>There are two major 'blind spots' in SEO: 1. Keyword Rankings. 2. LLM visibility. Most tools solve one - AccuRanker solves both 👇</t>
  </si>
  <si>
    <t>Ran from Nov 17, 2025 to Nov 17, 2025</t>
  </si>
  <si>
    <t>Are we showing up in ChatGPT?' Your clients will be asking. Will you be able to answer? With AccuLLM, you can. See how it works 👇</t>
  </si>
  <si>
    <t>Ran from Nov 7, 2025 to Nov 17, 2025</t>
  </si>
  <si>
    <t>A few months ago, an infographic based on a Semrush study began circulating, showing what sources AI cites the most.  Reddit topped the list, followed by Wikipedia, YouTube, and Google.   Naturally, Reddit quickly became a focal point for many marketers.  But that may have been a mistake.  Here’s why 👉 According to recent research from First Page Sage (link in the comments), the Semrush study doesn’t tell the whole story, as it’s primarily based on research-intent queries.   For example, Reddit was found to be heavily cited for queries like:  “Where should I travel in Europe?” or “How does AI search work?”  But what does it look like when the intent changes?  First Page Sage found that Reddit, Quora, and other similar platforms account for only 11% of the LLMs’ (ChatGPT, Perplexity, and Gemini) commercial recommendations.  In other words, if you want your product or service recommended by AI models, focusing on Reddit will have a minimal impact.   For further confirmation, the team at First Page Sage dug deeper, analyzing over 36,000 buying-intent queries.  The result? The image flipped completely.   Here’s what AI cites when people want to buy 👇  1. Product recommendation sites: Wirecutter, TechRadar, Tom’s Guide  2. Review platforms: Trustpilot, G2, BBB  3. Media outlets: Forbes, Wired, The Verge  4. YouTube and video reviews  5. SaaS directories: Clutch, UpCity, Capterra  Meanwhile…  Reddit? 12th place.  Wikipedia? 16th.  Social platforms? 17th.   The takeaway?  Query intent matters. People trust different sources depending on whether they’re researching or ready to buy, and LLMs mirror that behavior when determining what sources to cite. Thus, when choosing which sources to optimize for, you need to consider both query intent and your content objectives.  P.S. AccuRanker specializes in high-volume rank tracking and LLM tracking for SEO agencies and enterprise teams. Visit us at: https://lnkd.in/diZT3sVz</t>
  </si>
  <si>
    <t>Ran from Nov 13, 2025 to Jul 10, 2026</t>
  </si>
  <si>
    <t>Here’s 7 simple methods for identifying which AI prompts to track 👇  1. Start with your keywords  Turn your priority and long-tail keywords into natural questions: “How do I…”, “Best way to…”, “Tool for…”. These are often the type of phrases people type into LLMs.  2. Monitor AI Overview triggers  Use a tool like AccuRanker to track which keywords trigger AI Overviews in the SERP. Those queries already receive AI-generated answers, so they’re strong candidates for prompt tracking.  3. Analyze “People Also Ask” boxes  Type in a high-value keyword, export the relevant PAA questions, and test them directly as prompts. Many of them are already written in prompt-style language. AccuRanker’s full serp report is a helpful tool for exporting PAA.  4. Ask the LLMs  Use prompts like:   “What questions do people ask about [topic]?” “Suggest 10 prompts someone might use when researching [keyword].”  Use the output to discover phrasing patterns and missing angles.   5. Review Q&amp;A forums  Reddit, Quora, and niche communities are full of questions that resemble prompts. Focus on recurring problems, comparisons, and “how do I…” questions related to your product or service category.  6. Map prompts to core business areas List your key product areas, features, or services. For each one, write prompts that match how a user would naturally describe their problem in an LLM. This helps you cover a wide range of prompts that are both commercially and strategically relevant to your business.  7. Leverage prompt suggestions  Some LLM tracking tools, including AccuLLM, provide prompt suggestions that are tailored to your brand, product, and industry. You can use these suggestions directly or as inspiration to generate your own prompts.  Do you have other methods I haven’t already covered? Let me know in the comments 👇</t>
  </si>
  <si>
    <t>From complex keyword data to 1,100+ page-one rankings. See how Funnel Boost Media used AccuRanker to scale SEO success &amp; build stronger client trust 👇</t>
  </si>
  <si>
    <t>Ran from Nov 19, 2025 to Nov 19, 2025</t>
  </si>
  <si>
    <t>Ran from Nov 11, 2025 to Mar 20, 2026</t>
  </si>
  <si>
    <t>Ran from Nov 11, 2025 to Dec 17, 2025</t>
  </si>
  <si>
    <t>“Are we showing up in ChatGPT, Perplexity, and AIO?” Your CEO will be asking. Will you be able to answer? 👇</t>
  </si>
  <si>
    <t>Ran from Nov 17, 2025 to May 12, 2026</t>
  </si>
  <si>
    <t>Are we showing up in ChatGPT?' Your CEO will be asking. Will you be able to answer? With AccuLLM, you can. See how it works 👇</t>
  </si>
  <si>
    <t>Ran from Nov 7, 2025 to Sep 8, 2026</t>
  </si>
  <si>
    <t>Ran from Nov 17, 2025 to Nov 28, 2025</t>
  </si>
  <si>
    <t>Ran from Nov 20, 2025 to Jul 10, 2026</t>
  </si>
  <si>
    <t>Are you showing up in ChatGPT? Who are you competing with for mentions? Are mentions positive or negative? Answer this, and much more, with AccuLLM 👇</t>
  </si>
  <si>
    <t>Ran from Nov 13, 2025 to Nov 28, 2025</t>
  </si>
  <si>
    <t>Ran from Nov 7, 2025 to Mar 9, 2026</t>
  </si>
  <si>
    <t>The way we search is evolving. Google is still #1, but more users - especially Gen Z - are turning to ChatGPT and other LLMs for answers. The big question is... 👇  Does your brand show up in ChatGPT, Perplexity, or AIO when they search?  With AccuLLM, you can finally see how often your brand is mentioned or used as a source, whether mentions are positive or negative, and who you’re competing with inside LLM-generated answers - and much more.  Click down below to check it out!</t>
  </si>
  <si>
    <t>Ran from Oct 23, 2025 to Nov 17, 2025</t>
  </si>
  <si>
    <t>LLM tracking? LLM visibility?  GEO tracking? What is it really about, and why should you care? Here's what you need to know 👇</t>
  </si>
  <si>
    <t>👉 “What are the differences between rank tracking and LLM tracking - especially when monitoring AIO?”  That’s easily one of the most asked questions we’ve gotten since adding LLM tracking to AccuRanker.  Let’s quickly talk about it. Rank tracking tells you what Google thinks of your site. It measures where your pages rank for specific keywords, whether those keywords trigger an AIO, and if your URL appears in (or owns) the AIO box at the top of the SERP.  → It’s about keywords, SERP rankings, links, and confirming your AIO presence.  LLM tracking, on the other hand, tells you what AI thinks of your brand. It helps you monitor how your brand or content is represented inside the AI-generated answers that ChatGPT, Gemini/AIO, and Perplexity stitched together - which, until now, has been a black box.  → It’s about prompts, and about capturing brand mentions, citations, sources, and sentiment - even when no clickable links are present - giving you a deeper understanding of your presence in e.g. AIO.  Why does this matter?  A few years back, everyone primarily fought for the top spots on Google.  Today, they also fight to be remembered by the AI models people now trust for answers.  If you’re not actively tracking both, you might be missing half of your brand’s visibility story.  P.S. AccuRanker offers innovative rank tracking and LLM tracking for SEO agencies and enterprise teams. We help you track, analyze, and report on keywords and prompt performance at scale. Visit us at: https://lnkd.in/dQF7rpya</t>
  </si>
  <si>
    <t>ChatGPT and other LLMs are reshaping SEO. But what does that actually mean? Here's what you need to know 👇</t>
  </si>
  <si>
    <t>Ran from Nov 7, 2025 to Nov 28, 2025</t>
  </si>
  <si>
    <t>Ran from Nov 6, 2025 to Dec 3, 2025</t>
  </si>
  <si>
    <t>Ran from Oct 23, 2025 to Oct 27, 2025</t>
  </si>
  <si>
    <t>Ran from Nov 6, 2025 to Nov 28, 2025</t>
  </si>
  <si>
    <t>Ran from Nov 7, 2025 to Nov 19, 2025</t>
  </si>
  <si>
    <t>Ran from Oct 23, 2025 to Oct 24, 2025</t>
  </si>
  <si>
    <t>Ran from Oct 21, 2025 to Oct 29, 2025</t>
  </si>
  <si>
    <t>Ran from Oct 21, 2025 to Oct 24, 2025</t>
  </si>
  <si>
    <t>“Are we showing up in ChatGPT, Perplexity, and AIO?” Your customers will be asking. Will you be able to answer? 👇</t>
  </si>
  <si>
    <t>Ran from Oct 21, 2025 to Oct 21, 2025</t>
  </si>
  <si>
    <t>Is your brand showing up in LLMs? Who are you competing with for mentions? Are mentions positive or negative? Answer this, and much more, with AccuLLM 👇</t>
  </si>
  <si>
    <t>Is your brand visible in LLMs? Who are you competing with for mentions? Are mentions positive or negative? Answer this, and much more, with AccuLLM 👇</t>
  </si>
  <si>
    <t>Ran from Oct 14, 2025 to Oct 16, 2025</t>
  </si>
  <si>
    <t>“Are we showing up in LLMs like ChatGPT, Perplexity, AI Mode, and AIO?” Your customers will be asking. Will you be able to answer? 👇</t>
  </si>
  <si>
    <t>Ran from Oct 14, 2025 to Oct 24, 2025</t>
  </si>
  <si>
    <t>Everyone asks, “Do we show up in LLMs like ChatGPT, Perplexity, AI Mode, &amp; AIO?”. Now AccuRanker gives you the answer. Track what others miss with AccuLLM 👇</t>
  </si>
  <si>
    <t>Is my brand visible in LLMs? Who am I competing with for mentions? Are mentions positive or negative? You can answer this, and much more, with AccuLLM 👇</t>
  </si>
  <si>
    <t>“Are we visible in LLMs like ChatGPT, Perplexity, AI Mode, and AIO?” Your customers will be asking. Will you be able to answer? 👇</t>
  </si>
  <si>
    <t>It's about god damn time! - AI Mode is finally available in most European countries, we can all finally stop testing with VPN's 🤣  Official update from Google: https://lnkd.in/dmwuAGQJ  PS: You can track AI Mode in AccuLLM: https://lnkd.in/d_QiahiH</t>
  </si>
  <si>
    <t>Ran from Oct 8, 2025 to Oct 31, 2025</t>
  </si>
  <si>
    <t>Ran from Oct 14, 2025 to Oct 29, 2025</t>
  </si>
  <si>
    <t>Ran from Oct 8, 2025 to Nov 5, 2025</t>
  </si>
  <si>
    <t>“Are we visible in LLMs like ChatGPT, Perplexity, AI Mode, and AIO?” Leadership and clients will be asking. Will you be able to answer? 👇</t>
  </si>
  <si>
    <t>🎉 AccuLLM is now live! 🎉  We are incredibly proud to share that you can now track prompts in ChatGPT, Perplexity, AI Overview, and AI Mode with AccuLLM 🤩  Look forward to: - Understanding your average rank across the LLMs. - Learning how often the LLMs mention your brand or domain. - Comparing your brand to competitors across average visibility, rank, and sentiment. - … and much more!  Do not miss this opportunity to understand when and how your brand is presented in AI answers.  Get your hands on our AccuLLM launch offer here 👉 https://lnkd.in/d29cYAKh</t>
  </si>
  <si>
    <t>Ran from Oct 2, 2025 to Oct 6, 2025</t>
  </si>
  <si>
    <t>The past month has been wild😅   Not long ago, we announced the launch of our LLM tracking, AccuLLM, and the response from the SEO community has simply been incredible!  Why?   Because with the addition of AccuLLM, AccuRanker now helps you cover not just one, but two of the biggest “blind spots” in SEO:  1. Keyword rankings  2. LLM visibility (ChatGPT, Perplexity, AI Overview, and AI Mode)  All in one platform.  Get more details about AccuLLM right here 👉 https://lnkd.in/dYVFg_AJ</t>
  </si>
  <si>
    <t>Ran from Oct 2, 2025 to Nov 13, 2025</t>
  </si>
  <si>
    <t>We all know LLM's is changing how we search for information.   Because of that we are launching our LLM tracking today, SEO can be tracked in many ways, so with our LLM tracking, we want to show you exactly how your brand shows up in LLMs like ChatGPT, Perplexity, Gemini (AIO), and AI mode.  How often is your brand being mentioned, is it in a good or bad lighting, what sources is the LLM using and trusting so you can optimize your visibility.   Curious to learn more, you can book me in for a quick chat via this link: https://lnkd.in/ei98kg65  #AI #LLM #ChatGPT #Perplexity #Gemini #SEO #BrandVisibility #AITrends</t>
  </si>
  <si>
    <t>#AI #LLM #ChatGPT #Perplexity #Gemini #SEO #BrandVisibility #AITrends</t>
  </si>
  <si>
    <t>Ran from Oct 2, 2025 to Oct 14, 2025</t>
  </si>
  <si>
    <t>There are two major 'blind spots' in SEO: 1. Keyword Rankings. 2. LLM visibility. Most tools solve one. Now AccuRanker solves both 👇</t>
  </si>
  <si>
    <t>Track what other miss with AccuLLM. See how often you are mentioned in LLMs, who your competitors are, if mentions are positive or negative, and much more 👇</t>
  </si>
  <si>
    <t>🎉 I feel like a kid on Christmas morning – AccuLLM is officially live! 🚀 To celebrate, we’re offering a special launch deal: Sign up for a demo today and get exclusive bonus prompts – free of charge. But hurry, this offer is only available until October 14th.  https://lnkd.in/dyaM_K4j</t>
  </si>
  <si>
    <t>Ran from Oct 2, 2025 to Oct 2, 2025</t>
  </si>
  <si>
    <t>Ran from Oct 2, 2025 to Oct 3, 2025</t>
  </si>
  <si>
    <t>CTR in organic search is broken! 🤦♂️   For years, static CTR models were the norm - you know, the ones assuming:  Position #1 = 31.2% Position #2 = 12.6% Position #3 = 8.6%  It seemed logical. Clean. Predictable.  But how do they handle today's dynamic SERPs?  They don’t.   They overestimate traffic. They ignore what users actually see and click. They make reports and forecasts unreliable.  It makes sense, though Static models were built for SERPs from a decade ago. 🦕   Today’s SERPs? They’re: - Cluttered. - Personalized. - Feature-packed. - Brand biased. - Mobile dominated.  The game has changed, and static models can’t keep up. At AccuRanker, we built a better solution.  Our AI CTR factors in more than 120 dynamic SERP variables in real-time, like:  - Pixel position - Search intent - SERP features  If you’re an SEO pro, strategist, or reporting to leadership, this matters. Because when you report traffic potential using outdated models… (many rank trackers still do!)   You lose insights. You lose credibility. You lose budget. 🥵  P.S. AccuRanker is an innovative rank tracker for SEO agencies and enterprises, built to track, analyze, and report on keyword performance at scale. Visit us at: https://lnkd.in/d7K7kYsW</t>
  </si>
  <si>
    <t>#1 #2 #3</t>
  </si>
  <si>
    <t>Ran from Sep 24, 2025 to Mar 2, 2026</t>
  </si>
  <si>
    <t>Ran from Oct 1, 2025 to Sep 8, 2026</t>
  </si>
  <si>
    <t>We asked over 100 SEO agencies about their struggles with rank tracking and what truly mattered to them. Then, we built the solution they actually needed.</t>
  </si>
  <si>
    <t>Ran from Oct 2, 2025 to Nov 28, 2025</t>
  </si>
  <si>
    <t>Ran from Sep 30, 2025 to Sep 8, 2026</t>
  </si>
  <si>
    <t>Too many teams. Too many tools. Not enough clarity. Whether you're managing multiples sites or thousands of keywords across diverse markets - we can help.</t>
  </si>
  <si>
    <t>Ran from Sep 30, 2025 to Nov 28, 2025</t>
  </si>
  <si>
    <t>What would you do with 12 extra hours every month? 💡   That’s how much time Hostinger’s SEO lead used to lose on reporting:   ❌ Manually exporting data from multiple tools ❌ Analyzing and grouping insights for 10+ domains ❌ Building reports from scratch ❌ Trying to make sense of what changed (and why)  By the time they were done, the data was already outdated due to the fast-paced and competitive nature of their industry.  Sound familiar? 😄  Then they switched to a more efficient strategy:   → Real-time keyword data segmented with auto-tagging  → Instant visibility into ranking shifts and trends  → Automated building and sharing of up-to-date reports  → Live dashboards with Share of Voice &amp; competitor insights Now?  “I can confidently say that AccuRanker’s reporting features save me at least 3 hours per week, amounting to 12 hours a month.”  - Kamiel Siegień, Technical SEO lead at Hostinger.   No complicated overhaul, just 12 extra hours per month spent on strategy, not spreadsheets.  Check out the full case: https://lnkd.in/dmW8AGr3</t>
  </si>
  <si>
    <t>Ran from Sep 24, 2025 to Sep 24, 2025</t>
  </si>
  <si>
    <t>🚀 Huge things are happening at AccuRanker!  Last week, we shared the biggest news in AccuRanker history — and the response has been incredible. More than 500 people have already signed up to stay tuned for what’s coming next. 🙌 (Hint, it rhymes with LLM Tracking)  We’re just getting started, and we can’t wait to show you what’s ahead.  👉 Haven’t signed up yet? Don’t miss out on: https://lnkd.in/dub_TpCi</t>
  </si>
  <si>
    <t>Ran from Sep 12, 2025 to Sep 24, 2025</t>
  </si>
  <si>
    <t>“Mikkel, we absolutely love your tool - There’s just one thing we need to renew our contract with AccuRanker”  This is the message I got from one of our biggest clients - What feature was he referring to?, tracking LLM performance of course. 🚀   That is why I’ve spent the last couple of months meeting with the leading agencies and in-house teams of the industry, to understand exactly how we can empower and deliver value to our partners.  And it’s also why we’re insanely excited to announce that LLM tracking will be coming to AccuRanker on the 30th of September. 🔥   Thank you to everyone who’s contributed with knowledge, know-how and sparring - Our clients are awesome!   Join the pre-launch list now (non-binding), and be among the first to:  - Qualify for an exclusive launch offer. - Get early access to product details. - Know about our plans and pricing.  Join the list here: https://lnkd.in/dub_TpCi</t>
  </si>
  <si>
    <t>AccuRanker is soon launching LLM Tracking – a new way to track and leverage Large Language Model Engines.  We’re opening up a pre-launch list for early access.  👉 Haven’t signed up yet? Don’t miss out on: https://lnkd.in/dpJ_RtXp</t>
  </si>
  <si>
    <t>8:57am – First coffee of the day☕ 9:01am – Client email: “Rankings dropped. What happened?!” 9:04am – Slack ping: “Can you create a simple report for management?” 9:06am – Another client questions if SEO is actually worth it. “What’s the ROI?” 9:15am – Coffee’s cold.  Agency SEO is not just SEO. It’s bascially chaos management 😅  That’s why the best teams don’t just track rankings.   They have systems in place that help them:  Monitor thousands of keywords without drowning in data Spot and explain ranking drops before clients panic Prove the business impact of their work in $$$, not just traffic Make reporting painless so they can focus more on strategy  Strip away the chaos, and you simply get to do more of the fun stuff: help clients grow their business.  Shameless pitch: AccuRanker can help you with all of the above. Here’s how: https://lnkd.in/dij_HXvW</t>
  </si>
  <si>
    <t>Ran from Sep 24, 2025 to Jul 10, 2026</t>
  </si>
  <si>
    <t>5 FREE tickets to brightonSEO San Diego (Sep 23-24, 2025) - worth $910 each.  Want the free tickets?  Comment “AccuLLM” and tag your teammates.  I’ll pick 1-2 teams to take all 5 tickets - go learn, network, and grab a AccuRanker grumpy tiger hoodie.  Side note: AccuLLM has passed 900+ pre-release signups (launching Sep 30, 2025). Still #1 for AI visibility, rank tracking, dynamic CTR, forecasting, and reporting - that leadership cares about. DM me for a pre-release demo.  I'll pick the winners on Saturday, Sep 20, 2025. Make sure we’re connected.</t>
  </si>
  <si>
    <t>🚨 You said you wanted LLM tracking 🚨   So we built it — right into the product you already use and trust. We’re launching our own LLM on September 30.  Fully integrated. No switching. No extra tabs. No BS.Here’s what to do now:   𝐉𝐨𝐢𝐧 𝐭𝐡𝐞 𝐩𝐫𝐞-𝐥𝐚𝐮𝐧𝐜𝐡 𝐥𝐢𝐬𝐭 𝐭𝐨 𝐛𝐞 𝐚𝐦𝐨𝐧𝐠 𝐭𝐡𝐞 𝐟𝐢𝐫𝐬𝐭 𝐭𝐨: ▪️ Qualify for a special launch offer. ▪️Get early access to product details. ▪️Know about our plans and pricing.  Signups are non-binding. Secure your spot  here → https://lnkd.in/eFUMbsSe  #LLM #AI #Launch #SEO #NoMoreToolOverload #BuiltWithUsers</t>
  </si>
  <si>
    <t>#LLM #AI #Launch #SEO #NoMoreToolOverload #BuiltWithUsers</t>
  </si>
  <si>
    <t>Ran from Sep 18, 2025 to Sep 24, 2025</t>
  </si>
  <si>
    <t>Ran from Sep 5, 2025 to Sep 24, 2025</t>
  </si>
  <si>
    <t>AccuRanker’s product team finally let me spill the tea!! LLM Tracking drops Sept 30.  C-levels and agency clients kept asking: “How are we ranking in ChatGPT, Perplexity, and Gemini?”  Nobody could answer. SEOs were flying blind.  So we built it.  With input from leading SEO teams across ecommerce, travel, finance, and agencies to make this not just functional - but essential.  - To answer stakeholder questions - To drive real strategy - To prioritize and show what actually moves the needle  Lightning fast and scalable, like the rest of the tool.  Early access, pricing, and a launch offer via the pre-launch list here --&gt; https://lnkd.in/d-fKaVek</t>
  </si>
  <si>
    <t>This is by far the biggest release during my time at AccuRanker!  The LLM tracking will contain these features: 1. Prompt tracking monitoring both domain mentions and brand mentions. 2. Metrics like Avg. ranking + Share of Voice 3. Full 'Live' answer - Rendering and showing the exact answer we base our data on 4. Sources -&gt; Understand what content is performing in LLM's 5. Can't disclose 6. Can't disclole 7. Definitely can't disclose (my manager will kill me) Etc..  Join our pre-launch list to qualify for an exclusive offer and be among the first to learn more about our LLM tracking features, use cases, and pricing over the next four weeks 👇  https://lnkd.in/dwPjcCiT</t>
  </si>
  <si>
    <t>Ran from Sep 3, 2025 to Sep 24, 2025</t>
  </si>
  <si>
    <t>Ran from Sep 11, 2025 to Sep 15, 2025</t>
  </si>
  <si>
    <t>Ran from Sep 11, 2025 to Sep 24, 2025</t>
  </si>
  <si>
    <t>Ran from Sep 12, 2025 to Sep 15, 2025</t>
  </si>
  <si>
    <t>Ran from Aug 5, 2025 to Jan 27, 2026</t>
  </si>
  <si>
    <t>Ran from Aug 5, 2025 to Mar 20, 2026</t>
  </si>
  <si>
    <t>Ran from Aug 27, 2025 to Mar 20, 2026</t>
  </si>
  <si>
    <t>Nicklas Gravgaard  Hey, I saw you've been engaging with AccuRanker 🐯😊  'Oh hell no. Is he trying to get me on a call?'  Nope, not at all.  *Phew, sigh of relief*  I'm just trying to create more awareness around our platform.  So instead, we'd like to personally record and send you a short video tour of our app.  No longer than 5 minutes. Straight to the point.  There's a reason we've been trusted by thousands of SEOs since 2013.  I just hope for the chance to show you why.  Watch the video whenever you like - or don't. Who am I to decide 😄</t>
  </si>
  <si>
    <t>Ran from Aug 6, 2025 to Sep 15, 2025</t>
  </si>
  <si>
    <t>Ran from Sep 2, 2025 to Sep 8, 2026</t>
  </si>
  <si>
    <t>Ran from Sep 2, 2025 to Feb 27, 2026</t>
  </si>
  <si>
    <t>Ran from Aug 12, 2025 to Jul 10, 2026</t>
  </si>
  <si>
    <t>Ran from Sep 2, 2025 to Sep 11, 2025</t>
  </si>
  <si>
    <t>Our AI SV combines the strengths of GKP, GSC, and GT to deliver accurate search volumes split by device, adjusted for local intent, &amp; updated with historic trends.</t>
  </si>
  <si>
    <t>Ran from Sep 2, 2025 to Sep 24, 2025</t>
  </si>
  <si>
    <t>Ran from Aug 15, 2025 to Nov 28, 2025</t>
  </si>
  <si>
    <t>Ran from Aug 21, 2025 to Oct 1, 2025</t>
  </si>
  <si>
    <t>You didn't get into SEO to spend your time on reporting and spreadsheets 🥱 See how Hostinger saves 12 hours a month on reporting, and how you can too.</t>
  </si>
  <si>
    <t>Ran from Aug 5, 2025 to Sep 8, 2026</t>
  </si>
  <si>
    <t>Peec AI</t>
  </si>
  <si>
    <t>Paid for by Peec AI GmbH</t>
  </si>
  <si>
    <t>ChatGPT is the new shelf. The one buyers actually trust. And most brands have no idea whether their products are on it, where they're placed, or who's sitting next to them. Now you can see it. Paste your Shopify URL or upload your catalog directly — your products, their placement, and their competitors, live in minutes. Free to start: https://lnkd.in/ei-Nsz9C</t>
  </si>
  <si>
    <t>AI Search Intelligence, Brand Visibility &amp; Generative Engine Optimization</t>
  </si>
  <si>
    <t>Ran from Jul 6, 2026 to Jul 24, 2026</t>
  </si>
  <si>
    <t>Soon, AI won't just recommend products. It'll buy them. Shopify and Google are building the rails for AI agents to complete purchases. The brands that'll win that shift are learning how AI ranks their products now — while there's time to improve it. Peec shows where every product in your catalog stands today. https://lnkd.in/ei-Nsz9C</t>
  </si>
  <si>
    <t>Ran from Jun 26, 2026 to Jul 24, 2026</t>
  </si>
  <si>
    <t>We just shipped AI Shopping Analytics 🛍️  People use ChatGPT as their personal shopping advisor, and now you can track how your products are performing.  For every product in your catalog, you see: Visibility → how often it appears in AI shopping answers Position → where it ranks when it shows up, and which products appear next to it Attributes → the attributes ChatGPT uses to compare products in your category Mentioned price → the price AI quotes, checked against your catalog Where AI sends the buyer → your store, a marketplace, or a retailer  If you want to get ahead on the next platform where people make purchasing decisions at scale, you can start today.  → https://lnkd.in/d3YQnKM9</t>
  </si>
  <si>
    <t>$10m → $15m in 3 months.  On track to get to $25m EoY.  The team is absolutely crushing it 🔥.</t>
  </si>
  <si>
    <t>Ran from Jun 22, 2026 to Jun 26, 2026</t>
  </si>
  <si>
    <t>Somewhere in ChatGPT, a competitor's product is sitting in your slot. A shopper asked for exactly what you sell — and got recommended someone else. It happens daily, silently, and no report you run today would catch it. Connect your Shopify store and see who's taking your recommendations. Free to start: https://lnkd.in/ei-Nsz9C</t>
  </si>
  <si>
    <t>When ChatGPT recommends your products, where does it send the buyer? Your store, a marketplace, a third-party retailer — at portfolio scale, that answer is a margin line, not a curiosity. And right now it's invisible. Peec surfaces the destination for every product recommendation across your catalog. https://lnkd.in/ei-Nsz9C</t>
  </si>
  <si>
    <t>Someone asked ChatGPT for the best products in your category today. Were you in the answer? Whatever it said, the shopper trusted it — more than any search result or sponsored listing. What to buy, what works best, what's worth the price: those decisions happen in AI now. Connect your Shopify store and see which products ChatGPT recommends, where they rank, and who shows up next to them. Free to start: https://lnkd.in/ei-Nsz9C</t>
  </si>
  <si>
    <t>Ran from Jun 26, 2026 to Jul 6, 2026</t>
  </si>
  <si>
    <t>Right now, AI is presenting your products to buyers — without your input. The descriptions, the comparisons, the price it quotes, the alternatives it places beside you: all assembled by the engine, not your brand team. For premium brands, that presentation is the brand. Peec shows you exactly how AI presents every product, so you can manage it like any other surface. https://lnkd.in/ei-Nsz9C</t>
  </si>
  <si>
    <t>Ran from Sep 1, 2026 to Sep 9, 2026</t>
  </si>
  <si>
    <t>Prismic now plugs straight into your Peec AI visibility data and based on that suggest which pages you can create or update to get cited.  🎙️ We're hosting a live walkthrough next Thursday, June 25, with Malte Landwehr, François Bohyn (Prismic CRO) and Guy Proops – what AI visibility means for content teams in 2026, closing with a first look at the integration.  Live attendees get early access.  Save your seat → https://bit.ly/3SigtDx</t>
  </si>
  <si>
    <t>Ran from Jun 23, 2026 to Jun 25, 2026</t>
  </si>
  <si>
    <t>You can't win what you can't see. ChatGPT recommends products to your buyers every day — which ones, in what order, against whom. All of it invisible to your team, none of it in your reporting. Peec makes it visible: every product in your catalog, measured like the rest of your funnel. https://lnkd.in/ei-Nsz9C</t>
  </si>
  <si>
    <t>Shoppers ask ChatGPT what to buy. Your clients' products compete in those answers every day. Get them on the shelf: track which products AI recommends, at what position, against which competitors — per product, at catalog scale. https://lnkd.in/ei-Nsz9C</t>
  </si>
  <si>
    <t>How are we doing in AI?' is becoming a standing question in every leadership review. Right now most teams answer it with a feeling. The ones who answer with numbers — per product, versus competitors, week over week — will own that conversation for the next two years. Peec is the numbers. See your catalog's actual standing: https://lnkd.in/ei-Nsz9C</t>
  </si>
  <si>
    <t>AI agents will soon complete purchases on shoppers' behalf. Shopify and Google already published the protocol for it. The brands that will shape that shift are measuring their AI shopping position now — before agents transact, while there's still time to fix what they find. Peec tracks how AI recommends every product in your catalog, today. https://lnkd.in/ei-Nsz9C</t>
  </si>
  <si>
    <t>Track your clients' products in ChatGPT shopping: visibility, position, and competitors — per product, at catalog scale. One view per client, updated weekly, ready for the monthly report. The data layer for an AI shopping service. https://lnkd.in/ei-Nsz9C</t>
  </si>
  <si>
    <t>Ran from Jun 26, 2026 to Jul 5, 2026</t>
  </si>
  <si>
    <t>ChatGPT is the new shelf. The one buyers actually trust. And most brands have no idea whether their products are on it, where they're placed, or who's sitting next to them. Now you can see it — every product in your catalog, its placement, and the competitors beside it, tracked by category and week over week. See your shelf: https://lnkd.in/ei-Nsz9C</t>
  </si>
  <si>
    <t>Ran from Jun 19, 2026 to Jun 25, 2026</t>
  </si>
  <si>
    <t>Ran from Jun 19, 2026 to Jun 26, 2026</t>
  </si>
  <si>
    <t>Ran from Jun 18, 2026 to Jun 26, 2026</t>
  </si>
  <si>
    <t>AI shopping measurement, built for catalogs with thousands of products. Visibility, position, and competitive context for every SKU — across categories and markets, maintained continuously rather than sampled. The full catalog, not a snapshot. See what enterprise-scale coverage looks like on your own products: https://lnkd.in/ei-Nsz9C</t>
  </si>
  <si>
    <t>Ran from Jun 18, 2026 to Jun 25, 2026</t>
  </si>
  <si>
    <t>Purchase decisions are being made about your products every day — in conversations you can't see. What to buy, what works best, what's worth the price: shoppers settle it in ChatGPT now. For your team that's revenue-shaping activity with no data behind it. Peec turns it into numbers: per-SKU visibility, position, and win rate across AI shopping answers. https://lnkd.in/ei-Nsz9C</t>
  </si>
  <si>
    <t>ChatGPT doesn't recommend your brand. It recommends three specific products. Maybe yours, maybe a competitor's — decided answer by answer, SKU against SKU. Brand sentiment won't tell you who wins those; only product-level data does. Peec tracks all of it across your catalog: which products appear, where they rank, who they beat. https://lnkd.in/ei-Nsz9C</t>
  </si>
  <si>
    <t>Ran from Jun 20, 2026 to Jun 26, 2026</t>
  </si>
  <si>
    <t>Ran from Jun 17, 2026 to Jun 18, 2026</t>
  </si>
  <si>
    <t>🛒 AI shopping is the new storefront. We asked 12 ecommerce, SEO, and AI search experts how products get found, trusted, and bought in 2026 – and put it into The Future of AI Shopping report, with a little four-move playbook on top.  Inside: → what makes AI recommend one product over another → how focused brands beat giants in AI answers → where this all goes by 2027  Hear it from people watching this shift closely: Phillip Jackson, Brodie Clark, Andreas Reiffen, Callum Lockwood, Patryk Wawok, Lily Ray, Rodrigo Stockebrand, Peter Rota, Charlie Marchant, Freddie Chatt, Ethan Smith, Malte Landwehr  If AI commerce is on your radar this year – start here  https://lnkd.in/dH3BpGKA</t>
  </si>
  <si>
    <t>Ran from Jun 9, 2026 to Jun 16, 2026</t>
  </si>
  <si>
    <t>Ran from Jun 17, 2026 to Jun 17, 2026</t>
  </si>
  <si>
    <t>Ran from Jun 18, 2026 to Jun 18, 2026</t>
  </si>
  <si>
    <t>When leadership asks about AI search strategy, 'we're looking into it' isn't enough. Peec AI gives you a full visibility report, your brand vs. competitors, across every major AI platform, so you can walk in with data, not guesses.  Start your free trial →</t>
  </si>
  <si>
    <t>Ran from May 17, 2026 to Jul 2, 2026</t>
  </si>
  <si>
    <t>Brands in your category are monitoring AI search the way they once monitored Google rankings. Peec AI gives you the same intelligence, Visibility, Position, and Sentiment across ChatGPT, Perplexity, and Gemini, and shows you what they're doing to stay there.  Start your free trial →</t>
  </si>
  <si>
    <t>Ran from May 13, 2026 to May 13, 2026</t>
  </si>
  <si>
    <t>Every day buyers ask ChatGPT, Perplexity, and Gemini to recommend a tool like yours. Peec AI shows you whether you're in those answers, and how you stack up against your top 3 competitors. If they're showing up and you're not, you already know what to do.  Check your AI presence →</t>
  </si>
  <si>
    <t>Peec AI is built for agencies who want to monetise AI search, not just report on it. White-label every report with your branding. Manage all clients from one dashboard. Price AI visibility as a standalone service or bundle it into existing retainers. GEO is the new SEO add-on your clients will pay for.  Book Agency Onboarding →</t>
  </si>
  <si>
    <t>Ran from May 13, 2026 to Sep 8, 2026</t>
  </si>
  <si>
    <t>Ran from May 13, 2026 to Jul 2, 2026</t>
  </si>
  <si>
    <t>Every week, more clients are asking: 'Are we showing up in ChatGPT? What about Perplexity?' Agencies using Peec AI are the first to deliver an answer, with a branded report, competitor benchmarks, and a clear action plan. Don't be the agency that says they'll look into it.  Book Agency Onboarding →</t>
  </si>
  <si>
    <t>Ran from May 13, 2026 to Sep 9, 2026</t>
  </si>
  <si>
    <t>Ran from May 14, 2026 to Sep 8, 2026</t>
  </si>
  <si>
    <t>Ran from May 14, 2026 to Jul 2, 2026</t>
  </si>
  <si>
    <t>Peec AI tracks share of voice for your brand and top competitors across every AI platform — and turns that data into a clear, prioritized action plan. Know who's winning, where, and exactly what content is getting them there.</t>
  </si>
  <si>
    <t>Ran from Apr 21, 2026 to May 3, 2026</t>
  </si>
  <si>
    <t>Peec's flexible pricing is built for agencies managing clients at different scopes and budgets. Choose exactly which prompts and AI models to run per workspace. Offer clients precisely what they need — no over-engineering, no wasted spend.  Book Agency Onboarding →</t>
  </si>
  <si>
    <t>Ran from Apr 21, 2026 to May 4, 2026</t>
  </si>
  <si>
    <t>Ran from Apr 21, 2026 to Sep 8, 2026</t>
  </si>
  <si>
    <t>Peec analyzes which content types, sources, and topics drive AI visibility in your category — then tells you what to build to close the gap. Stop guessing what works. Start building what wins.  Check your AI presence →</t>
  </si>
  <si>
    <t>Peec AI tracks your brand's Visibility, Position, and Sentiment across every major AI platform — and shows you exactly where you're losing ground and what to do about it.</t>
  </si>
  <si>
    <t>Peec AI is the only AI search visibility platform built for the way agencies work All your client accounts in one place. Seamlessly switch between workspaces. Unlimited seats. White-label reports. Pricing built to scale.  Book Agency Onboarding →</t>
  </si>
  <si>
    <t>Every day, buyers ask ChatGPT, Perplexity, and Gemini to recommend tools like yours. Peec AI shows you where you appear, where you don't, and what content changes will move your position. First data in 24 hours.  Check your AI presence →</t>
  </si>
  <si>
    <t>Ran from Apr 21, 2026 to Sep 9, 2026</t>
  </si>
  <si>
    <t>AI search is the fastest-growing discovery channel. Peec AI helps you capture this growth with Actions - your roadmap to visibility. Track mentions across ChatGPT, Perplexity, Claude, and Gemini. Get prioritized opportunities scored by impact. Execute with step-by-step guidance.  Learn more and sign up today!</t>
  </si>
  <si>
    <t>We believe that with the right tools 👋 and the right help, AI search can become your fastest growing channel in 2026. So we handpicked trusted agencies who can help you turn AI visibility insights into rankings, traffic, and revenue.  From GEO audits and content optimization to digital PR, brand building, technical SEO, and AI commerce - find specialists for every piece of the puzzle!</t>
  </si>
  <si>
    <t>Ran from Mar 3, 2026 to Jun 27, 2026</t>
  </si>
  <si>
    <t>Ran from Mar 12, 2026 to Mar 26, 2026</t>
  </si>
  <si>
    <t>We believe that with the right tools and the right help, AI search can become your fastest growing channel in 2026! 🚀 So we handpicked trusted agencies who can help you turn AI visibility insights into rankings, traffic, and revenue.  From GEO audits and content optimization to digital PR, brand building, technical SEO, and AI commerce - find specialists for every piece of the puzzle!</t>
  </si>
  <si>
    <t>Need some support with AI search? Whether you're looking for help with visibility tracking, content optimization, technical SEO, or AI commerce—we've handpicked trusted agencies with proven results to help you get there faster.  Browse by expertise, connect directly, and start improving your AI search presence.  No commissions. Direct contact. Find your AI search partner 👇</t>
  </si>
  <si>
    <t>Ran from Mar 2, 2026 to Jun 27, 2026</t>
  </si>
  <si>
    <t>Whether you're looking for help with visibility tracking, content optimization, technical SEO, or AI commerce - we've handpicked trusted agencies with proven results to help you get there faster.  Browse by expertise, connect directly, and start improving your AI search presence.  No commissions. Direct contact. Find your AI search partner 👇</t>
  </si>
  <si>
    <t>Enough with the theories. Lets look at some data! I ran the exact same prompts in the US, UK, and Sweden.  As expected, the LLMs gave different answers.  In a free masterclass (April 29 | 10:00 CEST | Online), I will share what that means for B2B brands.  Together with Kristina Bergwall &amp; Stefania Casciari Carter, I will answer these questions: • Why US-centric brands show up in every market - even without a local presence. • How local sources influence LLM grounding and lead to different results. • Why some prompts are heavily localized - and others are not.  You will leave with a better understanding of regional differences in LLMs, and a practical framework you can apply to your own brand straight away.</t>
  </si>
  <si>
    <t>Ran from Apr 18, 2026 to Apr 26, 2026</t>
  </si>
  <si>
    <t>Peec AI MCP is live – and we can't wait to see what you build with it! So we're running the MCP Challenge 🏆   → Free month of Peec AI Pro for every participant  → $5K grand prize, $1.5K to 3 category winners  → A community of builders figuring out what AI visibility workflows can actually do  AI visibility data is now a building block. Let's get creative with it.  Sign up &amp; Get your free month ↓</t>
  </si>
  <si>
    <t>Ran from Apr 19, 2026 to Apr 25, 2026</t>
  </si>
  <si>
    <t>Whether you're looking for help with visibility tracking, content optimization, technical SEO, or AI commerce - we've handpicked trusted agencies with proven results to help you get there faster.   Browse by expertise, connect directly, and start improving your AI search presence.  No commissions. Direct contact. Find your AI search partner 👇</t>
  </si>
  <si>
    <t>Ran from Feb 27, 2026 to May 11, 2026</t>
  </si>
  <si>
    <t>Peec AI now packs more value - transforming your visibility data into a step-by-step playbook. Instead of manually digging through hundreds of URLs, you get clear opportunities grouped by content type - with specific recommendations on exactly what to create, optimize, or influence.</t>
  </si>
  <si>
    <t>Ran from Mar 2, 2026 to Mar 26, 2026</t>
  </si>
  <si>
    <t>Need some support with AI search? Whether you're looking for help with visibility tracking, content optimization, technical SEO, or AI commerce—we've handpicked trusted agencies with proven results to help you get there faster.  Browse by expertise, connect directly, and start building your AI search presence.  No commissions. Direct contact. Find your AI search partner today!</t>
  </si>
  <si>
    <t>We believe that with the right tools and the right help, AI search can become your fastest growing channel in 2026 🚀 So we handpicked trusted agencies who can help you turn AI visibility insights into rankings, traffic, and revenue.  From GEO audits and content optimization to digital PR, brand building, technical SEO, and AI commerce - find specialists for every piece of the puzzle.</t>
  </si>
  <si>
    <t>AI search is the fastest-growing discovery channel. Peec AI helps you capture this growth with Actions - your roadmap to visibility. Track mentions across ChatGPT, Perplexity, Claude, and Gemini. Get prioritized opportunities scored by impact. Execute with step-by-step guidance.</t>
  </si>
  <si>
    <t>Ran from Feb 28, 2026 to May 11, 2026</t>
  </si>
  <si>
    <t>Your visibility data just became dramatically more actionable. Actions is now live in your Peec AI dashboard - giving you prioritised opportunities with step-by-step recommendations. Focus on what matters. Skip the manual analysis. Already included at no extra cost.</t>
  </si>
  <si>
    <t>Ran from Feb 27, 2026 to May 10, 2026</t>
  </si>
  <si>
    <t>Ran from Feb 25, 2026 to Mar 26, 2026</t>
  </si>
  <si>
    <t>Ran from Feb 25, 2026 to Mar 24, 2026</t>
  </si>
  <si>
    <t>Do AI engines mention or overlook your brand? Peec AI shows how often you appear in AI answers and compares you against your competitors.  Get the insights you need to stay ahead.</t>
  </si>
  <si>
    <t>AI answers are replacing clicks. Peec AI helps you understand where your brand appears in AI search results and how often it drives visibility compared to competitors.  Understand your AI visibility and stay ahead of changing search behavior.</t>
  </si>
  <si>
    <t>Everything you need to track your brand's AI visibility — all in one dashboard. Peec AI tracks your brand mentions across ChatGPT, Gemini, Perplexity, and more.  Understand your AI presence and act with confidence.</t>
  </si>
  <si>
    <t>Ran from Jan 16, 2026 to May 11, 2026</t>
  </si>
  <si>
    <t>As organic traffic declines, AI answers are taking its place. Peec AI tracks your brand’s visibility in AI search so you know where you stand and what to improve.  Know your AI visibility and keep pace as search changes.</t>
  </si>
  <si>
    <t>AI models mention brands every day. Peec AI shows what ChatGPT, Gemini and Perplexity say about your brand and how it compares to competitors.  Understand your AI visibility and take control of your brand narrative.</t>
  </si>
  <si>
    <t>AI answers are becoming the new search results. Peec AI shows where your brand appears across major AI models so you stay visible while traditional organic traffic declines.  Your customers now ask AI. Make sure your brand shows up.</t>
  </si>
  <si>
    <t>Your next customer won’t Google you. They’ll ask AI. Peec AI shows where your brand appears across AI models and how visible you really are.  Know your AI visibility. Stay in the conversation.</t>
  </si>
  <si>
    <t>AI answers are shaping brand discovery. Peec AI shows where you appear across AI models so you can measure and improve your visibility before it becomes table stakes.  Stay visible as AI becomes the new discovery layer.</t>
  </si>
  <si>
    <t>AI models mention brands every day. Peec AI shows what ChatGPT, Gemini and Perplexity say about you and how you compare to competitors.  See your true AI visibility and take control of your brand narrative.</t>
  </si>
  <si>
    <t>Discover how 1,800 brands use Peec AI to win visibility across ChatGPT, Gemini, and more.</t>
  </si>
  <si>
    <t>Ran from Nov 18, 2025 to Jul 20, 2026</t>
  </si>
  <si>
    <t>LLMs just blew up the $74 billon dollar SEO industry in a matter of a few years.  Ranking high on Google no longer equals success:  I’ve personally seen it in many sites I manage.  Our rankings and average position are up YoY, but clicks and conversions are way down.  What’s changed?  LLMs became a key part in the buyer’s journey.  People are now using ChatGPT, Claude, and Perplexity to find key answers to their questions, which was largely a search engine's job before this.  You can’t measure what you can’t track, so I turned to the Peec AI AI platform to monitor where we are showing up in LLMS, where we’re not and who are key competitors in the space.  The tool also does great stuff like:  -Helping identify content gaps and missed opportunities in real time.  -Uncovers which sources are cited and how often, so you can prioritize where to appear.  -Enables competitive benchmarking: see who’s winning in AI search, and why.  Google Analytics (GA) and Google Search Console (GSC) will not show you how you’re showing up in LLMs.  AI search is reshaping how people find information, often before they ever click a link.  Peec AI built a complete Generative Engine Optimization (GEO) guide to help you adapt and thrive in this new search era.  Here is the link to the solution: https://lnkd.in/eFP6Wi_z</t>
  </si>
  <si>
    <t>We asked 12 leading experts in AEO/GEO the questions you want answered before planning your AI search strategy for 2026:  - If you had $100K for AI search, where would it go? - What's one specific optimization you've seen actually drive results? - What's the first thing a brand should do in January to improve visibility?  Hear it from people who know what actually works:  Lily Ray, Ethan Smith, Eli Schwartz, Kevin Indig, Murat Yatağan, Aleyda Solís, Mark Williams-Cook, Niklas Buschner, Ann Smarty, Wil Reynolds, Malte Landwehr, Tomek Rudzki  If you care about showing up in LLM responses this year - start here ↓  https://lnkd.in/d6wGN6kJ</t>
  </si>
  <si>
    <t>Ran from Jan 12, 2026 to Feb 12, 2026</t>
  </si>
  <si>
    <t>Worries that keep me up at night: ranking 1st on Google for high-intent keywords...but not even being mentioned in ChatGPT  Hours spent identifying and structuring pages to rank high in the Google SERP  ...only to find out we weren't showing up for any of those terms in LLMs like ChatGPT or Claude  The long-tail of our market on the lifecycle adoption curve are early and late majority  So we're lucky in that this isn't a problem *yet*  But it would've become one had we not started paying attention when we did   LLMs would've been using our content, our copy, our resources  ...but never citing us,   never driving traffic back to us,  never giving us the authority back that we've worked hard to establish  And that's why tracking AI visibility is no longer a nice-to-have, but is becoming a need-to-have  --&gt; Where are we showing up? --&gt; Where *aren't* we showing up? --&gt; And what to do about it  Start making some quick changes + then get visibility into things like:  --&gt; How many new monthly visits you're getting from LLMs --&gt; How much new pipeline is being generated from this traffic  If you're investing in SEO and 'doing' all the right things  but your top of funnel seems to be reversing course, you're not alone  Comment “LLM audit”   And I’ll share the tool we used (Peec.ai) to help uncover this  EDIT: you can get it here https://lnkd.in/eCScvzu3</t>
  </si>
  <si>
    <t>Make 2026 your AI visibility year. 🤖🔎 Brands that invest now will shape how AI models recommend them next year. Choose a yearly plan to get full visibility into how often AI mentions your brand.  Black Friday offer: 30% off annual plans, paid upfront. 🔥</t>
  </si>
  <si>
    <t>Ran from Nov 21, 2025 to Nov 30, 2025</t>
  </si>
  <si>
    <t>Time to get serious about AI visibility. If AI is already shaping how customers discover brands, then 2026 is the year to take it seriously. 🚀 Choose a yearly plan and get the visibility insights you need to stay ahead.  Save 30% on annual plans, paid upfront, this Black Friday 🔥</t>
  </si>
  <si>
    <t>AI answers are becoming the new search results. Peec AI shows where your brand appears across major AI models so you stay visible while traditional organic traffic declines.  Your customers now ask AI, make sure you show up.</t>
  </si>
  <si>
    <t>Discover how 1,400 brands use Peec AI to win visibility across ChatGPT, Gemini, and more.</t>
  </si>
  <si>
    <t>Ran from Nov 18, 2025 to Dec 4, 2025</t>
  </si>
  <si>
    <t>Last week, we crossed $5m in ARR just 11 months after starting the company.  Next year, as consumer behavior shifts more and more toward AI search, we expect to have our best year yet.  The team is growing at an insane pace, and we hired 5 people just last week alone.  However, we still have a ton of open positions across literally all functions, including: - Frontend / Backend / Full Stack Engineer - Marketing Designer - Account Executive - RevOps Lead - (Visiting) Founder’s Associate Product  If you want to crush it in 2026 at one of the fastest-growing companies in Europe - talk to us!  Find all open positions in the comments 😍</t>
  </si>
  <si>
    <t>Ran from Dec 16, 2025 to Jan 31, 2026</t>
  </si>
  <si>
    <t>I’m interviewing three of the best SEO / GEO people next week 😍.  We’re hosting a webinar on the 17th together with Lily Ray, Ethan Smith, and Malte Landwehr.  All the crazy things that happened in 2025 certainly justify a recap, and we also want to discuss predictions for 2026!  Everyone is invited, and I’d love your help in asking the best questions - so join in and fire away in the chat.  Sign-up link is in the comments.  Super excited for this.</t>
  </si>
  <si>
    <t>Ran from Dec 11, 2025 to Dec 17, 2025</t>
  </si>
  <si>
    <t>We ranked #1 for 'best sales CRMs.'  Not second. Not buried on page two.  First.  And still, ChatGPT gave an answer...But skipped us completely.  No brand mention. No link. No click. Just silence.  I honestly thought our SEO was working. We were checking all the usual boxes.  Traffic looked stable. The team felt good about the numbers.  But something felt off.  Leads were slowing down. Conversions were soft. And no one could tell me why.  So I started digging.  Turns out…our buyers weren’t Googling anymore. They were asking ChatGPT. Claude. Perplexity.  And we were invisible.  I wish I was exaggerating, but we ran a scan of 120 high-intent prompts.  We showed up in... maybe 7% of them. The rest? All our competitors.  Same questions. Same topics. But they got the mention. Not us.  We used a tool to figure out:  ➜ What queries we should’ve shown up for ➜ Who took our place ➜ And how to get that visibility back  We rewrote content. Added authorship.Cleaned up how we structure things for AI tools.  It felt like guesswork at first.  But it worked.  45 days later:  ✅ +13,600 visits/month ✅ +$58K/month in AI-driven pipeline  And the kicker?  We didn’t publish a single net-new blog post.  If you’re only tracking Google rankings…  You’re probably missing where your buyers actually are.  Want the tool we used?  Here is the link to the solution: https://lnkd.in/eYerR62U</t>
  </si>
  <si>
    <t>Ran from Nov 18, 2025 to May 11, 2026</t>
  </si>
  <si>
    <t>Is your brand being mentioned or overlooked by AI engines? Peec AI uncovers how often you appear in AI answers and benchmarks you against your competitors.  Get the insights you need to stay ahead.</t>
  </si>
  <si>
    <t>Ran from Nov 18, 2025 to Nov 30, 2025</t>
  </si>
  <si>
    <t>We raised $21m in a Series A led by Singular.  Ten months ago, we set out to give marketers the tools they need to make sure they win on AI search.  Today, we support more than 1,400 customers, have crossed $4m in ARR, built a team of 20 people, and are incredibly proud of what we’ve accomplished in such a short amount of time.  This funding round allows us to go global with Peec AI. We’re opening our NYC office in Q2 and plan to hire 40+ additional team members over the next six months.  Above anything else, I’m extremely thankful.  For my incredible Co-Founders, Daniel Drabo and Tobias Siwonia, and all of our team members who worked day and night for months to make this happen.  For everyone who has taken time out of their day to join a demo call or try out the product.  For every single customer who keeps their subscription or upgrades their plan, enabling us to keep building.  For the investors who were willing to take a bet on a founding team with outsider backgrounds and no elite university degrees.  Thank you.</t>
  </si>
  <si>
    <t>Stop guessing what AI says about your brand. Peec AI provides real-time visibility across ChatGPT, Gemini, Perplexity, Claude and more in one place.  See how you are represented and how often you are recommended.</t>
  </si>
  <si>
    <t>Ran from Nov 17, 2025 to Nov 18, 2025</t>
  </si>
  <si>
    <t>Ran from Nov 14, 2025 to Nov 18, 2025</t>
  </si>
  <si>
    <t>🎮 it’s game time.  Peec AI is teaming up with {Tech: Europe}  to host the 𝐟𝐢𝐫𝐬𝐭-𝐞𝐯𝐞𝐫 𝐄𝐧𝐠𝐢𝐧𝐞𝐞𝐫𝐢𝐧𝐠 𝐋𝐀𝐍 𝐏𝐚𝐫𝐭𝐲 𝐚𝐭 LVL Berlin.  The Setup: - 150 players - CS, VR, Smash Bros and whatever you want to play - League of Legends tournament (bring your pre-made team or find your squad on-site)  You can't ask for a better way to spend a dark December Saturday.  Join us in the 6th of Decemeber!  Sign up here → https://lnkd.in/eyb7WBNg</t>
  </si>
  <si>
    <t>Ran from Nov 7, 2025 to Dec 5, 2025</t>
  </si>
  <si>
    <t>Due to popular demand → we’re opening positions for interns  (Visiting) Founders Associate (Visiting) Marketing Associate (Visiting) Sales Associate (Visiting) Product Designer (Visiting) Marketing Designer  We have a ton of super exciting things to work on.  If you’re looking for an extremely fast-paced environment with a lot of impact - this is it.  Flexible start dates, 3-month minimum duration.  https://peec.ai/careers</t>
  </si>
  <si>
    <t>Ran from Nov 3, 2025 to Dec 5, 2025</t>
  </si>
  <si>
    <t>How top brands turn AI search into revenue. Join our CMO Malte Landwehr (Peec AI) &amp; YOYABA’s Oliver Kuttruff for a free 60-min AI Search Masterclass on Nov 12 at 4 PM CET.</t>
  </si>
  <si>
    <t>Ran from Nov 5, 2025 to Nov 13, 2025</t>
  </si>
  <si>
    <t>Discover how AI-powered search can unlock real marketing growth. Join Malte Landwehr (CMO, Peec AI) &amp; Oliver Kuttruff (Sr. Search Experience Mgr, YOYABA) for a free AI Search Masterclass – Nov 12, 4 – 5 PM CET.</t>
  </si>
  <si>
    <t>Paid for by Excelsa Labs dba Scunch AI</t>
  </si>
  <si>
    <t>AI search doesn't work like SEO. Scrunch monitors how AI assistants cite and describe your brand, then shows you exactly what to fix.</t>
  </si>
  <si>
    <t>Influencer Marketing, Creator Economy &amp; Brand Partnerships</t>
  </si>
  <si>
    <t>Your competitors are getting recommended by AI right now. You just can't see it happening.  Give me 20 minutes and I'll show you the real answers, where %COMPANYNAME% gets named, where it doesn't, and who's showing up instead.  $100 Amazon card for your time. Yours either way.</t>
  </si>
  <si>
    <t>Quick ask - I’ll send you a $100 DoorDash gift card for 20 minutes of your time.  We’re having a lot of conversations right now around one thing:  People are asking AI for recommendations…and many brands aren’t showing up at all.  Scrunch helps you understand:  • Where you appear in relevant AI responses  • Where you’re missing + gaps  • What’s giving competitors greater visibility  If AI search is even a small priority for 2026, happy to run %COMPANYNAME% through our product and share how you stack up in AI search results over a quick lunch (on me).</t>
  </si>
  <si>
    <t>Think AI Overviews are cannibalizing click thru rates? …not so fast.  Our latest Scrunch Labs 🧪 study analyzed millions of REAL search events (from a privacy-safe opt-in panel), and found that the so-called Clickpocalypse is nuanced.  What we found is…  While the data does corroborate what you hear in the headlines: news searches with an AI Overview (AIO) convert to a publisher click about 20% of the time versus about 30% without one.  ☝️ that 10-point gap compares one set of searches against a different set.  BUT…   When we hold the search itself fixed—the same query, seen sometimes with a generative overlay and sometimes without—the gap shrinks to about 2 percentage points.  In other words, Google isn’t cannibalizing clicks as much as FTFY for searches that weren’t getting many clicks in the first place.  And that’s just one of the findings in the dataset.  The full thing is chock-full of other tidbits on how AI is reshaping search and web visits, including:  → How AI convos can actually lead to more downstream site visits  → Why your attribution dashboard is likely missing most of AI’s influence  → Why getting mentioned by AI doesn’t always mean getting chosen   Lots more in the full study👇 (link in comments)  =======  Some fine print on the study:  We analyzed millions of search events from February–June 2026 using a privacy-safe, opt-in panel that connects people’s Google searches and news publisher visits.  For the AIO analysis, we compared the same queries when they appeared with and without an AI Overview.  Full methodology + findings over on our blog.  =======  P.S. As always, huge shoutout to Michael Iannelli, PhD as the data wizard and brains behind the study.</t>
  </si>
  <si>
    <t>Someone in your target market asked AI which company to go with this morning.  They got an answer. Specific brands, named.  I can show you what that answer says about %COMPANYNAME%, where you're named, where you're missing, and who's getting recommended in your place.  Twenty minutes. I'll send a $100 Amazon card for the time, whether or not it goes anywhere.</t>
  </si>
  <si>
    <t>Your competitors are getting recommended by AI right now. You just can't see it happening.  Give me 20 minutes and I'll show you the real answers, where %COMPANYNAME% gets named, where it doesn't, and who's showing up instead.  $100 DoorDash card for your time. Yours either way.</t>
  </si>
  <si>
    <t>Someone in your target market asked AI which company to go with this morning.  They got an answer. Specific brands, named.  I can show you what that answer says about %COMPANYNAME%, where you're named, where you're missing, and who's getting recommended in your place.  Twenty minutes. I'll send a $100 DoorDash card for the time, whether or not it goes anywhere.</t>
  </si>
  <si>
    <t>The story goes that AI is eating the news. Here’s the real story: AI takes clicks in one place and returns visits in another.  The team at Scrunch Labs analyzed millions of search events from February to June 2026, linking real AI conversations to the same people's anonymized web activity.  The goal? To figure out what AI is actually doing to news traffic.  Why news? Because news publishing is the epicenter of the so-called clickpocalypse. We wanted to know what it could tell us about the zero-click world brands are operating in today.  What we discovered was more complicated than an extinction event:  📉 AIOs mostly eat clicks that were already scarce News searches with a Google AI Overview send a publisher click about 20% of the time vs. 30% without one. But most of that gap comes down to which searches Google picks, not the AI Overview itself. Hold the query fixed and the gap shrinks to about 2 points.  💬 AI conversations go hand in hand with more site visits After a news chat with an AI assistant, readers are 20.5 percentage points more likely to visit a news site the following week than after a non-news chat. AI is part of the news journey now, not the end of it.  🕵️ Attribution dashboards see almost none of it Only 1.1% of post-AI conversation news visits show up as AI referrals. The rest arrive through direct navigation, ordinary search, and other referrals.  🏆 Getting named isn't getting chosen Being named in an AI answer lifts a publisher's visits. But household-name outlets capture the majority of the lift—not simply because AI names them more, but because readers pick them more.  Our main takeaway?  Referral traffic isn't the metric to watch anymore—brand presence is.  If even the most traffic-obsessed businesses on Earth can only see an AI referral on 1.1% of the news visits that follow an AI chat, your referral dashboard can't tell you the whole story either.  Dig into our full findings—and how it applies to your brand—below ⬇️</t>
  </si>
  <si>
    <t>Reading your spec sheet to a server rack? Pretty silly. Adding llms.txt to your website, cranking out AI-generated content, and hoping for the best? Same energy.  Every brand has the same questions about AI search: ✦ Where are we winning? ✦ Where are we losing? ✦ Why? ✦ And, most importantly, what should we do next?  We built Scrunch to answer all of the above.  Now, as a Sitecore company, we’re accelerating.</t>
  </si>
  <si>
    <t>I know webinar promos don’t get a lot of love on LinkedIn, but this one is on a topic I’m genuinely excited about: marketing to agents.  Lately, I can’t stop thinking about how to become the default choice for agents.  A lot of dev tools have figured this out (think Neon, Supabase, Clerk, and the like). And, if you want to know where the market is headed, look to what the dev tools are doing.  So, humans outsource much of the buying journey to AI agents, you need a vehicle to deliver information to agents working on behalf of the human behind the prompt.  But what does it actually mean to actually market to them?  That’s exactly what I’m going to dig into + demo on Thurs, Sept 10 at 10am PT / 1pm ET. (We’ll do it live!)  Here’s what I’m going to cover in 30:  → The data behind the shift to agents: What Scrunch data tells us about how AI is changing web traffic, research, and the buying journey.  → How to get discovered by AI agents: What actually makes your brand and content discoverable when agents search, research, and evaluate on a buyer’s behalf.  → Why agents need their own experience: How to make your website and content easier for agents to understand and use.  → How to make your website agent-ready: How to structure your content and knowledge so AI can accurately represent and recommend your brand.  → Live demo: I'll demo of how the same website can deliver one experience to humans and another optimized specifically for AI agents.  ===  If that sounds cool, grab a spot for: Marketing to agents 👉 https://luma.com/15dx1v37</t>
  </si>
  <si>
    <t>More than half of Scrunch's website traffic now comes from AI bots, not people. Which means most of our prospects' first impressions happen in AI answers we didn't write.  I'd wager your numbers are headed the same way, if they aren't there already.  We're hosting a dinner with Sitecore in NYC to talk through what that means for brands, and I’d love to have you at the table.  Tuesday, August 25 | 5:30 p.m. | Le Pavillon, New York  Small group—no slides, no panel. Just marketing execs comparing notes on what's working and what they're still figuring out.  Request a seat here and we’ll save your spot: https://www.sitecore.com/resources/events-webinars/2026/08/the-invisible-first-impression</t>
  </si>
  <si>
    <t>Everyone's writing the obituary for news publisher clicks. The autopsy is more interesting than the headline.  The Scrunch Labs team analyzed millions of search events from February to June 2026 using a privacy-safe opt-in panel that links the same people's AI conversations to their actual web activity.  We wanted to understand how AI is impacting traffic to news sites (the epicenter of the clickpocalypse narrative).  A few things I didn't expect:  📉 The AI Overview bite is real, but it's mostly about which searches Google picks  News searches with a Google AI Overview send a click to a publisher about 20% of the time. Without one, about 30%. But hold the search itself fixed - the same query, sometimes with an overlay and sometimes without - and that 10-point gap shrinks to about 2 points.  📈 Chatbots don't end the journey for readers After someone has a news conversation with an AI assistant (think ChatGPT), they're 20.5 percentage points more likely to visit a news site the following week than after a non-news conversation. In other words: AI takes clicks in one place and returns visits in another.  🕵️ Here's the part every marketing team should sit with Only 1.1% of post-AI conversation news visits come through as AI referrals. The rest show up as direct traffic, traditional search, or other referrals. Lesson for brands: If you're still building your AI search strategy around the referral line in GA4, you're measuring a rounding error.  AI is redistributing clicks. It’s also driving demand. The brands that own the answer are best positioned to benefit.  Find the full study in the comments 👇</t>
  </si>
  <si>
    <t>Humans have outsourced most of the buying journey to AI. This webinar covers what happens to marketing when agents, not people, are the ones researching, comparing, and deciding.</t>
  </si>
  <si>
    <t>tl;dr — Big ship from Scrunch today: Site Diagnostics.  It not only tells you how AI search agents are consuming your site but also gives a prioritized, data-backed list of action items to improve performance.  Other products give you: a readout + suggested next steps of “best practices.”  Site Diagnostics gives you: actionable next steps prioritized by predicted impact—all backed by your actual AI search data, a massive corpus of real AI answers + public web content, and our proprietary data model on top of it all.  I like to think of it as having a data science team constantly analyzing your website for agent retrievability &amp; citability and telling you exactly what to fix next.  ---  With Site Diagnostics you can:  → See what agents see: Know how every page of your site performs when it comes to retrievability and citability (and what tech issues are getting in the way of the bots).  → Stack rank what to fix: Get page-level recs ranked by predicted impact.  → Actually take action: Cut a ticket, push updates to your CMS, or deliver optimized content to AI search agents at the edge.  Hard to show all that it does over just text, so if you’ve made it thus far, I highly encourage you to watch my quick demo 👇  ======  P.S. Site Diagnostics is rolling out in waves to all Scrunch users today. Sign up for a free 7-day trial if you’re not part of the club yet 👉 https://lnkd.in/gCe5ZsJx</t>
  </si>
  <si>
    <t>I’ll trade you a $100 DoorDash gift card for 20 minutes to talk about how your brand is showing up in AI search. Yes, it’s direct. No, subtlety doesn’t really work in DMs. 😉  At Scrunch, we help teams:  - Track your brand’s visibility across AI platforms  - Spot gaps where you’re not being recommended  - Uncover what’s giving competitors visibility  We’re seeing a pretty big gap right now between what brands think their visibility is and what AI is actually surfacing to users. Happy to run %COMPANYNAME% through our product and share how you stack up in AI search results over a quick lunch (on me).  Open to a quick chat?</t>
  </si>
  <si>
    <t>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is finding the fairway or landing in the rough when buyers ask AI tools for recommendations.  Takes 20 minutes. Costs you nothing. Could save you from a 6-month slice in your AI search game.</t>
  </si>
  <si>
    <t>Most agencies can't answer when a client asks how they show up in AI search. Take 20 minutes and be one that can.</t>
  </si>
  <si>
    <t>Uncover how AI agents index your global digital footprint. Paste your URL for an instant, signup-free visibility assessment.</t>
  </si>
  <si>
    <t>We have a documented AI search strategy.' - Most teams  Also most teams: “We’re not sure we’re on the right track.”  That's not a contradiction. That's most of the market right now.  Scrunch teamed up with Scribewise to survey 600+ US marketing and PR pros on how they're *actually* approaching AI search - not the polished boardroom version, the real one.  The headline finding: 84% are confident they can shape how their brand or clients show up in AI answers, but 51% aren't sure their strategy is right and 46% say their org may have moved too fast without a clear game plan.  On the surface, confidence is high. Under the surface, not so much.  A few more data points that stuck with me: ✦ Only 33% of teams are analyzing AI bot traffic. That’s a missed opportunity - every retrieval bot hitting your site means a real human just prompted about you or your category.  ✦ 42% are betting on cranking out more content. Just 23% say their primary approach to content is optimizing what they already have. (Spoiler: Scaled slop is the wrong bet.)  ✦ Teams using a purpose-built AI search tool outperformed on 25 of the 26 tactics we measured.  Brands know they need to act. Most just haven’t cracked the “how” yet.  The good news? That gap is an opportunity. And it’s very closeable.  We know because we help our customers do it every day.  Key takeaways and a link to the full report are below.</t>
  </si>
  <si>
    <t>Hi %FIRSTNAME%, Quick question: do you know what ChatGPT says about %COMPANYNAME% when someone asks for a recommendation? Most people don't, and it's usually not what they'd guess. At Scrunch, we help teams: • Track how their brand actually shows up across AI platforms • Find where they're getting left out of AI answers • See what's making competitors more visible I'll run %COMPANYNAME% through it and show you exactly what AI is saying. All I need is 20 minutes, and there's a $100 DoorDash gift card in it for you. Worth a look?</t>
  </si>
  <si>
    <t>Hi %FIRSTNAME%, Trading a $100 DoorDash gift card for 20 minutes of your time. I know how that sounds, but hear me out. We help teams at companies like %COMPANYNAME%: • See exactly how your brand shows up across AI platforms • Find the gaps where you're getting skipped over • Compare your visibility to competitors, side by side Most brands are surprised by what AI is (and isn't) recommending about them. Want me to run %COMPANYNAME% through it and show you what we find? Lunch is on us. Worth 20 minutes?</t>
  </si>
  <si>
    <t>Hi %FIRSTNAME%, I'll swap you a $100 Takomo golf gift card, or a new wedge, for 20 minutes to talk about walking into your next pitch holding AI search data. Yes, it's direct. No, subtlety doesn't really work in DMs. Here's the deal: name an account %COMPANYNAME% is chasing, I run it through Scrunch, and you find out exactly where they're invisible in AI search and which competitor is getting cited instead. Takes 20 minutes. Costs you nothing. Could be the slide that wins the account.</t>
  </si>
  <si>
    <t>Hi %FIRSTNAME%, Trading a $100 DoorDash gift card for 20 minutes of your time. I know how that sounds, but hear me out. We help agencies like %COMPANYNAME%: • See exactly how every client shows up across AI platforms • Find the gaps where they're getting skipped over • Compare each client to their competitors, side by side Most agencies are surprised by what AI is (and isn't) recommending about their clients. Want me to run three of yours through it and show you what we find? Lunch is on us. Worth 20 minutes?</t>
  </si>
  <si>
    <t>Hi %FIRSTNAME%, I'll swap you a $100 Takomo golf gift card, or a new wedge, for 20 minutes to talk about how your clients are showing up in AI search. Yes, it's direct. No, subtlety doesn't really work in DMs. Here's the deal: you name three of %COMPANYNAME%'s clients, I run them through Scrunch, and we both find out whose approach shot is dialed in and whose is landing short when buyers ask AI tools for recommendations. Takes 20 minutes. Costs you nothing. Beats hearing about it from the client first. Open to a quick chat?</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</si>
  <si>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brand's approach shot is dialed in or landing short when buyers ask AI tools for recommendations.  Takes 20 minutes. Costs you nothing. Could save you from flying blind in AI search for another 6 months.  Open to a quick chat?</t>
  </si>
  <si>
    <t>For the first time in the history of the internet, machines generate more web traffic than humans. AI search is why.  AI platforms like ChatGPT, Perplexity, Gemini, and Claude have changed how people…pretty much do everything.  Not by browsing the web, but by asking an AI user agent to do it for them.  That means every brand now has 2 audiences: 1. The agents doing the work 2. The humans they’re working for  Most of the market treats this as an AI visibility problem. We see it as an agent experience problem.  So we built the solution: the Agent Experience Platform.  No longer just a part of our product, but the product itself. A closed loop from agent discovery to content delivery, powered by always-on intelligence.  All so you can reach the person on the other end of the prompt, more consistently, accurately, and favorably.  Your brand isn't built for agent experience. Now it can be.  Welcome to the next chapter of Scrunch.</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</si>
  <si>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has the right club selection when buyers ask AI tools for recommendations, or if you're reaching for the wrong iron every time. Takes 20 minutes. Costs you nothing. Could save you from flying blind in AI search for another 6 months. Open to a quick chat?</t>
  </si>
  <si>
    <t>Two questions on every marketer’s mind these days: 1️⃣ What are people asking AI about [your category]? 2️⃣ And at what volume?  The problem: The AI platforms aren’t exposing any of that data anytime soon.  So if you want to understand: -- What people are asking AI -- How often they’re asking it -- Why they’re asking it  You need to estimate it from a representative sample of real AI conversations.  And that’s exactly what our Keyword Volume Estimator (available today) does.  Just drop in a topic, click go, and you’ll get an estimate of how often people are asking AI platforms about it.  In addition to that, it’ll show you: -- How big the opportunity actually is -- Commercial intent behind the prompts -- Whether demand is growing or slowing  Now, before you jump to the comments to roast me, 'But Kevin... the AI platforms don't expose this data. How can you possibly know?” a few disclaimers:  One thing our data science team wanted to be especially careful about while building this was how those estimates are produced.  (A wildly misleading number is worse than no number at all.)  Rather than relying on simple keyword matching, we built KVE to: ✅ Start with a large panel of real consumer AI conversations, ✅ Match prompts based on both meaning and wording, ✅ Verify that they're actually about the topic, ✅ Scale that signal into an estimate of broader demand (US only for now).  Just as importantly, we don’t pretend these numbers are something they're not.  They’re calibrated estimates, not a census.  They're designed to help teams compare topics, understand relative demand, and prioritize where to focus.  Treat the results as guidance, not gospel.  We also published the methodology (link in comments) behind the product because we think that's just as important as the output.  Keyword Volume Estimator is available to all Scrunch customers today (even those who sign up for a free 7-day trial → https://lnkd.in/gCe5ZsJx).  Shoutout to our stellar data science team, especially Alan Ai for leading the charge on this launch.  ===  P.S. Just a personal note that I thoroughly enjoy using this product. It feels akin to a first experience with Google Trends if you know what I mean.</t>
  </si>
  <si>
    <t>Hi %FIRSTNAME%, Quick question: do you know what ChatGPT says about the accounts %COMPANYNAME% is chasing? They usually don't either, which is the opportunity. At Scrunch, we help agencies: • Show a prospect where they're missing from AI answers • Name the competitor getting recommended instead • Turn that into the first slide of the pitch Name an account you're going after and I'll run it through, then show you exactly what AI is saying. All I need is 20 minutes, and there's a $100 DoorDash gift card in it for you. Worth a look?</t>
  </si>
  <si>
    <t>For the first time in the history of the internet, machines generate more web traffic than humans. AI search is why.  AI platforms like ChatGPT, Perplexity, Gemini, and Claude have changed how people…pretty much do everything.  Not by browsing the web, but by asking an AI user agent to do it for them.  That means every brand now has 2 audiences: 1. The agents doing the work 2. The humans they’re working for  Most of the market treats this as an AI visibility problem. We see it as an agent experience problem.  So we built the solution: the Agent Experience Platform.  No longer just a part of our product, but the product itself. A closed loop from agent discovery to content delivery, powered by always-on intelligence.  All so you can reach the person on the other end of the prompt, more consistently, accurately, and favorably.  Today we’re sharing what comes next for Scrunch, our customers, and the future of agent experience:  👀 Observe what agents say and do—in AI platforms and on your site Signals tracks how AI represents your brand, auto-flags changes, and tells you what to do next. Explorer answers any question about your performance—build your view, share it as a link.  🧠 Understand agent behavior to identify and prioritize optimization opportunities Site Diagnostics audits your site page by page and recommends prioritized fixes—each backed by a predictive model trained on your AI search performance and our proprietary research.  🤖 Deliver what agents need to understand, reference, and recommend your brand Optimizer turns recommendations and approved internal sources into AI-ready content. Our content delivery system serves it straight to agents at the edge—human experience untouched.  We’ll begin rolling these product updates out today, starting with the beta launch of Signals and Explorer. Both are available to all Scrunch customers on all plan levels.  Lots more will follow in the days ahead.  Want a sneak peek? Join our product webinar tomorrow to learn more about what’s new and what’s coming: https://lnkd.in/gjYwnKqt  Your brand isn't built for agent experience. Now it can be.  Welcome to the next chapter of Scrunch.</t>
  </si>
  <si>
    <t>Hi %FIRSTNAME%, Trading a $100 Takomo golf gift card for 20 minutes of your time. I know how that sounds, but hear me out. We help agencies like %COMPANYNAME%: • See exactly how every client shows up across AI platforms • Find the gaps where they're getting skipped over • Compare each client to their competitors, side by side Most agencies are surprised by what AI is (and isn't) recommending about their clients. Want me to run three of yours through it and show you what we find? Worth 20 minutes? Open to a quick chat?</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</si>
  <si>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has the right club selection when buyers ask AI tools for recommendations, or if you're reaching for the wrong iron every time.  Takes 20 minutes. Costs you nothing. Could save you from flying blind in AI search for another 6 months.  Open to a quick chat?</t>
  </si>
  <si>
    <t>Most analytics tools give you homework. We wanted to give you answers.  So we shipped 2 new features to help:  ✦ Signals Your dashboard is great at showing you a line going down. Not so much at telling you why - or what to do about it.  Signals does the detective work for you.  It watches your AI search data, catches what changed, explains why it matters, and hands you the next move - in Scrunch or your email inbox.  You can then diagnose the “why” behind the “what” with our in-app AI assistant, Scrunchie.  ✦ Explorer Every dashboard is ultimately a guess about what question you want answered.  Explorer lets you ask and answer any question yourself, on your terms.  Whatever combination of metrics, filters, and breakdowns you can think of, you can visualize it in seconds and share it as a link.  Either with a click or a conversation with Scrunchie.  Both Signals and Explorer are now generally available for all @Scrunch customers on all plan levels.  Check them out in the video below 👇</t>
  </si>
  <si>
    <t>One of the signs you’re working at a #winning startup is product velocity.  Last week, we launched AI Search Trends to show trending topics and prompt volumes across LLMs. Today (just a week later), we’ve shipped two big additions: brand sentiment and competitive stack rankings to show how your brand shows up in any one of our 1,500+ topics.  Drill down into any AI Search Trend topic to see:  🤗 Brand Sentiment ⤷ Gives a breakdown of sentiment towards your brand in AI responses, with a simple positive, mixed, or negative score. Drill down even further to see brand sentiment for any specific prompt within the selected topic.  ⚔️ Competitor Stack Ranking ⤷ Compare how often your brand appears vs. competitors across prompts within any selected topic (aggregated across 7 LLMs). View it in both a line chart and stacked bar chart for easy trend reporting.  Demo 👇</t>
  </si>
  <si>
    <t>#winning</t>
  </si>
  <si>
    <t>Software has stopped being a place you go. It's become something you ask. We built Scrunch MCP to give you the answers you need, right when you need them, wherever you work.  Scrunch MCP lets you tap into the power of your data via conversational Q&amp;A, either in AI assistants like Claude, ChatGPT, and Microsoft Copilot or inside Scrunch via our in-app chatbot, Scrunchie.  Ask questions. Surface insights. Take actions. All in plain language. Just a prompt away.  Here’s a taste of what you can do:  ✦ Pull presence, position, sentiment, citation, and AI traffic metrics—just by asking.  ✦ Surface gaps, spot competitive displacement, find greenfield prompts you and your competitors are both missing—whatever your use case.  ✦ Create new brands, track new prompts and competitors, assign filtering dimensions—all on the fly.  Setup is 5 minutes. No API keys. No shared secrets. Just your existing Scrunch sign-in.  If the shift toward AI search has taught us anything, it's that people want more than a list of options to hunt through. They want answers and next steps. Fast.  Scrunch MCP helps you go from insight to action in one conversation.  Our MCP is now available to all customers on all plan levels. And our new and improved in-app chatbot, Scrunchie, will be rolled out to customers automatically starting next week.  Don’t just read your data. Put it to work. It’s been amazing to see what our customers are generating with this capability.  The Scrunch product team has been cranking.</t>
  </si>
  <si>
    <t>I've spent the last year on calls with CMOs, from fast-growing startups to the Fortune 50.  Every marketing leader I talk to knows they need to show up in AI search. They just don’t necessarily know how.  The shift in consumer behavior is existential for many brands. And for marketers from the exec level down, the pressure to crack the code is immense.  So they improvise. They apply 'llms.txt' to their site. They scale AI-generated content. They take meetings with vendors selling hacks.  We decided to make a commercial about what it actually feels like to be a marketer in 2026. Kudos to Jeff Andrew, Alistair Wilson, and the whole team at Foster Filmworks behind it.  Multiple leaders I've shown it to have told me, unprompted, 'This feels like exactly what's happening on our team.'  What really works is less glamorous than any of the hacks.  In fact, a lot of it is boring infrastructure work: making your site accessible, readable, and recommendable to the AI user agents now running the show on a buyer's behalf.  That's what we built Scrunch to do. And as a new member of the Sitecore family, we’re just getting started.  Here’s to less yelling from rooftops and more of what actually works.</t>
  </si>
  <si>
    <t>🔮 Prediction: By 2027, more than half of your web traffic will not be human.  Here’s why that’s not necessarily a bad thing.  If you think about what’s causing the surge in bot traffic, it’s because AI agents are handling more and more tasks (e.g., research, evaluations, comparisons, etc.) on behalf of humans.  User preferences are changing fast. That preferred, AI-first user experience that goes something like this:  ⟡ Human chats with an LLM ⟡ LLM fetches info from your site (i.e., bot traffic) ⟡ LLM returns relevant info—no clicks or tab hopping necessary.  In this new world, bot traffic is no longer something marketers just write off. Instead, AI bot traffic becomes your new VIP site visitor as there’s a human (usually one with high intent) prompting an LLM to do work on their behalf.  This is the future that we’re building Scrunch AI for.  One that not only offers visibility into bot traffic but gives you the ability to intercept it, serve up a more consumable version of it, and influence how your brand appears in AI results.  And all of that without damaging the site experience of your former VIP visitors (aka humans).  Today, we’re moving one step closer to that future with a new way to monitor bot traffic.  Our new AI traffic dashboard: ✅ Gives a real-time view of AI bot traffic ✅ Breaks down AI traffic visiting your site ✅ Surfaces top pages bots are consuming  Recorded a quick demo to show how it works and how to interpret the data.  As always, if you want this level of AI visibility into your site, give me a shout or jump over to the Scrunch site (scrunchai [dot] com) to get started.</t>
  </si>
  <si>
    <t>Top question when getting started with AI search… Survey says: What prompts should I track?  Choosing what prompts to track for your AI search strategy—the keyword research equivalent of AEO/GEO—doesn’t need to perfect.  Here are a few quick ways to find prompts to start tracking to inform your AI search strategy 👇  Organic keyword conversion ↳ Grab the keywords you rank for on SEO and convert them into prompts.  ––––––  Paid keyword conversion ↳ Same as above but just pull it from your paid search keywords.  ––––––  Ask AI to generate prompts ↳ Feed an LLM context like your competitors, product, ideal personas, product marketing material, etc. and ask it to generate custom prompts for you.  Tip: Use the Scrunch 🪄 Generate Prompt feature which will do the heavy lifting for you—just enter a domain and get prompts.  ––––––  Do it the old fashioned way ↳ If you have specific prompts in mind, just type them out by hand.  ––––––  Grab questions from sales transcripts ↳ Questions and objections from sales calls are a gold mine for prompt extraction. Use a transcription or note taking tool to find these nuggets, aggregate them, and then turn them into prompts to track.  ––––––  Support questions ↳ If you use a support AI agent or a support ticketing system, you can kill two birds with one stone by: finding questions that go unanswered, converting them into prompts to track, and then generating content to answer them.  ––––––  Reddit/forum mining ↳ Pull questions from subreddits or forums in your niche and convert them to prompts.  ––––––  AnswerThePublic ↳ I remember this tool from way back but it feels even more apropos now as it pulls autocomplete suggestions from Google which get more long tail results than your typical keyword topic.  ––––––  Review mining ↳ Pull questions/comparisons from review sites (G2, TrustRadius).  ======  🔌 for Scrunch  We’ve made it dead simple to track prompts into Scrunch. Generate them by just plugging in your website, copy/paste keywords, or import a CSV—all are possible and just take a min within the Scrunch platform.  And one more thing… I’m kinda spilling the beans here, but you can now self-serve Scrunch by starting a free 7-day trial.</t>
  </si>
  <si>
    <t>I don’t always suggest generating content for AI search, but when I do, I prefer using Scrunch Content Gaps feature.  I’ve been somewhat vocal about this topic: “More content” is not the answer to better AI search performance.  That especially applies in the enterprise where most brands have: -- No shortage of existing content -- Pages covering adjacent topics -- Strong authority  In many cases, the lowest-hanging fruit is in mention acquisition or existing content optimization.  But sometimes there truly is a content gap.  And that’s what we built Scrunch Content Gaps for—i.e., sniffing out the true opportunities where generating content is the right move.  The difference in our approach is that we don’t treat “generate more pages” as the default answer to every AI search challenge.  Instead, we use a broader set of AI search signals to identify true content gaps, including:  Prompt + citation monitoring ⤷ Maps the prompts, citations, and third-party sources shaping AI visibility (this is where most others stop)  Site maps + AI traffic visibility ⤷ Analyzes the full footprint of your site to understand how AI agents are crawling, retrieving, citing, and referring traffic.  AI Search Trends ⤷ Uses large-scale AI search behavior data to surface the topics, associations, and questions gaining traction in your market.  The idea isn’t to flood the internet with content (you’ve probably seen some of the repercussions of that).  Rather, it’s to identify the real gaps to create (or refresh) content so that it gets picked up by the LLMs.  Stay visible, my friends.</t>
  </si>
  <si>
    <t>Reddit is the most cited source in AI search. But which specific threads shape the answers? How to find them in ~2 minutes 👇  If you’re in the AI search (aka AEO / GEO) echo chamber like I am, it’s impossible to escape the hype about using Reddit to show up in results.  But what a lot of “experts” miss is one of the quickest wins of all: how to spot the threads that have an outsized influence on the prompts &amp; topics in your category.  Today, I’m FTFY.  In this quick Scrunch walkthrough, I show how to: → Filter AI citations down to just Reddit → Sort threads by prompt mentions to concentrate influence → Spot the threads where your brand isn’t mentioned → Jump straight into the thread and pitch your product 😇  The whole thing takes a just couple minutes.  And there you have it… a quick AI search win you can knock out before your next meeting.  ===  One last word of caution: Don’t just sling your product. That’s a recipe for getting roasted on Reddit.</t>
  </si>
  <si>
    <t>If you’ve ever wanted to know what people search on LLMs, I’ve got the perfect product for you: Introducing AI Search Trends from Scrunch.  AI Search Trends is your window into what people are actually prompting, how often, and whether your brand shows up when they do.  To launch, we started with a dataset of 300+ million events (including AI prompts, responses, and page views), anonymized it to remove personally identifiable information, and mapped prompts to a collection of curated topics.  What you get in return is—in our view—the best possible interpretation of AI search trends available today.  Here’s what you can do with AI Search Trends:  🔍 Identify relevant topics ⤷ Pick from 1,500+ curated topics or let us auto-recommend.  👀 See estimated conversation volume ⤷ Powered by high-quality, privacy-compliant panel data.  📈 Track trendlines over time ⤷ Get week-by-week views showing what’s trending.  🎯 Measure brand presence ⤷ See how often your brand appears in AI answers for any topic.  💬 Explore real prompts ⤷ View actual examples of prompts and the responses returned.  –––––––  Best of all, AI Search Trends is now generally available to all Scrunch customers (including anyone who starts a 7-day free trial).  Head over to our blog for more 👉 https://lnkd.in/gMe9nzCP</t>
  </si>
  <si>
    <t>For the first time in history, agents now outnumber human web visitors. That shift fundamentally changes how software should work.  The old model (think traditional SaaS) was built for humans to log into dashboards and take action by pointing and clicking.  That type of work goes something like this: - View a dashboard - Apply a filter - Dig for insights - Decide what matters - Do the work (or hand it off) - Wait for impact - Repeat  But agents don't need to work that way.  AI-first products should continuously monitor what’s changing, understand what it means, and automatically deliver the next best action.  And that's why today we're launching the next chapter of Scrunch: THE Agent Experience Platform.  It’s an always-on intelligence loop that:  👀 Observes What agents are saying and doing, in both AI platforms and your site.  💡 Understands What changed, why it matters, and what's worth fixing.  ⚡ Delivers The fix back to agents, without anyone having to ship it by hand.  Then it does it again. And again. And again.  It’s what an AI-first product should feel like.  I think it's a fundamentally different approach than anything else in our category. (But don’t just take my word for it. I encourage anyone to put it to the test.)  While I'm thrilled to get this launch out, today is just the first pass through the loop.  In short order (as in two-week sprints), we'll be shipping even more to reinforce and accelerate each part of the flywheel.  For a preview of what’s to come, go deeper on the blog 👉 https://lnkd.in/gUi9GDMs</t>
  </si>
  <si>
    <t>There's an unwritten rule about acquisitions: The day the deal closes, the shipping stops.  Roadmaps freeze. Teams get integrated. 18 months later, the product looks exactly like it did on announcement day.  We went the other way.  Since becoming a Sitecore company, Scrunch hasn’t slowed down. We’ve sped up. And today we’re sharing what comes next.  Every brand now has 2 audiences: 1. The AI user agents researching, interpreting, summarizing, and recommending on a person's behalf 2. The people those agents work for - the ones who ultimately land on your website and take action  Most of the market treats this as an AI visibility problem. We see it as an agent experience problem.  That’s why the Agent Experience Platform is no longer just a part of our product, but the product itself. A closed loop from agent discovery to content delivery, powered by always-on intelligence.  All engineered to help you reach the person on the other end of the prompt more consistently, more accurately, and more favorably.  It’s built on 3 core capabilities:  👀 Observe what agents say and do - in AI platforms and on your site Signals tracks how AI represents your brand, auto-flags changes, and tells you what to do next. Explorer answers any question about your performance - build your view, share it as a link.  🧠 Understand agent behavior to identify and prioritize optimization opportunities Site Diagnostics audits your site page by page and recommends prioritized fixes - each backed by a predictive model trained on your AI search performance and our proprietary research.  🤖 Deliver what agents need to understand, reference, and recommend your brand Optimizer turns recommendations and approved internal sources into AI-ready content. Our content delivery system serves it straight to agents at the edge - human experience untouched.  Observe, understand, deliver, repeat. All in one workflow.  Getting acquired is usually where the shipping stops. For us, it's the starting gun.  We’re kicking off these product updates today, starting with the beta launch of Signals and Explorer. Both are available to all Scrunch customers on all plan levels.  Stay tuned. Lots more to come.</t>
  </si>
  <si>
    <t>We’ve been writing for Google, not for humans. A “chicken noodle soup” recipe page might mention the word chicken 60+ times - not to help the cook, but to play the search game. Good luck scrolling to find the actual recipe.   That era is ending.  AI search doesn’t reward keyword stuffing - it rewards clarity, accuracy, and usefulness.  The web is about to be rewritten for AI, and paradoxically, that means it’s going to be a far better experience for humans.  This is exactly what we're taking head on at Scrunch AI - not only to give you visibility into the AI buyer journey, but the ability to influence it. We're working with 500+ enterprises to help them navigate this shift.   Comment “chicken” to see a live demo of our Agent Experience Platform and learn more about the shift to an AI first buyer journey.</t>
  </si>
  <si>
    <t>AI is answering your buyers' questions right now. Just not necessarily with your content.  We built Content Gaps to fix that.  Starting today, Scrunch will automatically detect when your website is missing content for the prompts that matter to your brand and surface it right on your Home screen.  You’ll get a prioritized list of content opportunities, ranked by urgency and filterable by topic or persona. No manual digging necessary.  The old way was time-consuming data wrangling or guesswork. The new way is getting notified automatically when your content is MIA.  When buyers ask, AI answers. Content Gaps tells you why the answer isn't you and what to do about it.  Content Gaps is now live for all Scrunch customers.  You can see it in action in the video below ⬇️</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</si>
  <si>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brand's approach shot is dialed in or landing short when buyers ask AI tools for recommendations. Takes 20 minutes. Costs you nothing. Could save you from flying blind in AI search for another 6 months. Open to a quick chat?</t>
  </si>
  <si>
    <t>AI search is collapsing the timeline between brand consideration and product consideration.   Someone asks ChatGPT, “What's the best running shoe for marathon training?' and gets SKU-level recommendations instantly.  No scrolling through blue links. No browsing your site.  If your products aren’t mentioned, you don’t exist in that conversation.  That's the problem we’re helping brands solve with Shopping in Scrunch.  Since launching shopping coverage in 2025, we've seen a significant shift in how brands understand the role of AI in the purchase process - and a surge in demand for greater depth of detail.  Not just about their own products, but also the competitor and retailer landscape.  We’ve upgraded our shopping experience to deliver.  You can now use Scrunch to:  ✦ Get full visibility into which of your products are winning AI shelf space, which are losing ground, and which have gone dark.  ✦ See how you compare to competitors across every metric that matters—share of shelf, first position win rate, and beyond.  ✦ Find out which retailers are positioned to capture AI-driven clicks and how much traffic may be bypassing your site.  ✦ Pinpoint the prompts driving your AI shopping results and the ones working against you.  It's not enough to measure at the brand level when LLM recommendations happen at the product level.  Scrunch lets you do both.  If you’re already a Scrunch customer, get in touch to access our upgraded Shopping experience.  If you’re not yet a Scrunch customer, schedule a call with our team to learn more.</t>
  </si>
  <si>
    <t>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is finding the fairway or landing in the rough when buyers ask AI tools for recommendations. Takes 20 minutes. Costs you nothing. Could save you from a 6-month slice in your AI search game.</t>
  </si>
  <si>
    <t>Your competitors aren’t always who you think they are.  When you’re vying for brand mentions on LLMs, your competition could be anything from:  Niche &amp; adjacent tools to Publishers (think Forbes) to Authoritative incumbents to Communities &amp; UGC sites to Aggregators &amp; “best of” lists to Docs &amp; knowledge bases (think GitHub repos)  ––––––  Spotting these blind spots isn’t so intuitive.  Which is why today we’re launching: Suggested Competitors in Scrunch.  HOW IT WORKS  1️⃣ We analyze the AI responses you’re tracking &amp; AI search trends in your category to uncover the brands showing up where you want to be.  2️⃣ We pattern match and surface high-confidence competitor suggestions directly in your dashboard.  3️⃣ You add (or dismiss) the relevant competitors to your watchlist (and let us backfill historical prompt data related to each competitor).  No manual research. No guesswork.  Just the ability to fill in your competitive landscape on LLMs with a couple clicks.  I’m walking through it in the demo below 👇  Try it now in Scrunch to and reveal who’s actually competing for AI responses that matter.  When you do, we think it will change how you think about the “competition.”</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</si>
  <si>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is finding the fairway or landing in the rough when buyers ask AI tools for recommendations. Takes 20 minutes. Costs you nothing. Could save you from a 6-month slice in your AI search game.</t>
  </si>
  <si>
    <t>New website, who dis?  30 days after joining Scrunch, I made the most cliché marketing exec move ever: a website redesign.  That was six months ago.  Fast-forward to today, and we’re already back at it again.  In my past, website overhauls were painstaking: -- They eat up a lot of resources -- They take a long time to roll out -- They rarely improve conversions (quite the opposite, actually)  Which begs the question: Why now? Why so soon?  Glad you asked…  Here’s why:  🪪 Our brand identity glowed up  When we launched the last time, Danny Gugger (our now full-time creative director) was still working with us in a consulting capacity.  Shortly after, he joined full-time and went ham on our brand.  We fell in love with what Danny developed—it’s fun, differentiated, and just feels very Scrunch.  The problem? That identity started showing up across new artifacts and scattered site elements. But the most viewed parts of our site still looked like the old version.  Once I saw the updated direction, I couldn’t unsee it. It had to be rolled out site-wide ASAP.  ---  ⚡ We’ve been shipping more than UPS  We've shipped a ton in the last 6 months, and the old site was underselling what we have to offer.  The product (and nav bar) looks pretty different today.  ✦ Site Maps — maps your site’s AI footprint: how AI interprets each page, where it gets stuck, and what to fix.  ✦ AI Search Trends — surfaces actual questions real people are asking AI, right now, across the topics you care about.  ✦ Shopping — extends our monitoring suite to the product level: AI search performance, per SKU.  And that’s just standalone product pages that weren’t represented before.  We’ve also shipped dozens of improvements across the rest of the platform.  The site needed to actually reflect the great work of our product team.  ---  🧘 Our positioning has evolved  Admittedly, this is the biggest factor for the change.  AI agents are becoming your primary site visitors. (Google even admitted agents are the future at IO last week.)  When AI does the research on behalf of humans, one question becomes unavoidable: What is your website for?  𝙸̶𝚗̶ ̶𝚝̶𝚑̶𝚎̶ ̶𝚏̶𝚞̶𝚝̶𝚞̶𝚛̶𝚎̶ Today it’s for AI agents.  And that’s the vision that we’re building towards at Scrunch.  A future where marketers: -- understand how agents are consuming their site -- know what actions to take to grow AI search performance -- deliver an optimized experience to their primary visitor: AI agents  That’s the story the new site tells.  ===  One more call out.  We didn't just redesign the site for humans—we optimized it for AI, too.  We've been running our own AXP on scrunch.com itself this year. Results? We’ve grown our AI search presence 173% in the last 3 months  You can see exactly what that looks like on our Agent Experience page, which includes human view vs. AI view + calculation of token savings.  See both the human experience and the AI view at scrunch.com  P.S. We hid an Easter egg on the AXP page.</t>
  </si>
  <si>
    <t>Citations are to LLMs as 10 blue links are to a Google search—just smaller, grayer, and less likely to get a click.  Nevertheless, they’re still a critical piece of a sound AI search strategy.  Uncover what sites are being cited for the prompts your brand aspires to show for, and it’s like a looking glass into:  ⟡ Types of content LLMs prefer ⟡ Gaps where competitors are cited and you’re not ⟡ Technical commonalities (schema, structure, metadata) ⟡ Thin citations where stronger content could unseat incumbents ⟡ LLM-specific citation diffs from ChatGPT, Perplexity, Gemini, etc.   While it’s possible to keep tabs on citations on your own, I wouldn’t suggest it. (Imagine running hundreds of prompts across 5+ LLMs, extracting cited websites, dumping into a spreadsheet, and repeating daily. Not fun.)  Products like Scrunch AI fix that for you.  📹 In 3.5 minutes, I was able to spot top-cited domains in a given category (robo advisors in this case), drill down to show citations by funnel stage/topic, and uncover the sites that get cited to either partner with or improve upon.</t>
  </si>
  <si>
    <t>Biggest misconception in AI search aka AEO/GEO: more content = better results. (this is especially true in the enterprise)  Wrt AI search performance, there are typically 3 levers to growth:  1) Optimize existing content 2) Get mentioned in credible sources 3) Generate more content  And that’s how I’d stack rank order of operations for fast results.  Optimize existing content:  Do we already have content that addresses the query? ⤷ Let’s optimize it for LLM consumption.  Get mentioned in credible sources:  We don’t have the content or authority… so who does? ⤷ Let’s try to get a mention on said source.  Generate more content:  Is there truly a content void for this query? ⤷ Let’s fill it.  _______  This is especially true in enterprise.   Quotes from real people at real enterprise orgs: “We’ve written about everything under the sun… we’re repeating ourselves.” “We don’t need to reinvent the wheel on content creation.” “We want to optimize what we already have.”  (Yes, these are pulled from actual calls. And yes, I have the receipts.)   Yet, the default motion is to publish more.  That’s probably because it’s the most obvious path.  But it’s also often the hardest.  _______  So, here’s where I’d start instead (especially if you’re content-rich):  ✦ Serve clean, server-rendered HTML: AI agents consume HTML from your existing URLs—not JS-heavy pages or special files.  ✦ Make pages self-contained + information-dense: AI often pulls from a single page, so completeness and clarity matter more than volume.  ✦ Reduce technical + structural friction: Clear structure, minimal cruft, no hidden content that only renders for humans.  ✦ Ensure AI is hitting the right pages: Your existing URLs are what get cited, so make sure they’re actually being retrieved and used.  P.S.  We built Scrunch AXP (Agent Experience Platform) to help teams actually do the above: deliver clean, structured, agent-friendly versions of your existing pages so AI can retrieve, understand, and use them.  Demo here: https://scrunch.com/book/</t>
  </si>
  <si>
    <t>After publishing 100+ Reddit posts &amp; comments we noticed something interesting: ChatGPT keeps citing comments that are buried on a post and not necessarily ones with the most upvotes or replies.  Turns out there's a pattern to which Reddit content LLMs actually trust and reference, rather than it being a game of who can buy the most upvotes.  Here's the framework we've developed:  1️⃣ Find where LLMs are already looking  Three ways to track Reddit → AI citations:  1. DIY approach: Search '[keyword] reddit' on Google, note which threads appear  (It's not bulletproof but it's a start, you're using Google's ranking algorithm as a proxy)  2. Use something like Scrunch which is purpose built for AEO and will show you the exact threads &amp; comments that are being cited  3. Use something like Trigify.io to track your brand mentions in Reddit so you can enter the right conversations  The sweet spot: ICP-rich subreddits where your buyers actually discuss problems. The gold is in the niche ones.   2️⃣ Understand what LLMs actually extract  Here's what surprised us after analysing 10,000s of citations: Content quality seems (more research required) to beat engagement metrics every time.  I've often discovered a cited comment to be 50-60% of the way down a thread with 2 upvotes. Not exactly prime real estate.  LLMs prioritise entity-rich content. In other words, content that associates 'things' with your company:  - Specific tools and competitors - Integrations - Product differentiators - Concrete use cases - Firmographics  When people query ChatGPT they're front loading a bunch of context:  'I'm an agency founder...we have 5 employees...based in UK...struggling with manual expense tracking...'  ChatGPT takes this query and creates sub-query variations. Your content needs to answer the long tail. This is the science of good Reddit marketing.  However there's also the art:   3️⃣ Navigate the culture (without getting publicly humiliated)  Reddit isn't LinkedIn. You can't blatantly promote your company and expect it to work.   One of the frameworks that we use is: problem → solution, with your product as maybe 10% of the answer. It's the subtle art of bridging the problem that's being discussed to your company which is the solution.  Share genuine expertise. Answer the actual question. If your company helps, mention it as one option among several and give a (somewhat) neutral take.   We rarely post links unless it's a deliberate campaign to signpost a specific feature or piece of content.  The compound effect: These posts often rank on Google too. One thoughtful Reddit comment can drive visibility across multiple channels for months. For clients we do dozens per month.  Still early days, but Reddit might be the most underutilised B2B marketing channel right now.  And not because it drives instant leads, but because it influences the platforms your buyers trust.   P.S. Click here to get help with Reddit https://lnkd.in/etv3Thwr</t>
  </si>
  <si>
    <t>Akamai Technologies grew AI brand presence for key, non-branded prompts by 364% without touching its website. This is how.  Akamai is one of the world's leading cybersecurity and cloud computing companies. Its network infrastructure processes more than one-third of global web traffic.  But here’s the thing: More and more web traffic isn’t human. It’s AI visiting a website on a human’s behalf.  Today’s customers ask AI before they visit your site (if they visit at all). What AI says determines whether you’re part of the conversation.  Akamai needed to answer the same question every brand is wrestling with right now: How do you make sure high-intent buyers find and choose you when AI is the intermediary?  That's where Scrunch comes in.  We helped Akamai go from limited visibility into AI search performance to end-to-end monitoring and actionable insights. But the real unlock was what came next.  We deployed our Agent Experience Platform (AXP) across a subset of pages tied to Akamai's new Inference Cloud product, a high consideration purchase where extensive research is expected.  AXP intercepts AI traffic at the CDN level, strips out the code AI doesn't need, and delivers a clean, optimized version of each page directly to AI user agents - without changing a single thing for human web visitors.  The results (comparing AXP pages to non-AXP pages over 6 weeks): ✦ 38% more unique prompts with citations ✦ 85% more total citations ✦ 364% increase in brand presence for non-branded prompts  In ChatGPT alone, Akamai’s brand presence versus competitors increased by 133%.  This is the bet we've been making since day one: In a world where human beings outsource discovery, evaluation, and comparison to AI, brands have to optimize content for AI consumption.  Akamai proves the value of giving AI its own customer experience. And they're just getting started. Fantastic to be expanding the partnership with the exceptional Akamai team Kim Salem-Jackson, Megan Bentz, Jessie Dawson, Patrick Sullivan, Mark Kilmer, Annalisa Church and countless others!</t>
  </si>
  <si>
    <t>Everyone thinks that to show up in LLM results, you need brand mentions on sites like Reddit, Medium, etc. And while that may be true for top-of-funnel prompts, it’s not often the case for higher-intent prompts (i.e., the prompts that lead to conversions).  Using Scrunch, we surveyed 10 categories (~4 brands per category) to identify which sites were most frequently cited for prompts with high purchase intent. Here’s how we went about it and what we can infer from it 👇  SETUP  1) Select 10 product categories with a reasonably high purchase consideration (e.g., mattresses, gaming consoles, performance bikes, and so on).  2) Generate 25+ prompts per category at the consideration or evaluation stage of the funnel. We made a pointed effort here not to include brand names in the prompts themselves. Prompt examples include:  👟 Specialty Running: How do waterproof running shoes perform compared to lightweight breathable models?  🐣 Baby Strollers: How do travel-system strollers compare with lightweight models for frequent flyers? (One I would likely ask!)  🎧 Headphones: How do premium headphones differ from mid-range models in terms of durability and build quality?  3) Load these prompts in Scrunch (bulk prompt importing ftw) and run a citation analysis to uncover the top cited cites.  Voila! The results are what you see in the graphic.  _________  FINDINGS  ⟡ Niche sites are frequently top-cited results for considered prompts. YouTube cracked the top three in Gaming Consoles and Celebrity Beauty (not so surprising).  ⟡ Surprisingly, Reddit didn’t make the podium in any category. However, it did appear frequently as a cited domain across all categories.  ⟡ “Other” made up 70%+ of all citations (the long-long-tail, if you will).  ⟡ WorkforceOS was the only category where the brands themselves showed up as top cited sources (makes sense as the category is niche itself).  ⟡ Domains of the top-cited sites in the Specialty Running category all start with “run”  ============  🔌 for Scrunch AI  If you’re curious what sites are top cited for your category, it takes just a few minutes to uncover them with Scrunch. Drop in a comment or DM to get a citation breakdown for your category.</t>
  </si>
  <si>
    <t>We helped a $17M ARR B2B company move to rank 1 in AI assistants like ChatGPT and increase owned citations by 600% within 4 weeks, here's how:  // Context  They had mature SEO and ranked well on Google but were losing AI share of voice to competitors. Their SEO agency hadn't adapted - thousands of visits for 'what is [concept]?' articles with low influence on pipeline.   Here's the 4-part process we used to fix this:  1️⃣ Diagnose discoverability gaps  Traditional approach: Track keyword rankings &amp; GSC Our approach: Map AI visibility across buyer journey stages  We mapped high-volume prompts across personas to verify when they're named, how they're positioned, and what sources get cited.  What you can do: Use tools like Scrunch AI to audit AI visibility. Semrush is also doing interesting things in AI visibility.  Google rankings ≠ AI citations.    2️⃣ Design demand-weighted content  Traditional approach: Target high search volume keywords Our approach: Score content by impact × difficulty × business fit  Their SEO content attracted low-value traffic with poor conversions. We combine AEO audits + keyword research, then score based on what will drive pipeline in the next month, rather than only get impressions.  What you can do: Target MOFU/BOFU queries. Lower volume but higher intent.   3️⃣ Ship daily content that ranks + gets cited in AI answers  Traditional approach: 4-8 pillar posts monthly Our approach: Daily publishing using our CITABLE framework  We use a 10-step AI-assisted, human in the loop workflow to ensure strong throughput while maintaining quality.  All content is structured for both humans and AI agents. Within 2 weeks, 4/5 top citations were ours.  Although our core objective was AI-referred customers, we quickly noticed our content also outperformed their SEO agency in the SERP by 2-4x on all metrics. AI + the right workflow = great things happen.  What you can do: Provide answers, not keyword-stuffed articles. Lead with conclusions, support with evidence, give alternative viewpoints.   We have a free tool that scores content based on our CITABLE framework, lmk if you want to use.   4️⃣ Earn proof signals AI trusts  Traditional approach: Build domain authority via backlinks Our approach: Multi-source validation across cited sources  Step (1) reveals to us what sources AI cites. We bucket these and run targeted plays for each.  Example: Competitor-earned citation on Reddit → we dominate the narrative on this post.  What you can do: Audit your off-site presence, ensure message consistency across as many surface areas as possible, and seed mentions in cited sources.  //  We're still so early in AEO. Yes there's hype, but technology shifts like this create opportunity (think: Meta ads, App Store, TikTok)  DM or comment if you'd like a free AI visibility audit to get an idea of how you're performing. No strings.   **Rank 1 = across the target query set they were positioned as the first cited recommendation on average across answers.</t>
  </si>
  <si>
    <t>An exec or board member is about to ask your team: 'How are we doing in AI search?'  It's a fair question. And right now, most teams don't have a real answer.  The old ranking signals (backlinks, domain authority, coverage volume) tell you how visible you are to search engines. They don't tell you whether AI is actually reading you.  That question changes the brief across every discipline. PR target lists shift when you can see which domains AI cites most in your category. Content priorities shift when you know which URLs competitors are winning citations with. Influencer and paid plays shift when you can identify who AI already trusts.  After testing a lot of tools in this space, Scrunch is the one Firebrand Communications built our GEO approach around. The citation report does something I haven't seen elsewhere. It shows you, in ranked order, the exact domains AI pulls from when answering prompts in your category. Then you can go deeper: which URLs are driving citations, which competitors are winning them, where the most citation share is still up for grabs.  I wrote up how we use it across three levels: domain discovery, URL-level competitive analysis, and topic-filtered planning that feeds directly into PR, influencer, and paid briefs.  If you're trying to make GEO actionable rather than abstract, this is where I'd start.  Full walkthrough: https://lnkd.in/gvhgjkRX  #GEO #AISearch #GenerativeEngineOptimization #DigitalMarketing #AICitations #Scrunch #B2BMarketing</t>
  </si>
  <si>
    <t>#GEO #AISearch #GenerativeEngineOptimization #DigitalMarketing #AICitations #Scrunch #B2BMarketing</t>
  </si>
  <si>
    <t>If you want to write for AI search optimization (aka AEO/GEO), here’s a little hack: just use the Axios style guide — Smart Brevity.  Why it matters: AI search is the next big growth channel. That makes AI bots retrieving content from your site a VIP visitor. Writing for bot consumption increases your chances of reaching humans on LLMs.  ––––––  Between the lines: Quotes from the Axios style guide, reinterpreted as AI search best practices.  Axios: Say “What’s new” and “Why it matters.” ⤷ AI tie-in: AI doesn’t want to sift through the backstory of your grandmother’s pumpkin pie recipe. It just wants the answer, direct and upfront.  Axios: Stay scannable. Short paragraphs, bolding, and bullets. ⤷ AI tie-in: In other words, write in Markdown — the lingua franca of AI.  Axios: Write like a human ⤷ AI tie-in: AI seeks human-written content. That’s because of a thing called model collapse — where self-referential content degrades answer quality over time.  Axios: Stop when enough is enough. Keep it short, not shallow. ⤷ AI tie-in: AI rewards signal-dense content. The more it recognizes your content as a rich source of it, the more it will reference it.  ––––––  The other side: While I appreciate the Axios style, it’s a little depressing imagining a world where the majority of content is written like an Axios article. That said, writing for traditional search (Google) isn’t so great either — long-winded intros, banner ads &amp; pop-ups killing user experience, overly comprehensive skyscraper posts.  ––––––  The bottom line: Axios’s Smart Brevity was written before the AI boom. Yet it hits the structural cues AI search platforms rely on: clarity, hierarchy, chunking, and high signal-to-noise ratio. It’s a cheat code to writing for AI.  =====  🔌  for Scrunch  Have your cake and eat it too with AXP (Agent Experience Platform). Keep the content written for humans and serve AI agents an optimized version of your site. Get a demo at scrunch . com  =====  And HT to the great Gary Orenstein for the insight</t>
  </si>
  <si>
    <t>AI search (aka AEO) ≠ SEO. In AEO, there are 2 core concepts everyone gets hung up on. Once they click, the difference in strategy and execution becomes crystal clear.  1️⃣ AI search is probabilistic  That means the same question asked twice—even by the same person and even in the same session—will return a different result.  This is a feature, not a bug.  Which means your brand won’t show up 100% of the time for any given prompt.  In fact, the best brands only show up ~60% of the time.  (Feel free to give that stat to your CEO the next time they ask why you didn’t show up in one of their random searches 😉)  So the way to look at AI search performance is not about rankings like trad search.  Instead, performance should be based on trends over time—i.e., for a given set of prompts I care about, is my brand showing up more frequently and in a positive light?  Which brings me to the second shift…   2️⃣ Zero-click UX (which changes perf metrics)  The trad search user experience goes: Search → Click → Read → Repeat.  AI collapses that whole rigmarole into one step.  Agents do the visiting, discovery, evaluation, and recommendation for the user.  If you’re only looking at referral traffic from AI platforms as a performance metric, you’re just seeing the tip of the iceberg.  Below the waterline, you get the whole picture:  ✦ Brand presence: is my brand mentioned in AI answers? ✦ Citations: is my site being cited as an authoritative source? ✦ Agent traffic: are AI bots visiting my site on behalf of humans?  These are all examples of leading metrics that happen before a human visits your site.  And even when they do visit, it’s rarely from clicking a citation (that small gray pill that needs to be clicked to track AI referral traffic).  So you also need to triangulate with lift direct and branded organic traffic to get the full picture.  =======  In my experience, most teams don’t have a tactics problem.  Yes, if you’re doing SEO well, there’s a good chance that you’re also doing AEO well.  It’s more of a mental model shift that makes all the difference.  Once these two things click, the rest (strategy, execution, measurement, etc.) tends to fall into place.  P.S.   We built Scrunch to track what actually matters in AI search—presence, citations, and agent traffic.  Get a free brand audit (no email req) at: https://lnkd.in/drK3T4ke</t>
  </si>
  <si>
    <t>This post probably won’t get cited by ChatGPT. But the link down below might.  Scrunch’s data science team pulled the receipts on which LinkedIn posts get cited in AI search and which don’t, focusing primarily on the most popular consumer AI platform today: ChatGPT.  A few sacred cows did not survive.  One of the more surprising findings? A post with 100 reactions gets cited at essentially the same rate as one with 10,000. If you hold content constant, engagement is just noise.  Here’s what ChatGPT actually cares about:  - Technical details: +77% citation likelihood - Named entities (companies, people, products, etc.): +33% - Topic specificity: +18%  Meanwhile, a couple of LinkedIn-native moves actively backfire:  - 𝗨𝗻𝗶𝗰𝗼𝗱𝗲 formatting like this? -58% citations. ChatGPT's retriever can't decode math-alpha characters. Your bolded LinkedIn headline is invisible to it. - Link-in-comments posts? -31% citations for the post itself. But the source you're linking to? +144%. So LIC posts can act as a deliberate tradeoff:   Sacrifice your post to boost the thing you're promoting.  That said, the majority of LinkedIn posting hacks don’t harm citation performance. In fact, they don’t move the needle at all, positive or negative.  The takeaway really depends on the game you're playing.  Building your personal brand? You probably want to optimize for reach on LinkedIn. Follow-for-more/DM me CTAs, first-person authority, personal anecdotes—they work.  Marketer trying to shape what AI says about your company? Different rules. Technical depth, named entities, niche topics. And keep in mind that a few LI engagement tactics will cost you.  Most B2B teams want both. Good news: Named entities and topic specificity help with citations *and* reactions. That's the sweet spot. Full study in the comments 👇  (Yes, I know what that does to this post's citation odds. Worth it.)</t>
  </si>
  <si>
    <t>Over the next few years, every meaningful search experience will be AI-powered.  The implication isn’t fewer searches - it’s fewer humans doing them directly.  We’re moving from marketing to people to marketing to machines, and we've just released our AI Search Guide to bring a bit of clarity to the shift.  Link in comments below.</t>
  </si>
  <si>
    <t>SEO content is not the same as AEO content.  If you want to acquire customers from ChatGPT, Claude and Perplexity, standard SEO isn't optimal.  This does *not* mean SEO is dead or dying. It's still very much alive.  But in AEO you're marketing on channels that consume and prioritise information differently than what we're used to over the last 20 years. A change in channel dynamics means our strategy must also change.  If SEO was the same as AEO then we would not have been able to:  - Get inbound sales calls from ChatGPT on a brand new (DA 0) domain  - 4-6x a B2B SaaS company's AI search visibility by executing a wildly different strategy to their incumbent SEO agency, despite said agency thinking SEO &amp; AEO are the same thing  Answer engines reward clarity and proof, not lengthy walls of text. They show sources, quote passages of text and skip waffle. If you want better visibility inside AI answers you must write with the intention to be cited.  Here's how:  // Questions  Stop chasing single keywords. Start from real questions that buyers type into models like ChatGPT. Ship content that provides concise answers to those exact questions. Try to answer the long-tail of queries that happen as part of the model's query fan-out process. View your content as a series of rich information blocks rather than a single page.  Use an AI visibility product like Scrunch AI or Peec AI if you're unsure how you're appearing in AI answers.  // Evidence  Back every claim (stats, pricing, features, differentiators, sentiment) with a source. If the claim can't be verified then it's useless.   // Entities  Name your company, products and categories the same way every time, everywhere. You'll be surprised at the variance in messaging across a company's different surface areas (e.g. review sites, directories, social profiles). Create a 'set of facts' that you use and set a reminder to update them as your company evolves.  Particularly in B2B SaaS, outdated info on pricing and features can be the deciding factor.  We're currently shipping 100,000s of words per month, ranking top in Reddit threads and solving the technical side of AEO across clients. We're deep in R&amp;D mode with original studies coming soon.  If you have any questions about AEO feel free to comment or DM me, no strings attached. We like nerding out about this.</t>
  </si>
  <si>
    <t>“AEO is just SEO rebranded.” “There’s no such thing as rankings in AI search.” “Tracking AI responses is moot because LLMs are probabilistic.”  ☝️ Things search experts say about AI search (aka AEO GEO).  And, to a large degree, they’re not wrong.  But for us facing real-world expectations from execs (and the board), this is not helpful rhetoric.  *What exactly is the alternative?*  When your CEO comes to you and asks: “How do we compare to competitors on ChatGPT? I searched and didn’t see us show up.”  Your response can’t be: “Well… funny you say that, because our SEO results are still looking strong, and the experts say ‘if you're doing well in SEO, then you're doing well in AEO’ so I think we're set! That, and your responses are personalized to you, so maybe you’re too paranoid about our competitors?”  That’s a recipe for unemployment.  ===  So what’s the alternative?  If AI search is probabilistic… If prompts are infinite… If responses vary…  We need to stop treating measurement the same way we’re accustomed to in SEO.  AI search doesn’t work that way.   Responses are probabilistic.  Prompts are super long tail with infinite variations.  Memory and personalized results are the norm.  But that doesn’t mean it can’t be measured. It just takes a different approach.  The most common mistake we see is falling into the “boil-the-ocean” trap--e.g., trying to track every permutation of every prompt. That’s a fool’s errand.  A better approach is to track a consistent, representative set of prompts tied to the topics that matter to you (and to track them the same way over time).  When you do, in return, you get a barometer that reveals how your brand shows up over time in the topic areas that matter to your bottom line.  At Scrunch, we liken this approach to a 🌤️ weather station: A single reading doesn’t tell you much, but a network of readings over time reveals how you’re trending.  ====  🔌  Plug for Scrunch  Track how your brand is trending across the prompts that matter. Start a free 7-day trial: https://lnkd.in/g-jZ7ixj or book a demo: https://scrunch.com/book to have one of our team members walk you through the results.  ====  And that’s one of the core shifts in how to treat AI search vs SEO. We don’t have GSC (although Bing just added this). We don’t have ad impressions (not yet, at least).  What we have is a weather station (if you will) that provides a stable, consistent stream of readings, indicating whether the climate is shifting.  Michael Iannelli, PhD details more on this approach (plus more analogies) on the Scrunch blog. Will post the link below if you want to go deeper.</t>
  </si>
  <si>
    <t>I’ve audited 17 B2B SaaS companies in the last 4 weeks. Only 3 were properly optimised for AI search. The other 14 are invisible to ChatGPT, Perplexity, and Google's AI overviews.  Here's how I would get a head start on AI search for less than $500/mo while competitors still try to figure it out:  // 1. Implement structured data for AI comprehension ($0)  Add schema such as Articles, FAQs and HowTo to every key page. Tool: Schema dot org's free validator + Google's Rich Results Test  AI systems prioritise content with explicit structures.  This is quick to do and costs nothing.   // 2. Start monitoring your AI visibility TODAY ($99-$300/mo)  You can't improve what you don't measure.  Track where you appear in ChatGPT, Perplexity, and Claude responses.  Tool: Scrunch AI (AI visibility platform) or others.  Most companies have zero idea if they're being cited, just operating with vibes &amp; hopes - don't be them.   // 3. Create entity-rich content ($119/mo)  AI loves comparative, neutral and rich information it can synthesise.  (Why go to 10 sites to find an answer if 1 provides it for you?)  Ship: - Comparison tables - Cited sources (so claims can be verified) - Original data  Be neutral in comparisons. If your claims can't be backed up, it won't be cited.  Tool: Ahrefs Content Gap tool    // 4. Optimise for multi-source validation ($0-99/mo)  AI cross-references claims across sources. The consensus wins.  Get your facts on:  - Your website - LinkedIn articles - GitHub documentation - ProductHunt descriptions - YouTube video transcripts &amp; descriptions - Reddit  Tool: F5bot for Reddit (free) or OGTool (paid)   // 5. Test your content's AI extractability ($0)  Check if AI systems can actually find and use your content.  Search your target query in ChatGPT/Perplexity with web access enabled. Do you appear? What passages get cited?  If not cited: Your content isn't being retrieved If cited but wrong info: Your content isn't clear enough  Tool: ChatGPT with browsing or Perplexity (free tier)  (Note: can be indicative but much better to test in isolation)  //  AI search is changing how buyers discover products via search.  6 months from now every B2B company will be fighting for AI visibility but right now it's up for grabs.   P.S. Comment or DM me 'audit' and we'll check your AI visibility across ChatGPT, Perplexity, and Claude for free.</t>
  </si>
  <si>
    <t>There’s a psychological phenomenon you’ve probably experienced, known as the Gell-Mann Amnesia Effect, when you:  1) Read an article about a topic that you’re intimately familiar with 2) Spot glaring errors and misunderstandings in said article 3) Move to the next article (this time without SME) and trust it as truth  For me, this happens in depictions of surfing in films—an actor holding a board with wax on body, paddling out with a gun on a 3-ft day, fins on backward—all tells that nobody in production really surfs 🤙   (Trust me, I’m going somewhere with this.)  This Gell-Mann Amnesia effect is happening to your brand right now. Just instead of a journalist misinterpreting the facts, it’s an LLM.  It’s not the LLM’s fault. It’s just that the inputs are faulty.  - Competitor-generated listicles - Blog posts written prior to pivoting - Retired pricing tiers listed on review sites  Keeping up with all these moving parts is near impossible. Yet with AI now being the front door to your brand, you kinda have to.  And that’s why we’re launching Knowledge Studio today—to give you more control over how AI represents your brand and put an end to AI’s Gell-Mann Amnesia effect.  Knowledge Studio is how you give AI the briefing the journalist never got.  Connect your internal sources of truth—positioning materials, ICP docs, pricing tables, battle cards—from Notion, SharePoint or manual uploads.  Our AI agents turn them into structured Knowledge Documents your team reviews and approves.  From there, Knowledge Studio will:  ✦ Flag where AI answers conflict with your actual positioning ✦ Augment content served to AI agents visiting your site ✦ Fill content gaps before AI starts improvising  Accurate answers are sitting in your internal documents: a PMM brief, a pricing document, a battle card. Knowledge Studio helps AI learn from those sources rather than guessing based on whatever it finds on the internet.  Your company already knows the right answers.  Knowledge Studio, now available for all Scrunch customers, makes sure AI does too.  Go deeper 👉 https://lnkd.in/gpzwdWHy</t>
  </si>
  <si>
    <t>A lot of people say you gotta invest in “brand” to show up in LLM results. But they fail to expand on what exactly that means. So here goes my attempt to break it down.  First, there are really only three ways for your brand to show in prompt results right now:  1) Someone uses your brand name in the prompt itself—“how does [brand] price its product?” If this is the case, your brand is already dominating the conversation #winning  2) Your brand shows up in the prompt results—“what’s the best microphone for podcasting?” Where your brand appears somewhere on the list of options.  3) Your brand shows up as a reference that the LLM is citing—“what AV rig do I need for recording a video podcast at home? Where your brand’s website holds the resource cited by the LLM.  Now, if you were to interpret the advice of “invest in brand” through the lens of what typically comes to mind—refreshing brand identity, out-of-home billboards, a new website redesign—it would be a long and costly endeavor until that investment showed up in any of the above examples.  (And yes, I know brand is *much* more than those examples. Not trying to offend any brand marketers. In fact, if you’re a brand marketer, I think you’ll enjoy the rest of this post. But I digress.)  ––––––  So, what people mean when they say, “You gotta invest in brand to show up in LLM results!” it really means the following👇  To get your brand mentioned in the prompt itself: (and this is the closest to what comes to mind with brand investment)  → Own the conversation in the channels where your ICP hangs out → Take a stance on something and flood the zone with that perspective → Create the category if your product is truly disruptive  ---  To get your brand to appear in the list of options an LLM serves back:  → Get customers to openly talk about and review your product → Show up in conversations on channels like Reddit, LinkedIn, Twitter, etc. → Get mentions on credible sources—think Forbes Cloud 100 list  ---  To get your site referenced as the source LLMs cite:  → Create canonical, authoritative content—think how to guides etc. → Conduct original research—think state of X report (using proprietary data) → Keep ^ content fresh and up to date   Do the above consistently, creatively, and authentically, and there’s a good chance you’ll show up in prompt results.  =========  🔌 for Scrunch AI  While we can’t do the brand building for you, with Scrunch, you can: ✧ Benchmark &amp; track how your brand shows up vs competitors in LLMs ✧ Track brand presence, position, and sentiment across any prompt ✧ Uncover citations that LLMs find credible in your space  And that’s just the monitoring part of the product.   For more, head over to our website (scrunchai dot com) or DM me if you want access 😉</t>
  </si>
  <si>
    <t>If you’ve ever been annoyed by a CEO asking, “Hey, why don’t we show up for [made-up keyword with zero search volume]?” Just wait until they realize your brand isn’t showing up in their off-the-cuff LLM prompts either.       When they do… we’ve got you covered: https://scrunch.com/book/</t>
  </si>
  <si>
    <t>Most teams are going about AI search (aka AEO) the wrong way. And it’s because they’re anchoring the strategy on SEO priors.  The key difference? User behavior.  TRADITIONAL SEARCH  User behavior in trad search = Drop 3-7 words into a search engine. Get results.  For any topic, there’s a finite number of high-volume searches. Which means it’s possible to bid or optimize on a single keyword and get 1000s of impressions.  Knowing this, our approach to search strategy has been: - Define a finite set of relevant keywords - Optimize or bid on said set of keywords - Grade performance based on our position within the set  But… that’s a losing approach to AI search.  ––––––  AI SEARCH (aka AEO/GEO)  User behavior in AI search = type, speak, paste, or upload a prompt. (All of which are typically far longer, specific, messier, etc., than your average SEO query.)  Unlike traditional search, there’s no finite prompt universe. And so, trying to capture every permutation of every prompt is an impossible endeavor.  This is where many AI search strategies go south.  Instead of treating AI search like keywords, we need to treat it more like trend measurement.  An apt analogy? 🛰️ Weather stations.  Meteorologists don’t apply a scorched-Earth approach by measuring every square foot of land. Instead, they deploy a stable network of sensors, deliberately place them, and read them consistently over time.  A system of thermometers is not “the weather,” but the set of them strategically placed and read consistently is a reliable signal.  An AI search strategy should work in a similar fashion:  ✦ You don’t track prompts to capture every possible prompt.  ✦ You track a set of prompts to have a consistent yardstick.  It’s not about ranking for every prompt.  It’s about understanding how your brand is trending for the topics you care about and making adjustments accordingly.  ======  🔌 for Scrunch  Scrunch is your weather station for AI search—monitor brand mentions, identify trends, take action, &amp; more! Start a 7-day free trial at scrunch [dot] com.  ======   P.S. Biggest HT of all HT to Michael Iannelli, PhD for the take here (I’m really just regurgitating his insight).</t>
  </si>
  <si>
    <t>This may be the most important slide in our deck.  AI only knows what it can access and understand.   AI Agents, working on behalf of humans, are the primary consumers of content on the internet. The question is how to optimize for them.   Two paths in the AI search era:  Flood the internet with AI-generated content and hope something sticks....(don't)  Or systematically curate, optimize and structure the content you already have so AI can trust and use it.   One creates noise. The other compounds advantage.   At Scrunch we've observed that many customers have the content but AI doesn't see or understand it. We've built a platform to audit what AI understands and Agents to fill the gaps.   Your brand has never mattered more.</t>
  </si>
  <si>
    <t>Your buyers are using AI to research vendors. Is your brand showing up?  Most B2B brands are invisible in AI search. No citations. No mentions.  Scrunch shows you exactly:  • Where you show up (and where you don’t)  • Which prompts you’re winning or losing  • What AI actually cites  Get your free AI visibility audit and we'll top off your Claude account with $50 in tokens.</t>
  </si>
  <si>
    <t>You have tools for organic rankings, paid search, and site performance. None of them show how your brand appears in AI-generated answers.  I can run a free audit covering where you show up in ChatGPT, Perplexity, and Google's AI overviews, how that's trending, and where competitors are outpacing you.  Happy to walk through the results on a call. We'll add $50 in Claude tokens to your account as a thank-you for your time.</t>
  </si>
  <si>
    <t>I'll swap you $50 in Claude Tokens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</si>
  <si>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Your buyers are using AI to research vendors. Is your brand showing up?  Most B2B brands are invisible in AI search. No citations. No mentions.  Scrunch shows you exactly:  • Where you show up (and where you don’t)  • Which prompts you’re winning or losing  • What AI actually cites  Get your free AI visibility audit and we'll send you $100 DoorDash giftcard.</t>
  </si>
  <si>
    <t>I'll swap you a $100 DoorDash gift card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</si>
  <si>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Last week Scrunch was acquired by Sitecore. In the very same week, bots officially out-browsed humans on the internet for the first time ever. One of those helps explain the other.  Brands have spent decades building their websites for people. Pretty pictures. Clever animations. JavaScript everywhere.  But as Forbes reported last week, the game has changed: https://lnkd.in/eAbuwjkU  We’ve seen the flip firsthand at Scrunch. 65%+ of our site visitors are AI bots.  Odds are good that there’s an AI user agent on your site right now, retrieving content for a real buyer.  The problem? Your site is built for the person on the other end of the prompt, not the bot browsing on their behalf.  AI agents don't want to battle your website or browse endlessly for the content they need.  That’s exactly why we built our Agent Experience Platform (AXP).  We don't make you rebuild your website. We optimize your existing site and content for AI retrieval.   The internet isn’t shrinking, but its main audience is changing.  Want to know what AI sees when it hits your site? Get in touch.</t>
  </si>
  <si>
    <t>AI search tools are already answering questions about %COMPANYNAME% and you can't see how.  I can run a quick audit to show you exactly where %COMPANYNAME% shows up in AI answers, where competitors are outranking you, and how that's trending.  Happy to share the results over a call and we'll top up your Claude account with $50 in tokens as a thank-you for your time.</t>
  </si>
  <si>
    <t>Strapi had no idea how they were showing up in AI search until we ran an audit.  Turns out they were being underrepresented across ChatGPT and Perplexity while competitors pulled ahead.  After optimizing, they increased their AI citations by 226%.  I'd like to run the same audit for %COMPANYNAME% and share what we find on a call. We'll add $50 in Claude tokens to your account as a thank-you.</t>
  </si>
  <si>
    <t>Most marketing leaders are hearing about AI search visibility. Very few actually know where they stand.  I can run a free AI search audit, where your brand appears in AI answers, how that's trending, and where competitors are pulling ahead.  Happy to walk through the results on a call. We'll add $50 in Claude tokens to your account as a thank-you for your time.</t>
  </si>
  <si>
    <t>Hi %FIRSTNAME%, Your existing analytics don't capture how your brand shows up in ChatGPT, Perplexity, or Google's AI overviews. That's a blind spot most marketing teams don't know they have yet. I'd like to run a free audit and share what we find on a short call. As a thank-you, we'll top up your Claude account with $50 in tokens.</t>
  </si>
  <si>
    <t>AI answers are becoming a real traffic source and most SEO teams have no visibility into how their brand is represented there.  That's a gap that's only going to matter more.  I'd like to run a free AI search audit and share what we find on a short call. As a thank-you, we'll top up your Claude account with $50 in tokens.</t>
  </si>
  <si>
    <t>One of our clients increased their AI citations by 226% once they could actually see where they stood.  I'd like to run the same audit for %COMPANYNAME%, map your AI presence, benchmark you against competitors, and show you where the gaps are.  If you're open to a quick call to review the results, we'll add $50 in Claude tokens to your account as a thank-you.</t>
  </si>
  <si>
    <t>AI search results for %COMPANYNAME% are already live in ChatGPT, Perplexity, and Google's AI overviews. None of your current tools are tracking them.  I can run a free AI search audit to show you exactly where %COMPANYNAME% appears in AI answers, how that's trending, and where competitors are showing up instead of you.  Happy to share the full results over a call and we'll top up your Claude account with $50 in tokens as a thank-you for your time.</t>
  </si>
  <si>
    <t>Your buyers are using AI to research vendors. Is your brand showing up?  Most B2B brands are invisible in AI search. No citations. No mentions.   Scrunch shows you exactly: • Where you show up</t>
  </si>
  <si>
    <t>Hi %FIRSTNAME%, I'll swap you a $100 DoorDash gift card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</si>
  <si>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Hi %FIRSTNAME%, You have tools for organic rankings, paid search, and site performance. None of them show how your brand appears in AI-generated answers. I can run a free audit covering where you show up in ChatGPT, Perplexity, and Google's AI overviews, how that's trending, and where competitors are outpacing you. Happy to walk through the results on a call. We'll add $50 in Claude tokens to your account as a thank-you for your time.</t>
  </si>
  <si>
    <t>You track rankings. You track traffic. You track conversions.  Nobody's tracking whether AI mentions you at all.  Scrunch maps your AI presence across every major platform, what you're winning, and where you're losing ground.  Start a free AI audit for your brand. We'll send a $100 DoorDash gift card if you jump on a 20-min review of results.</t>
  </si>
  <si>
    <t>You track rankings. You track traffic. You track conversions.  Nobody's tracking whether AI mentions you at all.  Scrunch maps your AI presence across every major platform, what you're winning, and where you're losing ground.  Start a free AI audit for your brand. We'll top up your Claude account with $50 in tokens if you jump on a 20-min review of results.</t>
  </si>
  <si>
    <t>Hi %FIRSTNAME%, I'll swap you $50 in Claude Tokens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</si>
  <si>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A year ago, this commercial would have been painful for me to watch.  And that’s because the challenges our protagonist is facing hit too close to home: - Exec + board-level pressure - Being absent from AI search results - Tasked with opening a new growth channel - Model updates moving a mile a minute - Not knowing what works - Throwing experiments at the wall - Competitors controlling the narrative - AI referencing stale content it trained on  If this sounds all too familiar, there’s hope.  Fast forward to today, and I’m in a much better place.  Much of that is because not only did I join Scrunch—I dove in head first: ✦ Joined an AI-first company ✦ Embraced the chaos ✦ Learned by doing ✦ Flipped my mindset from fixed → growth  That perspective shift made all the difference.  ––––––  The opportunity in front of marketers is enormous. (But so is the amount of noise.)  That's why I love what we're building at Scrunch: helping brands understand how they're represented in AI, what AI can actually find and trust, and where to focus next.  And now, as a Sitecore company, we're even better positioned to help brands navigate what's ahead.  With that, hope you enjoy this fun :30 clip.  Shoutout to Jeff Andrew, Alistair Wilson and the team at Foster Filmworks who produced it!  ===  P.S. Curious how your brand shows up in AI? Run a quick AI brand audit at: https://lnkd.in/drK3T4ke (no email required)</t>
  </si>
  <si>
    <t>Quick ask. Got 20 minutes? There's $50 in Claude tokens in it for you.  Here's the conversation I keep having lately:  Buyers are asking AI which tools to use. And a lot of brands aren't showing up at all.  The thing is, your brand is no longer what you say it is. It's what ChatGPT, Perplexity, and Claude say it is. Most teams have never looked.  Scrunch shows you:  If AI search is even a small priority for 2026, I'll run %COMPANYNAME% through our product and walk you through exactly how you stack up. (For context, we drove a 364% lift in AI brand presence for Akamai. Curious where you'd land.)</t>
  </si>
  <si>
    <t>Hi %FIRSTNAME%, AI search results for %COMPANYNAME% are already live in ChatGPT, Perplexity, and Google's AI overviews. None of your current tools are tracking them. I can run a free AI search audit to show you exactly where %COMPANYNAME% appears in AI answers, how that's trending, and where competitors are showing up instead of you. Happy to share the full results over a call and we'll top up your Claude account with $50 in tokens as a thank-you for your time.</t>
  </si>
  <si>
    <t>Hi %FIRSTNAME%, AI answers are becoming a real traffic source and most SEO teams have no visibility into how their brand is represented there. That's a gap that's only going to matter more. I'd like to run a free AI search audit and share what we find on a short call. As a thank-you, we'll top up your Claude account with $50 in tokens.</t>
  </si>
  <si>
    <t>Hi %FIRSTNAME%, Strapi had no idea how they were showing up in AI search until we ran an audit. Turns out they were being underrepresented across ChatGPT and Perplexity while competitors pulled ahead. After optimizing, they increased their AI citations by 226%. I'd like to run the same audit for %COMPANYNAME% and share what we find on a call. We'll add $50 in Claude tokens to your account as a thank-you.</t>
  </si>
  <si>
    <t>This is my fav data study we’ve ran at Scrunch: Analysis of 12k LI posts that shows what tactics get more reactions and/or ChatGPT citations.  If you’ve ever been curious about what tactics actually work on LinkedIn… - to use Unicode text or not - to link in comments or not - to tag a person or company or not …this study is for you.  What works for LinkedIn reactions 👍  Follow-for-more / DM me CTAs (+22%)  ⤷ e.g., 'DM me for the full breakdown' or 'follow for weekly data'  Originality (+13%)  ⤷ e.g., distinctive perspectives that stand out in the feed  First-person authority (+12%) ⤷ e.g., writing from lived professional expertise, not summarizing others  Personal anecdotes (+11%) ⤷ e.g., a story from your own career, a failure, a hard-won lesson  Step-by-step structure (+7%) ⤷ e.g., sequential 'here's exactly how I did X' breakdowns  Single-line paragraph rhythm (+6%) ⤷ e.g., one thought per line, no dense blocks  –––  What works for AI citations 🖇️  Technical details (+77%) ⤷ e.g., architecture decisions, benchmark comparisons, implementation tradeoffs  Named entities (+33%) ⤷ e.g., specific companies, people, products, or tools  Topic specificity (+18%) ⤷ e.g., 'prompt engineering for RAG' beats 'AI tips'  Single-line paragraph rhythm (+14%) ⤷ e.g., clean line breaks that make content easier for AI to parse  –––  What works for both 👍 🖇️  Topic specificity (+18% citations / +13% reactions)  Named entities (+33% citations / +5% reactions)  –––  Tradeoffs worth considering 🔀  Unicode bold/italic (+12% reactions / -58% citations) ⤷ e.g., using 𝗯𝗼𝗹𝗱 or 𝘪𝘵𝘢𝘭𝘪𝘤 to make text pop in the feed (note: characters are invisible to ChatGPT search index)  Link-in-comments (+11% reactions / -31% citations) ⤷ e.g., “Link in comments” posts: AI follows the link and credits the source, not the post  Originality (+13% reactions / -11% citations) ⤷ e.g., contrarian takes get reactions but have lower factual density for AI  ---  Last but not least, my favorite anecdote from the study…  It seems ChatGPT cites based on substance, not social proof.  A post with only 100 reactions can be just as citeable as one with 10k if the substance is there. (”So you’re saying there’s a chance!”)  Link to full study in the comments.  (And yes, now I know the hit my citation rate will take by doing so 😉)  HT Michael Iannelli, PhD for all the analysis  P.S.   Scrunch gives you visibility into the citations that matter (like LinkedIn) so you can optimize accordingly. See what gets cited for your brand at: https://lnkd.in/drK3T4ke  ====  A note on our methodology (i.e., the fine print)  Analysis covers 12k LI post observations surfaced by ChatGPT between Jan–Apr, 2026, including posts deemed relevant but not cited. We then modeled ~4,000 posts across 21 content dimensions—controlling for audience size and post age—and used double machine learning (Chernozhukov et al.) to isolate each variable’s impact.</t>
  </si>
  <si>
    <t>Hi %FIRSTNAME%, One of our clients increased their AI citations by 226% once they could actually see where they stood. I'd like to run the same audit for %COMPANYNAME%, map your AI presence, benchmark you against competitors, and show you where the gaps are. If you're open to a quick call to review the results, we'll add $50 in Claude tokens to your account as a thank-you.</t>
  </si>
  <si>
    <t>Hi %FIRSTNAME%, AI search tools are already answering questions about %COMPANYNAME% and you can't see how. I can run a quick audit to show you exactly where %COMPANYNAME% shows up in AI answers, where competitors are outranking you, and how that's trending. Happy to share the results over a call and we'll top up your Claude account with $50 in tokens as a thank-you for your time.</t>
  </si>
  <si>
    <t>Hi %FIRSTNAME%, Got 20 minutes? I'll send you a $100 DoorDash gift card as a thank-you. You're probably already seeing AI answers about your brand but only as anecdotes. If you're open to it, I can run an AI search audit for %COMPANYNAME% to give you a clear map of your AI presence. It'll show where you appear in AI answers, trends over time, where competitors outperform you. Happy to load %COMPANYNAME% into Scrunch and share results over a call.</t>
  </si>
  <si>
    <t>Hi %FIRSTNAME%, Most marketing leaders are hearing about AI search visibility. Very few actually know where they stand. I can run a free AI search audit, where your brand appears in AI answers, how that's trending, and where competitors are pulling ahead. Happy to walk through the results on a call. We'll add $50 in Claude tokens to your account as a thank-you for your time.</t>
  </si>
  <si>
    <t>Your buyers are asking AI before they ever visit your website.  The question is: are you part of the answer?  Join a 20-min AI Lunch &amp; Learn and walk away knowing exactly where your brand shows up across LLMs, which prompts you're winning or losing, and what AI actually cites.  Slots are limited this month. + $100 DoorDash included.</t>
  </si>
  <si>
    <t>Once you go headless, you don't go back.  That moment when you start using software through natural language or through API—as opposed to pointing &amp; clicking, bouncing between tabs, grabbing screenshots, etc.—the old way just feels so antiquated and cumbersome.  I’ve been using Scrunch conversationally via our MCP for the last few weeks, and I can’t imagine going back.  And it’s why I’m thrilled to share...  Scrunch MCP is now generally available to all.   You can now talk to your AI search data (and act on it) from whatever AI client you already use or directly from within Scrunch.  In practice, all you need to do is ask: ✦ Where is my brand absent but should be showing up? ✦ Which competitor is getting more AI visibility than me? ✦ Find my biggest content gaps and group them by theme. ✦ Tag these prompts with “competitor” for me.*  That last point is a big one as our MCP is not just read-only.  You can go from insight → action in the same conversation: ✦ Create brands  ✦ Track prompts  ✦ Add competitors  ✦ Organize data  ✦ Trigger workflows  Setup is less than 5 minutes.   No API keys, no shared secrets. Just your existing Scrunch login and your preferred AI client (Claude, ChatGPT, Copilot).  Prefer to stay in-app? Scrunchie, our built-in agent, works the same way—already inside Scrunch, no setup required.  ===  Scrunch MCP is available today for all customers on all plan levels. We even put together a prompt library to help you get started (link in comments).</t>
  </si>
  <si>
    <t>AI answers are stealing discovery from search. Most teams have no idea where they stand.  Missed prompts. Competitors becoming the default answer. No way to fix what you can't see.  Scrunch shows you exactly where you appear across every LLM, which prompts you're winning or losing, and what to fix next.  Run a free AI audit + book a 20-min review. $100 DoorDash gift card included.</t>
  </si>
  <si>
    <t>Your customers are asking AI before they ever visit your website. Is your brand the answer?  Get a free AI visibility audit and see exactly where you show up, which prompts you're winning or losing, and what to fix next.  Limited slots this month. Book a 20-min results review and we'll send a $100 DoorDash gift card.</t>
  </si>
  <si>
    <t>Our new website delivers two experiences. One optimized for humans. One optimized for AI user agents. They both live at the same URL.  If you’ve visited our site in recent days, you’ve probably noticed that it looks a little different. Huge kudos to our design and web dev teams for the latest glow-up.  But more than half of our website visitors are AI bots. So when we redesigned our site, we designed it with two audiences in mind:  1. Humans 2. The AI user agents answering their questions  Our design and web dev teams did what they do best. Eye-catching animations. Interactive drop-downs. The works.  Then our product team did what it does best: Strip it all away using Scrunch's Agent Experience Platform (AXP).  Our new site is the manifestation of a question every brand should be asking itself: What is your website for?  Or, more specifically, *who* is it for?  It’s for humans, yes. Humans who love visual, immersive, interactive experiences.  But more and more it’s for machines. AI bots that need information-dense and highly-structured on-page text delivered as lightweight HTML, not navigational cruft and JavaScript bloat.  AXP makes it possible to serve both at the same time without changing a thing.  Same URLs. Different experiences. Delivered to whoever shows up.  Scrunch is the AI Customer Experience Platform. That means serving both the customers on the other end of the prompt and the LLMs delivering the answer.  Take a look around. Whether you've got eyes or endpoints, we built our new site for you.  scrunch.com</t>
  </si>
  <si>
    <t>Your buyers are asking AI before they ever visit your website.  Right now, you can't see where your brand shows up in ChatGPT, Perplexity, or Gemini. So competitors become the default answer.  Scrunch makes your AI visibility measurable. See where you appear across LLMs, which prompts you're winning or losing, and what AI actually cites so you know what to fix first.  → Join a 20-min AI Lunch &amp; Learn + $100 DoorDash included.</t>
  </si>
  <si>
    <t>%FIRSTNAME%, your customers are asking AI. Does your brand show up?  Scrunch shows you exactly where you appear across every LLM, which prompts you're winning or losing, and what to fix next.  Start a free AI audit + book a 20-min review. $100 DoorDash gift card included.</t>
  </si>
  <si>
    <t>AI is becoming your biggest discovery channel.  The brands winning right now are showing up in LLM answers for high-intent prompts before buyers ever visit their website.  Runpod drove 4x new customer acquisition through ChatGPT using Scrunch.  Scrunch shows you where you appear across LLMs, which prompts you're winning or losing, and what AI actually cites.  → Join a 20-min AI Lunch &amp; Learn + $100 DoorDash included.</t>
  </si>
  <si>
    <t>Brand presence, citations, referral traffic, agent activity. These are the four metrics that define how your brand performs in AI search. Most marketing teams are tracking one. This free guide breaks down all four, explains what drives them, and shows you how to measure a channel that doesn't sit still.</t>
  </si>
  <si>
    <t>60% of all web searches are now AI-powered.  Your buyers are already asking ChatGPT, Perplexity, and Claude about your category.  Whether your brand shows up in those answers is the new battleground.</t>
  </si>
  <si>
    <t>Strapi lifted AI citations 226%. Runpod drove 4x new customer acquisition via ChatGPT.  They both had the same question first: Is your brand in the answer?  Scrunch shows you exactly where you appear in LLM answers, which prompts you're winning or losing, and what AI actually cites, so you can take action.  → Join a 20-min AI Lunch &amp; Learn + $100 DoorDash included.</t>
  </si>
  <si>
    <t>“I was just in ChatGPT… and %COMPANYNAME% didn’t show up. Do you know why?” If that question from your CEO haunts you… you're not alone. Scrunch shows you: • Where you appear (or don’t) in AI answers • Why competitors are winning • What to change to fix it That way, when the ask inevitably comes up, you'll be prepared. Happy to run a quick audit for %COMPANYNAME% and walk through it in 20 mins. I’ll throw in a $100 DoorDash card either way.</t>
  </si>
  <si>
    <t>%FIRSTNAME% -- if your CEO asked ChatGPT about your category, would %COMPANYNAME% show up? That question is coming for a lot of SEO teams right now. Scrunch makes sure you have the answer. I can run a free audit for %COMPANYNAME% and walk through it in 20 minutes. $100 DoorDash card in it for you either way. Interested?</t>
  </si>
  <si>
    <t>Your competitors are building AI search visibility right now.  The brands moving first are defining the answers your customers see.  Don't let them write that story without you.</t>
  </si>
  <si>
    <t>Your board already typed your brand name into ChatGPT.  Did they like what came back?  AI search is now the first impression your brand makes. Own it before your competitors do.</t>
  </si>
  <si>
    <t>Hi %FIRSTNAME%, Took a quick look at %COMPANYNAME% and was curious do you have a strategy for AI search yet? We’re seeing more teams drive meaningful inbound from ChatGPT, Claude, and Perplexity, but only if they can measure and improve their visibility. Scrunch helps teams do exactly that. Happy to share what we’re seeing for companies in your space. P.S. We’ll send $100 DoorDash after we connect as a thank-you.</t>
  </si>
  <si>
    <t>Hi %FIRSTNAME%, Are you starting to get questions from leadership around how %COMPANYNAME% shows up in AI search? Most teams don’t have a clear answer yet. Scrunch gives you a measurable view of your AI presence; including gaps, competitor coverage, and what’s driving visibility. Happy to run a quick audit and walk through it together. P.S. We’ll send a $100 DoorDash after we meet as a thank-you.</t>
  </si>
  <si>
    <t>You track keywords. You track rankings.  But are you tracking AI answers?  AI is the new customer discovery channel.  Scrunch shows you exactly:  • Where you show up (and where you don’t)  • Which prompts you’re winning or losing  • What AI actually cites  Because if AI doesn’t mention you… you don’t exist.  Start an AI audit for your brand--we'll even send a $100 DoorDash gift card if you jump on a 20-min review of results.</t>
  </si>
  <si>
    <t>“I asked ChatGPT about %COMPANYNAME%… you didn’t show up. Why?” If your CEO asked you that, what would you say? Scrunch helps you see exactly: • Where you’re missing • Why it’s happening • How to fix it I can run a quick audit for %COMPANYNAME% and walk you through it in 20 mins. $100 DoorDash card included.</t>
  </si>
  <si>
    <t>Most marketing teams are tracking one AI search metric. And that’s usually referral traffic from GA4, which is just the tip of the iceberg. There are four that actually matter. Get the free Scrunch guide to find out what they are and how to measure them.</t>
  </si>
  <si>
    <t>60% of web searches are now AI-powered. When your customers ask ChatGPT about your category, are you the answer they get? Download Scrunch's free AEO guide and learn what to measure, what works, and how to start building visibility before your competitors do.</t>
  </si>
  <si>
    <t>“I asked ChatGPT about %COMPANYNAME%… you weren’t there. Why?” If that comes from your CEO, it’s a problem. Scrunch shows you what’s going on (and how to fix it). Happy to run a quick audit for %COMPANYNAME% and share results in 20 mins. I’ll send a $100 DoorDash either way.</t>
  </si>
  <si>
    <t>%FIRSTNAME%, could you answer this if your CEO asked it today? 'We didn't show up in ChatGPT. Why?' Most teams are still looking at referral traffic from LLMs to answer the question, but that's just the tip of the iceberg. Scrunch fixes that. It shows you exactly where %COMPANYNAME% is showing up in AI answers, where you're being cited, and how you stack up against the competition. I can walk you through it in 20 minutes, and I'll throw in a $100 DoorDash card and call it a 'lunch &amp; learn.' Wdyt?</t>
  </si>
  <si>
    <t>%FIRSTNAME%, you track rankings. You track traffic.  But is your brand showing up in AI answers?  Scrunch shows you exactly:  • Where you show up</t>
  </si>
  <si>
    <t>%FIRSTNAME%, when your CEO searches %COMPANYNAME% in ChatGPT, what do they find? Most teams don't have a great answer. Scrunch shows you: • Where you appear (or don’t) in AI answers • Why competitors are winning • What to change to fix it Takes 20 minutes to walk through together. I'll run the audit free and throw in a $100 DoorDash card. Worth 20 minutes?</t>
  </si>
  <si>
    <t>🆕 Feature drop: Content Gaps  tl;dr: Scrunch now tells you where and why you’re not showing up in AI answers.   How it works:  ✦ Scrunch crawls your site and cross-references it with the prompts and citations your brand is (or isn’t) showing up for, but should.  ✦ From there, we auto-diagnose and surface content gaps (hence the name Content Gaps) and where to prioritize.  Simple as that.  Content Gaps is now live for everyone using Scrunch  (7-day free trial if you’re not already)  Go deeper 👉 https://lnkd.in/g7VSQQ7i  🎬 See it in action 👇</t>
  </si>
  <si>
    <t>🚢 BIG ship from Scrunch today: 🗺️ Site Maps—shows how AI reads your entire site, where it struggles, and how to fix it—all in one fell swoop.  Why we built it?  We found many teams go about AI site optimization in a not-so-optimized way—e.g., spot any random content gap or technical issue and address it (or not).  No focus. No prioritization. No actual strategy.  Site Maps solves the prioritization problem. → Get a global view of how AI consumer your site. → Spotlight sections/pages that will yield the highest impact. → Drill into each page to update (and deploy) a fix—no code req.  In short, Site Maps connects the dots on: ✦ How AI bots are consuming your site ✦ How your brand is showing up in AI search results ✦ How to optimize your site so AI will reference and recommend it  Site Maps is now available to all Scrunch customers.  If you’re not one yet, you can start a free 7-day trial to see your site the way AI does via Site Maps (and stop guessing where to focus 😉).</t>
  </si>
  <si>
    <t>You track keywords. You track rankings.  But are you tracking AI answers?  AI is the new customer discovery channel.  Scrunch shows you exactly: • Where you show up</t>
  </si>
  <si>
    <t>Are you tracking how %COMPANYNAME% shows up in AI search results?  Happy to run %COMPANYNAME% through Scrunch and send over an AI search performance audit.  Lmk and I'll send it.  P.S. No pressure but if you want to go over the results over a call (a lunch-and-learn if you will) I'll send over a $100 DoorDash card.</t>
  </si>
  <si>
    <t>Your buyers are asking AI before they ever visit your website.  The question is: Are you part of the answer?  AI is becoming your biggest discovery channel.  Scrunch shows you exactly:  • Where you show up (and where you don’t)  • Which prompts you’re winning or losing  • What AI actually cites  If AI doesn’t mention you… you don’t exist.  → Join a 20-min AI Lunch &amp; Learn</t>
  </si>
  <si>
    <t>%FIRSTNAME%, users are getting answers from AI, not websites. That changes how marketing performance works. Scrunch shows: ✅ What AI bots pull from your site ✅ Where you’re missing in prompt results ✅ How to deploy AI-optimized pages without hurting UX Happy to run %COMPANYNAME% through our AI audit and walk through the findings. If you’re open to a 20-min review + feedback, I’ll send over a DoorDash credit as a thank you. Worth exploring?</t>
  </si>
  <si>
    <t>Hi %FIRSTNAME%, Most teams still treat ChatGPT answers about their brand as a black box and something they can’t really see or control. Scrunch gives you visibility into how your brand actually shows up across AI, where you’re missing coverage, and what to fix. If you're up for it, I'm happy to load %COMPANYNAME% into Scrunch to run an AI presence audit and share results over a call. P.S. We’ll send a $100 DoorDash after we meet as a thank-you.</t>
  </si>
  <si>
    <t>You’re probably already seeing AI answers about your brand but only as anecdotes.  If you're open to it, I can run an AI search audit for %COMPANYNAME% to give you a clear map of your AI presence.  It'll show where you appear in AI answers, trends over time, where competitors outperform you.  Happy to load %COMPANYNAME% into Scrunch share results over a call.  P.S. We’ll send a $100 DoorDash after we meet as a thank-you.</t>
  </si>
  <si>
    <t>Hi %FIRSTNAME%, How much visibility do you actually have into how AI presents %COMPANYNAME% today? Scrunch gives teams a clear, inspectable view of their AI search presence across prompts, platforms, and competitors. Happy to run a quick audit and share what we’re seeing. P.S. We’ll send a $100 DoorDash after we meet as a thank-you.</t>
  </si>
  <si>
    <t>%FIRSTNAME% — With users getting answers from AI (not your site), it begs the question: Who (or what) is your website for? Answer: AI bots. More specifically, AI retrieval bots visiting on behalf of users with some level of intent for your product. With this shift, you need: ✅ Analytics to understand how AI is consuming your site ✅ Diagnostics to see where AI is struggling and what to fix ✅ Delivery mechanism to serve AI-optimized pages to bots ^ is what we've built at Scrunch. If you're open to it, we can run %COMPANYNAME% through an AI audit and review areas of risk/opportunity over a quick call.</t>
  </si>
  <si>
    <t>%FIRSTNAME%, AI search visibility is quickly becoming a board-level question. How is %COMPANYNAME% showing up in ChatGPT, Gemini, Perplexity? Scrunch shows: ✅ How you stack up vs competitors ✅ Prompt volume + brand presence ✅ What AI retrieves, skips, or misinterprets ✅ Quick wins to grow share of voice I can run a custom AI visibility audit for %COMPANYNAME% and review it live. If helpful, I’ll send a $100 DoorDash credit for a quick lunch &amp; learn. Open to it?</t>
  </si>
  <si>
    <t>%FIRSTNAME%, you’re probably seeing more AI retrieval bots in your logs. They’re not noise anymore... they’re shaping discovery before clicks happen. Scrunch shows: ✅ How often your pages are retrieved ✅ Where bots misinterpret content ✅ What to deploy at the edge to improve AI parsing Open to a 20-min AI audit review for %COMPANYNAME%? Happy to send a DoorDash credit as a thank you for your feedback. Up for it?</t>
  </si>
  <si>
    <t>Nobody wants to cold email 47 publishers to negotiate a brand mention. Great news: You don’t have to.  I’m excited to announce that Scrunch and Noble are officially partners. It's been awesome working with Rahul Jain and Joshua Budman  Scrunch shows you which sources LLMs cite for the prompts you care about, tracks competitor mentions, and calculates which sources are most influential.  Noble helps answer the question of, “What next?” Their software automates the process of getting brand mentions from end to end—outreach, negotiation, content drafting, payment.  No manual outreach grind, just placements delivered at scale.  Then you can watch your visibility lift in Scrunch 🙂  We're building an ecosystem of Scrunch-approved technologies to help our customers win AI search. Noble is the first of many partnership announcements coming your way. Whether you're a brand or an agency, we want to help you move faster. Learn more in the comments 👇</t>
  </si>
  <si>
    <t>%FIRSTNAME% — I’d be willing to wager you’re seeing more AI crawler activity in your logs. And you already know these aren’t junk bots you can ingnore. The retrieval ones are pulling content on behalf of users with real intent behind the prompt. Not sure if you have visibility into AI bots retrieve, skip, or misinterpret on your site, but that's they layer we built at Scrunch: ✅ What’s being retrieved vs. ignored? ✅ Where does structure break for LLM parsing? ✅ Which pages influence prompt responses? ✅ How do you deploy AI-optimized pages (and at the edge so the human experience is not degraded)? Scrunch gives you page-level AI diagnostics + optimization workflows. If you're open to it, would love to run %COMPANYNAME% through it and show you the results.</t>
  </si>
  <si>
    <t>Chapter 3 of our AI search guide just dropped 👇  We cover:  ✦ Technical optimization vs. content optimization (and why you need both) ✦ How to prioritize fixes when you can't do everything at once ✦ The 3 technical changes that deliver the biggest impact ✦ Citation types decoded: 3rd-party, competitor &amp; brand ✦ Why chasing citation volume alone is a trap ✦ How to scale citations and brand mentions ✦ Updating content vs. creating new content  No gatekeeping, no email required.  Just grab it 👉 https://lnkd.in/gPTKaqNX</t>
  </si>
  <si>
    <t>%FIRSTNAME%, you’re probably seeing more AI bot traffic in your logs. Those aren’t junk crawlers anymore... they’re shaping discovery before users ever click. Scrunch helps you understand: ✅ Which pages AI retrieves vs skips ✅ Where LLM parsing breaks ✅ How to deploy AI-optimized pages at the edge Want to review a quick AI audit for %COMPANYNAME%? If you’re open to a 20-min walkthrough + feedback, I’ll send over a DoorDash credit as a thank you. Worth exploring?</t>
  </si>
  <si>
    <t>%FIRSTNAME% — Wild guess that you're tasked with owning the AI search presence of %COMPANYNAME%.  Just to get right to it: Scrunch gives you visibility into performance metrics and surfaces up low hanging fruit to grow your presence on LLMs.  I know this space is crowded so a few differentiators:  ✅ Full site map to show how AI consumes your website and prioritize pages that will yield outsized results.  ✅ Agent traffic to show you what AI bots are visiting your site, what they consume, where to optimize.  ✅ Content delivery which will serve up AI-firendly pages to bots at the edge (we've seen this work much better than LLM.txt).  Even if you have something in place, with the space moving so fast, thinking it would be helpful to share how we compare. I can even run a site audit for %COMPANYNAME% for us to review on the call.</t>
  </si>
  <si>
    <t>%FIRSTNAME%, guessing you’re now responsible for how %COMPANYNAME% shows up in AI search. Scrunch gives SEO teams visibility into: ✅ What AI retrieves vs skips ✅ Where structure breaks for LLM parsing ✅ Which pages influence prompt responses ✅ Quick technical fixes to improve AI visibility Happy to run a page-level AI audit for %COMPANYNAME% and walk through it together. If useful, I’ll send over a $100 DoorDash credit for a quick lunch session. Worth a look?</t>
  </si>
  <si>
    <t>%FIRSTNAME% — I'm sure your board and CEO is asking how %COMPANYNAME% is showing up in AI search results.  If not, it's only a matter of time.  Just getting right to the point: Scrunch gives you the visibility you need plus the insights for your team to take action and grow your AI search share of voice.  ✅ How your stacking up against competitors and trending over time.  ✅ Estimated prompt volumes for topics that matter and your brand presence within them.  ✅ Low hanging fruit like greenfield content opps, authoritative citation sources, technical fixes.  ✅ Agent traffic to show you what AI bots are visiting your site, what they consume, where to optimize.  We're among the top backed companies in the space ($26M) and have hundreds of large-scale customers (Lenovo, Dell, Intuit).  If you're up for it, I can run %COMPANYNAME% through Scrunch and we can review the results over a call.</t>
  </si>
  <si>
    <t>Chapter 3️⃣ of our AI search (aka AEO/GEO) guide is out! -- Ungated with no need to comment to access :)  This chapter is all about extracting insights from AI search data.   Here’s what’s inside👇  1/ Technical insight vs. content insight ⤷ How to tell if AI can’t access your site or just doesn’t use it.  2/ Technical prioritization ⤷ Know what to fix first and what to ignore.  3/ How to go about technical fixes ⤷ Three fixes that matter most: access, delivery, and format.  4/ To update existing content or create net new? ⤷ Know when to refresh existing pages and when to go net new.  5/ 3rd-party vs. competitor vs. brand citations ⤷ When to earn mentions. When to compete. And when to defend.  6/ Balancing volume vs. intent ⤷ Why high-intent prompts beat high-volume ones.  7/ How to scale your AI citation strategy ⤷ Move from manual wins to repeatable citation growth.  8/ How to make content updates ⤷ How to update and create content that LLMs actually reuse.  The full, ungated 🔓 chapter is up now on the Scrunch website → https://lnkd.in/gbAkiGPp</t>
  </si>
  <si>
    <t>%FIRSTNAME%, AI search is quickly becoming a new acquisition channel. The question is: how visible is %COMPANYNAME% when buyers ask LLMs about your category? Scrunch shows: ✅ Where you appear (or don’t) in prompt results ✅ What AI retrieves from your site ✅ Low-effort fixes to grow share of voice I can run a custom AI visibility audit for %COMPANYNAME% and review it with you. Happy to send a $100 DoorDash credit for a quick lunch &amp; learn if it’s helpful. Open to it?</t>
  </si>
  <si>
    <t>We ran an experiment that grew product signups 📈 135% by (counterintuitively) adding more friction to our signup flow. Deets👇  HYPOTHESIS  IF we provide a glimpse of the product experience (and value) before asking for a signup, THEN user expectations and intrigue grow, resulting in a higher conversion rate.  ––––––  SETUP  Instead of dropping users directly into a signup flow after clicking a CTA, we’d create a more delightful onboarding experience that:  1/ Reduces risk by using a micro-conversion (just asking for a domain) and  2/ Amps up intrigue by surfacing AI search findings and showing a product preview  ––––––  UX — CONTROL VS. VARIANT  Control (2-step signup process)  Step 1: Click CTA on homepage Step 2: Go straight to signup or demo form  VS.  Variant (3-step signup process)  Step 1: Submit a domain via a single-field form on the homepage  Step 2: Behind the scenes, we use our product to: -- 🔍 Detect brand mentions across our AI Search Trends dataset -- 🔗 Show brand citations across 5 AI search platforms -- 🥞 Stack rank the brand vs. 5 competitors  Step 3: Show above results with CTA to signup or get a demo  ––––––  Results = 📈 135% uplift in product signups!  ======  Wanna see it in action? Check the demo or give it a whirl yourself at: scrunch [dot] com</t>
  </si>
  <si>
    <t>%FIRSTNAME% — I'm sure you're thinking of AI search as a new channel to grow %COMPANYNAME%.  Just to get right to it: Scrunch gives you visibility into performance metrics and surfaces up low hanging fruit to grow your presence on LLMs.  I know this space is crowded, so a few differentiators:  ✅ Full site map to show how AI consumes your website and prioritize pages that will yield outsized results.  ✅ Agent traffic to show you what AI bots are visiting your site, what they consume, and where to optimize.  ✅ Content delivery, which will serve up AI-friendly pages to bots at the edge (we've seen this work much better than LLM.txt).  Scrunch is a leader in the category with $26M backing. We have hundreds of large-scale customers (Lenovo, Dell, Intuit).  If you're up for it, I can run %COMPANYNAME% through Scrunch, and we can review the results over a call.</t>
  </si>
  <si>
    <t>Paid for by Scrunch AI</t>
  </si>
  <si>
    <t>Get the latest jobs and industry news</t>
  </si>
  <si>
    <t>%FIRSTNAME% — I'll take a wild guess that you're seeing more and more AI bot traffic to the %COMPANYNAME% website. While we dismissed bot traffic in the past, it's now a VIP visitor as these bots (specificlaly the retrieval ones) are doing the discovery, research, recommendations on behalf of the user behind the prompt. This shift means a new performance layer to manage: ✅ How often AI retrieves your pages ✅ Where bots get stuck or skip you ✅ Whether your content is usable by LLMs ✅ How to deliver AI-optimized versions without hurting human UX That’s exactly what we built at Scrunch. If helpful, I can run %COMPANYNAME% through a quick AI audit and show you where you’re gaining (or losing) ground. We can cover results together.</t>
  </si>
  <si>
    <t>Last weekend I went looking for office furniture. Wholesale house plants. A gift for a 5-year-old. Dishwasher repair services.  I didn’t visit a website once. AI did on my behalf.  60%+ of Google searches now end without a click. Which raises an uncomfortable question for brands:  What is your website for?  We spent years optimizing our websites for human-based browser experiences and Googlebot.  Now our most important site visitor isn't a human at all. It's an LLM deciding whether we deserve to exist in a response. That doesn’t mean your website should go away. Content is more important than ever.  But only if AI can actually access it, retrieve it, and recommend it. Monitoring and analytics are foundational. Every company needs to know how they’re showing up. Where the gaps are. What to do next.  But visibility isn’t enough. You have to treat AI as what it is: your audience.  The beating heart of marketing isn’t changing. We still need to understand our buyers. We still need to map content and personalize experiences to them.  What’s changed is the customer journey itself. And that journey starts with an AI agent landing on your site - not a human.  That's what we’re solving for at Scrunch.  Not just visibility into the AI customer journey, but the ability to truly optimize for it.</t>
  </si>
  <si>
    <t>Announcing AI Search Trends for all Scrunch customers.   To quote my co-founder Robert MacCloy on panel data: “It’s like plutonium, powerful, but you wouldn’t want it in your house.” Here’s why we just brought it into our house 🙂  We keep hearing the same 2 questions from customers:  “What topics are people actually asking AI about most often?”  and  “Does my brand show up in the answers?”  Fair questions, but the only ones with complete visibility into AI search volume are the OpenAIs, Anthropics, Perplexities, and Googles of the world. And there’s a very small chance that they’ll open up access to that data anytime soon.  That’s where we turn to panel data - the industry term for datasets built on information collected from a pool of consumers taking actions on the web (e.g., prompting LLMs) over a set period.  If you’re familiar with search volume estimates in SEO, then you’re familiar with panel data.  We used it to create AI Search Trends in Scrunch, which lets you:  ✦ See estimated conversation volume for topics that actually matter to your business.  ✦ Track AI search trends over time (with customizable timeframes and easy-to-grok visualizations).  ✦ Monitor how often your brand appears in AI responses.  ✦ Drill down into actual prompts and responses.  ===  But back to Robert MacCloy's take on panel data. He’s not wrong. This dataset should be handled and presented with caution. And it should come with a warning label: take as guidance; not gospel.  With this in mind, we’ve put in the work to deliver the clearest view yet of what people are asking LLMs and how your brand shows up by:  ✅Only partnering with high-quality, privacy-compliant, third-party providers that can provide true consumer-to-AI interactions.  ✅Only using panels where we have high confidence in the integrity and typicality of the population captured in the panel.  ✅Only using panels where we have high confidence in the completeness of the data (i.e., full context for how panelists are using different AI platforms).  ✅And only drawing conclusions from panels when we have enough data that we’re confident activities we’re seeing are generalizable to the whole population.  There’s a ton of statistical methodology happening behind the scenes (link in comments if you're into that).  At the same time, we want to be upfront about what these numbers are.  Educated estimates, based on real customer behavior. Useful proxies. Directional indicators. Not unimpeachable sources of truth.  There’s a reason we stopped our analysis at the topic level to start. There’s simply not enough trustable data to make sure anything deeper than that is remotely accurate.  And we’d rather you trust us than oversell you.  Demo video below 👇 Come watch us responsibly handle our plutonium.  Congrats Sage Stahmer and team on the fantastic launch.</t>
  </si>
  <si>
    <t>Paid for by scrunchee</t>
  </si>
  <si>
    <t>Scrunchee enables AI you can trust to work in your environments. A first-in-class Code Intelligence Platform that catches what other tools miss.  Visit https://scrunchee.ai/ to learn more.  #AI #CodeIntelligence #DevTools #SoftwareEngineering</t>
  </si>
  <si>
    <t>#AI #CodeIntelligence #DevTools #SoftwareEngineering</t>
  </si>
  <si>
    <t>✌️Questions everyone’s asking: What are my customers prompting? Is my brand showing up?  We vibe-coded 🤙 a little app that answers both.  Meet: Prompt Generator → https://lnkd.in/gqFDsuuQ  Drop in your domain, and it’ll generate prompts you should be paying attention to AND show if your brand’s showing up in ChatGPT.  HOW IT WORKS:  1️⃣ Authenticate with Search Console OR just drop in a URL  2️⃣ Choose what stages of the funnel to generate prompts for  3️⃣ Run any prompt through ChatGPT and see if your brand shows in results or citations  That’s it. Simple. Helpful. Powerful.  P.S. If you want to keep track of these prompts over time, keep tabs across more AI models, and grow share of voice, you can do it all in Scrunch (and for free at that with our 7-day trial).</t>
  </si>
  <si>
    <t>SEO has its keyword research frameworks. AI search (aka AEO)? Not so much. So, I created one. Here’s my: Prompt tracking framework for AI search 👇  Like any good framework, the goal with this one is to have a system for prompt tracking that’s repeatable, durable, scalable, and easy to grok.  That way, any time you need to track a new prompt (or a whole batch for a campaign), it just slots right in.  Here’s how it’s structured:  =======  PROMPT CLUSTERS  These are your high-level containers. I like to think of them like keyword groups in SEO.  They’re a grouping of prompts with a common theme across the dimensions below.  Examples of prompt clusters: Competitors &amp; Alternatives, Use Cases, Outcomes &amp; ROI.  (These could also be campaign-based, product-based, or any other grouping that makes sense to you.)  –––––––  FUNNEL STAGES  Within each prompt cluster, prompts are mapped to funnel stages. I use the following four stages:  → Awareness: pain, problems, friction → Advice: guidance, frameworks, how to think about X → Evaluation: exploring solutions, features, capabilities → Comparison: choosing between options  This gives me a simple method to fill out prompts to track by the highest point in the funnel, and then map follow-up prompts to corresponding stages of the funnel.  –––––––  PERSONAS  Some prompts are particular to a persona within your ICP. When that’s the case, I append a persona (e.g., c-level, ops, engineering) to the prompt. More on this later, but this will allow us to inform our AI search strategy by isolating prompts to a specific persona.  –––––––  TAGS  I use tags to append custom metadata to prompts. This is especially helpful for time-bound prompts (think a brand campaign), bespoke designations (think an integration or partner), and as connective tissue across topic clusters (think “pricing” as a tag).  –––––––  Bonus: REGION  Operating at a Global scale? I’d apply this same framework to each region of focus. Regions will have their nuances—e.g., how a prompt is asked or the tags for regulations (think GDPR)—but, for the most part, should fit nicely into the framework.  =======  With your prompts mapped to the dimensions above, you can then start to ask insightful questions to inform your AI search strategy, like:  -- “Find citations for high-intent prompts that include competitors.” -- “What was our brand reach on LLMs for X campaign?” -- “Show me our brand presence at the C-level.”  To grab a large version of the infographic: right-click, select “Open Image in New Tab”, and save it.    ===  P.S. Be sure to grab the Google sheet template (see comments) if you want to grab an action-able version.  And if you want to operationalize this framework, you can drop the template straight into Scrunch to start tracking, get insights, and take action to grow your AI search reach.   Start a free 7-day trial at: scrunch.com</t>
  </si>
  <si>
    <t>We recently released our AI Search buyer's guide.  That guide (in comments below) is 3k+ words, this video is just one minute long :)   AI search - aka GEO (Generative Engine), AEO (AI/Answer Engine Optimization) or one of a million other acronyms - is on everyone’s mind.  Here's a few things I'd want to keep top of mind as you evaluate a partner to navigate this shift to an AI first customer journey.</t>
  </si>
  <si>
    <t>I’ve read dozens of “ultimate” guides to AEO. Ironically, most are written for SEO—heavy on the why; light on the how.  They tell you: - Industry stats - How LLMs work - Why AEO matters - Surface-level strategy - SEO vs. AEO differences  Even when there is a “how to do AEO” section, it’s often just conceptual—i.e., the approach, not the hands-on execution.  But, as I was consuming what was out there, I couldn’t help but think, “I’m already bought in… where’s the part where I actually do the work?!”  If I’m feeling that, I’m sure others are too—they don’t need to be convinced, they need to know how to make it happen.  Since I couldn’t find the resource I was looking for, I decided to create it.  Built from dogfooding our product and guiding customers as they do the work in practice.  So, without further ado, I bring you: The no-fluff guide to AI search (aka AEO/GEO) 🧭  WHAT IS IT?  It’s intended to be your go-to, evergreen (dare I say canonical?) resource to not just understand the concepts of AI search but to actually execute them.  –––––––  WHO’S IT FOR?  Anyone doing the hands-on AI search work—prompt research, performance tracking, page optimization, content creation—it’ll all be in there.  And, for those looking for the exec-summary equipped with SEO vs AEO diffs and all, we’ve still got that too (see Chapter 1).  –––––––  WHAT’S INSIDE?  We’re launching with an intro and two chapters.  Chapter 1️⃣ is more contextual and conceptual (skim or skippable). Chapter 2️⃣ is the how-to of AI search monitoring.  Unlike most guides, it’s loaded with video tutorials, spreadsheets, infographics, free tools, with more in the works.  Coming Soon: Chapter 3 is on uncovering insights, and Chapter 4 is on taking action (workflows, automation, and scaling what works).  –––––––  DESIGN  Wanted to give a HT to Danny Gugger on design. I gave the direction that we wanted something a little more up-leveled than a blog post. He took it to 11.  –––––––  HOW TO GET IT  It’s not gated.  You can access it now on the Scrunch website (go to resource nav)  Link is in the comments (no need to comment to get it… just optimizing for distro 😉)  ======  DISCLAIMER I work for Scrunch. You don’t need Scrunch to follow along, but it helps. Exclusive offer: If you’re using the guide, I’ll even extend your free trial to 30 days so you can follow along without limits.  ======  P.S. Giving credit where it’s due: big s/o to Josh Grant and Ethan Smith. Their guides are amongst the best out there I came across.</t>
  </si>
  <si>
    <t>100K unique users, 7.6M search sessions, and 22M GenAI interactions later, it’s clear that the winning strategy for AI search is multi-channel 👇  There are 2 primary ways that AI is augmenting search:  1. Conversational agents: Think ChatGPT, Claude, Perplexity, Gemini, Grok, etc. 2. Generative overlays: Think Google AI Overviews.  Each option presents a path for consumers to discover, learn about, and ultimately select your brand.  The question is: Which path are people picking?  We took a subset of our data and  analyzed 100K unique users across 7.6M AI search sessions (including 11M prompts and 11M responses) related to 6 industry supercategories (finance, healthcare, ecommerce, automotive, education, and software) over 3 months.  Our analysis shows that AI Overviews were slightly favored among dual-mode AI users (i.e., people who used both modes of AI search in a specific category), which isn’t terribly surprising when you factor in that Google has a global daily user base of 2B+ users.  But there were notable divergences at the topic level.  In general, it appeared that topics more aligned with shopping and comparison tended to lean more heavily toward AI Overviews while topics more aligned with exploratory research, tools, and workflows tended to give more ground to conversational agents.  Our takeaway? You can’t assume that one channel will dominate the AI discovery path.  Whether the intent behind the search is “tell me more” or “show me my options,” it pays to optimize for all major AI search channels.  Our advice: 🕵️ Get visibility into how you’re showing up across all AI search channels. 🤖 Make sure LLMs can crawl and interpret your website. ✍️ Don’t sleep on SEO (core best practices influence AI retrieval agents, and AI Overviews are significantly based on performance in Google’s search index).  Because if you’re only visible in one channel, you’re losing market share in others.  See our full findings in the comments below ⬇️</t>
  </si>
  <si>
    <t>“Clicks from organic search are starting to take a nosedive and it's like, so what? That doesn't matter anymore. I care much more about my brand being mentioned.”  That’s Cameron Archer, Head of Growth at serverless real-time analytics platform Tinybird, seeing the writing on the wall.  Website traffic isn’t just disappearing, it’s going to a different channel. One where you can’t see if you’re showing up at all.  His solution? Scrunch.  One place to monitor AI search performance, extract insights, and build an actionable strategy to improve it.  Not just to see the “what,” but the “why” and the “what to do next.”  In Cameron’s case that meant: - Understanding Tinybird’s (and its competitors’) share of voice for high-intent prompts - Learning which domains and pieces of content were regularly being cited for them - Shaking up the company’s content strategy - both what it creates and where it’s distributed  It’s early days, but Tinybird is already seeing a sizable bump in brand mentions for can’t-lose AI searches (3x increase).  And that translates to new sessions from web visitors (370% increase over the past 3 months).  For a PLG company that wins when developers discover and learn about its product, visibility is everything.  In addition to all the obvious AI Search metrics on visibility, citation rate etc, we encourage companies to measure what's irrefutable:  - Frequency with which AI Agents are visiting your website - Referrals and conversion from AI Search platforms  We’re proud to partner with Cameron and the team at Tinybird.</t>
  </si>
  <si>
    <t>This is the 3-step playbook on how Victor C. at Strapi grew LLM citations by 226% in 3 months 👇   1️⃣ Benchmark the AI search landscape Identify where you show up across AI platforms and where competitors appear but you don’t.  2️⃣ Prioritize the prompts that matter Focus on the topics with real search volume, rising interest, and low brand presence.  3️⃣ Optimize your site for LLMs Fix access issues, metadata gaps, and formatting problems so AI systems can reliably cite your pages.  That’s the framework Victor followed.   And the results speak for themselves:  📈 +226% non-branded citations  📈 +31% brand presence across AI platforms  Get the complete playbook over on the Scrunch blog 👉 https://lnkd.in/gtGXDw_E</t>
  </si>
  <si>
    <t>“Clicks from organic search are starting to take a nosedive and it's like, so what? That doesn't matter anymore. I care much more about my brand being mentioned.”  That is Cameron Archer, Head of Growth at Tinybird, calling the shift clearly.  The challenge was not just visibility. It was operational. How do you see where Tinybird appears in AI answers, understand why, and turn that into work your team can ship this week?  Their solution: Scrunch.  One place to track AI search performance, diagnose what models cite, and translate insights into content and distribution moves. Not just the “what,” but the “why,” and the “what to do next.”  In practice that looked like: ⟡ Defining the high-intent prompt map ⟡ Knowing the key variants used by their actual buyers ⟡ Publishing content where models are already looking ⟡ Making on-site content easier for agents to consume ⟡ Tracking share of voice by model, persona, and region ⟡ Auditing cited domains and URLs to understand source influence  Results speak for themselves: 📈 Share of voice up about 3x  📈 LLM-referred web sessions up a whopping 370% (both in the last 3 months)  When teams can see the full path from prompt to citation to session, they can plan work that moves numbers. We are excited to partner with Cameron and the Tinybird team.  Full customer story and playbook 👉 https://lnkd.in/g9tNYbbH</t>
  </si>
  <si>
    <t>How does our brand show up in AI results vs the competition? If you’re not already getting this question from your CEO or board, it’s only a matter of time.  But what seems like a simple question to answer is not so easy…  ❌ Web analytics only show referral traffic from LLMs.  ❌ Prompting yourself is overly manual and just an n =1.  ❌ Some SEO tools give you surface-level benchmarks but not detailed insights into how to go about improving results—the next inevitable question from your boss(es).   This is one of the many use cases we’re tackling at Scrunch AI: take the guesswork out of how your brand shows up in AI results.  Not only that, we give you a detailed trail of why your brand shows up the way it does.  I recorded a short demo (my first of many with Scrunch) to show just how easy it is to track and act on your presence in AI platforms.  In it, I walk through how to: ✧ Benchmark AI brand presence vs the competition ✧ Drill into prompt topics and levels of intent ✧ Identify what LLMs are citing in results  Really just scratching the surface of what’s possible with this one (I needed an easy quick win) but check it out and lmk what you think.  And when you get that inevitable ask from your CEO/board, I’m here for ya 😉</t>
  </si>
  <si>
    <t>We’ve officially scrunched ScrunchAI… into Scrunch.com  From here on out, it’s just Scrunch - short, punchy, memorable.  Why “Scrunch”? Because that’s basically what large language models do: they take in a massive amount of information… and scrunch it down into a clear, useful answer.  And that’s what we help brands do - structure, optimize, and synthesize their information so AI can understand it, surface it, and drive outcomes. As AI works on behalf of humans, brands are moving to optimize for an AI-first customer journey.   Buying a 7-letter domain is a stroke of luck in 2025.    When I called the domain registrar to ask about the domain, they said, 'A 7-letter .com at that price is unheard of.”    Still, why not ask for a discount? With a further 30% price reduction www.scrunch.com was ours.</t>
  </si>
  <si>
    <t>We're excited to share that Scrunch AI has raised a $15M Series A, led by Decibel Partners with participation from Mayfield and Homebrew.    Scrunch AI was built on an ambitious vision: to build the first AI customer experience platform. The buyer journey has shifted - AI is now the front door. Your website doesn’t need to go away, but 90% of its human visitors will.   That’s why today, alongside the funding, we are announcing the Scrunch Agent Experience Platform (AXP). AXP is a new infrastructure layer that helps brands deliver compressed, structured content, purpose-built for AI agents and crawlers. Your human-facing website stays the same, while AXP serves a machine-readable version of your brand, optimized for how large language models parse, interpret, and surface content.  A personal thank you to the 500+ brands who joined us, we're thankful for the partnership.   https://lnkd.in/drgUxVEj</t>
  </si>
  <si>
    <t>Whether you think AI search (aka AEO/GEO) is just SEO rebranded or something entirely new, one thing is clear: the performance metrics have changed.  That’s because the user experience is much different. The biggest difference is that an AI bot, for the most part, does the heavy lifting on behalf of the person behind the prompt.  As a result, AI search performance metrics end up looking pretty different from SEO.  I broke down those core metrics below and visually (see infographic)👇  BRAND PRESENCE  Definition: Your brand or product is mentioned in the LLM result itself.  Unit: Share of voice (%) across relevant prompts.  Example: A user asks, “What are the best tools for [category]?” LLM generates a response with your product in its recommendation.  Key question: Do I show up in the answers that matter? Likelihood of being noticed: 🔥 High  Commentary: Mentions near the top or bottom of results tend to stand out most—especially when framed as a recommendation at the bottom.  –––  CITATIONS  Definition: The sites an LLM cites as input for its response.  Unit: Citation count or share across relevant prompts.  Example: User prompts “what are the best tools for [category]? LLM includes a citation (gray pill with link) where it got that answer.  Key question(s): Is my content being cited? What are the authoritative sources?  Likelihood of being noticed: 😐 Medium  Additional commentary: While citations generally get less noticed than a brand mention, it’s arguable they’re a more strategic metric as they influence the LLM response. In other words, to get your brand mentioned, you’re likely going to need to influence the citation by way of your content being cited or getting brand placement on a 3rd-party site.  –––  LLM REFERRAL TRAFFIC  Definition: Human website visits originating from an LLM.  Unit: Website visits.  Example: A user clicks a citation link from an LLM response.  Key question: How much human traffic is AI referring to my website?  Likelihood of being noticed: 🥶 Low  Additional commentary: While the chances of a human clicking a citation to visit your site are lower than your typical 10-blue links, studies show that this traffic is more likely to convert.  –––  AGENT TRAFFIC (bonus)  Definition: Visits from AI retrieval bots collecting data for responses.  Unit: Bot visits.  Example: An AI agent crawls five of your pages to generate an answer. Key question(s): How often is my site being considered in prompts? What models are crawling my site?  Likelihood of being noticed: N/A  Additional commentary: When AI agents are working on behalf of humans, traffic from AI bots becomes just as high-value as a human visit. In an AI-first world, bot traffic is similar to organic traffic in SEO.  ======  🔌 for Scrunch All these metrics—brand presence, citations, LLM referral traffic, and agent traffic—can be measured, improved, and acted on with Scrunch.  Try free for 7 days: scrunch.com/pricing  OR  See it in action first: scrunch.com/book</t>
  </si>
  <si>
    <t>When consumer behavior changes, business changes.  People aren’t browsing anymore - they’re asking AI.   That means websites and content must evolve for an AI-first customer experience. The brands that adapt fastest will define the next era.</t>
  </si>
  <si>
    <t>Mark your calendars: We’re hosting Scott Brinker of chiefmartec (the one behind the Marketing Technology Landscape Supergraphic) live in conversation for 👇    The Bot Stops Here: Marketing When AI Does the Research.  EVENT DETAILS: 📅 Wednesday, Nov 12 @10am PST / 1pm EST 🙋 Save your spot (or get the recording): https://luma.com/vkuele5j  Here’s what’s on tap for the session: ✅ Reveal: new research on the AI search landscape ✅ Differences from AI search and traditional search ✅ How to identify and optimize websites for AI traffic ✅ New metrics marketers need to track (and how to track them) ✅ What verifiably works to get AI to recommend your product</t>
  </si>
  <si>
    <t>Join us LIVE in conversation next week with Scott Brinker to learn the new art and science of AI search (aka AEO/GEO) and how it differs from classic SEO.  Here's what's on deck for the convo: ✦ results from the latest chiefmartec AI survey ✦ Which SEO tactics still work (and which don’t) ✦ How AI engines actually interact with your website ✦ How to measure visibility in AI search (mentions, citations, referrals)  If you’re rethinking your content strategy for the AI era, this one’s for you.   📅 Date &amp; time: Wednesday, Nov 12 at 1pm ET (Virtual) 🙋 Save your spot: https://luma.com/vkuele5j</t>
  </si>
  <si>
    <t>New Scrunch Website live today! One of the joys of building a company is getting to work with people you admire. Special thanks to Kevin White for championing this launch in &lt; 1 month since his start date!  Thank you to all our customers and partners for helping us build a fantastic product. The Scrunch platform continues to expand in every area.   Monitor -&gt; Optimize -&gt; Drive Outcomes.   The customer journey has permanently changed and at Scrunch we're building the Customer Experience Platform for the AI first buyer journey. It's time to scrunch the internet.</t>
  </si>
  <si>
    <t>Platforms like ChatGPT and Perplexity are redefining how customers discover brands.   Scrunch AI helps you monitor, analyze, and optimize your presence so AI gets your story right.  Book a call to learn how we can help you lead in the AI search era.</t>
  </si>
  <si>
    <t>Your customers aren’t browsing — they’re asking ChatGPT, Perplexity, and Google AI.   Scrunch AI gives your brand visibility and control in AI search.   Book a meeting to see how we optimize your presence in AI platforms and keep your truth front and center.</t>
  </si>
  <si>
    <t>Runpod partnered with Scrunch AI and turned ChatGPT into one of its top-performing growth channels, growing new customer acquisition 4x in 90 days!  'ChatGPT is now one of our top-performing growth channels. Scrunch helped us unlock visibility, refine our content, and turn AI search into a core part of our acquisition strategy.” Emmett Fear (傅成義)Growth Lead, Runpod  Runpod’s audience is deeply technical: DevOps engineers, indie AI builders, researchers, and platform teams looking for alternatives to AWS and CoreWeave. These buyers live in AI. When Emmett saw AI search stalling at 300–400 customers/month, he turned to Scrunch AI to:  Track 6x more prompts across ChatGPT Fix content issues blocking LLM visibility Export Scrunch data and insights to optimize their content strategy   The result?  ~40 new customers/day. 8% conversion. ChatGPT is now a cornerstone of their acquisition engine.  AI search isn’t coming - it’s here. And it converts. Visibility drives velocity.</t>
  </si>
  <si>
    <t>AI is rapidly changing how consumers discover and shop for products. Platforms like ChatGPT, Gemini, and Google’s AI Overviews are no longer fringe tools. They are becoming central to the digital shopping journey.  Scrunch AI's latest update gives marketers visibility into how these AI systems surface products and brands. For us at DeltaV Digital, this is a meaningful shift.  It’s no longer just about optimizing for traditional search. Now we can see where our clients appear in AI-driven shopping results and identify clear opportunities to influence those moments. This leads to smarter planning, sharper competitive insights, and more proactive AI-era brand strategies.  This shift is already underway. The marketers who adapt early will lead.  Full announcement from Scrunch: https://lnkd.in/gQZYBAs4</t>
  </si>
  <si>
    <t>We’re thrilled to be featured in The Wall Street Journal as part of Katherine Blunt's story on the rise of AI optimization startups reshaping how brands stay visible in a world beyond traditional search.  The article features Scrunch AI customer Clerk.com a developer-first identity platform, who have seen a 6x increase in traffic and a 9x increase in sign-ups for its platform coming from AI Search. Check out the article below to hear more from Clerk.com's Alex Rapp. AI-powered discovery is here and at Scrunch AI, we’re proud to help 100s of businesses navigate this shift and thrive in AI-driven search.</t>
  </si>
  <si>
    <t>AI browsers are booming and publishers are pushing back. But here’s the real question: Do people want to browse the web any more?  In our latest blog, Scrunch AI CTO &amp; Co-founder Robert MacCloy argues the real disruption isn’t big tech, it’s changing consumer behavior.  👉 Read: The crawl is coming from inside the house (linked in comments). #ScrunchAI</t>
  </si>
  <si>
    <t>#ScrunchAI</t>
  </si>
  <si>
    <t>Big thank you to Lucinda Shen and Axios for diving into our Series A funding announcement, as well as our latest product, the Scrunch Agent Experience Platform (AXP). The early reception of this product has been huge. To get on the waitlist, sign up here: https://lnkd.in/gu8nx5WQ</t>
  </si>
  <si>
    <t>July monthly reports with Scrunch AI = client 'wow' moments.   This was the first month we rolled out *detailed* LLM presence reporting. We’ve been tracking for a while:   → How much traffic comes from LLMs  → From which LLMs exactly  → Organic search vs LLM search ratio  But this month, with Scrunch, we took it way further.  What we did:  → Trained Scrunch on each client’s ICP &amp; pain points → Built primary personas - roles, goals, objections → Created a prompt library tailored for each client  The result? Custom dashboards tracking 50+ prompts per client across 4 LLMs, with insights on exactly how those LLMs present their brand.   Every single client had the same reaction: 'Wow. We need more of this.'  And here’s the truth:   Tracking your LLM presence is now as important (if not more important) than tracking organic search. People who find you through LLMs:  → They're further down the funnel. → They’re not browsing.  → They’re buying.  And if you’re there when they ask?   You win.</t>
  </si>
  <si>
    <t>AI search isn’t just reshaping how people find information. It’s redefining what it means to measure performance.  Scrunch AI just rolled out some major updates that make it easier for brands to track, analyze, and act on their AI visibility. As a partner, I’ve seen firsthand how fast this space is moving and how critical it is to have real data, not guesswork.  Highlights from this month’s release:  - New AI Model Support: Claude 3.5 and Gemini 1.5 Pro are now fully integrated - Improved Sentiment Tracking: More granular tone analysis and source breakdowns - Competitive Visibility Scoring: See how your brand stacks up across categories and platforms - Answer Depth Ratings: Understand not just if you’re mentioned, but how central you are to the AI-generated answer  This is the kind of insight marketers and comms teams need right now. Not impressions. Not traffic. Context. Relevance. Presence in the answers people are actually getting from tools like ChatGPT, Perplexity, and Gemini.  Scrunch AI is doing the hard work of making that visibility measurable and actionable.  If your brand is already showing up in AI, are you tracking how and where? If it’s not, are you building a strategy to get there?  Full update: https://lnkd.in/gfhxSXWV</t>
  </si>
  <si>
    <t>Paid for by OtterlyAI GmbH</t>
  </si>
  <si>
    <t>The #1 AI Search Analytics Tool 🦦 OtterlyAI tracks brand mentions and website citations across ChatGPT, Perplexity,  AI Overviews, AI Mode, Gemini, and Copilot. It's otterly simple.</t>
  </si>
  <si>
    <t>AI Monitoring, GEO Optimization &amp; Search Presence</t>
  </si>
  <si>
    <t>Ran from Sep 2, 2026 to Sep 9, 2026</t>
  </si>
  <si>
    <t>AI SLOP Experiment: What happens if you publish 2,000 articles created by AI? 🤯  We created 2 new websites.  Published 1,000 articles each - with AI. With 1 click.  Here's what happened:  1️⃣ Google killed the first website 2 weeks later. 2️⃣ The second website died 3 months later.  But AI Search?  Citations on Copilot and Claude are still increasing - even after Google de-indexed both pages.  👉 Read the full experiment here: https://lnkd.in/dZqmhCRa</t>
  </si>
  <si>
    <t>Ran from Aug 5, 2026 to Sep 1, 2026</t>
  </si>
  <si>
    <t>The Biggest Launch of OtterlyAI 🤯 to answer this: What's the #1 AI agent on your website?  I’m super excited to introduce 𝗔𝗴𝗲𝗻𝘁 𝗔𝗻𝗮𝗹𝘆𝘁𝗶𝗰𝘀 𝗯𝘆 𝗢𝘁𝘁𝗲𝗿𝗹𝘆𝗔𝗜.  40,000+ marketers on OtterlyAI.  And many told us:  We don't know what the AI agents, bots, and crawlers are doing on our website.  So today, we are changing that.  Full visibility into Agents behavior. 🤖  -&gt; Which AI Agents are coming my website? -&gt; What are they doing on my website? -&gt; Which content / URLs are crawled more or less often?  To set it up, use:  • our Cloudflare worker  • a WordPress plugin  • our Netlify Edge Function  • webhook for any custom stack  • or simple upload your log file  Start tracking Agents on your website. I highly recommend it. Full details here: https://lnkd.in/esRhBkNi  PS: Watching the eclipse yesterday, I realized that sometimes you need special tools to make the invisible visible. The #1 Agent on my site is ChatGPT-User. What's yours??</t>
  </si>
  <si>
    <t>#1 #1</t>
  </si>
  <si>
    <t>Ran from Aug 13, 2026 to Aug 25, 2026</t>
  </si>
  <si>
    <t>ChatGPT Ads: it's a ORGANIC + PAID PLAY ALREADY:  We already see ChatGPT Ads in EVERY single industry. We monitored 16 industries, and everyone had ChatGPT Ads.  &gt; Finance &amp; Insurance &gt; Sports Brands &gt; Transportation &gt; Real Estate &gt; Travel ....  Every single one of them  What does this mean?  If ChatGPT Ads are available in your country, you should give it a try. Competitors might already be running them.  With OtterlyAI, you can easily track how often an Ad appears, which prompt triggered it, and which brand ran it.   Check out the full research here: https://lnkd.in/dzKHF7BJ</t>
  </si>
  <si>
    <t>51% of US software buyers now start their journey with AI. In DACH? Only 25% (so far).  I sat down with Marvin, who's been at OMR Reviews early on, and now leads marketing as VP Marketing, to talk about what that gap means for marketers.  Some raw notes:  1️⃣ Brand Sentiment as the new KPI for AI Search  2️⃣ 51% of software buyers in US start their journey on AI. In DACH it's 'only' 25%  3️⃣ Most AI citations are off-page - hence structured customer reviews, UCG and digital PR shape AI visibility  4️⃣ brands who invested in Mid-funnel / trust content win twice - both Google + AI loves that type (e.g. comparison content)  There so much more great stuff he shared.  👉  Go check out the full video interview here: https://lnkd.in/dXiRJRfd</t>
  </si>
  <si>
    <t>I won an Award for 𝗺𝗼𝘀𝘁 𝗶𝗻𝗳𝗹𝘂𝗲𝗻𝘁𝗶𝗮𝗹 𝗖𝗘𝗢 𝗶𝗻 𝟮𝟬𝟮𝟲 💜  But I want to tell you about the hard things.  Starting a business: The idea is simple. The execution is the hard part.  Here are some facts about the early days of starting OtterlyAI.  👉 We spent over $30,000 of our savings before we even started making $1 in revenue.   👉 We didn't pay ourselves a salary until we had enough cash on bank to pay us and some first employees.  👉 I cut down on personal expenses. No car (which was hard for me living on the country side), no holidays, saving money wherever I could to extend my personal runway.  👉 There were moments of doubt, moments of ....'how long are we doing this'.  But we made it through.   There's no 'recipe' for those early days. Here's what helped me:  1️⃣ Pure belief. Belief in us and that we are working on the right problem in the right market, with the right timing.  2️⃣ Lots of conversations with marketing and SEO pros out there (my peers and our ideal customers)  3️⃣ Dedication and hard work. Do the work. Go all-in.  4️⃣ Experience in the industry we built - we knew it was a problem worth solving  5️⃣ Focus on shipping over perfection. I wasn't particularly proud of the stuff that we shipped, but we shipped it and constantly made it better.  6️⃣ A support network. Having co-founders that get each other through hard times. A family that took note and was always there to support.  If you're going through those early days, keep pushing through it.</t>
  </si>
  <si>
    <t>Ran from Aug 5, 2026 to Aug 31, 2026</t>
  </si>
  <si>
    <t>20%+ of our leads come from ChatGPT + Claude But: ChatGPT is a Brand Channel.  Yes, it is first and foremost a brand channel.  Attributing leads + revenue to AI search engines is a great follow-on effect.  And definitely something we want as a business.  But to get there we need to treat ChatGPT as a brand channel. Because it is one.  Whoever owns AI search in your organization should be measured on Brand KPIs.  Thanks for the conversation Georgie!</t>
  </si>
  <si>
    <t>Ran from Aug 6, 2026 to Aug 26, 2026</t>
  </si>
  <si>
    <t>Why is no one talking about this?  July 6 - ChatGPT Update:  Something 'interesting' happened with ChatGPT around July 6.  Here's what I've noticed across some industries:  👉 Major brands and corporate websites are losing citation share after July 6. 👉 Meanwhile, some media websites and review/comparison sites are gaining citation share  But this isn't happening everywhere: ❌ Some industries don't seem affected. ❌ Some countries don't seem affected. ❌ Some websites (both media and brands) haven't been affected at all.  The exact reason is still unclear to me. It might just be a simple index update.   Here's what I suggest:  1️⃣ Check your OtterlyAI domain performance chart if you're impacted 😊 2️⃣ Take a look at the Citations Report - check if URLs of yours or competitors are increasing/decreasing 3️⃣ Head over Recommendations to see what you can do on-page to improve</t>
  </si>
  <si>
    <t>𝗠𝘆 𝗔𝗜 𝗦𝗹𝗼𝗽 𝗘𝘅𝗽𝗲𝗿𝗶𝗺𝗲𝗻𝘁 went viral last week. 🤯  Here's what people misunderstood or missed   1️⃣ 𝗣𝗲𝗼𝗽𝗹𝗲 𝗼𝘃𝗲𝗿𝘀𝗶𝗺𝗽𝗹𝗶𝗳𝘆 𝗔𝗜 𝘀𝗲𝗮𝗿𝗰𝗵: Not all AI search engines handle AI content the same way. Saying 'GEO is all about AI Slop' is an oversimplification and not true.  2️⃣ 𝗕𝗶𝗻𝗴 𝘃𝘀 𝗖𝗵𝗮𝘁𝗚𝗣𝗧 𝘃𝘀 𝗖𝗼𝗽𝗶𝗹𝗼𝘁: Some believe that ranking well on Bing automatically means you'll be cited by ChatGPT. Our study shows this isn't true.  -&gt; Bing still indexes our AI-generated content. -&gt; Copilot still cites our AI-generated content. -&gt; ChatGPT not so much, rarely.  3️⃣ Some say AI citations are 𝗷𝘂𝘀𝘁 𝗮 𝘃𝗮𝗻𝗶𝘁𝘆 𝗺𝗲𝘁𝗿𝗶𝗰. I disagree. Citations show how 'important' your content is compared to your competitors. Ultimately, we want to influence brand and product mentions, and citations are a great tool for that.  4️⃣ 𝗔𝗴𝗲𝗻𝘁 𝗖𝗿𝗮𝘄𝗹𝘀 𝘃𝘀 𝗖𝗶𝘁𝗮𝘁𝗶𝗼𝗻𝘀: These are not the same thing. Different AI tools have different purposes and behaviors. Just because an AI crawls a site doesn't mean it will cite it.  5️⃣ Google de-indexed one site completely and partially de-indexed another within weeks. Yet, both sites are 𝘀𝘁𝗶𝗹𝗹 𝗯𝗲𝗶𝗻𝗴 𝗰𝗶𝘁𝗲𝗱 𝗯𝘆 𝗔𝗜 𝗢𝘃𝗲𝗿𝘃𝗶𝗲𝘄𝘀 𝗮𝗻𝗱 𝗔𝗜 𝗠𝗼𝗱𝗲 - a bit. Even Google's own ecosystem seems to be inconsistent.  We'll keep monitoring this and already have follow-up experiments planned.</t>
  </si>
  <si>
    <t>25% of our Revenue comes from ChatGPT + Claude  AI Search Now Drives More of Our Revenue Than Google. 🚀📈  Here’s Proof.   Looking at our self-reported attribution report for June – where every new signup tells us, in their own words, where they first heard of us – the ranking is clear:  1️⃣ Claude influenced 18% of our net new MRR  2️⃣ Google influenced 11%  3️⃣ ChatGPT influenced 7%   Add Claude and ChatGPT together and AI search influenced 25% of our net new MRR - more than double what Google contributed.  Full report here: https://lnkd.in/dtzVzMQQ</t>
  </si>
  <si>
    <t>I was nervous. A video team followed me around OMR Festival in Hamburg. 📹  To tell my story. And the bigger one: how AI has changed search, and how businesses are scrambling to keep up.  AI Search is reshaping how every brand gets found.  Huge thanks to everyone who shared their perspective on camera: Tamara, Timo, Marvin, Matthäus, Daniel, Timo, Eugen, Richard, &amp; Linus.   🎥 by MIKU.media</t>
  </si>
  <si>
    <t>The Secret Sauce of AI Search Optimization - does it exist?  According to Richard, head of marketing at chatarmin.com the foundation is to have great content all over the internet.</t>
  </si>
  <si>
    <t>ChatGPT is a brand channel. ChatGPT is a brand channel. ChatGPT is a brand channel.   Yes, ChatGPT also brings highly educated website visitors that convert at a better rate than others.   But first and foremost, it's a brand channel.</t>
  </si>
  <si>
    <t>Do you know which AI bots are crawling your website right now?  I doubt it.  Neither did we, until this morning when we turned on OtterlyAI's new Agent Analytics.  One day in and we've already got some interesting findings. The top bot hitting our site is Perplexity, which we'd never have guessed. Our assumption was Google or ChatGPT, given how dominant they are in the New Zealand market.  Agent Analytics reads your server logs instead of running a script, so that traffic is finally visible. It shows you which bots are crawling, which pages they're scraping, and how many times each one gets hit.  That matters more than it sounds. These are the crawlers feeding what ChatGPT, Perplexity and Gemini say about you to the people asking about your industry. If you're trying to show up in AI search, this is the traffic that decides whether you're even in the running, and until now you couldn't see a single visit of it.  If you've been guessing at your AI visibility, this is the first time you can actually check.</t>
  </si>
  <si>
    <t>𝗪𝗵𝗮𝘁'𝘀 𝘁𝗵𝗲 #𝟭 𝗔𝗜 𝗔𝗴𝗲𝗻𝘁 𝗼𝗻 𝗺𝘆 𝘄𝗲𝗯𝘀𝗶𝘁𝗲?   Over 40,000 marketers use OtterlyAI, and one question has come up again and again:   '𝘞𝘩𝘢𝘵 𝘢𝘳𝘦 𝘈𝘐 𝘢𝘨𝘦𝘯𝘵𝘴, 𝘣𝘰𝘵𝘴, 𝘢𝘯𝘥 𝘤𝘳𝘢𝘸𝘭𝘦𝘳𝘴 𝘢𝘤𝘵𝘶𝘢𝘭𝘭𝘺 𝘥𝘰𝘪𝘯𝘨 𝘰𝘯 𝘰𝘶𝘳 𝘸𝘦𝘣𝘴𝘪𝘵𝘦?'  Until now, there was no clear answer.  With Agent Analytics, that changes.  → Which AI agents are visiting your website? → What actions are they taking? → Which content and URLs are crawled most - and least - frequently?  Setup is flexible:  a Cloudflare Worker,  a WordPress plugin,  a Netlify Edge Function,  a webhook for custom stacks,  or a simple log file upload.   If understanding Agent traffic matters to your business - and increasingly, it does - I encourage you to start tracking today.   Full details below: https://lnkd.in/eN3uEjkw</t>
  </si>
  <si>
    <t>#𝟭</t>
  </si>
  <si>
    <t>Ran from Jul 7, 2026 to Jul 22, 2026</t>
  </si>
  <si>
    <t>How AI Has Changed SEO.  To understand the shift on the ground, OtterlyAI CEO and co-founder Thomas Peham traveled across Germany - meeting marketing leaders, SEO experts, and builders in Hamburg and beyond – to ask one question:   Has anyone actually figured out how to show up as a brand inside AI search?</t>
  </si>
  <si>
    <t>Claude Drives 10.6% of Our Signups. But: Google Analytics Says 0.1%  I decided to share our June conversion KPIs:  -&gt; Google Analytics credits Google Organic Search with 35% of signups, ChatGPT with 7%, and Claude with 0.1%.  -&gt; Self-reported attribution tells a different story:  ChatGPT 11%, Claude 10.6%, Google Search 15.7%.  -&gt; Also: Visitors who did arrive from ChatGPT converted at a 66% higher rate than organic search visitors.  What's the story behind those KPIs?  Our customers start researching on Claude and ChatGPT, and often still on Google, then continue the journey elsewhere before they convert.  Claude is a brand channel - even more so than ChatGPT. While nearly invisible in traffic data, the self-reported leads jumped to 10.6% of all conversions.  Google, ChatGPT, Claude. All 3 are different channels with different user journeys, but for us all 3 are worth optimizing for. And we'll continue to do so.  Full article in comments  Also thx to Ethan &amp; the Graphite team who inspired me to publish those numbers after their n8n analysis.</t>
  </si>
  <si>
    <t>Ran from Jul 7, 2026 to Jul 14, 2026</t>
  </si>
  <si>
    <t>Ran from Jul 7, 2026 to Jul 29, 2026</t>
  </si>
  <si>
    <t>ChatGPT Ads are here 🔥  This week, OtterlyAI added ChatGPT Ad Tracking (as well as Shopping and AI Overview Ad Tracking) to all accounts.  → How often ads show up across your prompts  → Which high-intent queries trigger them  → Who's advertising against you (competitors included)  → What each ad actually claims, and where it links  It's the real paid landscape, mapped to the prompts that matter to your brand.  The best part:   It's live right now, inside every existing brand report, on every plan, at no extra cost. No new setup.  The paid era of AI search just started. The brands that understand it early are the ones who'll win it.  See who's running ads against your prompts → https://lnkd.in/emxwrPdd</t>
  </si>
  <si>
    <t>This is big. We are going big in the USA. 🇺🇸🚀   And it's happening.  OtterlyAI is the Headline Sponsor at brightonSEO San Diego 🇺🇸 and we are making a splash in the market.  With 47% of our customers already based in the USA, we are expanding our footprint in the Americas too.  And we do it the OtterlyAI way:  -&gt; Bootstrapped and growing massively -&gt; With a fully-remote team - we are hiring! -&gt; We are approachable and direct.  -&gt; We share everything we learn. And we'll tell you what works and what doesn't.  And what a great way to kickstart this at BrightonSEO San Diego, the leading SEO conference in the United States.  🦦 Meet the otters on the ground, and DM me if you want a free ticket for the conference.   Get in touch while they last.</t>
  </si>
  <si>
    <t>Ran from Jul 7, 2026 to Jul 24, 2026</t>
  </si>
  <si>
    <t>𝗔𝗜 𝘀𝗲𝗮𝗿𝗰𝗵 𝗲𝗻𝗴𝗶𝗻𝗲𝘀 𝗹𝗼𝘃𝗲 𝗨𝗚𝗖 💜  Ratings &amp; Reviews Customer feedback Questions &amp; Answers Testimonial Statements  I learned a lot from that conversation with Tamara.   Check out the full interview. Link in comments.</t>
  </si>
  <si>
    <t>We just did it!  OtterlyAI just won the AWARD for BEST AI SEARCH SOFTWARE at the European Search Awards!  I'm just proud. Proud of the team. And how far we come.  Bootstrapped Over 30,000 marketing pros on the platform in over 166 countries  Way to go. Let's go.</t>
  </si>
  <si>
    <t>Ran from Jun 24, 2026 to Jul 3, 2026</t>
  </si>
  <si>
    <t>We’re going big in the US 🇺🇸  OtterlyAI is the headline sponsor of brightonSEO San Diego 2026, and we want to see you there.   47% of OtterlyAI customers are based in North America, so it was the obvious next step to increase our foot print in the USA even further.  Join us in San Diego to find:  &gt; Thomas our CEO on stage talking about the latest Experiments in AI Search &gt; The Otters on the ground at the event and hosting their own side event in San Diego. &gt; Some special Otter sights &amp; merch  Get a free ticket Like this post, and DM us to claim a free ticket while they last.</t>
  </si>
  <si>
    <t>Live today ‼️ AI Search Tracking on Claude See how your brand performs on Claude vs ChatGPT  OtterlyAI now supports Claude as a dedicated AI search engine, so you can finally see how visible your brand is in one of the fastest-growing places people ask questions.</t>
  </si>
  <si>
    <t>Live inside OtterlyAI 🔥  -&gt; ChatGPT Ads Tracking -&gt; ChatGPT Shopping Card Tracking -&gt; Google AI Overview Ads Tracking -&gt; Query Fan outs on every prompt -&gt; Query Fan Out Research  The team has been on fire 🔥 shipping.   I'm particularly excited about Ad tracking. AI search is moving from a 100% organic channel to paid + organic. As marketers, we are getting new paid + organic opportunities for getting our brand into AI answers.  Exciting times. And big KUDOS to the team.</t>
  </si>
  <si>
    <t>New Claude Citation Study live ‼️  We analyzed 379K Claude citations.   The finding?   Claude overwhelmingly favors brands over all other source types - and almost never cites social media.  👉 full article here: https://lnkd.in/evWmNvNm</t>
  </si>
  <si>
    <t>The AI Search Attribution Gap:  Why Last-Touch Undercounts ChatGPT and Claude  We decided to share our June Conversions Performance and here's what we found:  -&gt; Claude drove 10.6% of all product signups, but Google Analytics was only capturing 0.1%  -&gt; Visitors who did arrive from ChatGPT converted at a 66% higher rate than organic search visitors.  If we trust self-reported attribution, a large and roughly equal share of our conversions is driven by Google, ChatGPT, and Claude together.  Full insights here: https://lnkd.in/eGcu3--s</t>
  </si>
  <si>
    <t>Available today ‼️ AI Search Tracking on Claude  See how your brand performs on Claude vs ChatGPT vs Gemini vs ....  OtterlyAI now supports Claude as a dedicated AI search engine, so you can finally see how visible your brand is in one of the fastest-growing places people ask questions.  &gt; Daily Tracking on Claude &gt; Competitive Insights on Brand &amp; Website Performance &gt; Find the pages that Claude cites &gt; Use our MCP &amp; API to build custom Claude reports &amp; dashboards   Available on all plans, starting at $29/month</t>
  </si>
  <si>
    <t>Yo. Founders.  Your buyers aren't Googling for the links anymore. They want the AI Overview. And they're opening ChatGPT and Perplexity too.  They're asking for recommendations, lists, and insights. And they're getting an answer.  If your company isn't showing up, you're not in the room.  Fixing this is exactly why we became an official Agency Partner for Otterly.ai.  Here's what the platform actually does: 1. Prompts: Creation, monitoring LLMs and regionas 2. Share of voice and brand ranking trends 3. Competitor reports 4. Citations and mentions  The data alone is valuable. But data without action is just a dashboard.  At purple path, we take that data and build actionable strategy around it. Closing gaps in share of voice. Increasing visibility in AI-generated answers. Improving how your brand is perceived when AI describes you to a buyer.  With Otterly.ai, we shine a light on it. At purple path, we act on it.  Link to the full announcement in the comments.  Annnnnd.... Go get em.</t>
  </si>
  <si>
    <t>Ran from Jul 8, 2026 to Jul 14, 2026</t>
  </si>
  <si>
    <t>What's the role of 𝗨𝘀𝗲𝗿-𝗚𝗲𝗻𝗲𝗿𝗮𝘁𝗲𝗱 𝗖𝗼𝗻𝘁𝗲𝗻𝘁 𝗶𝗻 𝗔𝗜 𝗦𝗲𝗮𝗿𝗰𝗵? 🕵️♂️  User-generated content - reviews, Q&amp;As, photos, videos - is becoming one of the most powerful inputs for GEO.   AI search engines prioritize authentic, trustworthy content when building answers.  We spoke with Tamara Sanderson, Lead Client Success Manager at Bazaarvoice, about why this matters for your content strategy.</t>
  </si>
  <si>
    <t>𝐖𝐡𝐮𝐭?! 😱 64% 𝐨𝐟 18-27 𝐲𝐞𝐚𝐫-𝐨𝐥𝐝𝐬 𝐝𝐨𝐧'𝐭 𝐯𝐞𝐫𝐢𝐟𝐲 𝐢𝐟 𝐚𝐧 𝐀𝐈 𝐫𝐞𝐜𝐨𝐦𝐦𝐞𝐧𝐝𝐚𝐭𝐢𝐨𝐧 𝐢𝐬 𝐚𝐜𝐭𝐮𝐚𝐥𝐥𝐲 𝐠𝐨𝐨𝐝 (𝘙𝘪𝘵𝘩𝘶𝘮, 2026)  So, if your brand doesn't appear in the answer, the conversation is over before it started.  That’s one of the lessons we’ve learned at Webmyday over the past few months. Here are some of our most important learnings so far in 2026 👇  1️⃣ 𝐓𝐡𝐞 𝐆𝐄𝐎 𝐰𝐢𝐧𝐝𝐨𝐰 𝐟𝐨𝐫 𝐞𝐚𝐫𝐥𝐲 𝐚𝐝𝐨𝐩𝐭𝐞𝐫𝐬 𝐡𝐚𝐬 𝐜𝐥𝐨𝐬𝐞𝐝 A year ago GEO was an innovator's game. Today the early majority is signing up out of necessity, not curiosity. Restaurants in our portfolio are the clearest signal: people are searching for places to eat inside ChatGPT. If you're not in the answer, the table stays empty.  2️⃣ 𝐘𝐨𝐮 𝐧𝐞𝐞𝐝 𝐚 𝐑𝐞𝐝𝐝𝐢𝐭 𝐬𝐭𝐫𝐚𝐭𝐞𝐠𝐲. 𝐘𝐞𝐬, 𝐫𝐞𝐚𝐥𝐥𝐲 An OtterlyAI analysis of 5.5M social citations found that 46.4% of all citations AI tools use originate from Reddit. Almost half. We now build Reddit programs around three pillars for clients:   → Join existing threads already being cited  → Post proactively in relevant subreddits  → Monitor brand-related conversations  Become part of the discussion AI tools draw from, or be treated as less relevant.  3️⃣ 𝐒𝐭𝐨𝐩 𝐨𝐩𝐭𝐢𝐦𝐢𝐳𝐢𝐧𝐠 𝐨𝐧𝐥𝐲 𝐟𝐨𝐫 𝐭𝐡𝐞 𝐦𝐨𝐦𝐞𝐧𝐭 𝐨𝐟 𝐩𝐮𝐫𝐜𝐡𝐚𝐬𝐞 Bottom-of-funnel prompts feel like where the money is. But people use AI across the entire decision journey. Optimize only for the buying moment and you skip the authority-building stages that make people trust you when they're finally ready.  𝘛𝘩𝘦 𝘵𝘰𝘰𝘭 𝘵𝘩𝘢𝘵 𝘮𝘢𝘬𝘦𝘴 𝘢𝘭𝘭 𝘰𝘧 𝘵𝘩𝘪𝘴 𝘢𝘤𝘵𝘶𝘢𝘭𝘭𝘺 𝘥𝘰𝘢𝘣𝘭𝘦: OtterlyAI. None of the above works without good data. OtterlyAI shows us which prompts to target, whether brands are being mentioned and cited, and which sources are being pulled into AI answers right now.   GEO is moving at an extraordinary pace. Sometimes I have to pinch myself. It's a great time to be in it.  What's the biggest GEO surprise you've hit so far this year? 😀   #GEO #AIsearch #SEO #Webmyday #OtterlyAI #Learnings</t>
  </si>
  <si>
    <t>#GEO #AIsearch #SEO #Webmyday #OtterlyAI #Learnings</t>
  </si>
  <si>
    <t>Ran from May 29, 2026 to Jun 18, 2026</t>
  </si>
  <si>
    <t>𝗜 𝗵𝗮𝘃𝗲𝗻'𝘁 𝘀𝗹𝗲𝗽𝘁 𝘄𝗲𝗹𝗹 𝘁𝗵𝗲 𝗹𝗮𝘀𝘁 𝘁𝘄𝗼 𝘄𝗲𝗲𝗸𝘀. 😴  The reason?  We released the OtterlyAI API internally, and my mind wouldn't stop.  Every day I found another use case.  Interactive dashboards. PDF reports. n8n workflows. Content briefs. Reddit agents.  I kept building. Then building some more.  This week, we opened the OtterlyAI API to everyone.  Today I want to show you what I've built with it, the use cases I keep coming back to.  Join me at 4pm CET for a live session.  👉 https://luma.com/abpx6ehc   Let's build together.</t>
  </si>
  <si>
    <t>Ran from May 28, 2026 to Jun 12, 2026</t>
  </si>
  <si>
    <t>Ran from Jun 23, 2026 to Jul 7, 2026</t>
  </si>
  <si>
    <t>Active Reddit communities get cited 9x more by AI. 🚀  We ran (the first) Reddit Engagement Experiment:  if two brand-new subreddits post identical content on the same topics at the same time, does engagement actually move the needle on AI citations?  The setup:  - Two new communities, same posts, same topics, same day - One got active engagement (replies, votes, discussion). The other stayed silent. - We tracked both for 60 days.  The results?  👉 9x more AI citations for the active community vs. the dormant one 👉 6.9x more total citations than the median external subreddit 👉 4x more Google keywords ranked 👉 18x more monthly search volume covered  The lesson: AI search doesn't just reward Reddit content. It rewards UGC people actually engage with.  Full experiment 👉 link in comments</t>
  </si>
  <si>
    <t>Ran from May 29, 2026 to Jun 5, 2026</t>
  </si>
  <si>
    <t>ChatGPT vs Claude This is what the early data told me (it surprised me 🤯)  There's hardly any data available on Claude and how websites get cited there. So I took a early look at our own data.  And I was surprised to see little overlap.  1️⃣ 4.2% overlap of top 100 URLs Only 4.2% URLs in the top 100 citations show up both on ChatGPT and Claude.  2️⃣ 7.3% amongst top 1,000 URLs If we take a look at the top 1,000 URLs on both platforms, the overlap grows to 7.3%.  3️⃣ 13% domain overlap If we take a look at the pure domain list, the overlap is bigger. 13% of domains show up on both ChatGPT and Claude.  What does this all mean?   ➡️ These two engines are effectively two separate channels.  They - to some degree - agree on who is credible (domain-level) but disagree on what to show (URL level).  ➡️ They also have different taste in sources.   ChatGPT reaches much harder into public/community content. Reddit is big on ChatGPT, not on Claude. Claude is citing more brand domains, more product pages. These product domains don't show up on ChatGPT.  TLDR: Optimize per engine, not 'for AI' in general.</t>
  </si>
  <si>
    <t>Ran from Jun 24, 2026 to Jul 7, 2026</t>
  </si>
  <si>
    <t>𝗢𝘂𝗿 𝗖𝗵𝗮𝘁𝗚𝗣𝗧 𝗿𝗲𝗳𝗲𝗿𝗿𝗮𝗹 𝘁𝗿𝗮𝗳𝗳𝗶𝗰 𝗷𝘂𝗺𝗽𝗲𝗱 𝗯𝘆 𝟮𝟯𝟱% 𝗠𝗼𝗠 📈  And most importantly:  Product Signups via ChatGPT jumped by 674% MoM  Why did that happen?  The primary reason: ChatGPT started hyperlinking brand mentions on the AI answers back to our home page (I wrote about this ChatGPT update previously)  You might say: Well, this was an external factor, nothing you could influence.  Not true. ❌  Our team has been optimizing for brand mentions for months. We run various on page and off-page experiments to drive our AI visibility.  So us getting mentioned as a brand in the first place is something we influenced. This happened thanks to our execution.   And we keep doubling down.   Let me know if you saw a similar jump in May.</t>
  </si>
  <si>
    <t>Ran from Jun 5, 2026 to Jun 18, 2026</t>
  </si>
  <si>
    <t>Ran from May 28, 2026 to Jun 18, 2026</t>
  </si>
  <si>
    <t>Ran from May 28, 2026 to Jun 16, 2026</t>
  </si>
  <si>
    <t>I love Eugen's honest answers:  -&gt; 5% of traffic from ChatGPT -&gt; But 10% of demo requests from ChatGPT  (side note: you can see here how ChatGPT traffic is converting much higher for them)  But: when comparing marketing attribution with 'Where did you hear about us' form submits people put ChatGPT, Gemini, Grok, Claude,.... although marketing attribution is telling his team they came from organic or paid.  What he also admits:  Win rates per channel is the most important KPI he would care about.  Full video interview in the comments below.</t>
  </si>
  <si>
    <t>Ran from Jun 11, 2026 to Jun 25, 2026</t>
  </si>
  <si>
    <t>Sea otters give rocks to their favorite humans 🗿  So here's the deal:  Yesterday, some people highlighted that one of our VC-funded competitors is giving away $250 amazon gift cards for a single review on G2 (yes $250 for a review).  We'll do something else:  If you write a G2 or OMR Reviews review on OtterlyAI, and you'll send me a proof, I'll package up a little stone/rock that I handpicked in my place, and ship it to you.  Deal?  -&gt; Write a g2 review here: https://lnkd.in/dPF9q_YK  -&gt; write a OMR review here: https://lnkd.in/dpGUEGBQ</t>
  </si>
  <si>
    <t>In how many countries do you have OtterlyAI users?  I was not able to answer this question today in a call.  So I had to look up the answer.  The answer: 166 countries!  OtterlyAI is used by people in 166 countries.   That's mind blowing to me. 🤯  Because that's basically 85% of all countries (the UN is counting 195 countries).  It's a big reminder for us to keep building for all our users in all the different beautiful countries.  And yes: We have some existing Localization Experiments in the pipeline as AI search is getting more and more localized these days! Stay tuned.</t>
  </si>
  <si>
    <t>Ran from May 22, 2026 to May 28, 2026</t>
  </si>
  <si>
    <t>Ran from May 21, 2026 to May 28, 2026</t>
  </si>
  <si>
    <t>Ran from Jun 25, 2026 to Jul 24, 2026</t>
  </si>
  <si>
    <t>Ran from Jun 24, 2026 to Jul 17, 2026</t>
  </si>
  <si>
    <t>Big #ChatGPT Update 🚀  Beginning of May, ChatGPT started adding hyperlinks to brand names in the ai responses.  BEFORE Whenever your brand/product would get mentioned by AI answers, you would not benefit with a direct link back to your website. ChatGPT would just display your name/brand/product as a text.  NOW Every brand mention has a better chance of getting a click. Why? Because ChatGPT started adding hyperlinks (back to the home page) of brands.  Two proof points:  1. from our own citation data - see how the citations for our home page jumped on May 2  2. from our Google Analytics account (see chart in comments) - see how human referral traffic jumped in May  Existing times.   Are you seeing something similar?</t>
  </si>
  <si>
    <t>#ChatGPT</t>
  </si>
  <si>
    <t>Ran from Jun 11, 2026 to Jun 26, 2026</t>
  </si>
  <si>
    <t>More than 20,000 marketers have done it before.  You can do it too.  Get mentioned by AI. With OtterlyAI.</t>
  </si>
  <si>
    <t>Ran from May 2, 2026 to May 10, 2026</t>
  </si>
  <si>
    <t>Tags. Tags. Tags.  If you are not using Tags inside OtterlyAI you're missing out.  Tags are the most flexible and fastest way to organize and categorize your search queries.  We do recommend everyone to establish tags  &gt; by Funnel Stage: Top vs Bottom of Funnel Prompts &gt; by Product Categories or Product Lines &gt; by Strategic Initiatives and Campaigns  AI Search success becomes very real, when you know what to optimize for.</t>
  </si>
  <si>
    <t>Ran from Apr 28, 2026 to May 1, 2026</t>
  </si>
  <si>
    <t>From Data to Done in AI Search  The otter way.  Check out Recommendations - the fastest way to improve your AI Visibility.</t>
  </si>
  <si>
    <t>Ran from May 2, 2026 to May 19, 2026</t>
  </si>
  <si>
    <t>Some people are shocked when I tell them this.  ---  When I tell people that I live in a small village, some people react surprised or even slightly shocked.  'What....you are building OtterlyAI from this tiny place?'  Well yes. I do.  I would even say it helps me succeed. It helps me be a better version of me.  Why?  I live in my happy place.  I have nature right in my garden.  I can walk to the supermarket, kindergarten, to friend's places.   I can go outside and run along the Danube river or take my bike out for a ride, or do a short drive to the cross fit gym.   Everything that I need daily is in walking distance.  And being in a place where there are not a lot of distractions help me focus on the business.  I just get sh*t done.   Sure, I enjoy traveling. Both for work and for private occasions.   Actually, you'll find me in Brighton for brightonSEO 🇬🇧 next week. And at the OMR Festival in Hamburg 🇩🇪the week after. Say hi if you are around.  But being where I am, gives me the drive and energy to keep building and building.  What's your happy place?</t>
  </si>
  <si>
    <t>Ran from May 2, 2026 to May 16, 2026</t>
  </si>
  <si>
    <t>Wish the otters some luck.  We are named a FINALIST for Best AI Search Software Solution at the 2026 European Search Awards  Whoop whoop 🦦💜🦦💜🦦💜</t>
  </si>
  <si>
    <t>Ran from Apr 27, 2026 to May 5, 2026</t>
  </si>
  <si>
    <t>See your brand's visibility across ChatGPT, Perplexity, and Gemini in minutes - with prompt tracking, citation analysis, and competitor benchmarking built in. Try it free → otterly.ai</t>
  </si>
  <si>
    <t>Ran from Apr 23, 2026 to May 2, 2026</t>
  </si>
  <si>
    <t>𝗜 𝘄𝗮𝘀 𝘄𝗿𝗼𝗻𝗴.  I was wrong about Youtube.  Specifically, I was wrong about YouTube.com's visibility on ChatGPT.  On December 22, in our last live webinar of the year, I told attendees that YouTube wasn't that critical for brand visibility on ChatGPT (I did however mention that Youtube is super critical for your Google (AI Overview) performance for example.)  My reasoning seemed solid.   The data I'd analyzed across multiple OtterlyAI accounts showed YouTube.com rarely appearing as a top citation source.  Then December came.  YouTube.com grew in visibility. In some industries we monitor, it's now among the most-cited domains on ChatGPT.  This matters for three reasons:  1)  It's a reminder that AI search platforms are constantly evolving their source preferences. What's true in November can be wrong by January. If you're not tracking these changes in real-time, you're making decisions on outdated assumptions.  2) It changes content strategy. Video content isn't just for brand awareness anymore. It's becoming a citation source for AI engines. That changes how we think about ROI.  3) ChatGPT, Perplexity, and Google AI Overviews don't behave the same way. And none of them stay static.</t>
  </si>
  <si>
    <t>Our partner Webmyday is otterly into AI Search.  AI Search is not just SEO.  It requires a fully GTM playbook. Aligning the different functions and teams in marketing.   And if you're thinking: 'That otterly makes sense.'  Well, you might want to chat with some true AI search experts - like Stefan and his team at Webmyday.</t>
  </si>
  <si>
    <t>Ran from May 9, 2026 to May 13, 2026</t>
  </si>
  <si>
    <t>Ran from May 2, 2026 to May 20, 2026</t>
  </si>
  <si>
    <t>Still thinking it over? Start your free OtterlyAI trial.  See your brand's visibility across ChatGPT, Perplexity, and Gemini in minutes - with prompt tracking, citation analysis, and competitor benchmarking built in. Try it free → otterly.ai</t>
  </si>
  <si>
    <t>Brands going up and to the right in AI search visibility. We can't get enough of it.  Neither can our customers. 📈🦦</t>
  </si>
  <si>
    <t>1 Million URLs studied:  Which URL Structures Gets You Cited The Most on AI Search ??   Shorter URLs? Longer URLs? Descriptive URLs? Comparison patterns? year in URL? Do .com domains have a higher chance of getting cited?  Etc. Etc.  My colleague Rick published another amazing AI Search finding.  The long story short:   URL structure basics alone do not predict citation frequency in AI Search.   The common SEO heuristics around URL length, depth, slug formatting, and domain structure are not visible in AI citation data at this scale.  What matters more?  - Clean URLs - Page Types - The Content itself  And most importantly: There's a heavy power law distribution.  Most URLs are cited once, and only a tiny fraction (less than 1% is cited many times over again).   If we want to be visible as a brand, we also need to be a top performer on a citation level.  Full analysis in comments.</t>
  </si>
  <si>
    <t>𝗜'𝗺 𝗻𝗼𝘁 𝗳𝗮𝗺𝗼𝘂𝘀. But I'm proud. But for other reasons you might think.  Yesterday I received this whatsapp.  Because Marvin mentioned me amongst the AI Visibility Voices in his State of SaaS keynote together with Felix at the OMR Festival.  But I'm not proud because of that.  Exactly 1 year ago the AI Search market was a rather new thing.   There's lots of hype in the category. And as someone mentioned at brightonSEO last week:   Trust only half what you see on linkedin, the other half is bluffing.  Last year, AI Search was one big hype at OMR. This year, Marvin spoke about all the things that work in the category. With an honest take.  I'm glad that there are people like Marvin who have a pragmatic approach. Who share what works in AI Search.  And I'm proud that our team at OtterlyAI is contributing to this pragmatic approach with our continuous #GEO Experiments.  We publish new GEO Experiments weekly.  We share what works and what doesn't.  Thanks Marvin and everyone for educating on AI Search.</t>
  </si>
  <si>
    <t>#GEO</t>
  </si>
  <si>
    <t>Ran from May 7, 2026 to May 10, 2026</t>
  </si>
  <si>
    <t>𝗠𝗮𝗿𝗸𝗱𝗼𝘄𝗻 𝘃𝘀. 𝗛𝗧𝗠𝗟 Which format do AI crawlers prefer?  We ran a test on our own website.  The test:  We placed new HTML and .md URLs were placed in our website footer and had the exact same URL structure, giving all crawlers an equal structural opportunity to discover them.   The result:  The HTML test pages, both the existing page and the newly created one, received a combined 7.4% of all AI bot visits across the 14-day window.   𝗧𝗵𝗲 𝗠𝗮𝗿𝗸𝗱𝗼𝘄𝗻 𝘃𝗲𝗿𝘀𝗶𝗼𝗻𝘀 𝗿𝗲𝗰𝗲𝗶𝘃𝗲𝗱 𝟬%.   Also, No AI search platform cited a .md URL of ours.  What does this all mean?? Our learnings:  1. Don’t create .md mirrors of your pages for GEO purposes. 2. Focus on HTML page quality and structure.  3. Reserve Markdown for its actual use cases.  4. Use OtterlyAI to measure what actually gets cited. Results might differ industry by industry ;-)   DM if you've ran a similar experiment in the past.   We'll keep testing and iterating.  PS: Full article in comments below.</t>
  </si>
  <si>
    <t>Image alt text are for SEO. AI Search reads past it.  Here's what we tested:  We added a fact to an image filename, alt text, and image caption, but didn’t mention it anywhere in the visible body text.  We created 6 different test cases:  1 - file name optimization only 2 - alt text optimization only 3 - fig caption only 4 - OCR image (the answer is on the image) 5 - a control group / no signal 6 - file name + alt text optimization  Can AI search engines pick it up?  No.  ChatGPT was able to answer the question correctly through a combination of file name + alt text (in 75% of all answers).  All other AI engines hallucinated or were not able to retrieve the information.   full findings here: https://lnkd.in/eFBmQPFG</t>
  </si>
  <si>
    <t>The tool that helped us be VISIBLE on AI Search  'OtterlyAI helped us understand and optimize our brand for AI Search.'  That's Julius, Senior Team Manager Product Marketing.  His team had a problem most marketers don't even know they have: they were invisible on ChatGPT, Perplexity, and Google AI Overviews.  Not anymore.  With OtterlyAI, they now track exactly where their brand gets cited, where competitors show up instead, and what content actually drives AI visibility.  No guesswork. No flying blind.  Just clear data on how AI search engines see your brand.  → Try OtterlyAI free and see where you stand in AI search.</t>
  </si>
  <si>
    <t>At OtterlyAI, we recognize that navigating modern marketing challenges requires both insight and dexterity—qualities embodied by our namesake: the otter. Let us help you master disruptions in marketing with tools designed specifically for success in an ever-changing environment.</t>
  </si>
  <si>
    <t>Ran from May 2, 2026 to May 9, 2026</t>
  </si>
  <si>
    <t>How important is YouTube for AI search? 📹  𝗪𝗲 𝗮𝗻𝗮𝗹𝘆𝘇𝗲𝗱 𝟭𝟬𝟬 𝗺𝗶𝗹𝗹𝗶𝗼𝗻+ 𝗰𝗶𝘁𝗮𝘁𝗶𝗼𝗻𝘀 𝘁𝗼 𝗳𝗶𝗻𝗱 𝗼𝘂𝘁.  Here's what we found:  👉 YouTube is the 2 most cited social/video platform in AI search, across ChatGPT, AI Mode, Google AI Overviews,...right after reddit.com  👉 Not all AI engines behave the same. Where YouTube gets cited, and how often, varies significantly by platform  👉 Long-form wins. Shorts don't get cited, (only on AI Mode and Google AI Overviews)  👉 Views, likes, and subscriber count? Almost zero correlation with AI citations  👉 Structure matters more than fame.  Videos with timestamps and clear chapters get cited more consistently  My take: AI engines don't reward popularity. They reward clarity.  If your video content is well-structured, topically specific, and answers real questions directly, it has a shot at being cited regardless of channel size.  Full research article in comments</t>
  </si>
  <si>
    <t>Start optimizing for AI Search. It's Otterly Awesome.</t>
  </si>
  <si>
    <t>Ran from Mar 21, 2026 to Apr 20, 2026</t>
  </si>
  <si>
    <t>Ran from Apr 22, 2026 to May 2, 2026</t>
  </si>
  <si>
    <t>When OtterlyAI 🦦, one of my fav AI visibility tools, asked me to share my thoughts on how to be visible for AI in 2026, this is a part of what I said 👇🏻:  'Large language models don't reward vague marketing. Humans never did either. What both reward is clarity.   Brands that clearly explain WHAT they do, HOW they do it, and WHO they do it for, with strong structure, precise messaging, and real answers,  are far easier to understand, surface, and trust. That means doing the basics well: clear headings, schema, FAQs, comparisons, and case studies.  But visibility doesn't come from structure alone. More from being worth talking about. AI search asks brands to become more precise, more useful, and more worth remembering.'  I'm a long-time fan of OtterlyAI, and founders Thomas Peham and Klaus-M. Schremser.  They actually test, try, and educate rather than just theorize and claim to be the best without the proof. So being included alongside 30+ AI visibility practitioners who bring that same hands-on approach was genuinely something for me 🙏🏻  Alongside others, Imke Walenberg dropped my fav line, nicely and sharply:  'AI does not make marketing less human. It forces organisations to think more sharply about their identity, their expertise, and their relevance.'  Yep, I also see the AI laziness creeping in here... secretly wishing the 'grey world' where all is just AI created, will not happen. So a nice warning by her as well ⛔️ treating AI as a productivity hack, a faster way to write blogs and automate campaigns  is the most dangerous misunderstanding of 2026. Speed without substance is just noise, faster.  Thank you, Rick Tousseyn and the OtterlyAI team, for such a practical and well-crafted piece. 🙌  Link to the article in the comments 👇🏻</t>
  </si>
  <si>
    <t>Ran from Mar 29, 2026 to Apr 28, 2026</t>
  </si>
  <si>
    <t>The Best of the Best:  We are a ROOKIE of the YEAR 💜  G2 evaluated 25,115 software products.  And while the AEO market has grown by 2,000% in the last year (acc. to G2), OtterlyAI is the only AEO / GEO tool in the Top 10 Best List.  And even more exciting:   We made it into Top 10 Rookie of the Year 🙌  Yes, amongst 25,115 software products. Put it differently, we are part of the top 0,03% of software products.  I'm proud, because we've done this our way.  Without VC funding. Without a big team of hundreds of people. Without big marketing spend. Without big hype.  We did it our way.</t>
  </si>
  <si>
    <t>Ran from Mar 5, 2026 to Mar 24, 2026</t>
  </si>
  <si>
    <t>YouTube isn’t just for cat videos anymore. 𝗜𝘁’𝘀 𝗯𝗲𝗰𝗼𝗺𝗶𝗻𝗴 𝗮 𝗰𝗼𝗿𝗲 𝘀𝗼𝘂𝗿𝗰𝗲 𝗳𝗼𝗿 𝗔𝗜 𝗮𝗻𝘀𝘄𝗲𝗿𝘀.  We 🦦 (OtterlyAI) analyzed 100M+ AI citations across ChatGPT, Perplexity, Google AI Overviews, AI Mode, Copilot, and Gemini.  The goal? Understand how often ... and why ... AI systems cite YouTube. Here’s what surprised me 👇  🎥 𝗬𝗼𝘂𝗧𝘂𝗯𝗲 𝗶𝘀 𝘁𝗵𝗲 #𝟮 𝗺𝗼𝘀𝘁 𝗰𝗶𝘁𝗲𝗱 𝘀𝗼𝗰𝗶𝗮𝗹 𝗽𝗹𝗮𝘁𝗳𝗼𝗿𝗺 𝗶𝗻 𝗔𝗜 𝘀𝗲𝗮𝗿𝗰𝗵  Right behind Reddit. Ahead of most “serious” content platforms.  🤖 𝗡𝗼𝘁 𝗮𝗹𝗹 𝗔𝗜 𝗲𝗻𝗴𝗶𝗻𝗲𝘀 𝗯𝗲𝗵𝗮𝘃𝗲 𝘁𝗵𝗲 𝘀𝗮𝗺𝗲  Perplexity and Google AI Overviews cite YouTube heavily.  ChatGPT, Gemini, and Copilot? Much less.  📏 𝗟𝗼𝗻𝗴-𝗳𝗼𝗿𝗺 𝘄𝗶𝗻𝘀. 𝗦𝗵𝗼𝗿𝘁𝘀 𝗱𝗼𝗻’𝘁.  94% of cited videos are long-form.  So much for “just make it short and viral.”  📊 𝗩𝗶𝗲𝘄𝘀, 𝗹𝗶𝗸𝗲𝘀, 𝘀𝘂𝗯𝘀𝗰𝗿𝗶𝗯𝗲𝗿𝘀? Almost no correlation with AI citations. You can have 50k views and still dominate AI answers.  🗂️ 𝗦𝘁𝗿𝘂𝗰𝘁𝘂𝗿𝗲 𝗺𝗮𝘁𝘁𝗲𝗿𝘀 𝗺𝗼𝗿𝗲 𝘁𝗵𝗮𝗻 𝗳𝗮𝗺𝗲 Videos with timestamps and clear sections get cited more often.  AI likes content it can “reference.”  The takeaway: AI doesn’t care how viral you are. It cares how useful and structured your content is.  We’re moving from: “Create content people like” to: “Create content machines can reference.”  If YouTube is part of your strategy, it’s time to think beyond subscribers and start thinking about AI visibility.  Curious how your brand performs across AI search engines? That’s exactly what we built OtterlyAI for. 🦦</t>
  </si>
  <si>
    <t>#𝟮</t>
  </si>
  <si>
    <t>Ran from Mar 4, 2026 to Mar 25, 2026</t>
  </si>
  <si>
    <t>AI visibility and SEO are topics I genuinely care about.  Not as buzzwords, but as real ways to help businesses stay visible and relevant. I see how much difference it can make, especially for smaller companies, when ChatGPT recommends you 🫵🏻  OtterlyAI 🦦 was one of the 1st tools I discovered early, back when AIO suddenly became 🔥 Since the first demo, I’ve followed them closely, used the tool in practice, and mentioned it whenever the question comes up: “what tools do you actually use?”  For me, the main trust factor has always been the thinking behind it. The content and expertise shared by the founders, Thomas Peham and Klaus-M. Schremser  Clear, grounded, and focused on how AI search is really changing. That’s why I’m genuinely excited to share that I’ve become an Otterly.AI Ambassador 🎉  Looking forward to staying close to the updates, learning faster, exchanging ideas with other AI visibility advocates, and diving deeper into the community. AI visibility is a priority for me going into 2026.  So I’m excited to go deeper, follow Otterly’s journey from the early ambassador side and use the tool as an even more experienced user. PS: you can try it out for free too 👇🏻</t>
  </si>
  <si>
    <t>A dream come true.  𝗜'𝗹𝗹 𝗯𝗲 𝘀𝗽𝗲𝗮𝗸𝗶𝗻𝗴 𝗮𝘁 brightonSEO 𝗶𝗻 𝗔𝗽𝗿𝗶𝗹.  In 2009, I wrote my Bachelors thesis about SEO.   Little did I know that 17 years later I would speak at the largest SEO conference in Europe.  I'm excited, and slightly nervous. Day 1, Main stage, a full on deep dive on EVERYTHING I learned about AI Search in the last 2 years.  Will you be there too?  The OtterlyAI team has some fun activities planned. DM me.</t>
  </si>
  <si>
    <t>Ran from Apr 3, 2026 to Apr 21, 2026</t>
  </si>
  <si>
    <t>I'm a naive high performer.  A year ago, many VCs told me that I need lots of money to compete in this quickly growing and increasingly crowded GEO / SEO space.   They said, that my company will be eaten up by the ones who raise the most and the fastest. They said that in a year, I'll be potentially irrelevant.  Well guess what.  12 months later, and we're still standing.   Stronger and better than ever.  Even without all the millions in VC funding.  G2 just recently named us as a Rookie of the Year, actually the only GEO/SEO tool that got that.  And if I look at our industry ranking of AI Search Analytics tools....well, I can't complain being #2 right after Semrush (hey guys 👋)  Being naive sometimes helps I guess. 😅</t>
  </si>
  <si>
    <t>#2</t>
  </si>
  <si>
    <t>Ran from Apr 3, 2026 to Apr 22, 2026</t>
  </si>
  <si>
    <t>What I learned at SMX Munich - the leading SEO conference in Germany (my raw notes)  - Joining a panel discussion with likeminded people can be fun, even if those people work at your competitors :)  - Lots of conversations on KPIs and how we should measure success on AI. While most agree on Brand KPI over Conversion/Traffic KPIs, the question becomes: How do we measure ROI on AI? Self-reported attribution FTW.  - 'Any reasonable prompt has a search volume of zero or 1'. Let's not get obsessed with search volume data on AI search.  - AI search engines prefer well structured HTML files - most important thing to optimize for. Clear HTML, Clear heading, ....the basic but super important things we've been recommending.  - Are Markdown files better than HTML files? Well, no specific benefit over HTML files. I agree.  - your page / URL is not competing as a whole. Your content fragments are competing. Each paragraph matters.  - In times where AI is changing our industry so fast, it's all about DOING + Testing. Stop reading about stuff, test it. We are the architects.  - Vibe coding is great, but the gap of bringing stuff into production is massive. We still need devs and marketing to work together on building great, scalable products. Amen.  - Entity Recognition: Basic but super important: Is our company, brand, products recognized as an entity by AI? Is the entity clear? Are we repeating the same messaging / positioning all over the internet or is it fragmented?  - We are getting less clicks on Google not only because of AIO, but also Ads (thx for the shout-out on this one Aleyda)  It was great meeting familiar colleagues in SEO, as well as new ones. The best part? Randomly running into OtterlyAI users and customers. You are great!</t>
  </si>
  <si>
    <t>𝗖𝗵𝗮𝘁𝗚𝗣𝗧 𝗶𝘀 𝗴𝗼𝗶𝗻𝗴 𝗹𝗼𝗰𝗮𝗹. And most brands are missing it.  12 months ago, I'd run a German query on ChatGPT and get back almost entirely English sources. Wikipedia, Reddit, major US publications.  Today? quite a different picture.  Same German query. Same location.   Now I'm seeing German Wikipedia, OMR Reviews, local agencies, German-language blogs in our own industry for example.   For sure, also EN Content is still there, but less so.  The mix shifted from 90% English to maybe 50/50.  ChatGPT is prioritizing local sources. We're seeing this across various accounts and industries at OtterlyAI.   In Germany, ChatGPT now surfaces OMR instead of always defaulting to G2 or Capterra. Local influencers get cited alongside industry giants. Regional domains are competing with global brands.  Why does it matter?  If you operate in non-english markets, this might be your chance to get AHEAD of your competitors.  I would make the following bet now:  If you have a local website, local content and address your non-english audience with their native language, then you outperform or will outperform your competitors who don't do that on AI Search.  What you need to do:  1) track which local websites show up in which countries 2) localise your website (A modern CMS like Storyblok can easily help, or use Localazy) 3) Get started with local content, community &amp; brand building</t>
  </si>
  <si>
    <t>OtterlyAI was created for marketers like you who seek to understand their brand's presence on AI-driven platforms. With our cutting-edge tools modeled after the precision and adaptability of otters, gain clarity and control over your online strategy today.</t>
  </si>
  <si>
    <t>𝗪𝗮𝗻𝘁 𝘁𝗼 𝗸𝗻𝗼𝘄 𝘄𝗵𝗲𝗿𝗲 𝗺𝗮𝗿𝗸𝗲𝘁𝗶𝗻𝗴 𝗶𝘀 𝗴𝗼𝗶𝗻𝗴? 𝗙𝗼𝗹𝗹𝗼𝘄 𝘁𝗵𝗲 𝗖𝗠𝗢 𝗯𝘂𝗱𝗴𝗲𝘁.  In this survey, AI/Automation ranks #1 (62%) (published by Wynter).  No surprise.  But #𝟮 𝗶𝘀 𝗺𝗼𝗿𝗲 𝗶𝗻𝘁𝗲𝗿𝗲𝘀𝘁𝗶𝗻𝗴: 𝗚𝗘𝗢 / 𝗔𝗘𝗢 (𝟯𝟰%) - optimizing for AI search and generative engines.  That’s ahead of intent data, events, ABM platforms, and even content tools.  For 20+ years we optimized for 𝗚𝗼𝗼𝗴𝗹𝗲’𝘀 𝗯𝗹𝘂𝗲 𝗹𝗶𝗻𝗸𝘀.  Now brands are realizing they also need to optimize for 𝗔𝗜 𝗮𝗻𝘀𝘄𝗲𝗿𝘀 - ChatGPT, Perplexity, Google AI Overviews/AI Mode.  Different discovery model. Different rules.  𝘐𝘴 𝘎𝘌𝘖 𝘢𝘭𝘳𝘦𝘢𝘥𝘺 𝘱𝘢𝘳𝘵 𝘰𝘧 𝘺𝘰𝘶𝘳 2026 𝘮𝘢𝘳𝘬𝘦𝘵𝘪𝘯𝘨 𝘱𝘭𝘢𝘯? 👇</t>
  </si>
  <si>
    <t>#1 #𝟮</t>
  </si>
  <si>
    <t>Ran from Mar 29, 2026 to Mar 29, 2026</t>
  </si>
  <si>
    <t>See exactly how ChatGPT, Perplexity, Gemini, and Google AI Overviews mention your brand — and your competitors. Monitor prompts, analyze citations, and turn GEO into a measurable channel. Start free → otterly.ai</t>
  </si>
  <si>
    <t>Prompt Language Changes Everything  It's Friday Evening and I'm having an AHA moment.  I tested:  Dutch queries in Netherlands English queries in Netherlands Italian queries in Italy English queries in Italy  across AI Mode, ChatGPT, Perplexity.  The results were surprising.  PERPLEXITY: 0% localized Citations on Perplexity when the prompt language is in English.  But when asked in the local language, the number of local citations go up massively.  ChatGPT: Even when you ask an English question in NL 🇳🇱 or Italy 🇮🇹, you get 30-70% localised content (in the local language).  But the increase isn't significant, when you ask in the local language.  My interpretation: ChatGPT is somewhere in the middle. Half EN-dominating content, half local content.  AI Mode: Prompt language matters a lot. When asked in local language, the number of local citations go from 37% to 75%. Same thing for Copilot.  The Takeaway is mixed from my POV.  1. we need to prioritize the local language our audience speaks. Localization helps us get an edge. 2. But ....AI Search Engines are not as local as Organic Google is. There's still lots of English content showing up for local search queries.  Join me next week in our live session for the full deep dive: https://luma.com/dzlqg46m</t>
  </si>
  <si>
    <t>Ran from Mar 29, 2026 to Apr 3, 2026</t>
  </si>
  <si>
    <t>Do YOU have AI Visibility issues? ❌  Most brands optimize their own website.  They should (also) be optimizing their presence across the web.  When I show marketers the Citation Report in OtterlyAI, something clicks.   They see it instantly:   the gap between where they ARE mentioned and where they SHOULD be mentioned.  OtterlyAI analyzes the on-page content of every URL that gets cited by AI Search.   Then it shows you exactly where you're NOT mentioned.  News sites.  Industry blogs.  Review platforms.  Places where your competitors show up and you don't.  Suddenly you have a target list.</t>
  </si>
  <si>
    <t>Ran from Dec 15, 2025 to Jan 4, 2026</t>
  </si>
  <si>
    <t>🎄 All I want for Christmas... is to rank in ChatGPT 🎄  While most marketers are still busy writing SEO wishlists to Santa Google, Thomas Peham is already unwrapping the next big thing:  📦 GEO – Generative Engine Optimization His latest webinar (link below 👇) is the closest thing to a holiday miracle for anyone trying to keep their brand visible in AI search results.  Here’s why you should stop wrapping gifts and start clicking “Register”:  🎁 Google’s AI Overviews are changing everything — and organic traffic is melting faster than snow in April  🦦 OtterlyAI has tracked 100M+ citations in AI-powered searches - and Thomas shares what actually gets you mentioned  ✨ This is not your good ol' SEO - it’s the playbook for showing up in ChatGPT, Perplexity, and AI-powered shopping tools  👉 Join the webinar (in the comments)   🎅 And bring your team. GEO is the new SEO - and the stakes just got higher.</t>
  </si>
  <si>
    <t>Ran from Dec 9, 2025 to Jan 12, 2026</t>
  </si>
  <si>
    <t>ChatGPT breaks into the global top 5 websites  Where will ChatGPT be end of 2026?   (source: Similarweb)</t>
  </si>
  <si>
    <t>HIGH PERFORMER 💜  Could 2025 have gone any better?  I doubt it.  &gt; OtterlyAI named High Performer for Answer Engine Optimization Tools by G2  &gt; OtterlyAI named Top Rated Leader for GEO Tools by OMR Reviews  &gt; OtterlyAI recognized as a Cool Vendor by Gartner  Oh and btw: We just crossed 15,000 marketers.   Big thanks to Josef, Klaus-M., and the entire team and our entire ecosystem. Too many people to thank! You know who you are.  2026 will be even BIGGER!</t>
  </si>
  <si>
    <t>Ran from Dec 6, 2025 to Dec 17, 2025</t>
  </si>
  <si>
    <t>2025 taught me a lot.  One thing stands out:   AI search isn't a trend. It's the new reality.  I spoke about this at #Joyconf a few weeks ago.   The room was packed. The questions kept coming. Marketing teams are waking up to what our data has shown for months.  ChatGPT, Perplexity, Google AI Overviews. They're not replacing Google.   They're changing how people find and trust brands.  Lots of 'theory' and hype here on Linkedin.  But:   Next week, I'm sharing everything I've learned in our latest webinar.   The data. The strategies. What's actually working. Form first-hand experience.  No fluff. Just what's working and what's not.  Bring your questions!  Link in comments.</t>
  </si>
  <si>
    <t>#Joyconf</t>
  </si>
  <si>
    <t>Ran from Dec 17, 2025 to Jan 12, 2026</t>
  </si>
  <si>
    <t>𝗔𝗜 𝗩𝗶𝘀𝗶𝗯𝗶𝗹𝗶𝘁𝘆 𝗜𝘀𝘀𝘂𝗲𝘀?  Most brands optimize their own website.  They should be optimizing their presence across the web.  When I show marketers the Citation Report in OtterlyAI, something clicks.   They see it instantly:  the gap between where they ARE mentioned and where they SHOULD be mentioned.  Take News &amp; Media sites. Your competitors are getting mentioned. You're not.  The Citation Report does something simple but powerful. It analyzes the on-page content of every URL that gets cited by AI Search. Then it shows you exactly where you're NOT mentioned.  Suddenly you have a target list.   News sites. Industry blogs. Review platforms. Places where your competitors show up and you don't.  That's your off-page gap.</t>
  </si>
  <si>
    <t>Ran from Dec 11, 2025 to Jan 12, 2026</t>
  </si>
  <si>
    <t>The state of the AI search in 2025/26   A great talk of my co-founder Thomas Peham at the Joyconf (Storyblok summit).   𝗧𝗵𝗲 𝗦𝘁𝗮𝘁𝗲 𝗼𝗳 𝗔𝗜 𝗦𝗲𝗮𝗿𝗰𝗵 𝗶𝗻 𝟮𝟬𝟮𝟱: 𝗞𝗲𝘆 𝗧𝗮𝗸𝗲𝗮𝘄𝗮𝘆𝘀 𝗳𝗼𝗿 𝗠𝗮𝗿𝗸𝗲𝘁𝗲𝗿𝘀  Search is undergoing a fundamental change, moving beyond just Google. With ChatGPT growing massively and Google rolling out AI views (Hour View), the way consumers discover brands is diversifying.  𝗧𝗵𝗲 𝗖𝗵𝗮𝗹𝗹𝗲𝗻𝗴𝗲: • Organic traffic is facing a projected decline (with some estimates suggesting a drop of up to 50% over the next two years). • In the United States, one-third of all Google search queries already lead to an AI view.  𝗧𝗵𝗲 𝗦𝗵𝗶𝗳𝘁 𝘁𝗼 𝗚𝗲𝗻𝗲𝗿𝗮𝘁𝗶𝘃𝗲 𝗘𝗻𝗴𝗶𝗻𝗲 𝗢𝗽𝘁𝗶𝗺𝗶𝘇𝗮𝘁𝗶𝗼𝗻 (𝗚𝗘𝗢): Marketers must transition their focus from traditional SEO metrics (clicks, impressions) to AI Search KPIs. Success is now measured by brand mentions, share of voice, and citations. This new methodology is known as Generative Engine Optimization (GEO).  𝗪𝗵𝗲𝗿𝗲 𝗔𝗜 𝗦𝗲𝗮𝗿𝗰𝗵 𝗖𝗶𝘁𝗲𝘀 𝗖𝗼𝗻𝘁𝗲𝗻𝘁: Worldwide, corporate and brand websites remain the top cited sources, accounting for 52% of all website citations as of September data. However, AI models increasingly prioritize other types of content: • News and Media Sites: These account for a significant portion, around 20% globally. • Community and Forums: High-trust, user-generated content from sites like Reddit and Wikipedia are highly visible and heavily favored, especially by ChatGPT. • Editorial Content: AI search loves listicles (e.g., 'Best tool for X, Y, Z') and press releases.  𝗦𝗼𝗰𝗶𝗮𝗹 𝗠𝗲𝗱𝗶𝗮 𝗩𝗶𝘀𝗶𝗯𝗶𝗹𝗶𝘁𝘆: Generally, social media is not indexed by AI search, with one critical exception: LinkedIn Pulse. For B2B strategies, the long-form articles published on LinkedIn are one of the few social media components that get picked up by AI search.  𝘌𝘴𝘴𝘦𝘯𝘵𝘪𝘢𝘭 𝘎𝘌𝘖 𝘈𝘤𝘵𝘪𝘰𝘯 𝘐𝘵𝘦𝘮𝘴 (𝘛𝘩𝘦 𝘛𝘩𝘳𝘦𝘦 𝘚𝘵𝘦𝘱𝘴 𝘵𝘰 𝘎𝘦𝘵 𝘠𝘰𝘶𝘳 𝘉𝘳𝘢𝘯𝘥 𝘔𝘦𝘯𝘵𝘪𝘰𝘯𝘦𝘥): To ensure your brand can be cited and found in an AI-first world, marketers should focus on three crucial steps:  1. Technical Readiness: Verify that your Content Delivery Network (CDN) and web host are not blocking AI crawlers. Furthermore, check your site's dynamic versus static content ratio, as AI crawlers still do not interact well with JavaScript.  2. Prompt Research: Move beyond traditional keyword lists. Map out topic clusters by translating keywords into natural language prompts to better understand what customers are researching on AI platforms like ChatGPT.  3. Build Your GEO Playbook: Analyze your current brand visibility to establish a baseline. Then, focus on an off-page earned media strategy and community investment, as the more people talk about your brand online, the better it impacts your visibility on AI search.  https://lnkd.in/erYJP2Yi</t>
  </si>
  <si>
    <t>Building a startup, 𝘁𝗵𝗲 '𝗯𝗼𝗿𝗶𝗻𝗴' 𝘄𝗮𝘆.  We've grown to 12 people. And I can't believe this happened.  Yes, we've grown from 0 to 12 FTEs in the last few months, and today I want to give a glimpse behind the scenes.  No VC money, no big fanfare. Fully focused on execution.  You'll see so many extremes on LinkedIn, which is why I'm calling our approach the 'boring' approach. The approach people don't talk about much.  Because mostly, you'll see on LinkedIn:  (1) VC-backed startups saying things like:  - we work 996 (9am to 9pm, 6 days a week) in office - Our team works 7-days a week, 90h+ shifts - We work hard and play hard  or  lifestyle founders and businesses saying things like:  - I scaled my business to $$$ as a solo entrepreneur with 100+ agents automating everything - I scaled this as a part-time business. I only work a few hours and spend the time traveling, at the beach...  Both extremes work for some people. They're just not for us. We picked things from both worlds to build something sustainable.  For us this means: - We work fully remote to give people flexibility while hiring great talent from anywhere (the talent pool just becomes so much bigger) - We obsess over our customers and product, focusing on real solutions - We learn and work hard, but we don't forget about life (we all have families) - We do things that don't scale; automation comes once we truly understand the problem  Our culture is international, team members bring different perspectives that make us better every day  I'm proud we're building the 'boring way,' and I'm even prouder of the team we have.</t>
  </si>
  <si>
    <t>Ran from Jan 7, 2026 to Jan 12, 2026</t>
  </si>
  <si>
    <t>Microsoft just added something useful to Bing Webmaster Tools 💜  You can now see real 𝗴𝗿𝗼𝘂𝗻𝗱𝗶𝗻𝗴 𝗾𝘂𝗲𝗿𝗶𝗲𝘀 and 𝘄𝗲𝗯𝘀𝗶𝘁𝗲 𝗰𝗶𝘁𝗮𝘁𝗶𝗼𝗻𝘀 for Copilot.  I dug into our own data and found:  -&gt; 5 pages carry 74.6% of all citations. Home page and blog posts dominate, plus a few product pages.  -&gt; 70% non-branded vs 30% branded grounding queries  -&gt; Consideration-stage queries drive most volume  -&gt; Branded queries span the full funnel: pure navigation ('OtterlyAI'), vertical-specific evaluation ('GEO tool for agencies'), competitive comparison ('OtterlyAI vs competitor')  I already adjusted the prompts we monitor in OtterlyAI based on these insights.  But here's what the new report doesn't show:  ❌ Brand mentions in AI responses (only citations)  ❌ Competitor tracking  ❌ Prompt-level analysis  ❌ Anything beyond Copilot  It's a good first step.   More transparency in AI search helps everyone.  But if you need the full picture across ChatGPT, Perplexity, and Google AIO, you'll more.  Full analysis linked in comments.</t>
  </si>
  <si>
    <t>Ran from Feb 11, 2026 to Feb 25, 2026</t>
  </si>
  <si>
    <t>Reddit is back on ChatGPT.  After dropping in September, it's climbing again.  Still the #1 most cited website on ChatGPT worldwide.  Here's what marketers get wrong:  They optimize THEIR website.  They should optimize their presence ACROSS THE WEB.  AI pulls from: - Reddit discussions - Wikipedia - News articles - Forums  Not just your landing page.  On-page = table stakes. Off-page = differentiator.  The internet's perception of you &gt; your marketing copy.  Build presence where conversations happen.  What's your Reddit strategy?</t>
  </si>
  <si>
    <t>Ran from Dec 9, 2025 to Jan 7, 2026</t>
  </si>
  <si>
    <t>To have used that tool (OtterlyAI) has been revolutionary to us. It made a big difference.' 🤯  That's Julius from the interview we did at JoyConf Amsterdam by Storyblok.  And honestly? This is why we built OtterlyAI.  For moments like this.   When someone tells you your product actually changed how they work.  Thanks Julius for the kind words and the great conversation at JoyConf.   This is what keeps us going. 😊</t>
  </si>
  <si>
    <t>Last night, I had to admit something embarrassing in front of 100s of people 🙈  We hosted our final live session of the year on AI Search.   I promised to share everything we learned, tested, and discovered in 2025.  The wins. The data. The strategies that worked.  But also the failures. And the moments that made me want to crawl under my desk.  Like this one: It took us two weeks to realize our website was invisible on ChatGPT.  If you missed it and want the full recording + slide deck, DM me 'AI Search' and I'll send it over.  Fair warning: It's 60 minutes of unfiltered lessons, including the mistakes I wish we'd avoided.</t>
  </si>
  <si>
    <t>Ran from Dec 5, 2025 to Dec 15, 2025</t>
  </si>
  <si>
    <t>𝗛𝗼𝘄 𝗱𝗼 𝗜 𝗳𝗶𝗻𝗱 𝗿𝗲𝗮𝗹 𝗽𝗿𝗼𝗺𝗽𝘁𝘀 𝗳𝗿𝗼𝗺 𝗿𝗲𝗮𝗹 𝗽𝗲𝗼𝗽𝗹𝗲?'  And the skeptic's follow-up:  'Why should I even bother optimizing for estimated prompts?'  These are the two questions I get most often.  Including last week at the GEO conference in Vienna.  So I said to myself: I have some data. Let me share it.  We analyzed hundreds of real prompts for our own business collected from market surveys.  We asked SEO and marketing professionals what they would enter on ChatGPT when researching products in our market category, then compared them against hundreds of estimated prompts generated through our own prompt research and Google Search Console data.  Here's what we found: → Real users write 71% longer prompts than estimated ones (15.1 words vs. 8.8 words on average) → 52.1% of real prompts use personal pronouns ('I,' 'my,' 'me') vs. only 18.8% of estimated prompts → Real prompts are 3x more problem-oriented (21.1% vs. 7.1%), meaning users describe their challenges way more than we expected  This is great stuff, and I'll be using it to adjust the prompts we monitor at OtterlyAI.  But here's what matters most: our AI search performance looked pretty similar across both data sets. That means optimizing for estimated prompts actually works. The effort we put into our initial data set is paying off across the board.  If you've been holding off on AI search optimization because 'we don't know what people type on ChatGPT'... that excuse doesn't hold up anymore.  Full breakdown with all the data 👇 https://lnkd.in/daYSaTSd</t>
  </si>
  <si>
    <t>𝗦𝗼𝗺𝗲𝘁𝗶𝗺𝗲𝘀 𝘄𝗲 𝘄𝗶𝗻, 𝘀𝗼𝗺𝗲𝘁𝗶𝗺𝗲𝘀 𝘄𝗲 ... 𝗹𝗲𝗮𝗿𝗻.   Here's why the LLMs.txt file doesn't work (yet).  In our latest #GEO experiment, we dove deep into the AI bots crawling behavior to see if the LLMs.txt file has some positive benefits.  Here are our newest findings.  Across 90 days of the experiment:  - Total AI bot visits to the site: 62,100+ - Total AI bot visits to /llms.txt: 84 = Share of AI bot traffic that went to /llms.txt: ~0.1%   What else?  llms.txt performed 3x worse than average pages: The site’s average content page received ~265 AI bot visits during the same period, while /llms.txt received only 84 visits.   And most importantly:   No positive correlation between llms.txt presence and increased AI crawler activity: The presence of a correctly implemented llms.txt file did not correlate with any noticeable uptick in overall AI bot activity or shift in crawling patterns.   The takeaways:  It doesn't hurt, but (most likely) it doesn't help either.  👉 Full article here: https://lnkd.in/dpFWUdZJ</t>
  </si>
  <si>
    <t>Ran from Feb 11, 2026 to Feb 16, 2026</t>
  </si>
  <si>
    <t>We're a small team. 12 people. No big VC funding.  𝗔𝗻𝗱 𝘄𝗲'𝗿𝗲 𝗼𝘂𝘁𝗽𝗲𝗿𝗳𝗼𝗿𝗺𝗶𝗻𝗴 𝗽𝘂𝗯𝗹𝗶𝗰 𝗰𝗼𝗺𝗽𝗮𝗻𝗶𝗲𝘀 and Series B scaleups on AI search visibility.  I get this question constantly: 'Thomas, my competitors have 10x the budget. How can I win on AI search?'  Here's the reality from our own data.  We track our brand coverage across AI search engines against our competitors.   The lineup includes:  - The biggest SEO tools on the market - 100M to 500M+ ARR business - Multiple VC-backed startups and scaleups  Our marketing budget is probably 50x to 100x smaller than theirs (probably even more).  Yet on Dec 16, our brand coverage hit 37%., putting us on 3rd position in our peer group. That puts us ahead of legacy SEO tools and VC backed startups.  How?  It's not about budget. It's about understanding what AI search engines actually work. And being focused on execution.  If you want the full breakdown, I'm sharing everything I've learned about GEO and AI Search in a live session on Monday, Dec 22.  Link in comments.</t>
  </si>
  <si>
    <t>“𝗧𝗵𝗲 𝗦𝗘𝗢 𝘄𝗮𝗿 𝗶𝘀 𝗼𝘃𝗲𝗿. 𝗧𝗵𝗲 𝗰𝗶𝘁𝗮𝘁𝗶𝗼𝗻 𝘄𝗮𝗿 𝘀𝘁𝗮𝗿𝘁𝘀 𝗻𝗼𝘄.” 🚀  Earlier this week I dove into our latest study at OtterlyAI ... we analyzed over 𝟭 𝗺𝗶𝗹𝗹𝗶𝗼𝗻 𝗰𝗶𝘁𝗮𝘁𝗶𝗼𝗻𝘀 across AI‑search platforms (ChatGPT, Perplexity, and Google AI Overviews).   The results? A wake‑up call for anyone who’s still treating “rankings” as the end‑game.  Here are the 4 things marketers &amp; founders need to know:  𝟭. 𝗩𝗶𝘀𝗶𝗯𝗶𝗹𝗶𝘁𝘆 = 𝗖𝗹𝗶𝗰𝗸𝘀 𝗮𝗻𝘆𝗺𝗼𝗿𝗲. Brands actually account for ~52.5% of all citations… but that doesn’t necessarily mean users land on your site. You might *be* visible, yet simultaneously invisible.  𝟮. 𝗗𝗶𝗳𝗳𝗲𝗿𝗲𝗻𝘁 𝗔𝗜 𝗲𝗻𝗴𝗶𝗻𝗲𝘀, 𝗱𝗶𝗳𝗳𝗲𝗿𝗲𝗻𝘁 𝗿𝘂𝗹𝗲𝘀.   • ChatGPT favours Reddit + Wikipedia + news sites. Brands? Mentioned often, but rarely linked.   • Perplexity gives more weight to community forums (16.9% of citations) and *does* link.   • Google AI Overviews show the strongest brand preference (59.8%) and more click‑throughs but appears only ~33% of the time.   → 𝘊𝘰𝘯𝘤𝘭𝘶𝘴𝘪𝘰𝘯: Stop one‑sizing your “AI SEO” strategy. You need three separate plays.  𝟯. 𝗜𝗳 𝗔𝗜 𝗰𝗮𝗻’𝘁 𝗰𝗿𝗮𝘄𝗹 𝘆𝗼𝘂, 𝘆𝗼𝘂’𝗿𝗲 𝗶𝗻𝘃𝗶𝘀𝗶𝗯𝗹𝗲. Some content gets skipped altogether, not because it’s bad - but because it’s technically unreadable (blocked by robots.txt, JavaScript rendering issues, etc.). → Fix your tech stack *before* you get excited about content.  𝟰. 𝗖𝗿𝗲𝗮𝘁𝗲 ‘𝗿𝗲𝗳𝗲𝗿𝗲𝗻𝗰𝗲‐𝗴𝗿𝗮𝗱𝗲’ 𝗰𝗼𝗻𝘁𝗲𝗻𝘁, 𝗻𝗼𝘁 𝗷𝘂𝘀𝘁 𝗦𝗘𝗢 𝗰𝗼𝗻𝘁𝗲𝗻𝘁. AI engines favour editorial, frequently updated, discussion‑rich content. They’re less impressed by polished marketing copy chasing keywords. → Ask yourself: could my piece be referenced in a Wikipedia‑style summary? If not, you may be fighting the wrong battle.  𝗪𝗵𝘆 𝘁𝗵𝗶𝘀 𝗺𝗮𝘁𝘁𝗲𝗿𝘀 𝗳𝗼𝗿 𝘆𝗼𝘂 (𝘆𝗲𝘀, 𝘆𝗼𝘂 𝘁𝗵𝗲 𝗺𝗮𝗿𝗸𝗲𝘁𝗲𝗿/𝗯𝗿𝗮𝗻𝗱 𝗺𝗮𝗻𝗮𝗴𝗲𝗿/𝗳𝗼𝘂𝗻𝗱𝗲𝗿): Traditional SEO is still useful - but in this new era of generative search, *𝘣𝘦𝘪𝘯𝘨 𝘤𝘪𝘵𝘦𝘥* matters more than *𝘣𝘦𝘪𝘯𝘨 𝘳𝘢𝘯𝘬𝘦𝘥*. If your brand gets overlooked in AI‑generated answers, you lose mind‑share before you even get a chance to convert.  So budgets, KPIs and org charts must shift: • From “keywords &amp; backlinks” • To “brand mentions + citations + crawlability”  And your 𝘤𝘰𝘯𝘵𝘦𝘯𝘵 𝘵𝘦𝘢𝘮? They must work hand‑in‑glove with tech ops &amp; product to ensure the site is builtin‑for‑AI‑visibility, not just human‑readability.  𝗙𝗶𝗻𝗮𝗹 𝘁𝗵𝗼𝘂𝗴𝗵𝘁: The next frontier isn’t just being seen - it’s being *𝘵𝘳𝘶𝘴𝘵𝘦𝘥*. And in the age of AI‑search, trust comes from being referenced.  📌 What’s the most surprising citation insight you’ve seen lately in your content or brand visibility?</t>
  </si>
  <si>
    <t>Ran from Dec 10, 2025 to Jan 12, 2026</t>
  </si>
  <si>
    <t>SEO is GEO.   GEO is SEO. Kind of.  They overlap - but they’re not the same.  Want to know which brands show up in ChatGPT responses? Which websites AI assistants actually reference?  We built OtterlyAI to track that at scale - so you don’t have to guess anymore.  otterly.ai</t>
  </si>
  <si>
    <t>Ran from Oct 12, 2025 to Oct 26, 2025</t>
  </si>
  <si>
    <t>𝗜𝘁’𝘀 𝗡𝗼𝘁 𝗢𝗻𝗹𝘆 𝗦𝗘𝗢.  Last month, I did the following experiment.   I wanted to increase our brand mentions (of OtterlyAI) on AI Search.  Especially for category based search queries such as:  👉 Top AI Search Monitoring Tool 👉 Best AI Search Monitoring Tool 👉 Award-winning AI search monitoring platforms  You get it.  what we did?  1) We created + distributed a couple of press releases via Press Ranger  2) Within a couple of days the press release was cited on Copilot, ChatGPT and Google AIO - the following URLs started showing up in our reporting: https://lnkd.in/eXYpeKZB, finance.yahoo.com and globenewswire.com   3) Our brand mention count went up. So early sign looks promising. See screenshot to see how OtterlyAI compares with Semrush.   In AI Search I believe it’s about two plays:  1️⃣ Be visible as a brand  AND/OR  2️⃣ be cited as a website / source  With my experiment here, I wanted to understand if we can positively influence brand mentions threw off page activities (such as PR, community, media).  What do you think? Worth continuing?  PS: We just shipped a major product update, making these kind of experiments easy to track. PPS: Want to hear more real-life experiments from me? Let me know.  (full article in the comments)</t>
  </si>
  <si>
    <t>Prompt Research 🔎 is quickly becoming the new SEO Keyword Research  So, what is an IRRELEVANT PROMPT not worth tracking on AI Search?  I think it's a prompt that matches those two criteria.  👉 (1) A prompt that triggers zero brands to get mentioned in the AI response  AND  👉 (2) A prompt that doesn't trigger web search = zero website citations   Here are some examples: -&gt; How to boil an egg -&gt; What is a dinosaur -&gt; how to see if AI mentions your brand -&gt; Explain the concept of time travel in science fiction  Long story short:  These Top-of-Funnel prompts that are not worth tracking and optimizing for. Why?   1. ChatGPT has the answer in their LLM - no web search needed 2. No brands (most often) get recommend for these information / educational queries.  What to do instead?   Monitor prompts that require web search + get brands mentioned. Answer questions that cannot easily be answered by LLM models.  So, how to spot IRRELEVANT prompts?  You can import hundreds or thousands of prompts into OtterlyAI and within minutes you’ll see which ones are irrelevant for you based on 0 brand mentions and 0 web citations.   Here's a screenshot of my own OtterlyAI account:  Need help figuring out IRRELEVANT from RELEVANT prompts -&gt; ping me, and check out the future reads in the comments below.</t>
  </si>
  <si>
    <t>Ran from Nov 29, 2025 to Dec 17, 2025</t>
  </si>
  <si>
    <t>How to do Prompt Research? How to Analyze AI Search? How to Optimize for MORE Visibility?</t>
  </si>
  <si>
    <t>Ran from Nov 29, 2025 to Dec 5, 2025</t>
  </si>
  <si>
    <t>Ran from Oct 24, 2025 to Nov 23, 2025</t>
  </si>
  <si>
    <t>How to Find Real Prompts?  How do we know which prompts our audience uses on ChatGPT?   Every marketer I talk to struggles with these questions:  - Which prompts are my audience actually using on ChatGPT and other AI-powered search engines?  - How do I build a prompt list worth focusing my energy on? The reality?  👉 There’s no Google Search Console for ChatGPT (yet). 👉 OpenAI doesn’t disclose prompt data either.  Great news.  I have two options for you:  (1) Google is indexing shared ChatGPT conversations.  When a user shares a ChatGPT chat, Google can now index it. Your interaction with ChatGPT becomes now public.  And it allow us marketers to do: * Marketing research at scale * Identify real prompts from real users in our industry  Go to google.com - enter: site:chatgpt.com/share 'your keyword'  (2) Use Google Search Console While Google doesn't separate between organic, AI mode and AI Overviews, you'll find real prompts in your search console that real people used to find your brand on AI Mode and AI Overviews.   ➡️ The longer the query, the more likely it came from AI Mode or triggered an AI Overview. These queries are gold for understanding how real users phrase their questions – perfect for SEO and product marketing.  Check out the link in the comments for the full how-to.   How to find real prompts just got a bit easier for us.</t>
  </si>
  <si>
    <t>Ran from Sep 12, 2025 to Oct 12, 2025</t>
  </si>
  <si>
    <t>OtterlyAI Recognized  𝗮𝘀 𝗮 𝗖𝗼𝗼𝗹 𝗩𝗲𝗻𝗱𝗼𝗿  in the 2025 Gartner®  Cool Vendors™ for AI in Marketing  Yep. That's us.  We are one of just five vendors featured in 2025 𝗚𝗮𝗿𝘁𝗻𝗲𝗿 𝟮𝟬𝟮𝟱 𝗖𝗼𝗼𝗹 𝗩𝗲𝗻𝗱𝗼𝗿𝘀 𝗶𝗻 𝗔𝗜 𝗠𝗮𝗿𝗸𝗲𝘁𝗶𝗻𝗴 report.  And we are just getting started.  And yes, 𝗢𝘁𝘁𝗲𝗿𝗹𝘆𝗔𝗜 𝗶𝘀 𝗼𝘁𝘁𝗲𝗿𝗹𝘆 𝗰𝗼𝗼𝗹.  You should give it a try. 😎</t>
  </si>
  <si>
    <t>Ranking #1 on ChatGPT?  Is it just SEO? Or GEO?  Or… something else?  Let’s get something straight.  1️⃣ The consumer/customer journey is different. People use prompts on ChatGPT instead of keywords on Google.  2️⃣ There’s only a 27% overlap between the most visited U.S. websites (across all channels) and the most cited U.S. websites on ChatGPT.   Does this mean we should forget SEO and just do GEO?  No – that’s the wrong question to begin with.   Why?  Because we actually need to change two key things in marketing:  1) Shift from keyword optimization to real customer journey mapping How? By identifying the relevant prompts in the first place. Here’s how to do it: - Customer data: Ask your prospects and customers directly. - Google Search Console: Check the top queries – many are already prompts people use in AI Mode or for AI Overviews - OtterlyAI’s AI Keyword Research Tool: Discover prompts and topics customers care about. - Customer questions: Collect problem-based, category-based, competitor-based, and brand-based questions your customers are asking.  2) Change how we measure success Here’s the hard truth: -&gt; The organic website funnel isn’t coming back. -&gt;  AI Overviews and ChatGPT have extremely low click-through rates.  =&gt; Optimizing for website clicks alone won’t get us far.  What to do instead?  2a) Optimizing for BRAND mentions and influence: Are we showing up when customers research solutions?  2b) Optimizing for website citations: Is our content being cited? Are we creating content that gets crawled and referenced by AI?  Long story short:   AI Search is exciting because it forces us to return to marketing fundamentals: ✅ Strong positioning – what do we want to be known for? ✅ Great content – that solves real customer problems. ✅ Being mentioned and referenced online – everywhere customers are researching. The more brand mentions on the internet, the more brand mentions on ChatGPT.</t>
  </si>
  <si>
    <t>𝗘𝘃𝗲𝗿𝘆 𝘀𝗶𝗻𝗴𝗹𝗲 𝗮𝗴𝗲𝗻𝗰𝘆 𝘁𝗼𝗹𝗱 𝘂𝘀 𝘁𝗵𝗶𝘀.  AI Search is a big opportunity - for brands to show up, and for Agencies to be helpful.  After having onboarded more than 40+ agencies to our partner program, we promised to do better.  Today, we shipped Workspaces.  And this is the biggest update we've built for agencies.  Agencies don't just manage one brand. They manage dozens. Each with its own reports, goals, team access, and AI Search performance data.  Before today, that meant juggling multiple OtterlyAI accounts. Or mixing all client data into one messy workspace.  Not anymore.  With Workspaces, you get one subscription that unlocks unlimited workspaces.   Run dedicated pitches in separate spaces. Set up individual workspaces for each client. Your team can see everything. Each client only sees their data.  No artificial limits on brand reports or team members. No complicated pricing tiers based on how many clients you manage.  Head over to otterly.ai and try it today.  PS: Want one of those hoodies? Leave a comment and I (might) raffle a few away.</t>
  </si>
  <si>
    <t>My favorite community (the SaaS Club Vienna VIPs) met to discuss Generative Engine Optimization last night.   Here are my raw notes:  1. Most are seeing the Great Decoupling on Google - Impressions are up or stable, Clicks &amp; CTR are down.  2. Top of funnel organic traffic is down somewhere between 20 and 40%   3. Some report better performance (CTR) on Google ads (eg in DACH region), while others see a worse CTR (eg in US)  3. For some there is a lead and revenue impact - others don't see an impact (yet)  4. While organic traffic is down, some report an increase in branded search (assumption: people do find brands on ChatGPT ('dark search') and then google for 'brand name' -&gt; attributed towards branded search). While organic traffic decline is real, other acquisition channels are stable and/or growing (diversification is important)  5. It's just a matter of time when ads become widely available in AI Overviews (and ChatGPT) - potentially some great first mover advantage here  6. Reddit is a thing. While we most often think that Reddit is primarily something for our US audience, we shouldn't neglect it. There are subreddits (also in german or french language) for all sorts of b2b topics.  7. You might want to localise your content - also due to ChatGPT becoming more localised. If your audience searches with german/french prompts, you have better chances of getting cited if you have localized content &amp; mentions.  8. Prompts - How do you know which prompts your audience use on ChatGPT? ASK your leads and customers how they found you and which prompts they used. Or use a tool like to OtterlyAI to ideate on prompts.  What are the takeaways?  * Marketers are adopting to new metrics and this new reality (less accuracy in traffic as a KPI -&gt; towards Brand (mentions, share) =&gt; I think this is great, but I also know that these are difficult conversations right now in many businesses  * Lots of content experiments: Content freshness, FAQs, long form content, Schema . org  * Authority -&gt; Both on-site (put your experts up &amp; center) but also off-page (brand building through media/PR)  * Brand mention building -&gt; some are investing into guest posts (on media), reddit/quora, as well as G2, Capterra, OMR Reviews to build out their number of mentions on the internet  Thanks 🏴☠️ Michael Kamleitner for hosting the meetup!   PS: Why I love those small inner circle communities?  Everyone's openly sharing. There's so much value in those conversations and just by being around people who geek out on topics.   That's why Lukas Mehnert and I are putting together an in-person SaaS CMO Bootcamp in Oct - approx 20 B2B SaaS Marketing Leaders in 1 room for 1,5 days. Openly sharing, being mentors for each other, exchanging notes and swap files. No BS, just honest talk, and some nice shared experiences. You can come with your honest challenges and learnings, and hopefully you leave with some new friends.  If you want to join please DM me.</t>
  </si>
  <si>
    <t>𝟮.𝟱 𝗯𝗶𝗹𝗹𝗶𝗼𝗻 𝗽𝗿𝗼𝗺𝗽𝘁𝘀 𝗮 𝗱𝗮𝘆.  That’s how many queries ChatGPT handles - every single day. (And 330 million are from the US alone.)  To put that in perspective:  Google processes around 14-16 𝘣𝘪𝘭𝘭𝘪𝘰𝘯 𝘴𝘦𝘢𝘳𝘤𝘩𝘦𝘴 𝘥𝘢𝘪𝘭𝘺  ChatGPT now handles ~18% of that … just 2 years after launch 🤯  Welcome to the post-Google era of search.  Here’s what that means for marketers:  📉 Organic traffic is in decline 🔍 Google’s AI Overviews are stealing clicks 💬 Consumers are asking AI, not just searching keywords 🧠 Prompts are the new queries 🛠️ Welcome to the world of Generative Engine Optimization (GEO)  GEO = getting your brand mentioned inside AI answers, not just ranked on SERPs.  Because LLMs aren’t just indexing pages—they’re summarizing, synthesizing, and deciding what the best answer is. And spoiler: it might not be you.  If you're still thinking in keywords, you're already behind.  Here’s your 𝗽𝗹𝗮𝘆𝗯𝗼𝗼𝗸:  - Get cited (quotes + stats work wonders) - Be in reputable sources (Reddit, Wikipedia, partner media) - Show up in real-world usage (user-generated content) - Track where LLMs are showing or ignoring you (tools like OtterlyAI)  We're in the Wild West of AI search - and the land grab is happening now.</t>
  </si>
  <si>
    <t>Ran from Sep 9, 2025 to Sep 23, 2025</t>
  </si>
  <si>
    <t>𝗧𝗵𝗶𝗻𝗸 𝗯𝗶𝗴.   Rank 1 on ChatGPT.   (and try OtterlyAI 2.0)</t>
  </si>
  <si>
    <t>10,000 PEOPLE  on OTTERLY.AI  I was on PTO last week. (Side note: people asked me if a startup CEO and co-founder can take time off. Answer: yes, I can. See evidence photo 😜)  And while I was on PTO, we crossed 10,000 USERS on our platform.  This post is to everyone who trusts us. Trusts us with their AI Search efforts.  THANK YOU.  From all the big brands to small ones.  G2 reviews and customer success stories confirm:  OtterlyAI helps marketing teams gain clarity and deep insights on their AI search performance. Clarity to navigate the AI Search Era.  Yet, we are a small startup. Fully bootstrapped. Entirely remote.  We are building what marketing team needs.  And trust me. This is just the beginning.  PS: We still have a few open positions -&gt; https://otterly.ai/careers</t>
  </si>
  <si>
    <t>Ran from Sep 26, 2025 to Oct 26, 2025</t>
  </si>
  <si>
    <t>We’re excited to share that we are a proud Sponsor at #JoyConf!  As a partner in driving innovation and connection, we’ll be on-site with our team, sharing GEO and AI Search Insights, and some surprises you won’t want to miss.   Stop by our booth to chat with us!  REGISTER TODAY FOR FREE:  https://lnkd.in/ecjXaSvd  #Storyblok #JoyConf2025 #Sponsor #HeadlessCMS #DigitalExperience #Developers #Marketers</t>
  </si>
  <si>
    <t>#JoyConf #Storyblok #JoyConf2025 #Sponsor #HeadlessCMS #DigitalExperience #Developers #Marketers</t>
  </si>
  <si>
    <t>Marketers, if you do 1 thing today, do this.  Please.  Your content might be invisible to ChatGPT and its crawlers.  And you don't even know it.  What is happening?  More and more web hosters and CDN providers are blocking ChatGPT bots from crawling your content.   Some give you the option to decide with a simple turn off/turn on toggle (e.g. Cloudflare). But others? They don’t tell you at all - they just block it by default.  Why are they doing it?  it costs them money.  We heard from one web hoster 'OpenAI crawlers are pretty aggressive, that's why we block them'. Well, thanks but wouldn't it be nice to let us know?  Long story short: You might be doing rockstar work on SEO and content…  …but your site could still be invisible to ChatGPT simply because your CDN or hosting provider blocks its bots.  ✅ Action: Call or contact your hosting/CDN provider and double (or triple) check whether you can control this.  PS: You can also check if your site is cited in ChatGPT with a tool like OtterlyAI. If your website is not getting cited, that’s a major red flag.</t>
  </si>
  <si>
    <t>Transform your brand's AI Search Visibility with OtterlyAI. Monitor how you show up on ChatGPT today.</t>
  </si>
  <si>
    <t>Ran from Aug 29, 2025 to Sep 15, 2025</t>
  </si>
  <si>
    <t>Improve your brand's visibility on ChatGPT with OtterlyAI, the essential tool for monitoring AI search platforms.</t>
  </si>
  <si>
    <t>𝗬𝗼𝘂𝗿 𝘄𝗲𝗯𝘀𝗶𝘁𝗲 𝗺𝗶𝗴𝗵𝘁 𝗯𝗲 𝗜𝗡𝗩𝗜𝗦𝗜𝗕𝗟𝗘 𝘁𝗼 𝗔𝗜 𝘀𝗲𝗮𝗿𝗰𝗵 𝗲𝗻𝗴𝗶𝗻𝗲𝘀 🚨  Here's the shocking truth: Your site could have the most authoritative, valuable content in your industry, yet ChatGPT, Claude, and Perplexity might NEVER find it.  Why? Because AI bots might not even be crawling your website - and you probably don't even know it.  The Hidden Crisis:  ✗ Your CDN/hosting provider could be blocking AI bots by default (yes, some don't even tell you!)  ✗ Your robots.txt file might be accidentally blocking the wrong crawlers  ✗ Dynamic content could be invisible to AI search bots  ✗ You're missing out on citations, references, and AI-driven traffic  Quick Reality Check: When was the last time you checked if OAI-SearchBot, PerplexityBot, or ClaudeBot can actually access your content?  The Stakes Are HIGH:  → Lost visibility in AI search results  → Competitors getting cited while you're ignored → Missing the AI search revolution entirely  → Revenue opportunities vanishing into thin air  Take Action NOW:  1️⃣ Check your website logs for AI bot activity  2️⃣ Review your robots.txt file (domain/robots.txt)  3️⃣ Test your site with AI crawler simulation tools  4️⃣ Audit your dynamic vs. static content  The bottom line: 𝗜𝗻 𝘁𝗵𝗲 𝗮𝗴𝗲 𝗼𝗳 𝗔𝗜 𝘀𝗲𝗮𝗿𝗰𝗵, 𝗯𝗲𝗶𝗻𝗴 𝗰𝗿𝗮𝘄𝗹𝗮𝗯𝗹𝗲 𝗶𝘀𝗻'𝘁 𝗼𝗽𝘁𝗶𝗼𝗻𝗮𝗹 - 𝗶𝘁'𝘀 𝘀𝘂𝗿𝘃𝗶𝘃𝗮𝗹.  Don't let your amazing content become AI's best-kept secret.  What's your experience with AI bot crawling? Have you checked your site lately? 👇</t>
  </si>
  <si>
    <t>🔎 𝗙𝗿𝗲𝗲 𝗚𝗘𝗢 𝗔𝘂𝗱𝗶𝘁 to Rank #1 on ChatGPT!  ✅ Check how visible your brand/website is on ChatGPT  ✅ Spot quick-win opportunities and hidden blind spots  ✅ Give clear, actionable steps to boost your AI search visibility  Want a free live audit of your website?  Try OtterlyAI 14 days for free.</t>
  </si>
  <si>
    <t>AthenaHQ</t>
  </si>
  <si>
    <t>Paid for by NuvoTech, Inc</t>
  </si>
  <si>
    <t>Your buyers ask ChatGPT before they ever hit Google. If AI doesn't cite you, your competitor gets the recommendation and you never see the lost deal. Athena shows you every prompt where you're invisible, then fixes it. Built by ex-Google Search PMs.</t>
  </si>
  <si>
    <t>Executive Assistant, Operational Support &amp; Business Productivity</t>
  </si>
  <si>
    <t>We recently analyzed more than one million AI generated responses, and a clear pattern appeared.  AI does not distribute attention evenly. It heavily concentrates on the top competitors in every category.  When AI models assemble answers, the leading brand receives more than thirty two percent of all Share of Voice. The second competitor drops to just twenty percent, and the third falls to thirteen percent.  The curve is steep.  Once a brand pulls ahead, AI keeps amplifying it. Models reuse the same sources, reinforce the same leaders, and rely on the same domain signals. This creates a compounding effect where the top one to two players gain the majority of visibility, while everyone else competes for the remainder.  The takeaway is simple.  AI does not think like a search engine. It behaves more like a compression layer over the internet, pulling the most referenced, most cited, and most repeatedly mentioned brands to the top. If you are not in that cluster, it becomes significantly harder for AI to surface you at all.  A strong presence across both on page and off page signals increases the likelihood that models reference your brand. A weak one means your competitors will dominate the narrative in places you may never see and cannot track through traditional analytics.  This is not a dramatic shift. It is a reminder that AI driven search is becoming more concentrated, more competitive, and more dependent on external validation signals that compound over time. Brands that invest early will shape the answers people read every day.  I am Andrew Yan, Co founder of AthenaHQ (YC 2025). Athena helps more than two hundred brands including SoFi, ZoomInfo, Julius, and Gruns understand how AI models reference them and how to strengthen their presence across GenAI search.</t>
  </si>
  <si>
    <t>🏛️ While some brands are waiting for 'clearer data' on AI search, the early adopters are seeing huge share of voice gains. We analyzed millions of AI responses at AthenaHQ, and the results are clear:  1. Brands optimizing for AEO and GEO are capturing 15–25% Share of Voice in AI answers within just months.  2. This isn't just about ranking # 1 on a list of blue links anymore. It’s about being apart of the recommendation an AI gives to a high-intent buyer.  3. The window for 'Early Adopter' advantage is closing. Are you optimizing for the search landscape of 2026?  Read more about what’s changing and how to get in front of the pack, get our 2026 State of AI Search Report today!   Link - https://lnkd.in/e5i6y_kQ</t>
  </si>
  <si>
    <t>Here's why every AI model has its own source preferences.  🧵 New data from 6 million AI responses:  Google AI Overviews: - Averages 13.89 sources per response - Pulls from authoritative domains - Different citation patterns than traditional search  Claude: - Averages 9.09 sources per response - More academic and technical sources - Different domain preferences entirely  Gemini: - Averages 8.01 sources per response - Unique citation patterns - Different from both ChatGPT and Claude  ChatGPT: - Heavily biases toward Reddit (10.36% of citations) - Pulls from Wikipedia (6.85%) - Cites YouTube (5.93%)  Perplexity: - Indexes new content as fast as 2 days - Much faster than ChatGPT - Different citation patterns  Grok: - Doesn't show the same Reddit bias - Pulls from different sources entirely  📌 What This Means:  If you're optimizing the same way for all models?  You're wasting effort.  Example:  If your users are on Claude and you're only focusing on Reddit because 'that works for ChatGPT'?  You're invisible where it matters.  📌 That's why we designed Athena to be tailored for each vertical.  AI search is hyper-personalized by: - Vertical (B2B SaaS vs healthcare vs finance) - Model (ChatGPT vs Claude vs Perplexity) - Use case (research vs purchase intent vs comparison)  There's no one-size-fits-all approach.  The brands winning AI search right now?  They're not following generic advice. They're being surgical with tools like Athena.  👋 P.S. Want to see which models are driving traffic in YOUR vertical?  Comment 'MODELS' and I'll send you our industry-specific AI model preference breakdown.  --  I'm Andrew Yan (ex Google Search), Co-founder of AthenaHQ (YC 2025). Athena helps 200+ global brands like SoFi, ZoomInfo, Julius, and Paperless Post optimize across all major AI models</t>
  </si>
  <si>
    <t>When we analyzed 1.68 million URLs cited by AI models this month, three types of content made up nearly 74% of everything referenced:  🔹 Comparative / Selection – 'best tools,' 'x vs y,' 'top 10' 🔹 Acquisition / Obtaining – 'get,' 'download,' 'pricing' 🔹 Learning / Education – 'how to,' 'guide,' 'tutorial'  Basically, AI spends most of its time helping people decide, get, or learn - not so different from us on a Friday night googling 'best takeout near me.' Nothing groundbreaking. Just a reminder that the web (and AI) still revolve around curiosity, decisions, and action.  I'm Andrew Yan, Co-founder of AthenaHQ (YC 2025). Athena helps 200+ brands like SoFi, ZoomInfo, Julius, and Gruns understand and grow on GenAI Search. #AIInsights #AthenaHQ #SearchIntelligence #GenAI #DataVisualization</t>
  </si>
  <si>
    <t>#AIInsights #AthenaHQ #SearchIntelligence #GenAI #DataVisualization</t>
  </si>
  <si>
    <t>📣 Our State of AI Search 2026 Report is here!   The search landscape has entered a new era. Success now depends on being visible within the answers AI delivers, not just appearing in search results. Based on 8 million AI responses across leading models, explore Athena’s “State of AI Research 2026” report for industry benchmarks and insights on how visibility and trust are being redefined.   🏛️ What You'll Learn:  - How AI search differs from traditional search: Why clicks are down and answer-share is the new currency - What Generative Engine Optimization (GEO) really is: The strategy that helps brands be part of AI answers - By vertical: How industries are adapting to AI-driven discovery and what teams can do to stay visible in the era of generative search - New success metrics: What matters when AI engines are shaping discovery and decisions - Actionable insights: How to rethink content so it gets referenced by AI systems with real examples  2025 was the year AI search stepped into the spotlight. 2026 is the year it begins to scale. The future of search is not about ranking first. It is about being chosen as the answer. This report is your guide to doing exactly that.</t>
  </si>
  <si>
    <t>We analyzed 50 million AI responses to find who wins visibility in 2026, and why. See your industry's benchmarks in the free State of AI Search report.  What you'll get in this free report:  - Why your traffic is dropping and what's replacing traditional search behavior - The AEO / GEO playbook on how top brands are engineering their content to get cited by AI, not just indexed by Google - Your industry's AI visibility benchmarks so you can see where you stand vs. competitors right now - The new metrics that actually matter, forget rankings; here's what to measure when AI shapes buying decisions - Content strategies with real examples of brands that restructured content and saw AI citation rates climb  2025 was the wake-up call. 2026 is where the gap between AI-visible brands and invisible ones starts to take shape.  👉 Download the State of AI Search report today!</t>
  </si>
  <si>
    <t>Want to grow traffic from AI Search?  Former Google Search product manager-founded startup helps companies achieve business outcomes on AI Search</t>
  </si>
  <si>
    <t>We recently analyzed more than one million AI generated responses, and a clear pattern appeared.  Most of what AI knows about your brand is not coming from your website. It is coming from the rest of the internet.  When AI models assemble answers, only twenty percent of the information they use comes from on page content. The remaining eighty percent comes from five external sources that consistently dominate: Reddit, YouTube, Wikipedia, LinkedIn, and Forbes.  The takeaway is simple.  Your website still matters, but it is no longer the primary place where AI learns who you are. Off page content carries most of the weight because that is where real discussions, comparisons, and opinions live. AI pays attention to those signals because they reflect how the market actually talks.  A strong off page footprint increases the likelihood that AI references your brand. A weak one means you are missing visibility in places you may never check and cannot measure directly.  This is not a dramatic shift. It is a reminder that AI search is becoming more external, more distributed, and more dependent on platforms outside your control. Brands that invest in the spaces where AI collects information will shape the answers people read every day.  I am Andrew Yan, Co founder of AthenaHQ (YC 2025). Athena helps more than two hundred brands including SoFi, ZoomInfo, Julius, and Gruns understand how AI models reference them and how to strengthen their presence across GenAI search.</t>
  </si>
  <si>
    <t>Our customer Grüns 6x Share of Voice in 60 days.  23x citation rate growth.  10,500+ AI search impressions.  Here's the exact playbook we used with Grüns:  📌 The Context:  Grüns is one of the fastest-growing e-commerce brands in the country.  Zero to $500M valuation in 2 years. $100M+ ARR. 4 million gummies shipped per day.  But they had a problem:  Their customers were asking AI health related questions and Grüns wasn't showing up.  📌 What We Did:  Month 1: Shipped ONE high-leverage blog post. Saw immediate movement in citations and brand mentions. Validated the approach.  Month 2: Programmatically shipped 15 targeted posts. Used pillar + cluster architecture. Optimized for entity clarity and AI extraction.  📌 The Results:  Share of Voice: 2.0% → 12.6% (6x) Citation Rate: 0.3% → 7.0% (23x) Brand Mentions: 4.0% → 25.0% (+19%)  70% of their AI citations came from content we created with Athena.  📌 Why It Worked:  We didn't just write blog posts.  We reverse-engineered which prompts had volume. We built content that AI models could easily parse and cite. We focused on entity completeness, not keyword stuffing.  That's the difference between surface-level optimization and going a layer deeper.  👋 P.S. Want the full Grüns playbook?  Comment 'GRUNS' and I'll send you the complete case study with the exact sequence we ran.  --  I'm Andrew Yan (ex Google Search), Co-founder of AthenaHQ (YC 2025). Athena helps 200+ global brands like SoFi, ZoomInfo, Grüns, and Paperless Post take control and grow on GenAI Search</t>
  </si>
  <si>
    <t>Spoke with Andrew Yan this week. And then quickly got started with AthenaHQ, it’s the AI-search platform that I’ve been looking for.  Candidly, I’ve been struggling to wrap my head around AI Search and all of the tooling in the category.   The SEO in me has been a little uncomfortable, if I’m being honest. With SEO, I feel like I know exactly what I need to do, but with AI Search, it feels more like a black box.   But Athena is built differently. Less noise, and more actionable insights.  - prompt generation and iteration - tracking / monitoring - a prescriptive playbook - an integration with our CMS (Webflow)  Going to be digging in a lot more over the next few months. But for starters, feeling excited about Athena!  Disclosure: Andrew hooked me up with some extended functionality and gave me access to a handful of their enterprise features #ad. And I said that I’d be happy to write this post!</t>
  </si>
  <si>
    <t>Your prompt universe is bigger than you think. Start mapping it. See every prompt where your brand wins or loses. Dominate AI Search:  - Every market - Every language - Every LLM  Get a free AI audit in under ten minutes. Try AthenaHQ today!</t>
  </si>
  <si>
    <t>Search looks different than it did a year ago. The brands showing up in AI answers are the ones winning.   Athena's State of AI Search 2026 report analyzed 8 million AI responses across leading models to reveal exactly who's winning visibility and why.  What you'll get in this free report:  - Why your traffic is dropping and what's replacing traditional search behavior - The AEO / GEO playbook on how top brands are engineering their content to get cited by AI, not just indexed by Google - Your industry's AI visibility benchmarks so you can see where you stand vs. competitors right now - The new metrics that actually matter, forget rankings; here's what to measure when AI shapes buying decisions - Content strategies with real examples of brands that restructured content and saw AI citation rates climb  2025 was the wake-up call. 2026 is where the gap between AI-visible brands and invisible ones starts to take shape.   👉 Download the State of AI Search report today!</t>
  </si>
  <si>
    <t>When we compared the types of content eight major AI systems rely on, we noticed something subtle but important.  No matter which model you look at, the mix of content is almost identical.  Informational content made up 33% of their answers. Comparative and selection oriented responses reached 25%. Acquisition and how to queries accounted for 17%. Learning and educational intent stayed near 12%. Everything else combined, including news, research, optimization, and similar categories, added up to only 10%.  Different companies. Different architectures. Different tones, reasoning styles, and personalities.  Yet the underlying content patterns stay nearly the same.  The implication is simple.  AI systems produce different styles of responses, but they all rely on the same types of content. The real competition is not about which model a customer prefers. The real competition is about whether your brand appears inside the content categories that AI depends on the most.  If your informational content is strong, you show up more often. If your comparison or acquisition content is weak, you miss opportunities you never even see.  This is not a dramatic change. It is simply a reminder that AI search is quietly becoming more uniform, and the brands that match what AI consumes will shape the answers people read every day.  I am Andrew Yan, Co founder of AthenaHQ (YC 2025). Athena helps more than two hundred brands such as SoFi, ZoomInfo, Julius, and Gruns understand how AI models reference them and how to strengthen their presence across GenAI search.</t>
  </si>
  <si>
    <t>Our customer Popl has recorded 1,561% ROI.  18-day payback period.  38.85% monthly growth in leads.  All from AI search.  Here's the story:  📌 The Problem:  Popl had a thriving in-person marketing platform.  But they noticed something alarming:  Prospects kept mentioning they found competitors on ChatGPT.  When they searched for 'digital business card solutions,' Popl was invisible.  Traditional SEO metrics looked fine. But leads were slowing.  📌 The Shift:  90% of B2B buyers now use AI in their procurement process.  Not just Google. AI-powered research.  Popl's starting position: 5th place in AI search rankings 11.2% Share of Voice Nearly invisible to AI models  📌 What We Did Together:  We didn't just 'optimize for AI.'  We rewrote their content to answer questions the way AI systems expect. We optimized across ChatGPT, Perplexity, Claude, and Google AI Overviews. We built real tracking to measure which leads came from AI.  📌 The Results After 3 Months:  Position: 5th → 1st Share of Voice: 11.2% → 28.9% (+189%) Brand Mentions: 14.8% → 34.0% (+130%) Total Citations: +821.7%  But here's what really matters:  38.85% MoM growth in AI-driven leads. 1,561% ROI with 18-day payback.  These weren't just more leads.  They were higher intent. They converted faster. They cost less to acquire.  Because AI pre-qualified them before they ever clicked.  👋 P.S. Want to see the full breakdown of how Popl went from 5th to 1st?  Comment 'POPL' and I'll send you the complete case study.  --  I'm Andrew Yan (ex Google Search), Co-founder of AthenaHQ (YC 2025). Athena helps 200+ global brands like Popl, SoFi, ZoomInfo, and Paperless Post dominate AI search</t>
  </si>
  <si>
    <t>With AthenaHQ, Rootly saw $126K in incremental equivalent media value and 2.5x more non-branded mentions. Rootly went from 3% to 30% citation rate in AI search.  That's a 10x increase, not from more content, but from a smarter system: revenue-mapped prompts, citeable sources, and a weekly AEO / GEO optimization rhythm.   Get a free AI Audit today!</t>
  </si>
  <si>
    <t>📣  Our State of AI Search 2026 Report is here!   The search landscape has entered a new era. Success now depends on being visible within the answers AI delivers, not just appearing in search results. Based on 8 million AI responses across leading models, explore Athena’s “State of AI Research 2026” report for industry benchmarks and insights on how visibility and trust are being redefined.   🏛️ What You'll Learn:  - How AI search differs from traditional search: Why clicks are down and answer-share is the new currency - What Generative Engine Optimization (GEO) really is: The strategy that helps brands be part of AI answers - By vertical: How industries are adapting to AI-driven discovery and what teams can do to stay visible in the era of generative search - New success metrics: What matters when AI engines are shaping discovery and decisions - Actionable insights: How to rethink content so it gets referenced by AI systems with real examples  2025 was the year AI search stepped into the spotlight. 2026 is the year it begins to scale. The future of search is not about ranking first. It is about being chosen as the answer. This report is your guide to doing exactly that.   ➡️ Get it now. Link to report:  https://lnkd.in/e9wYAbF6</t>
  </si>
  <si>
    <t>Ran from Jan 22, 2026 to Feb 2, 2026</t>
  </si>
  <si>
    <t>Treating AI search exactly like traditional SEO is the biggest mistake I see.  Let me explain:  SEO and AI search are similar.  But they're not the same game.  Think of it like this:  Put a professional football player on a basketball court?  They'll struggle against someone who's been training basketball their entire life.  The fundamentals transfer. But the specialization matters.  📌 Real example:  ChatGPT biases heavily toward Reddit. Grok doesn't.  We've seen Perplexity index new content as fast as in two days. ChatGPT usually takes longer.  Google AI Overviews cite 13.89 sources per response. Claude averages 9.09. Gemini averages 8.01.  If you're optimizing the same way for all of them?  You're leaving visibility on the table.  The brands winning AI search right now?  They're not just doing 'better SEO.'  They're specializing. They're being surgical. They're treating it as an evolution, not a copy-paste.  👋 P.S. Want the full breakdown of how each AI model behaves differently?  Comment 'PLAYBOOK' and I'll send you our 55-page State of AI Search 2026 report.  --  I'm Andrew Yan (ex Google Search), Co-founder of AthenaHQ (YC 2025). Athena helps 200+ global brands like SoFi, ZoomInfo, Julius, and Paperless Post take control and grow on GenAI Searc6</t>
  </si>
  <si>
    <t>When we looked at brand mentions across AI responses in October, we noticed something interesting:  Most brands barely show up at all.  The typical brand was mentioned in 17.3% of AI answers. Top brands appeared in 55.8%.  The gap is not about size or spend. It is about who AI reaches for first when it needs an example, a recommendation, or a reference.  In AI-driven discovery, the brand that shows up first becomes the default choice. Simple as that.  Nothing dramatic. Just a reminder that influence on AI is already uneven, and the spread is widening each month.  I'm Andrew Yan, Co-founder of AthenaHQ (YC 2025). Athena helps 200+ brands like SoFi, ZoomInfo, Julius, and Gruns understand where they stand in GenAI Search and how to increase their presence across AI answers.</t>
  </si>
  <si>
    <t>AthenaHQ 🤝 Grüns  Gruns grew AI SEO citations by 23X in 60 days.    Using Athena to power their AI SEO, Grüns went from 2% to 12.6% Share of Voice across AI search engines in the last 60 days we partnered.   The results over Q3 2025:  Share of Voice: 2.0% → 12.6% (6X increase) Brand Mention Rate: 4.0% → 25.0% (+19%) Citation Rate: 0.3% → 7.0% (23X increase) Estimated LLM Impressions: 10,500+ Content Output: 15 posts, 70% of citations from Athena content    📌 This is the exact playbook we ran together   I met Connor Dault, CMO at Grüns who partnered with us to grow their AI search presence. We ramped up quickly and launched with this exact sequence:   Step 1: Identified high monthly search prompts using AthenaHQ's Prompt Planner across ChatGPT, Perplexity, and AI Overviews. We tracked volume and mention intelligence to find where the opportunity was.  Step 2: Created a pillar page as the authoritative, AI readable hub. Included definitions, comparisons, specs, use cases, FAQs, and schema markup.  Step 3: Published cluster articles interlinked to the pillar and optimized for entity clarity and AI extraction.  Step 4: Citations increased as structure and entity completeness improved.  Step 5: Brand mentions increased as citation velocity compounded authority signals.  Step 6: Share of Voice increased 6X from 2.0% to 12.6%.    The timeline:  Month 1: Shipped a single high leverage blog and saw immediate movement. Early lifts in citations and brand mentions validated topic entity fit.  Month 2: Programmatically shipped targeted content using AthenaHQ's Action Center and Shopify Integration with human in the loop proofreading. Continuous prompt refinement throughout. Result: 6X SoV, 23X citation rate, +19% brand mentions.    Citation rate performance:  From July 17 to September 20, citation rate rose from 0.3% to 7.0%. That 23X increase generated 10,500+ estimated impressions from LLM responses.   About 70% of citations were attributed to Athena created content.     Brand mention rate growth:  Overall brand mention rate increased from 4.0% to 25.0%. Strongest gains came in three prompt clusters: Alternatives, Super Greens, and Gummy vs Powder.    So...  Why do this work so well?  Prompt led planning, pillar and cluster architecture, and entity first writing aligned with how AI extraction works. This made Grüns easy to parse, cite, and recommend in AI search.  That's what Athena lets you do.   Take it from Connor:  'Athena is our OS for AI search. Their prompt intelligence and editorial pipeline turn answers into a reliable channel. Month after month, they surface the next best moves and ship content the market and the models trust. It's why we consider Athena a long term partner. Athena Enterprise gives us peace of mind; the platform largely runs itself. Growing GEO is a huge focus of ours and the full org is energized by the success we're seeing in the space with Athena'     👋 P.S. Looking to grow your AI search presence?  Shoot me a DM</t>
  </si>
  <si>
    <t>Announcing the launch of Athena Citation Engine (ACE)! Our team has been hard at work the past few weeks delivering the next breakthrough in GEO/AEO.   Built on a proprietary machine learning model trained against millions of AI Search results, ACE predicts the likelihood that any given piece of content will be cited by AI models.  This transforms what was once guesswork into measurable, data-backed foresight and empowers businesses to create content that not only resonates but also earns recognition from the world’s most advanced AI engines.  Now, Athena enterprise customers can access ACE built-into their content workflows!   Read about it here:  https://lnkd.in/dQDq33Sh</t>
  </si>
  <si>
    <t>Learn how Gruns 6x AI Search Share of Voice on targeted prompts with AthenaHQ</t>
  </si>
  <si>
    <t>Hey %FIRSTNAME%,  Great to connect. I'm Andrew Yan (ex Google Search), and co-founder of AthenaHQ. Athena helps 200+ global brands like Popl, SoFi, ZoomInfo, and Paperless Post dominate AI search.  I’d love to do a free audit for %COMPANYNAME%.  We’ve helped businesses like Gruns increase AI SEO citations by 23x in two months. And with Popl, they’ve been growing leads/pipeline from AI search by 39% month over month with Athena.</t>
  </si>
  <si>
    <t>Hey %FIRSTNAME%,  I’m Andrew, co-founder @ Athena, the action platform for AI search.  What if I told you that we could grow %COMPANYNAME%’s AI SEO citations by 23x in 60 days?  That’s what we did for Gruns. And I’d be happy to do a free audit of %COMPANYNAME%’s website.</t>
  </si>
  <si>
    <t>Learn how Popl drove 38% MoM increase in leads from AI Search with Athena.</t>
  </si>
  <si>
    <t>Be the Brand AI Talks About</t>
  </si>
  <si>
    <t>Hey %FIRSTNAME%,  We helped Gruns grow AI SEO citations by 23X in 60 days.  Share of Voice: 2.0% → 12.6% (6X increase)  Brand Mention Rate: 4.0% → 25.0% (+19%)  And with Athena, %COMPANYNAME% can do the same. Athena is the action platform for AI Search.  I’m Andrew, a co-founder at Athena, and I’d love to chat. Would be happy to conduct a free audit of %COMPANYNAME%’s website as well.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</si>
</sst>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10">
    <font>
      <sz val="10.0"/>
      <color rgb="FF000000"/>
      <name val="Arial"/>
      <scheme val="minor"/>
    </font>
    <font>
      <b/>
      <color theme="1"/>
      <name val="Arial"/>
      <scheme val="minor"/>
    </font>
    <font>
      <color theme="1"/>
      <name val="Arial"/>
      <scheme val="minor"/>
    </font>
    <font>
      <b/>
      <u/>
      <color rgb="FF0000FF"/>
    </font>
    <font>
      <u/>
      <color rgb="FF0000FF"/>
    </font>
    <font>
      <u/>
      <color rgb="FF0000FF"/>
    </font>
    <font>
      <u/>
      <color rgb="FF0000FF"/>
    </font>
    <font>
      <u/>
      <color rgb="FF0000FF"/>
    </font>
    <font>
      <u/>
      <color rgb="FF0000FF"/>
    </font>
    <font>
      <u/>
      <color rgb="FF0000FF"/>
    </font>
  </fonts>
  <fills count="7">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0" fillId="0" fontId="1" numFmtId="0" xfId="0" applyAlignment="1" applyFont="1">
      <alignment readingOrder="0" shrinkToFit="0" wrapText="0"/>
    </xf>
    <xf borderId="1" fillId="0" fontId="2" numFmtId="0" xfId="0" applyAlignment="1" applyBorder="1" applyFont="1">
      <alignment readingOrder="0"/>
    </xf>
    <xf borderId="0" fillId="0" fontId="1" numFmtId="0" xfId="0" applyFont="1"/>
    <xf borderId="0" fillId="0" fontId="2" numFmtId="0" xfId="0" applyAlignment="1" applyFont="1">
      <alignment readingOrder="0"/>
    </xf>
    <xf borderId="1" fillId="0" fontId="1" numFmtId="0" xfId="0" applyAlignment="1" applyBorder="1" applyFont="1">
      <alignment readingOrder="0"/>
    </xf>
    <xf borderId="1" fillId="0" fontId="3" numFmtId="0" xfId="0" applyAlignment="1" applyBorder="1" applyFont="1">
      <alignment readingOrder="0"/>
    </xf>
    <xf borderId="0" fillId="0" fontId="4" numFmtId="0" xfId="0" applyFont="1"/>
    <xf borderId="1" fillId="0" fontId="1" numFmtId="0" xfId="0" applyAlignment="1" applyBorder="1" applyFont="1">
      <alignment horizontal="center" readingOrder="0"/>
    </xf>
    <xf borderId="0" fillId="0" fontId="5" numFmtId="0" xfId="0" applyAlignment="1" applyFont="1">
      <alignment readingOrder="0"/>
    </xf>
    <xf borderId="0" fillId="0" fontId="6" numFmtId="0" xfId="0" applyAlignment="1" applyFont="1">
      <alignment readingOrder="0"/>
    </xf>
    <xf borderId="1" fillId="0" fontId="7" numFmtId="0" xfId="0" applyBorder="1" applyFont="1"/>
    <xf quotePrefix="1" borderId="1" fillId="0" fontId="2" numFmtId="0" xfId="0" applyAlignment="1" applyBorder="1" applyFont="1">
      <alignment readingOrder="0"/>
    </xf>
    <xf borderId="0" fillId="0" fontId="8" numFmtId="0" xfId="0" applyAlignment="1" applyFont="1">
      <alignment readingOrder="0" shrinkToFit="0" wrapText="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xf borderId="0" fillId="2" fontId="2" numFmtId="0" xfId="0" applyAlignment="1" applyFill="1" applyFont="1">
      <alignment readingOrder="0"/>
    </xf>
    <xf borderId="0" fillId="2" fontId="2" numFmtId="0" xfId="0" applyFill="1" applyFont="1"/>
    <xf borderId="0" fillId="3" fontId="2" numFmtId="0" xfId="0" applyAlignment="1" applyFill="1" applyFont="1">
      <alignment readingOrder="0"/>
    </xf>
    <xf borderId="0" fillId="3" fontId="2" numFmtId="0" xfId="0" applyFill="1" applyFont="1"/>
    <xf borderId="0" fillId="4" fontId="2" numFmtId="0" xfId="0" applyAlignment="1" applyFill="1" applyFont="1">
      <alignment readingOrder="0"/>
    </xf>
    <xf borderId="0" fillId="4" fontId="2" numFmtId="0" xfId="0" applyFill="1" applyFont="1"/>
    <xf borderId="0" fillId="5" fontId="2" numFmtId="0" xfId="0" applyAlignment="1" applyFill="1" applyFont="1">
      <alignment readingOrder="0"/>
    </xf>
    <xf borderId="0" fillId="5" fontId="2" numFmtId="0" xfId="0" applyAlignment="1" applyFill="1" applyFont="1">
      <alignment readingOrder="0" shrinkToFit="0" wrapText="0"/>
    </xf>
    <xf borderId="0" fillId="5" fontId="2" numFmtId="0" xfId="0" applyFill="1" applyFont="1"/>
    <xf borderId="0" fillId="0" fontId="2" numFmtId="0" xfId="0" applyAlignment="1" applyFont="1">
      <alignment readingOrder="0" shrinkToFit="0" wrapText="0"/>
    </xf>
    <xf borderId="0" fillId="6" fontId="2" numFmtId="0" xfId="0" applyAlignment="1" applyFill="1" applyFont="1">
      <alignment readingOrder="0"/>
    </xf>
    <xf borderId="0" fillId="6" fontId="2" numFmtId="0" xfId="0" applyAlignment="1" applyFill="1" applyFont="1">
      <alignment readingOrder="0" shrinkToFit="0" wrapText="0"/>
    </xf>
    <xf borderId="0" fillId="6" fontId="2" numFmtId="0" xfId="0" applyFill="1" applyFont="1"/>
    <xf borderId="0" fillId="2" fontId="9" numFmtId="0" xfId="0" applyAlignment="1" applyFill="1" applyFont="1">
      <alignment readingOrder="0"/>
    </xf>
    <xf borderId="0" fillId="2" fontId="2" numFmtId="0" xfId="0" applyAlignment="1" applyFill="1" applyFont="1">
      <alignment readingOrder="0" shrinkToFit="0" wrapText="0"/>
    </xf>
    <xf borderId="0" fillId="3" fontId="2" numFmtId="0" xfId="0" applyAlignment="1" applyFill="1" applyFont="1">
      <alignment readingOrder="0" shrinkToFit="0" wrapText="0"/>
    </xf>
    <xf borderId="0" fillId="0" fontId="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adstransparency.google.com/advertiser/AR01693402396748677121/creative/CR11456010919100809217?region=anywhere" TargetMode="External"/><Relationship Id="rId391" Type="http://schemas.openxmlformats.org/officeDocument/2006/relationships/hyperlink" Target="https://www.tryprofound.com/" TargetMode="External"/><Relationship Id="rId390" Type="http://schemas.openxmlformats.org/officeDocument/2006/relationships/hyperlink" Target="https://adstransparency.google.com/advertiser/AR01693402396748677121/creative/CR13777855876947771393?region=anywhere" TargetMode="External"/><Relationship Id="rId1" Type="http://schemas.openxmlformats.org/officeDocument/2006/relationships/hyperlink" Target="https://www.tryprofound.com/" TargetMode="External"/><Relationship Id="rId2" Type="http://schemas.openxmlformats.org/officeDocument/2006/relationships/hyperlink" Target="https://adstransparency.google.com/advertiser/AR01693402396748677121/creative/CR04181039139535192065?region=anywhere" TargetMode="External"/><Relationship Id="rId3" Type="http://schemas.openxmlformats.org/officeDocument/2006/relationships/hyperlink" Target="https://www.tryprofound.com/features/aim" TargetMode="External"/><Relationship Id="rId4" Type="http://schemas.openxmlformats.org/officeDocument/2006/relationships/hyperlink" Target="https://adstransparency.google.com/advertiser/AR01693402396748677121/creative/CR01392095460088348673?region=anywhere" TargetMode="External"/><Relationship Id="rId2180" Type="http://schemas.openxmlformats.org/officeDocument/2006/relationships/hyperlink" Target="https://www.scrunch.com/ai-search/visibility" TargetMode="External"/><Relationship Id="rId2181" Type="http://schemas.openxmlformats.org/officeDocument/2006/relationships/hyperlink" Target="https://adstransparency.google.com/advertiser/AR01685939160927436801/creative/CR07122813629572841473?region=anywhere" TargetMode="External"/><Relationship Id="rId2182" Type="http://schemas.openxmlformats.org/officeDocument/2006/relationships/hyperlink" Target="https://www.scrunch.com/aeo" TargetMode="External"/><Relationship Id="rId2183" Type="http://schemas.openxmlformats.org/officeDocument/2006/relationships/hyperlink" Target="https://adstransparency.google.com/advertiser/AR01685939160927436801/creative/CR12154151419204599809?region=anywhere" TargetMode="External"/><Relationship Id="rId9" Type="http://schemas.openxmlformats.org/officeDocument/2006/relationships/hyperlink" Target="https://www.tryprofound.com/" TargetMode="External"/><Relationship Id="rId385" Type="http://schemas.openxmlformats.org/officeDocument/2006/relationships/hyperlink" Target="https://www.tryprofound.com/pricing" TargetMode="External"/><Relationship Id="rId2184" Type="http://schemas.openxmlformats.org/officeDocument/2006/relationships/hyperlink" Target="https://scrunch.com/" TargetMode="External"/><Relationship Id="rId384" Type="http://schemas.openxmlformats.org/officeDocument/2006/relationships/hyperlink" Target="https://adstransparency.google.com/advertiser/AR01693402396748677121/creative/CR13247407281085087745?region=anywhere" TargetMode="External"/><Relationship Id="rId2185" Type="http://schemas.openxmlformats.org/officeDocument/2006/relationships/hyperlink" Target="https://adstransparency.google.com/advertiser/AR01685939160927436801/creative/CR02411251617010548737?region=anywhere" TargetMode="External"/><Relationship Id="rId383" Type="http://schemas.openxmlformats.org/officeDocument/2006/relationships/hyperlink" Target="https://www.tryprofound.com/" TargetMode="External"/><Relationship Id="rId2186" Type="http://schemas.openxmlformats.org/officeDocument/2006/relationships/hyperlink" Target="https://www.scrunch.com/ai-search" TargetMode="External"/><Relationship Id="rId382" Type="http://schemas.openxmlformats.org/officeDocument/2006/relationships/hyperlink" Target="https://adstransparency.google.com/advertiser/AR01693402396748677121/creative/CR00414054896241737729?region=anywhere" TargetMode="External"/><Relationship Id="rId2187" Type="http://schemas.openxmlformats.org/officeDocument/2006/relationships/hyperlink" Target="https://adstransparency.google.com/advertiser/AR01685939160927436801/creative/CR13069671595822284801?region=anywhere" TargetMode="External"/><Relationship Id="rId5" Type="http://schemas.openxmlformats.org/officeDocument/2006/relationships/hyperlink" Target="https://www.tryprofound.com/customers/mongodb" TargetMode="External"/><Relationship Id="rId389" Type="http://schemas.openxmlformats.org/officeDocument/2006/relationships/hyperlink" Target="https://www.tryprofound.com/" TargetMode="External"/><Relationship Id="rId2188" Type="http://schemas.openxmlformats.org/officeDocument/2006/relationships/hyperlink" Target="https://www.scrunch.com/chatgpt/visibility" TargetMode="External"/><Relationship Id="rId6" Type="http://schemas.openxmlformats.org/officeDocument/2006/relationships/hyperlink" Target="https://adstransparency.google.com/advertiser/AR01693402396748677121/creative/CR17355288782378631169?region=anywhere" TargetMode="External"/><Relationship Id="rId388" Type="http://schemas.openxmlformats.org/officeDocument/2006/relationships/hyperlink" Target="https://adstransparency.google.com/advertiser/AR01693402396748677121/creative/CR04115567594377838593?region=anywhere" TargetMode="External"/><Relationship Id="rId2189" Type="http://schemas.openxmlformats.org/officeDocument/2006/relationships/hyperlink" Target="https://adstransparency.google.com/advertiser/AR01685939160927436801/creative/CR03146520125113368577?region=anywhere" TargetMode="External"/><Relationship Id="rId7" Type="http://schemas.openxmlformats.org/officeDocument/2006/relationships/hyperlink" Target="https://www.tryprofound.com/pricing" TargetMode="External"/><Relationship Id="rId387" Type="http://schemas.openxmlformats.org/officeDocument/2006/relationships/hyperlink" Target="https://www.tryprofound.com/" TargetMode="External"/><Relationship Id="rId8" Type="http://schemas.openxmlformats.org/officeDocument/2006/relationships/hyperlink" Target="https://adstransparency.google.com/advertiser/AR01693402396748677121/creative/CR04939526515718094849?region=anywhere" TargetMode="External"/><Relationship Id="rId386" Type="http://schemas.openxmlformats.org/officeDocument/2006/relationships/hyperlink" Target="https://adstransparency.google.com/advertiser/AR01693402396748677121/creative/CR15103675035266580481?region=anywhere" TargetMode="External"/><Relationship Id="rId381" Type="http://schemas.openxmlformats.org/officeDocument/2006/relationships/hyperlink" Target="https://www.tryprofound.com/" TargetMode="External"/><Relationship Id="rId380" Type="http://schemas.openxmlformats.org/officeDocument/2006/relationships/hyperlink" Target="https://adstransparency.google.com/advertiser/AR01693402396748677121/creative/CR05937200319967526913?region=anywhere" TargetMode="External"/><Relationship Id="rId379" Type="http://schemas.openxmlformats.org/officeDocument/2006/relationships/hyperlink" Target="https://www.tryprofound.com/" TargetMode="External"/><Relationship Id="rId2170" Type="http://schemas.openxmlformats.org/officeDocument/2006/relationships/hyperlink" Target="https://www.scrunch.com/chatgpt/visibility" TargetMode="External"/><Relationship Id="rId2171" Type="http://schemas.openxmlformats.org/officeDocument/2006/relationships/hyperlink" Target="https://adstransparency.google.com/advertiser/AR01685939160927436801/creative/CR12315301066051682305?region=anywhere" TargetMode="External"/><Relationship Id="rId2172" Type="http://schemas.openxmlformats.org/officeDocument/2006/relationships/hyperlink" Target="https://scrunch.com/" TargetMode="External"/><Relationship Id="rId374" Type="http://schemas.openxmlformats.org/officeDocument/2006/relationships/hyperlink" Target="https://adstransparency.google.com/advertiser/AR01693402396748677121/creative/CR10292272419099901953?region=anywhere" TargetMode="External"/><Relationship Id="rId2173" Type="http://schemas.openxmlformats.org/officeDocument/2006/relationships/hyperlink" Target="https://adstransparency.google.com/advertiser/AR01685939160927436801/creative/CR09991094838264594433?region=anywhere" TargetMode="External"/><Relationship Id="rId373" Type="http://schemas.openxmlformats.org/officeDocument/2006/relationships/hyperlink" Target="https://www.tryprofound.com/" TargetMode="External"/><Relationship Id="rId2174" Type="http://schemas.openxmlformats.org/officeDocument/2006/relationships/hyperlink" Target="https://scrunch.com/" TargetMode="External"/><Relationship Id="rId372" Type="http://schemas.openxmlformats.org/officeDocument/2006/relationships/hyperlink" Target="https://adstransparency.google.com/advertiser/AR01693402396748677121/creative/CR01114022827620564993?region=anywhere" TargetMode="External"/><Relationship Id="rId2175" Type="http://schemas.openxmlformats.org/officeDocument/2006/relationships/hyperlink" Target="https://adstransparency.google.com/advertiser/AR01685939160927436801/creative/CR09509618696461484033?region=anywhere" TargetMode="External"/><Relationship Id="rId371" Type="http://schemas.openxmlformats.org/officeDocument/2006/relationships/hyperlink" Target="https://www.tryprofound.com/" TargetMode="External"/><Relationship Id="rId2176" Type="http://schemas.openxmlformats.org/officeDocument/2006/relationships/hyperlink" Target="https://www.scrunch.com/aeo/platform" TargetMode="External"/><Relationship Id="rId378" Type="http://schemas.openxmlformats.org/officeDocument/2006/relationships/hyperlink" Target="https://adstransparency.google.com/advertiser/AR01693402396748677121/creative/CR06593200842935894017?region=anywhere" TargetMode="External"/><Relationship Id="rId2177" Type="http://schemas.openxmlformats.org/officeDocument/2006/relationships/hyperlink" Target="https://adstransparency.google.com/advertiser/AR01685939160927436801/creative/CR14453840667996061697?region=anywhere" TargetMode="External"/><Relationship Id="rId377" Type="http://schemas.openxmlformats.org/officeDocument/2006/relationships/hyperlink" Target="https://www.tryprofound.com/" TargetMode="External"/><Relationship Id="rId2178" Type="http://schemas.openxmlformats.org/officeDocument/2006/relationships/hyperlink" Target="https://scrunch.com/" TargetMode="External"/><Relationship Id="rId376" Type="http://schemas.openxmlformats.org/officeDocument/2006/relationships/hyperlink" Target="https://adstransparency.google.com/advertiser/AR01693402396748677121/creative/CR00530538463758385153?region=anywhere" TargetMode="External"/><Relationship Id="rId2179" Type="http://schemas.openxmlformats.org/officeDocument/2006/relationships/hyperlink" Target="https://adstransparency.google.com/advertiser/AR01685939160927436801/creative/CR08189238478567899137?region=anywhere" TargetMode="External"/><Relationship Id="rId375" Type="http://schemas.openxmlformats.org/officeDocument/2006/relationships/hyperlink" Target="https://www.tryprofound.com/" TargetMode="External"/><Relationship Id="rId2190" Type="http://schemas.openxmlformats.org/officeDocument/2006/relationships/hyperlink" Target="https://www.scrunch.com/ai-search/monitoring" TargetMode="External"/><Relationship Id="rId2191" Type="http://schemas.openxmlformats.org/officeDocument/2006/relationships/hyperlink" Target="https://adstransparency.google.com/advertiser/AR01685939160927436801/creative/CR10930872371694796801?region=anywhere" TargetMode="External"/><Relationship Id="rId2192" Type="http://schemas.openxmlformats.org/officeDocument/2006/relationships/hyperlink" Target="https://www.scrunch.com/ai-search/visibility" TargetMode="External"/><Relationship Id="rId2193" Type="http://schemas.openxmlformats.org/officeDocument/2006/relationships/hyperlink" Target="https://adstransparency.google.com/advertiser/AR01685939160927436801/creative/CR11344427282203672577?region=anywhere" TargetMode="External"/><Relationship Id="rId2194" Type="http://schemas.openxmlformats.org/officeDocument/2006/relationships/hyperlink" Target="https://www.scrunch.com/aeo/platform" TargetMode="External"/><Relationship Id="rId396" Type="http://schemas.openxmlformats.org/officeDocument/2006/relationships/hyperlink" Target="https://adstransparency.google.com/advertiser/AR01693402396748677121/creative/CR01117695265176813569?region=anywhere" TargetMode="External"/><Relationship Id="rId2195" Type="http://schemas.openxmlformats.org/officeDocument/2006/relationships/hyperlink" Target="https://adstransparency.google.com/advertiser/AR01685939160927436801/creative/CR18019542445783515137?region=anywhere" TargetMode="External"/><Relationship Id="rId395" Type="http://schemas.openxmlformats.org/officeDocument/2006/relationships/hyperlink" Target="https://www.tryprofound.com/" TargetMode="External"/><Relationship Id="rId2196" Type="http://schemas.openxmlformats.org/officeDocument/2006/relationships/hyperlink" Target="https://scrunch.com/" TargetMode="External"/><Relationship Id="rId394" Type="http://schemas.openxmlformats.org/officeDocument/2006/relationships/hyperlink" Target="https://adstransparency.google.com/advertiser/AR01693402396748677121/creative/CR13068219596228526081?region=anywhere" TargetMode="External"/><Relationship Id="rId2197" Type="http://schemas.openxmlformats.org/officeDocument/2006/relationships/hyperlink" Target="https://adstransparency.google.com/advertiser/AR01685939160927436801/creative/CR01601899089170006017?region=anywhere" TargetMode="External"/><Relationship Id="rId393" Type="http://schemas.openxmlformats.org/officeDocument/2006/relationships/hyperlink" Target="https://www.tryprofound.com/" TargetMode="External"/><Relationship Id="rId2198" Type="http://schemas.openxmlformats.org/officeDocument/2006/relationships/hyperlink" Target="https://www.scrunch.com/ai-search/visibility" TargetMode="External"/><Relationship Id="rId2199" Type="http://schemas.openxmlformats.org/officeDocument/2006/relationships/hyperlink" Target="https://adstransparency.google.com/advertiser/AR01685939160927436801/creative/CR08062308519795228673?region=anywhere" TargetMode="External"/><Relationship Id="rId399" Type="http://schemas.openxmlformats.org/officeDocument/2006/relationships/hyperlink" Target="https://peec.ai/" TargetMode="External"/><Relationship Id="rId398" Type="http://schemas.openxmlformats.org/officeDocument/2006/relationships/hyperlink" Target="https://adstransparency.google.com/advertiser/AR01693402396748677121/creative/CR12077864940237488129?region=anywhere" TargetMode="External"/><Relationship Id="rId397" Type="http://schemas.openxmlformats.org/officeDocument/2006/relationships/hyperlink" Target="https://www.tryprofound.com/" TargetMode="External"/><Relationship Id="rId1730" Type="http://schemas.openxmlformats.org/officeDocument/2006/relationships/hyperlink" Target="https://adstransparency.google.com/advertiser/AR11070511645502472193/creative/CR13311727955395739649?region=anywhere" TargetMode="External"/><Relationship Id="rId1731" Type="http://schemas.openxmlformats.org/officeDocument/2006/relationships/hyperlink" Target="https://www.semrush.com/" TargetMode="External"/><Relationship Id="rId1732" Type="http://schemas.openxmlformats.org/officeDocument/2006/relationships/hyperlink" Target="https://adstransparency.google.com/advertiser/AR11070511645502472193/creative/CR15620748621933182977?region=anywhere" TargetMode="External"/><Relationship Id="rId1733" Type="http://schemas.openxmlformats.org/officeDocument/2006/relationships/hyperlink" Target="https://www.semrush.com/analytics/keywordoverview/" TargetMode="External"/><Relationship Id="rId1734" Type="http://schemas.openxmlformats.org/officeDocument/2006/relationships/hyperlink" Target="https://adstransparency.google.com/advertiser/AR11070511645502472193/creative/CR11173781539974545409?region=anywhere" TargetMode="External"/><Relationship Id="rId1735" Type="http://schemas.openxmlformats.org/officeDocument/2006/relationships/hyperlink" Target="https://www.semrush.com/" TargetMode="External"/><Relationship Id="rId1736" Type="http://schemas.openxmlformats.org/officeDocument/2006/relationships/hyperlink" Target="https://adstransparency.google.com/advertiser/AR11070511645502472193/creative/CR09858967943293960193?region=anywhere" TargetMode="External"/><Relationship Id="rId1737" Type="http://schemas.openxmlformats.org/officeDocument/2006/relationships/hyperlink" Target="https://www.semrush.com/" TargetMode="External"/><Relationship Id="rId1738" Type="http://schemas.openxmlformats.org/officeDocument/2006/relationships/hyperlink" Target="https://adstransparency.google.com/advertiser/AR11070511645502472193/creative/CR14126618972413493249?region=anywhere" TargetMode="External"/><Relationship Id="rId1739" Type="http://schemas.openxmlformats.org/officeDocument/2006/relationships/hyperlink" Target="https://www.semrush.com/analytics/backlinks/overview/" TargetMode="External"/><Relationship Id="rId1720" Type="http://schemas.openxmlformats.org/officeDocument/2006/relationships/hyperlink" Target="https://adstransparency.google.com/advertiser/AR11070511645502472193/creative/CR18195837049259425793?region=anywhere" TargetMode="External"/><Relationship Id="rId1721" Type="http://schemas.openxmlformats.org/officeDocument/2006/relationships/hyperlink" Target="https://www.semrush.com/" TargetMode="External"/><Relationship Id="rId1722" Type="http://schemas.openxmlformats.org/officeDocument/2006/relationships/hyperlink" Target="https://adstransparency.google.com/advertiser/AR11070511645502472193/creative/CR16988014145938915329?region=anywhere" TargetMode="External"/><Relationship Id="rId1723" Type="http://schemas.openxmlformats.org/officeDocument/2006/relationships/hyperlink" Target="https://www.semrush.com/" TargetMode="External"/><Relationship Id="rId1724" Type="http://schemas.openxmlformats.org/officeDocument/2006/relationships/hyperlink" Target="https://adstransparency.google.com/advertiser/AR11070511645502472193/creative/CR11670224234054942721?region=anywhere" TargetMode="External"/><Relationship Id="rId1725" Type="http://schemas.openxmlformats.org/officeDocument/2006/relationships/hyperlink" Target="https://www.semrush.com/" TargetMode="External"/><Relationship Id="rId1726" Type="http://schemas.openxmlformats.org/officeDocument/2006/relationships/hyperlink" Target="https://adstransparency.google.com/advertiser/AR11070511645502472193/creative/CR00127174582929981441?region=anywhere" TargetMode="External"/><Relationship Id="rId1727" Type="http://schemas.openxmlformats.org/officeDocument/2006/relationships/hyperlink" Target="https://www.semrush.com/features/" TargetMode="External"/><Relationship Id="rId1728" Type="http://schemas.openxmlformats.org/officeDocument/2006/relationships/hyperlink" Target="https://adstransparency.google.com/advertiser/AR11070511645502472193/creative/CR06978082002020859905?region=anywhere" TargetMode="External"/><Relationship Id="rId1729" Type="http://schemas.openxmlformats.org/officeDocument/2006/relationships/hyperlink" Target="https://www.semrush.com/kb/demo/" TargetMode="External"/><Relationship Id="rId1752" Type="http://schemas.openxmlformats.org/officeDocument/2006/relationships/hyperlink" Target="https://adstransparency.google.com/advertiser/AR11070511645502472193/creative/CR00647542650030784513?region=anywhere" TargetMode="External"/><Relationship Id="rId1753" Type="http://schemas.openxmlformats.org/officeDocument/2006/relationships/hyperlink" Target="https://www.semrush.com/" TargetMode="External"/><Relationship Id="rId1754" Type="http://schemas.openxmlformats.org/officeDocument/2006/relationships/hyperlink" Target="https://adstransparency.google.com/advertiser/AR11070511645502472193/creative/CR17083150763921768449?region=anywhere" TargetMode="External"/><Relationship Id="rId1755" Type="http://schemas.openxmlformats.org/officeDocument/2006/relationships/hyperlink" Target="https://www.semrush.com/features/" TargetMode="External"/><Relationship Id="rId1756" Type="http://schemas.openxmlformats.org/officeDocument/2006/relationships/hyperlink" Target="https://adstransparency.google.com/advertiser/AR11070511645502472193/creative/CR00003712621270269953?region=anywhere" TargetMode="External"/><Relationship Id="rId1757" Type="http://schemas.openxmlformats.org/officeDocument/2006/relationships/hyperlink" Target="https://www.semrush.com/kb/demo/" TargetMode="External"/><Relationship Id="rId1758" Type="http://schemas.openxmlformats.org/officeDocument/2006/relationships/hyperlink" Target="https://adstransparency.google.com/advertiser/AR11070511645502472193/creative/CR17580820512978763777?region=anywhere" TargetMode="External"/><Relationship Id="rId1759" Type="http://schemas.openxmlformats.org/officeDocument/2006/relationships/hyperlink" Target="https://www.semrush.com/" TargetMode="External"/><Relationship Id="rId808" Type="http://schemas.openxmlformats.org/officeDocument/2006/relationships/hyperlink" Target="https://adstransparency.google.com/advertiser/AR05016556376214732801/creative/CR08220575083945525249?region=anywhere" TargetMode="External"/><Relationship Id="rId807" Type="http://schemas.openxmlformats.org/officeDocument/2006/relationships/hyperlink" Target="https://peec.ai/" TargetMode="External"/><Relationship Id="rId806" Type="http://schemas.openxmlformats.org/officeDocument/2006/relationships/hyperlink" Target="https://adstransparency.google.com/advertiser/AR05016556376214732801/creative/CR06512804827590819841?region=anywhere" TargetMode="External"/><Relationship Id="rId805" Type="http://schemas.openxmlformats.org/officeDocument/2006/relationships/hyperlink" Target="https://peec.ai/for-agencies" TargetMode="External"/><Relationship Id="rId809" Type="http://schemas.openxmlformats.org/officeDocument/2006/relationships/hyperlink" Target="https://peec.ai/visibility/platform" TargetMode="External"/><Relationship Id="rId800" Type="http://schemas.openxmlformats.org/officeDocument/2006/relationships/hyperlink" Target="https://adstransparency.google.com/advertiser/AR05016556376214732801/creative/CR16754462070719643649?region=anywhere" TargetMode="External"/><Relationship Id="rId804" Type="http://schemas.openxmlformats.org/officeDocument/2006/relationships/hyperlink" Target="https://adstransparency.google.com/advertiser/AR05016556376214732801/creative/CR05794697290815897601?region=anywhere" TargetMode="External"/><Relationship Id="rId803" Type="http://schemas.openxmlformats.org/officeDocument/2006/relationships/hyperlink" Target="https://peec.ai/for-agencies" TargetMode="External"/><Relationship Id="rId802" Type="http://schemas.openxmlformats.org/officeDocument/2006/relationships/hyperlink" Target="https://adstransparency.google.com/advertiser/AR05016556376214732801/creative/CR03122711411994656769?region=anywhere" TargetMode="External"/><Relationship Id="rId801" Type="http://schemas.openxmlformats.org/officeDocument/2006/relationships/hyperlink" Target="https://peec.ai/visibility/platform" TargetMode="External"/><Relationship Id="rId1750" Type="http://schemas.openxmlformats.org/officeDocument/2006/relationships/hyperlink" Target="https://adstransparency.google.com/advertiser/AR11070511645502472193/creative/CR00315903554814476289?region=anywhere" TargetMode="External"/><Relationship Id="rId1751" Type="http://schemas.openxmlformats.org/officeDocument/2006/relationships/hyperlink" Target="https://www.semrush.com/" TargetMode="External"/><Relationship Id="rId1741" Type="http://schemas.openxmlformats.org/officeDocument/2006/relationships/hyperlink" Target="https://www.semrush.com/features/" TargetMode="External"/><Relationship Id="rId1742" Type="http://schemas.openxmlformats.org/officeDocument/2006/relationships/hyperlink" Target="https://adstransparency.google.com/advertiser/AR11070511645502472193/creative/CR06876193729808433153?region=anywhere" TargetMode="External"/><Relationship Id="rId1743" Type="http://schemas.openxmlformats.org/officeDocument/2006/relationships/hyperlink" Target="https://www.semrush.com/agencies/" TargetMode="External"/><Relationship Id="rId1744" Type="http://schemas.openxmlformats.org/officeDocument/2006/relationships/hyperlink" Target="https://adstransparency.google.com/advertiser/AR11070511645502472193/creative/CR03941883446254632961?region=anywhere" TargetMode="External"/><Relationship Id="rId1745" Type="http://schemas.openxmlformats.org/officeDocument/2006/relationships/hyperlink" Target="https://www.semrush.com/pricing/" TargetMode="External"/><Relationship Id="rId1746" Type="http://schemas.openxmlformats.org/officeDocument/2006/relationships/hyperlink" Target="https://adstransparency.google.com/advertiser/AR11070511645502472193/creative/CR01548517662202527745?region=anywhere" TargetMode="External"/><Relationship Id="rId1747" Type="http://schemas.openxmlformats.org/officeDocument/2006/relationships/hyperlink" Target="https://www.semrush.com/" TargetMode="External"/><Relationship Id="rId1748" Type="http://schemas.openxmlformats.org/officeDocument/2006/relationships/hyperlink" Target="https://adstransparency.google.com/advertiser/AR11070511645502472193/creative/CR08922770076126412801?region=anywhere" TargetMode="External"/><Relationship Id="rId1749" Type="http://schemas.openxmlformats.org/officeDocument/2006/relationships/hyperlink" Target="https://www.semrush.com/" TargetMode="External"/><Relationship Id="rId1740" Type="http://schemas.openxmlformats.org/officeDocument/2006/relationships/hyperlink" Target="https://adstransparency.google.com/advertiser/AR11070511645502472193/creative/CR02238272092631990273?region=anywhere" TargetMode="External"/><Relationship Id="rId1710" Type="http://schemas.openxmlformats.org/officeDocument/2006/relationships/hyperlink" Target="https://adstransparency.google.com/advertiser/AR11070511645502472193/creative/CR17238703690425040897?region=anywhere" TargetMode="External"/><Relationship Id="rId1711" Type="http://schemas.openxmlformats.org/officeDocument/2006/relationships/hyperlink" Target="https://www.semrush.com/analytics/backlinks/overview/" TargetMode="External"/><Relationship Id="rId1712" Type="http://schemas.openxmlformats.org/officeDocument/2006/relationships/hyperlink" Target="https://adstransparency.google.com/advertiser/AR11070511645502472193/creative/CR17538415304432943105?region=anywhere" TargetMode="External"/><Relationship Id="rId1713" Type="http://schemas.openxmlformats.org/officeDocument/2006/relationships/hyperlink" Target="https://www.semrush.com/features/" TargetMode="External"/><Relationship Id="rId1714" Type="http://schemas.openxmlformats.org/officeDocument/2006/relationships/hyperlink" Target="https://adstransparency.google.com/advertiser/AR11070511645502472193/creative/CR03257052285296967681?region=anywhere" TargetMode="External"/><Relationship Id="rId1715" Type="http://schemas.openxmlformats.org/officeDocument/2006/relationships/hyperlink" Target="https://www.semrush.com/agencies/" TargetMode="External"/><Relationship Id="rId1716" Type="http://schemas.openxmlformats.org/officeDocument/2006/relationships/hyperlink" Target="https://adstransparency.google.com/advertiser/AR11070511645502472193/creative/CR15535898519343726593?region=anywhere" TargetMode="External"/><Relationship Id="rId1717" Type="http://schemas.openxmlformats.org/officeDocument/2006/relationships/hyperlink" Target="https://www.semrush.com/pricing/" TargetMode="External"/><Relationship Id="rId1718" Type="http://schemas.openxmlformats.org/officeDocument/2006/relationships/hyperlink" Target="https://adstransparency.google.com/advertiser/AR11070511645502472193/creative/CR11064578045103833089?region=anywhere" TargetMode="External"/><Relationship Id="rId1719" Type="http://schemas.openxmlformats.org/officeDocument/2006/relationships/hyperlink" Target="https://www.semrush.com/" TargetMode="External"/><Relationship Id="rId1700" Type="http://schemas.openxmlformats.org/officeDocument/2006/relationships/hyperlink" Target="https://adstransparency.google.com/advertiser/AR11070511645502472193/creative/CR12952119002355728385?region=anywhere" TargetMode="External"/><Relationship Id="rId1701" Type="http://schemas.openxmlformats.org/officeDocument/2006/relationships/hyperlink" Target="https://www.semrush.com/kb/demo/" TargetMode="External"/><Relationship Id="rId1702" Type="http://schemas.openxmlformats.org/officeDocument/2006/relationships/hyperlink" Target="https://adstransparency.google.com/advertiser/AR11070511645502472193/creative/CR13707303514328268801?region=anywhere" TargetMode="External"/><Relationship Id="rId1703" Type="http://schemas.openxmlformats.org/officeDocument/2006/relationships/hyperlink" Target="https://www.semrush.com/" TargetMode="External"/><Relationship Id="rId1704" Type="http://schemas.openxmlformats.org/officeDocument/2006/relationships/hyperlink" Target="https://adstransparency.google.com/advertiser/AR11070511645502472193/creative/CR12609064983578279937?region=anywhere" TargetMode="External"/><Relationship Id="rId1705" Type="http://schemas.openxmlformats.org/officeDocument/2006/relationships/hyperlink" Target="https://www.semrush.com/analytics/keywordoverview/" TargetMode="External"/><Relationship Id="rId1706" Type="http://schemas.openxmlformats.org/officeDocument/2006/relationships/hyperlink" Target="https://adstransparency.google.com/advertiser/AR11070511645502472193/creative/CR13233433209850560513?region=anywhere" TargetMode="External"/><Relationship Id="rId1707" Type="http://schemas.openxmlformats.org/officeDocument/2006/relationships/hyperlink" Target="https://www.semrush.com/" TargetMode="External"/><Relationship Id="rId1708" Type="http://schemas.openxmlformats.org/officeDocument/2006/relationships/hyperlink" Target="https://adstransparency.google.com/advertiser/AR11070511645502472193/creative/CR11924136172244172801?region=anywhere" TargetMode="External"/><Relationship Id="rId1709" Type="http://schemas.openxmlformats.org/officeDocument/2006/relationships/hyperlink" Target="https://www.semrush.com/" TargetMode="External"/><Relationship Id="rId40" Type="http://schemas.openxmlformats.org/officeDocument/2006/relationships/hyperlink" Target="https://adstransparency.google.com/advertiser/AR01693402396748677121/creative/CR03069138764493225985?region=anywhere" TargetMode="External"/><Relationship Id="rId1334" Type="http://schemas.openxmlformats.org/officeDocument/2006/relationships/hyperlink" Target="https://adstransparency.google.com/advertiser/AR11070511645502472193/creative/CR10419661286538215425?region=anywhere" TargetMode="External"/><Relationship Id="rId1335" Type="http://schemas.openxmlformats.org/officeDocument/2006/relationships/hyperlink" Target="https://www.semrush.com/features/" TargetMode="External"/><Relationship Id="rId42" Type="http://schemas.openxmlformats.org/officeDocument/2006/relationships/hyperlink" Target="https://adstransparency.google.com/advertiser/AR01693402396748677121/creative/CR02838025543503314945?region=anywhere" TargetMode="External"/><Relationship Id="rId1336" Type="http://schemas.openxmlformats.org/officeDocument/2006/relationships/hyperlink" Target="https://adstransparency.google.com/advertiser/AR11070511645502472193/creative/CR13068042231259070465?region=anywhere" TargetMode="External"/><Relationship Id="rId41" Type="http://schemas.openxmlformats.org/officeDocument/2006/relationships/hyperlink" Target="https://www.tryprofound.com/" TargetMode="External"/><Relationship Id="rId1337" Type="http://schemas.openxmlformats.org/officeDocument/2006/relationships/hyperlink" Target="https://www.semrush.com/kb/demo/" TargetMode="External"/><Relationship Id="rId44" Type="http://schemas.openxmlformats.org/officeDocument/2006/relationships/hyperlink" Target="https://adstransparency.google.com/advertiser/AR01693402396748677121/creative/CR06546054016265093121?region=anywhere" TargetMode="External"/><Relationship Id="rId1338" Type="http://schemas.openxmlformats.org/officeDocument/2006/relationships/hyperlink" Target="https://adstransparency.google.com/advertiser/AR11070511645502472193/creative/CR00000596493648003073?region=anywhere" TargetMode="External"/><Relationship Id="rId43" Type="http://schemas.openxmlformats.org/officeDocument/2006/relationships/hyperlink" Target="https://www.tryprofound.com/" TargetMode="External"/><Relationship Id="rId1339" Type="http://schemas.openxmlformats.org/officeDocument/2006/relationships/hyperlink" Target="https://www.semrush.com/" TargetMode="External"/><Relationship Id="rId46" Type="http://schemas.openxmlformats.org/officeDocument/2006/relationships/hyperlink" Target="https://adstransparency.google.com/advertiser/AR01693402396748677121/creative/CR02446427330445312001?region=anywhere" TargetMode="External"/><Relationship Id="rId45" Type="http://schemas.openxmlformats.org/officeDocument/2006/relationships/hyperlink" Target="https://www.tryprofound.com/" TargetMode="External"/><Relationship Id="rId745" Type="http://schemas.openxmlformats.org/officeDocument/2006/relationships/hyperlink" Target="https://peec.ai/" TargetMode="External"/><Relationship Id="rId744" Type="http://schemas.openxmlformats.org/officeDocument/2006/relationships/hyperlink" Target="https://adstransparency.google.com/advertiser/AR05016556376214732801/creative/CR02601624676606148609?region=anywhere" TargetMode="External"/><Relationship Id="rId743" Type="http://schemas.openxmlformats.org/officeDocument/2006/relationships/hyperlink" Target="https://peec.ai/demo" TargetMode="External"/><Relationship Id="rId742" Type="http://schemas.openxmlformats.org/officeDocument/2006/relationships/hyperlink" Target="https://adstransparency.google.com/advertiser/AR05016556376214732801/creative/CR08346682608020619265?region=anywhere" TargetMode="External"/><Relationship Id="rId749" Type="http://schemas.openxmlformats.org/officeDocument/2006/relationships/hyperlink" Target="https://peec.ai/black-friday" TargetMode="External"/><Relationship Id="rId748" Type="http://schemas.openxmlformats.org/officeDocument/2006/relationships/hyperlink" Target="https://adstransparency.google.com/advertiser/AR05016556376214732801/creative/CR14673917102935506945?region=anywhere" TargetMode="External"/><Relationship Id="rId747" Type="http://schemas.openxmlformats.org/officeDocument/2006/relationships/hyperlink" Target="https://peec.ai/" TargetMode="External"/><Relationship Id="rId746" Type="http://schemas.openxmlformats.org/officeDocument/2006/relationships/hyperlink" Target="https://adstransparency.google.com/advertiser/AR05016556376214732801/creative/CR13702542560260521985?region=anywhere" TargetMode="External"/><Relationship Id="rId48" Type="http://schemas.openxmlformats.org/officeDocument/2006/relationships/hyperlink" Target="https://adstransparency.google.com/advertiser/AR01693402396748677121/creative/CR11321927082411294721?region=anywhere" TargetMode="External"/><Relationship Id="rId47" Type="http://schemas.openxmlformats.org/officeDocument/2006/relationships/hyperlink" Target="https://www.tryprofound.com/" TargetMode="External"/><Relationship Id="rId49" Type="http://schemas.openxmlformats.org/officeDocument/2006/relationships/hyperlink" Target="https://www.tryprofound.com/customers/mongodb" TargetMode="External"/><Relationship Id="rId741" Type="http://schemas.openxmlformats.org/officeDocument/2006/relationships/hyperlink" Target="https://peec.ai/for-agencies" TargetMode="External"/><Relationship Id="rId1330" Type="http://schemas.openxmlformats.org/officeDocument/2006/relationships/hyperlink" Target="https://adstransparency.google.com/advertiser/AR11070511645502472193/creative/CR18342594810453426177?region=anywhere" TargetMode="External"/><Relationship Id="rId740" Type="http://schemas.openxmlformats.org/officeDocument/2006/relationships/hyperlink" Target="https://adstransparency.google.com/advertiser/AR05016556376214732801/creative/CR15248765833753657345?region=anywhere" TargetMode="External"/><Relationship Id="rId1331" Type="http://schemas.openxmlformats.org/officeDocument/2006/relationships/hyperlink" Target="https://www.semrush.com/" TargetMode="External"/><Relationship Id="rId1332" Type="http://schemas.openxmlformats.org/officeDocument/2006/relationships/hyperlink" Target="https://adstransparency.google.com/advertiser/AR11070511645502472193/creative/CR18227401657270927361?region=anywhere" TargetMode="External"/><Relationship Id="rId1333" Type="http://schemas.openxmlformats.org/officeDocument/2006/relationships/hyperlink" Target="https://www.semrush.com/" TargetMode="External"/><Relationship Id="rId1323" Type="http://schemas.openxmlformats.org/officeDocument/2006/relationships/hyperlink" Target="https://www.semrush.com/agencies/" TargetMode="External"/><Relationship Id="rId1324" Type="http://schemas.openxmlformats.org/officeDocument/2006/relationships/hyperlink" Target="https://adstransparency.google.com/advertiser/AR11070511645502472193/creative/CR10170083691905155073?region=anywhere" TargetMode="External"/><Relationship Id="rId31" Type="http://schemas.openxmlformats.org/officeDocument/2006/relationships/hyperlink" Target="https://www.tryprofound.com/" TargetMode="External"/><Relationship Id="rId1325" Type="http://schemas.openxmlformats.org/officeDocument/2006/relationships/hyperlink" Target="https://www.semrush.com/pricing/" TargetMode="External"/><Relationship Id="rId30" Type="http://schemas.openxmlformats.org/officeDocument/2006/relationships/hyperlink" Target="https://adstransparency.google.com/advertiser/AR01693402396748677121/creative/CR02187132526923874305?region=anywhere" TargetMode="External"/><Relationship Id="rId1326" Type="http://schemas.openxmlformats.org/officeDocument/2006/relationships/hyperlink" Target="https://adstransparency.google.com/advertiser/AR11070511645502472193/creative/CR07166745690402455553?region=anywhere" TargetMode="External"/><Relationship Id="rId33" Type="http://schemas.openxmlformats.org/officeDocument/2006/relationships/hyperlink" Target="https://www.tryprofound.com/" TargetMode="External"/><Relationship Id="rId1327" Type="http://schemas.openxmlformats.org/officeDocument/2006/relationships/hyperlink" Target="https://www.semrush.com/" TargetMode="External"/><Relationship Id="rId32" Type="http://schemas.openxmlformats.org/officeDocument/2006/relationships/hyperlink" Target="https://adstransparency.google.com/advertiser/AR01693402396748677121/creative/CR00727154533196627969?region=anywhere" TargetMode="External"/><Relationship Id="rId1328" Type="http://schemas.openxmlformats.org/officeDocument/2006/relationships/hyperlink" Target="https://adstransparency.google.com/advertiser/AR11070511645502472193/creative/CR02016879516504293377?region=anywhere" TargetMode="External"/><Relationship Id="rId35" Type="http://schemas.openxmlformats.org/officeDocument/2006/relationships/hyperlink" Target="https://www.tryprofound.com/" TargetMode="External"/><Relationship Id="rId1329" Type="http://schemas.openxmlformats.org/officeDocument/2006/relationships/hyperlink" Target="https://www.semrush.com/" TargetMode="External"/><Relationship Id="rId34" Type="http://schemas.openxmlformats.org/officeDocument/2006/relationships/hyperlink" Target="https://adstransparency.google.com/advertiser/AR01693402396748677121/creative/CR12635184663980146689?region=anywhere" TargetMode="External"/><Relationship Id="rId739" Type="http://schemas.openxmlformats.org/officeDocument/2006/relationships/hyperlink" Target="https://peec.ai/pricing" TargetMode="External"/><Relationship Id="rId734" Type="http://schemas.openxmlformats.org/officeDocument/2006/relationships/hyperlink" Target="https://adstransparency.google.com/advertiser/AR05016556376214732801/creative/CR17998698290891194369?region=anywhere" TargetMode="External"/><Relationship Id="rId733" Type="http://schemas.openxmlformats.org/officeDocument/2006/relationships/hyperlink" Target="https://peec.ai/" TargetMode="External"/><Relationship Id="rId732" Type="http://schemas.openxmlformats.org/officeDocument/2006/relationships/hyperlink" Target="https://adstransparency.google.com/advertiser/AR05016556376214732801/creative/CR11140373703798292481?region=anywhere" TargetMode="External"/><Relationship Id="rId731" Type="http://schemas.openxmlformats.org/officeDocument/2006/relationships/hyperlink" Target="https://peec.ai/for-agencies" TargetMode="External"/><Relationship Id="rId738" Type="http://schemas.openxmlformats.org/officeDocument/2006/relationships/hyperlink" Target="https://adstransparency.google.com/advertiser/AR05016556376214732801/creative/CR14122936295655211009?region=anywhere" TargetMode="External"/><Relationship Id="rId737" Type="http://schemas.openxmlformats.org/officeDocument/2006/relationships/hyperlink" Target="https://peec.ai/visibility/platform" TargetMode="External"/><Relationship Id="rId736" Type="http://schemas.openxmlformats.org/officeDocument/2006/relationships/hyperlink" Target="https://adstransparency.google.com/advertiser/AR05016556376214732801/creative/CR05905860665163120641?region=anywhere" TargetMode="External"/><Relationship Id="rId735" Type="http://schemas.openxmlformats.org/officeDocument/2006/relationships/hyperlink" Target="https://peec.ai/" TargetMode="External"/><Relationship Id="rId37" Type="http://schemas.openxmlformats.org/officeDocument/2006/relationships/hyperlink" Target="https://www.tryprofound.com/" TargetMode="External"/><Relationship Id="rId36" Type="http://schemas.openxmlformats.org/officeDocument/2006/relationships/hyperlink" Target="https://adstransparency.google.com/advertiser/AR01693402396748677121/creative/CR05172016050388074497?region=anywhere" TargetMode="External"/><Relationship Id="rId39" Type="http://schemas.openxmlformats.org/officeDocument/2006/relationships/hyperlink" Target="https://www.tryprofound.com/" TargetMode="External"/><Relationship Id="rId38" Type="http://schemas.openxmlformats.org/officeDocument/2006/relationships/hyperlink" Target="https://adstransparency.google.com/advertiser/AR01693402396748677121/creative/CR04264440944792698881?region=anywhere" TargetMode="External"/><Relationship Id="rId730" Type="http://schemas.openxmlformats.org/officeDocument/2006/relationships/hyperlink" Target="https://adstransparency.google.com/advertiser/AR05016556376214732801/creative/CR15709499757418250241?region=anywhere" TargetMode="External"/><Relationship Id="rId1320" Type="http://schemas.openxmlformats.org/officeDocument/2006/relationships/hyperlink" Target="https://adstransparency.google.com/advertiser/AR11070511645502472193/creative/CR08508780222869405697?region=anywhere" TargetMode="External"/><Relationship Id="rId1321" Type="http://schemas.openxmlformats.org/officeDocument/2006/relationships/hyperlink" Target="https://www.semrush.com/features/" TargetMode="External"/><Relationship Id="rId1322" Type="http://schemas.openxmlformats.org/officeDocument/2006/relationships/hyperlink" Target="https://adstransparency.google.com/advertiser/AR11070511645502472193/creative/CR17801437177494634497?region=anywhere" TargetMode="External"/><Relationship Id="rId1356" Type="http://schemas.openxmlformats.org/officeDocument/2006/relationships/hyperlink" Target="https://adstransparency.google.com/advertiser/AR11070511645502472193/creative/CR15646979808275988481?region=anywhere" TargetMode="External"/><Relationship Id="rId2203" Type="http://schemas.openxmlformats.org/officeDocument/2006/relationships/hyperlink" Target="https://adstransparency.google.com/advertiser/AR01685939160927436801/creative/CR08938556614969917441?region=anywhere" TargetMode="External"/><Relationship Id="rId1357" Type="http://schemas.openxmlformats.org/officeDocument/2006/relationships/hyperlink" Target="https://www.semrush.com/" TargetMode="External"/><Relationship Id="rId2204" Type="http://schemas.openxmlformats.org/officeDocument/2006/relationships/hyperlink" Target="https://www.scrunch.com/ai-search" TargetMode="External"/><Relationship Id="rId20" Type="http://schemas.openxmlformats.org/officeDocument/2006/relationships/hyperlink" Target="https://adstransparency.google.com/advertiser/AR01693402396748677121/creative/CR05727557494461431809?region=anywhere" TargetMode="External"/><Relationship Id="rId1358" Type="http://schemas.openxmlformats.org/officeDocument/2006/relationships/hyperlink" Target="https://adstransparency.google.com/advertiser/AR11070511645502472193/creative/CR01036490971346370561?region=anywhere" TargetMode="External"/><Relationship Id="rId2205" Type="http://schemas.openxmlformats.org/officeDocument/2006/relationships/hyperlink" Target="https://adstransparency.google.com/advertiser/AR01685939160927436801/creative/CR09285988545451786241?region=anywhere" TargetMode="External"/><Relationship Id="rId1359" Type="http://schemas.openxmlformats.org/officeDocument/2006/relationships/hyperlink" Target="https://www.semrush.com/" TargetMode="External"/><Relationship Id="rId2206" Type="http://schemas.openxmlformats.org/officeDocument/2006/relationships/hyperlink" Target="https://www.scrunch.com/chatgpt/visibility" TargetMode="External"/><Relationship Id="rId22" Type="http://schemas.openxmlformats.org/officeDocument/2006/relationships/hyperlink" Target="https://adstransparency.google.com/advertiser/AR01693402396748677121/creative/CR03874070199028154369?region=anywhere" TargetMode="External"/><Relationship Id="rId2207" Type="http://schemas.openxmlformats.org/officeDocument/2006/relationships/hyperlink" Target="https://adstransparency.google.com/advertiser/AR01685939160927436801/creative/CR05192562005701033985?region=anywhere" TargetMode="External"/><Relationship Id="rId21" Type="http://schemas.openxmlformats.org/officeDocument/2006/relationships/hyperlink" Target="https://www.tryprofound.com/" TargetMode="External"/><Relationship Id="rId2208" Type="http://schemas.openxmlformats.org/officeDocument/2006/relationships/hyperlink" Target="https://www.scrunch.com/ai-search/monitoring" TargetMode="External"/><Relationship Id="rId24" Type="http://schemas.openxmlformats.org/officeDocument/2006/relationships/hyperlink" Target="https://adstransparency.google.com/advertiser/AR01693402396748677121/creative/CR11550465659485814785?region=anywhere" TargetMode="External"/><Relationship Id="rId2209" Type="http://schemas.openxmlformats.org/officeDocument/2006/relationships/hyperlink" Target="https://adstransparency.google.com/advertiser/AR01685939160927436801/creative/CR16418315965671931905?region=anywhere" TargetMode="External"/><Relationship Id="rId23" Type="http://schemas.openxmlformats.org/officeDocument/2006/relationships/hyperlink" Target="https://www.tryprofound.com/" TargetMode="External"/><Relationship Id="rId767" Type="http://schemas.openxmlformats.org/officeDocument/2006/relationships/hyperlink" Target="https://peec.ai/demo" TargetMode="External"/><Relationship Id="rId766" Type="http://schemas.openxmlformats.org/officeDocument/2006/relationships/hyperlink" Target="https://adstransparency.google.com/advertiser/AR05016556376214732801/creative/CR15944768239007956993?region=anywhere" TargetMode="External"/><Relationship Id="rId765" Type="http://schemas.openxmlformats.org/officeDocument/2006/relationships/hyperlink" Target="https://peec.ai/for-agencies" TargetMode="External"/><Relationship Id="rId764" Type="http://schemas.openxmlformats.org/officeDocument/2006/relationships/hyperlink" Target="https://adstransparency.google.com/advertiser/AR05016556376214732801/creative/CR02220782367327387649?region=anywhere" TargetMode="External"/><Relationship Id="rId769" Type="http://schemas.openxmlformats.org/officeDocument/2006/relationships/hyperlink" Target="https://peec.ai/" TargetMode="External"/><Relationship Id="rId768" Type="http://schemas.openxmlformats.org/officeDocument/2006/relationships/hyperlink" Target="https://adstransparency.google.com/advertiser/AR05016556376214732801/creative/CR14888844619411357697?region=anywhere" TargetMode="External"/><Relationship Id="rId26" Type="http://schemas.openxmlformats.org/officeDocument/2006/relationships/hyperlink" Target="https://adstransparency.google.com/advertiser/AR01693402396748677121/creative/CR04939526515718094849?region=anywhere" TargetMode="External"/><Relationship Id="rId25" Type="http://schemas.openxmlformats.org/officeDocument/2006/relationships/hyperlink" Target="https://www.tryprofound.com/pricing" TargetMode="External"/><Relationship Id="rId28" Type="http://schemas.openxmlformats.org/officeDocument/2006/relationships/hyperlink" Target="https://adstransparency.google.com/advertiser/AR01693402396748677121/creative/CR04064468367002566657?region=anywhere" TargetMode="External"/><Relationship Id="rId1350" Type="http://schemas.openxmlformats.org/officeDocument/2006/relationships/hyperlink" Target="https://adstransparency.google.com/advertiser/AR11070511645502472193/creative/CR11381250519323377665?region=anywhere" TargetMode="External"/><Relationship Id="rId27" Type="http://schemas.openxmlformats.org/officeDocument/2006/relationships/hyperlink" Target="https://www.tryprofound.com/" TargetMode="External"/><Relationship Id="rId1351" Type="http://schemas.openxmlformats.org/officeDocument/2006/relationships/hyperlink" Target="https://www.semrush.com/agencies/" TargetMode="External"/><Relationship Id="rId763" Type="http://schemas.openxmlformats.org/officeDocument/2006/relationships/hyperlink" Target="https://peec.ai/pricing" TargetMode="External"/><Relationship Id="rId1352" Type="http://schemas.openxmlformats.org/officeDocument/2006/relationships/hyperlink" Target="https://adstransparency.google.com/advertiser/AR11070511645502472193/creative/CR04189299289358336001?region=anywhere" TargetMode="External"/><Relationship Id="rId29" Type="http://schemas.openxmlformats.org/officeDocument/2006/relationships/hyperlink" Target="https://www.tryprofound.com/" TargetMode="External"/><Relationship Id="rId762" Type="http://schemas.openxmlformats.org/officeDocument/2006/relationships/hyperlink" Target="https://adstransparency.google.com/advertiser/AR05016556376214732801/creative/CR08441738411898830849?region=anywhere" TargetMode="External"/><Relationship Id="rId1353" Type="http://schemas.openxmlformats.org/officeDocument/2006/relationships/hyperlink" Target="https://www.semrush.com/pricing/" TargetMode="External"/><Relationship Id="rId2200" Type="http://schemas.openxmlformats.org/officeDocument/2006/relationships/hyperlink" Target="https://www.scrunch.com/aeo" TargetMode="External"/><Relationship Id="rId761" Type="http://schemas.openxmlformats.org/officeDocument/2006/relationships/hyperlink" Target="https://peec.ai/visibility/platform" TargetMode="External"/><Relationship Id="rId1354" Type="http://schemas.openxmlformats.org/officeDocument/2006/relationships/hyperlink" Target="https://adstransparency.google.com/advertiser/AR11070511645502472193/creative/CR06259451441308499969?region=anywhere" TargetMode="External"/><Relationship Id="rId2201" Type="http://schemas.openxmlformats.org/officeDocument/2006/relationships/hyperlink" Target="https://adstransparency.google.com/advertiser/AR01685939160927436801/creative/CR13060001391055994881?region=anywhere" TargetMode="External"/><Relationship Id="rId760" Type="http://schemas.openxmlformats.org/officeDocument/2006/relationships/hyperlink" Target="https://adstransparency.google.com/advertiser/AR05016556376214732801/creative/CR13640440494256291841?region=anywhere" TargetMode="External"/><Relationship Id="rId1355" Type="http://schemas.openxmlformats.org/officeDocument/2006/relationships/hyperlink" Target="https://www.semrush.com/" TargetMode="External"/><Relationship Id="rId2202" Type="http://schemas.openxmlformats.org/officeDocument/2006/relationships/hyperlink" Target="https://scrunch.com/" TargetMode="External"/><Relationship Id="rId1345" Type="http://schemas.openxmlformats.org/officeDocument/2006/relationships/hyperlink" Target="https://www.semrush.com/" TargetMode="External"/><Relationship Id="rId1346" Type="http://schemas.openxmlformats.org/officeDocument/2006/relationships/hyperlink" Target="https://adstransparency.google.com/advertiser/AR11070511645502472193/creative/CR11350969831655473153?region=anywhere" TargetMode="External"/><Relationship Id="rId1347" Type="http://schemas.openxmlformats.org/officeDocument/2006/relationships/hyperlink" Target="https://www.semrush.com/analytics/backlinks/overview/" TargetMode="External"/><Relationship Id="rId1348" Type="http://schemas.openxmlformats.org/officeDocument/2006/relationships/hyperlink" Target="https://adstransparency.google.com/advertiser/AR11070511645502472193/creative/CR03868508706006106113?region=anywhere" TargetMode="External"/><Relationship Id="rId11" Type="http://schemas.openxmlformats.org/officeDocument/2006/relationships/hyperlink" Target="https://www.tryprofound.com/" TargetMode="External"/><Relationship Id="rId1349" Type="http://schemas.openxmlformats.org/officeDocument/2006/relationships/hyperlink" Target="https://www.semrush.com/features/" TargetMode="External"/><Relationship Id="rId10" Type="http://schemas.openxmlformats.org/officeDocument/2006/relationships/hyperlink" Target="https://adstransparency.google.com/advertiser/AR01693402396748677121/creative/CR04290836370684903425?region=anywhere" TargetMode="External"/><Relationship Id="rId13" Type="http://schemas.openxmlformats.org/officeDocument/2006/relationships/hyperlink" Target="https://www.tryprofound.com/" TargetMode="External"/><Relationship Id="rId12" Type="http://schemas.openxmlformats.org/officeDocument/2006/relationships/hyperlink" Target="https://adstransparency.google.com/advertiser/AR01693402396748677121/creative/CR08972781457005084673?region=anywhere" TargetMode="External"/><Relationship Id="rId756" Type="http://schemas.openxmlformats.org/officeDocument/2006/relationships/hyperlink" Target="https://adstransparency.google.com/advertiser/AR05016556376214732801/creative/CR08047641696105660417?region=anywhere" TargetMode="External"/><Relationship Id="rId755" Type="http://schemas.openxmlformats.org/officeDocument/2006/relationships/hyperlink" Target="https://peec.ai/for-agencies" TargetMode="External"/><Relationship Id="rId754" Type="http://schemas.openxmlformats.org/officeDocument/2006/relationships/hyperlink" Target="https://adstransparency.google.com/advertiser/AR05016556376214732801/creative/CR02659840381323051009?region=anywhere" TargetMode="External"/><Relationship Id="rId753" Type="http://schemas.openxmlformats.org/officeDocument/2006/relationships/hyperlink" Target="https://peec.ai/visibility/platform" TargetMode="External"/><Relationship Id="rId759" Type="http://schemas.openxmlformats.org/officeDocument/2006/relationships/hyperlink" Target="https://peec.ai/" TargetMode="External"/><Relationship Id="rId758" Type="http://schemas.openxmlformats.org/officeDocument/2006/relationships/hyperlink" Target="https://adstransparency.google.com/advertiser/AR05016556376214732801/creative/CR10091070587309916161?region=anywhere" TargetMode="External"/><Relationship Id="rId757" Type="http://schemas.openxmlformats.org/officeDocument/2006/relationships/hyperlink" Target="https://peec.ai/" TargetMode="External"/><Relationship Id="rId15" Type="http://schemas.openxmlformats.org/officeDocument/2006/relationships/hyperlink" Target="https://hmesus.com/products/glucose-meter" TargetMode="External"/><Relationship Id="rId14" Type="http://schemas.openxmlformats.org/officeDocument/2006/relationships/hyperlink" Target="https://adstransparency.google.com/advertiser/AR01693402396748677121/creative/CR03874070199028154369?region=anywhere" TargetMode="External"/><Relationship Id="rId17" Type="http://schemas.openxmlformats.org/officeDocument/2006/relationships/hyperlink" Target="https://www.tryprofound.com/" TargetMode="External"/><Relationship Id="rId16" Type="http://schemas.openxmlformats.org/officeDocument/2006/relationships/hyperlink" Target="https://adstransparency.google.com/advertiser/AR01693402396748677121/creative/CR04966302690461089793?region=anywhere" TargetMode="External"/><Relationship Id="rId1340" Type="http://schemas.openxmlformats.org/officeDocument/2006/relationships/hyperlink" Target="https://adstransparency.google.com/advertiser/AR11070511645502472193/creative/CR13604034427310047233?region=anywhere" TargetMode="External"/><Relationship Id="rId19" Type="http://schemas.openxmlformats.org/officeDocument/2006/relationships/hyperlink" Target="https://www.tryprofound.com/" TargetMode="External"/><Relationship Id="rId752" Type="http://schemas.openxmlformats.org/officeDocument/2006/relationships/hyperlink" Target="https://adstransparency.google.com/advertiser/AR05016556376214732801/creative/CR11181116794360299521?region=anywhere" TargetMode="External"/><Relationship Id="rId1341" Type="http://schemas.openxmlformats.org/officeDocument/2006/relationships/hyperlink" Target="https://www.semrush.com/analytics/keywordoverview/" TargetMode="External"/><Relationship Id="rId18" Type="http://schemas.openxmlformats.org/officeDocument/2006/relationships/hyperlink" Target="https://adstransparency.google.com/advertiser/AR01693402396748677121/creative/CR15387676578028716033?region=anywhere" TargetMode="External"/><Relationship Id="rId751" Type="http://schemas.openxmlformats.org/officeDocument/2006/relationships/hyperlink" Target="https://peec.ai/" TargetMode="External"/><Relationship Id="rId1342" Type="http://schemas.openxmlformats.org/officeDocument/2006/relationships/hyperlink" Target="https://adstransparency.google.com/advertiser/AR11070511645502472193/creative/CR12472796185356140545?region=anywhere" TargetMode="External"/><Relationship Id="rId750" Type="http://schemas.openxmlformats.org/officeDocument/2006/relationships/hyperlink" Target="https://adstransparency.google.com/advertiser/AR05016556376214732801/creative/CR14859607986753503233?region=anywhere" TargetMode="External"/><Relationship Id="rId1343" Type="http://schemas.openxmlformats.org/officeDocument/2006/relationships/hyperlink" Target="https://www.semrush.com/" TargetMode="External"/><Relationship Id="rId1344" Type="http://schemas.openxmlformats.org/officeDocument/2006/relationships/hyperlink" Target="https://adstransparency.google.com/advertiser/AR11070511645502472193/creative/CR06408935338504355841?region=anywhere" TargetMode="External"/><Relationship Id="rId84" Type="http://schemas.openxmlformats.org/officeDocument/2006/relationships/hyperlink" Target="https://adstransparency.google.com/advertiser/AR01693402396748677121/creative/CR16511273145450102785?region=anywhere" TargetMode="External"/><Relationship Id="rId1774" Type="http://schemas.openxmlformats.org/officeDocument/2006/relationships/hyperlink" Target="https://adstransparency.google.com/advertiser/AR11070511645502472193/creative/CR04556417296930701313?region=anywhere" TargetMode="External"/><Relationship Id="rId83" Type="http://schemas.openxmlformats.org/officeDocument/2006/relationships/hyperlink" Target="https://www.tryprofound.com/" TargetMode="External"/><Relationship Id="rId1775" Type="http://schemas.openxmlformats.org/officeDocument/2006/relationships/hyperlink" Target="https://www.semrush.com/" TargetMode="External"/><Relationship Id="rId86" Type="http://schemas.openxmlformats.org/officeDocument/2006/relationships/hyperlink" Target="https://adstransparency.google.com/advertiser/AR01693402396748677121/creative/CR10679961825371488257?region=anywhere" TargetMode="External"/><Relationship Id="rId1776" Type="http://schemas.openxmlformats.org/officeDocument/2006/relationships/hyperlink" Target="https://adstransparency.google.com/advertiser/AR11070511645502472193/creative/CR12456044026195345409?region=anywhere" TargetMode="External"/><Relationship Id="rId85" Type="http://schemas.openxmlformats.org/officeDocument/2006/relationships/hyperlink" Target="https://www.tryprofound.com/" TargetMode="External"/><Relationship Id="rId1777" Type="http://schemas.openxmlformats.org/officeDocument/2006/relationships/hyperlink" Target="https://www.semrush.com/" TargetMode="External"/><Relationship Id="rId88" Type="http://schemas.openxmlformats.org/officeDocument/2006/relationships/hyperlink" Target="https://adstransparency.google.com/advertiser/AR01693402396748677121/creative/CR04511338204955148289?region=anywhere" TargetMode="External"/><Relationship Id="rId1778" Type="http://schemas.openxmlformats.org/officeDocument/2006/relationships/hyperlink" Target="https://adstransparency.google.com/advertiser/AR11070511645502472193/creative/CR05242640096011747329?region=anywhere" TargetMode="External"/><Relationship Id="rId87" Type="http://schemas.openxmlformats.org/officeDocument/2006/relationships/hyperlink" Target="https://www.tryprofound.com/" TargetMode="External"/><Relationship Id="rId1779" Type="http://schemas.openxmlformats.org/officeDocument/2006/relationships/hyperlink" Target="https://www.semrush.com/" TargetMode="External"/><Relationship Id="rId89" Type="http://schemas.openxmlformats.org/officeDocument/2006/relationships/hyperlink" Target="https://www.tryprofound.com/" TargetMode="External"/><Relationship Id="rId709" Type="http://schemas.openxmlformats.org/officeDocument/2006/relationships/hyperlink" Target="https://peec.ai/" TargetMode="External"/><Relationship Id="rId708" Type="http://schemas.openxmlformats.org/officeDocument/2006/relationships/hyperlink" Target="https://adstransparency.google.com/advertiser/AR05016556376214732801/creative/CR10089395343906045953?region=anywhere" TargetMode="External"/><Relationship Id="rId707" Type="http://schemas.openxmlformats.org/officeDocument/2006/relationships/hyperlink" Target="https://peec.ai/for-agencies" TargetMode="External"/><Relationship Id="rId706" Type="http://schemas.openxmlformats.org/officeDocument/2006/relationships/hyperlink" Target="https://adstransparency.google.com/advertiser/AR05016556376214732801/creative/CR13924622537314009089?region=anywhere" TargetMode="External"/><Relationship Id="rId80" Type="http://schemas.openxmlformats.org/officeDocument/2006/relationships/hyperlink" Target="https://adstransparency.google.com/advertiser/AR01693402396748677121/creative/CR12684558989539672065?region=anywhere" TargetMode="External"/><Relationship Id="rId82" Type="http://schemas.openxmlformats.org/officeDocument/2006/relationships/hyperlink" Target="https://adstransparency.google.com/advertiser/AR01693402396748677121/creative/CR14513259100994797569?region=anywhere" TargetMode="External"/><Relationship Id="rId81" Type="http://schemas.openxmlformats.org/officeDocument/2006/relationships/hyperlink" Target="https://www.tryprofound.com/" TargetMode="External"/><Relationship Id="rId701" Type="http://schemas.openxmlformats.org/officeDocument/2006/relationships/hyperlink" Target="https://peec.ai/black-friday" TargetMode="External"/><Relationship Id="rId700" Type="http://schemas.openxmlformats.org/officeDocument/2006/relationships/hyperlink" Target="https://adstransparency.google.com/advertiser/AR05016556376214732801/creative/CR01469010490339360769?region=anywhere" TargetMode="External"/><Relationship Id="rId705" Type="http://schemas.openxmlformats.org/officeDocument/2006/relationships/hyperlink" Target="https://peec.ai/visibility/platform" TargetMode="External"/><Relationship Id="rId704" Type="http://schemas.openxmlformats.org/officeDocument/2006/relationships/hyperlink" Target="https://adstransparency.google.com/advertiser/AR05016556376214732801/creative/CR12117501441065615361?region=anywhere" TargetMode="External"/><Relationship Id="rId703" Type="http://schemas.openxmlformats.org/officeDocument/2006/relationships/hyperlink" Target="https://peec.ai/" TargetMode="External"/><Relationship Id="rId702" Type="http://schemas.openxmlformats.org/officeDocument/2006/relationships/hyperlink" Target="https://adstransparency.google.com/advertiser/AR05016556376214732801/creative/CR01898027326063509505?region=anywhere" TargetMode="External"/><Relationship Id="rId1770" Type="http://schemas.openxmlformats.org/officeDocument/2006/relationships/hyperlink" Target="https://adstransparency.google.com/advertiser/AR11070511645502472193/creative/CR08798130915470475265?region=anywhere" TargetMode="External"/><Relationship Id="rId1771" Type="http://schemas.openxmlformats.org/officeDocument/2006/relationships/hyperlink" Target="https://www.semrush.com/agencies/" TargetMode="External"/><Relationship Id="rId1772" Type="http://schemas.openxmlformats.org/officeDocument/2006/relationships/hyperlink" Target="https://adstransparency.google.com/advertiser/AR11070511645502472193/creative/CR09790502762981621761?region=anywhere" TargetMode="External"/><Relationship Id="rId1773" Type="http://schemas.openxmlformats.org/officeDocument/2006/relationships/hyperlink" Target="https://www.semrush.com/pricing/" TargetMode="External"/><Relationship Id="rId73" Type="http://schemas.openxmlformats.org/officeDocument/2006/relationships/hyperlink" Target="https://www.tryprofound.com/" TargetMode="External"/><Relationship Id="rId1763" Type="http://schemas.openxmlformats.org/officeDocument/2006/relationships/hyperlink" Target="https://www.semrush.com/" TargetMode="External"/><Relationship Id="rId72" Type="http://schemas.openxmlformats.org/officeDocument/2006/relationships/hyperlink" Target="https://adstransparency.google.com/advertiser/AR01693402396748677121/creative/CR14779284221348282369?region=anywhere" TargetMode="External"/><Relationship Id="rId1764" Type="http://schemas.openxmlformats.org/officeDocument/2006/relationships/hyperlink" Target="https://adstransparency.google.com/advertiser/AR11070511645502472193/creative/CR07268240406171615233?region=anywhere" TargetMode="External"/><Relationship Id="rId75" Type="http://schemas.openxmlformats.org/officeDocument/2006/relationships/hyperlink" Target="https://www.tryprofound.com/" TargetMode="External"/><Relationship Id="rId1765" Type="http://schemas.openxmlformats.org/officeDocument/2006/relationships/hyperlink" Target="https://www.semrush.com/" TargetMode="External"/><Relationship Id="rId74" Type="http://schemas.openxmlformats.org/officeDocument/2006/relationships/hyperlink" Target="https://adstransparency.google.com/advertiser/AR01693402396748677121/creative/CR05149462318123319297?region=anywhere" TargetMode="External"/><Relationship Id="rId1766" Type="http://schemas.openxmlformats.org/officeDocument/2006/relationships/hyperlink" Target="https://adstransparency.google.com/advertiser/AR11070511645502472193/creative/CR16616743119739682817?region=anywhere" TargetMode="External"/><Relationship Id="rId77" Type="http://schemas.openxmlformats.org/officeDocument/2006/relationships/hyperlink" Target="https://www.tryprofound.com/" TargetMode="External"/><Relationship Id="rId1767" Type="http://schemas.openxmlformats.org/officeDocument/2006/relationships/hyperlink" Target="https://www.semrush.com/analytics/backlinks/overview/" TargetMode="External"/><Relationship Id="rId76" Type="http://schemas.openxmlformats.org/officeDocument/2006/relationships/hyperlink" Target="https://adstransparency.google.com/advertiser/AR01693402396748677121/creative/CR08972781457005084673?region=anywhere" TargetMode="External"/><Relationship Id="rId1768" Type="http://schemas.openxmlformats.org/officeDocument/2006/relationships/hyperlink" Target="https://adstransparency.google.com/advertiser/AR11070511645502472193/creative/CR17946319893406154753?region=anywhere" TargetMode="External"/><Relationship Id="rId79" Type="http://schemas.openxmlformats.org/officeDocument/2006/relationships/hyperlink" Target="https://www.tryprofound.com/" TargetMode="External"/><Relationship Id="rId1769" Type="http://schemas.openxmlformats.org/officeDocument/2006/relationships/hyperlink" Target="https://www.semrush.com/features/" TargetMode="External"/><Relationship Id="rId78" Type="http://schemas.openxmlformats.org/officeDocument/2006/relationships/hyperlink" Target="https://adstransparency.google.com/advertiser/AR01693402396748677121/creative/CR04765412570217578497?region=anywhere" TargetMode="External"/><Relationship Id="rId71" Type="http://schemas.openxmlformats.org/officeDocument/2006/relationships/hyperlink" Target="https://www.tryprofound.com/" TargetMode="External"/><Relationship Id="rId70" Type="http://schemas.openxmlformats.org/officeDocument/2006/relationships/hyperlink" Target="https://adstransparency.google.com/advertiser/AR01693402396748677121/creative/CR18205662345294774273?region=anywhere" TargetMode="External"/><Relationship Id="rId1760" Type="http://schemas.openxmlformats.org/officeDocument/2006/relationships/hyperlink" Target="https://adstransparency.google.com/advertiser/AR11070511645502472193/creative/CR01033117738391830529?region=anywhere" TargetMode="External"/><Relationship Id="rId1761" Type="http://schemas.openxmlformats.org/officeDocument/2006/relationships/hyperlink" Target="https://www.semrush.com/analytics/keywordoverview/" TargetMode="External"/><Relationship Id="rId1762" Type="http://schemas.openxmlformats.org/officeDocument/2006/relationships/hyperlink" Target="https://adstransparency.google.com/advertiser/AR11070511645502472193/creative/CR12464725048453758977?region=anywhere" TargetMode="External"/><Relationship Id="rId62" Type="http://schemas.openxmlformats.org/officeDocument/2006/relationships/hyperlink" Target="https://adstransparency.google.com/advertiser/AR01693402396748677121/creative/CR11685880686928986113?region=anywhere" TargetMode="External"/><Relationship Id="rId1312" Type="http://schemas.openxmlformats.org/officeDocument/2006/relationships/hyperlink" Target="https://adstransparency.google.com/advertiser/AR11070511645502472193/creative/CR13867899213473382401?region=anywhere" TargetMode="External"/><Relationship Id="rId1796" Type="http://schemas.openxmlformats.org/officeDocument/2006/relationships/hyperlink" Target="https://adstransparency.google.com/advertiser/AR11070511645502472193/creative/CR13516962898915622913?region=anywhere" TargetMode="External"/><Relationship Id="rId61" Type="http://schemas.openxmlformats.org/officeDocument/2006/relationships/hyperlink" Target="https://www.tryprofound.com/" TargetMode="External"/><Relationship Id="rId1313" Type="http://schemas.openxmlformats.org/officeDocument/2006/relationships/hyperlink" Target="https://www.semrush.com/analytics/keywordoverview/" TargetMode="External"/><Relationship Id="rId1797" Type="http://schemas.openxmlformats.org/officeDocument/2006/relationships/hyperlink" Target="https://www.semrush.com/features/" TargetMode="External"/><Relationship Id="rId64" Type="http://schemas.openxmlformats.org/officeDocument/2006/relationships/hyperlink" Target="https://adstransparency.google.com/advertiser/AR01693402396748677121/creative/CR13024239363045720065?region=anywhere" TargetMode="External"/><Relationship Id="rId1314" Type="http://schemas.openxmlformats.org/officeDocument/2006/relationships/hyperlink" Target="https://adstransparency.google.com/advertiser/AR11070511645502472193/creative/CR17773707975278460929?region=anywhere" TargetMode="External"/><Relationship Id="rId1798" Type="http://schemas.openxmlformats.org/officeDocument/2006/relationships/hyperlink" Target="https://adstransparency.google.com/advertiser/AR11070511645502472193/creative/CR17421217913351700481?region=anywhere" TargetMode="External"/><Relationship Id="rId63" Type="http://schemas.openxmlformats.org/officeDocument/2006/relationships/hyperlink" Target="https://www.tryprofound.com/" TargetMode="External"/><Relationship Id="rId1315" Type="http://schemas.openxmlformats.org/officeDocument/2006/relationships/hyperlink" Target="https://www.semrush.com/" TargetMode="External"/><Relationship Id="rId1799" Type="http://schemas.openxmlformats.org/officeDocument/2006/relationships/hyperlink" Target="https://www.semrush.com/agencies/" TargetMode="External"/><Relationship Id="rId66" Type="http://schemas.openxmlformats.org/officeDocument/2006/relationships/hyperlink" Target="https://adstransparency.google.com/advertiser/AR01693402396748677121/creative/CR00931357481974628353?region=anywhere" TargetMode="External"/><Relationship Id="rId1316" Type="http://schemas.openxmlformats.org/officeDocument/2006/relationships/hyperlink" Target="https://adstransparency.google.com/advertiser/AR11070511645502472193/creative/CR13549732915268550657?region=anywhere" TargetMode="External"/><Relationship Id="rId65" Type="http://schemas.openxmlformats.org/officeDocument/2006/relationships/hyperlink" Target="https://www.tryprofound.com/" TargetMode="External"/><Relationship Id="rId1317" Type="http://schemas.openxmlformats.org/officeDocument/2006/relationships/hyperlink" Target="https://www.semrush.com/" TargetMode="External"/><Relationship Id="rId68" Type="http://schemas.openxmlformats.org/officeDocument/2006/relationships/hyperlink" Target="https://adstransparency.google.com/advertiser/AR01693402396748677121/creative/CR03810105216729088001?region=anywhere" TargetMode="External"/><Relationship Id="rId1318" Type="http://schemas.openxmlformats.org/officeDocument/2006/relationships/hyperlink" Target="https://adstransparency.google.com/advertiser/AR11070511645502472193/creative/CR16990077542717194241?region=anywhere" TargetMode="External"/><Relationship Id="rId67" Type="http://schemas.openxmlformats.org/officeDocument/2006/relationships/hyperlink" Target="https://www.tryprofound.com/" TargetMode="External"/><Relationship Id="rId1319" Type="http://schemas.openxmlformats.org/officeDocument/2006/relationships/hyperlink" Target="https://www.semrush.com/analytics/backlinks/overview/" TargetMode="External"/><Relationship Id="rId729" Type="http://schemas.openxmlformats.org/officeDocument/2006/relationships/hyperlink" Target="https://peec.ai/visibility/platform" TargetMode="External"/><Relationship Id="rId728" Type="http://schemas.openxmlformats.org/officeDocument/2006/relationships/hyperlink" Target="https://adstransparency.google.com/advertiser/AR05016556376214732801/creative/CR13046507677553786881?region=anywhere" TargetMode="External"/><Relationship Id="rId60" Type="http://schemas.openxmlformats.org/officeDocument/2006/relationships/hyperlink" Target="https://adstransparency.google.com/advertiser/AR01693402396748677121/creative/CR04321292567896391681?region=anywhere" TargetMode="External"/><Relationship Id="rId723" Type="http://schemas.openxmlformats.org/officeDocument/2006/relationships/hyperlink" Target="https://peec.ai/" TargetMode="External"/><Relationship Id="rId722" Type="http://schemas.openxmlformats.org/officeDocument/2006/relationships/hyperlink" Target="https://adstransparency.google.com/advertiser/AR05016556376214732801/creative/CR09030537059055435777?region=anywhere" TargetMode="External"/><Relationship Id="rId721" Type="http://schemas.openxmlformats.org/officeDocument/2006/relationships/hyperlink" Target="https://peec.ai/" TargetMode="External"/><Relationship Id="rId720" Type="http://schemas.openxmlformats.org/officeDocument/2006/relationships/hyperlink" Target="https://adstransparency.google.com/advertiser/AR05016556376214732801/creative/CR15631845992792326145?region=anywhere" TargetMode="External"/><Relationship Id="rId727" Type="http://schemas.openxmlformats.org/officeDocument/2006/relationships/hyperlink" Target="https://peec.ai/" TargetMode="External"/><Relationship Id="rId726" Type="http://schemas.openxmlformats.org/officeDocument/2006/relationships/hyperlink" Target="https://adstransparency.google.com/advertiser/AR05016556376214732801/creative/CR12295112151370039297?region=anywhere" TargetMode="External"/><Relationship Id="rId725" Type="http://schemas.openxmlformats.org/officeDocument/2006/relationships/hyperlink" Target="https://peec.ai/black-friday" TargetMode="External"/><Relationship Id="rId724" Type="http://schemas.openxmlformats.org/officeDocument/2006/relationships/hyperlink" Target="https://adstransparency.google.com/advertiser/AR05016556376214732801/creative/CR00425387150272364545?region=anywhere" TargetMode="External"/><Relationship Id="rId69" Type="http://schemas.openxmlformats.org/officeDocument/2006/relationships/hyperlink" Target="https://www.tryprofound.com/" TargetMode="External"/><Relationship Id="rId1790" Type="http://schemas.openxmlformats.org/officeDocument/2006/relationships/hyperlink" Target="https://adstransparency.google.com/advertiser/AR11070511645502472193/creative/CR02377492529818894337?region=anywhere" TargetMode="External"/><Relationship Id="rId1791" Type="http://schemas.openxmlformats.org/officeDocument/2006/relationships/hyperlink" Target="https://www.semrush.com/" TargetMode="External"/><Relationship Id="rId1792" Type="http://schemas.openxmlformats.org/officeDocument/2006/relationships/hyperlink" Target="https://adstransparency.google.com/advertiser/AR11070511645502472193/creative/CR16901542985252995073?region=anywhere" TargetMode="External"/><Relationship Id="rId1793" Type="http://schemas.openxmlformats.org/officeDocument/2006/relationships/hyperlink" Target="https://www.semrush.com/" TargetMode="External"/><Relationship Id="rId1310" Type="http://schemas.openxmlformats.org/officeDocument/2006/relationships/hyperlink" Target="https://adstransparency.google.com/advertiser/AR11070511645502472193/creative/CR09031798886087262209?region=anywhere" TargetMode="External"/><Relationship Id="rId1794" Type="http://schemas.openxmlformats.org/officeDocument/2006/relationships/hyperlink" Target="https://adstransparency.google.com/advertiser/AR11070511645502472193/creative/CR05458267279839985665?region=anywhere" TargetMode="External"/><Relationship Id="rId1311" Type="http://schemas.openxmlformats.org/officeDocument/2006/relationships/hyperlink" Target="https://www.semrush.com/" TargetMode="External"/><Relationship Id="rId1795" Type="http://schemas.openxmlformats.org/officeDocument/2006/relationships/hyperlink" Target="https://www.semrush.com/analytics/backlinks/overview/" TargetMode="External"/><Relationship Id="rId51" Type="http://schemas.openxmlformats.org/officeDocument/2006/relationships/hyperlink" Target="https://www.tryprofound.com/" TargetMode="External"/><Relationship Id="rId1301" Type="http://schemas.openxmlformats.org/officeDocument/2006/relationships/hyperlink" Target="https://www.semrush.com/" TargetMode="External"/><Relationship Id="rId1785" Type="http://schemas.openxmlformats.org/officeDocument/2006/relationships/hyperlink" Target="https://www.semrush.com/kb/demo/" TargetMode="External"/><Relationship Id="rId50" Type="http://schemas.openxmlformats.org/officeDocument/2006/relationships/hyperlink" Target="https://adstransparency.google.com/advertiser/AR01693402396748677121/creative/CR17355288782378631169?region=anywhere" TargetMode="External"/><Relationship Id="rId1302" Type="http://schemas.openxmlformats.org/officeDocument/2006/relationships/hyperlink" Target="https://adstransparency.google.com/advertiser/AR11070511645502472193/creative/CR12209864678406356993?region=anywhere" TargetMode="External"/><Relationship Id="rId1786" Type="http://schemas.openxmlformats.org/officeDocument/2006/relationships/hyperlink" Target="https://adstransparency.google.com/advertiser/AR11070511645502472193/creative/CR15286433521573298177?region=anywhere" TargetMode="External"/><Relationship Id="rId53" Type="http://schemas.openxmlformats.org/officeDocument/2006/relationships/hyperlink" Target="https://www.tryprofound.com/customers/mongodb" TargetMode="External"/><Relationship Id="rId1303" Type="http://schemas.openxmlformats.org/officeDocument/2006/relationships/hyperlink" Target="https://www.semrush.com/" TargetMode="External"/><Relationship Id="rId1787" Type="http://schemas.openxmlformats.org/officeDocument/2006/relationships/hyperlink" Target="https://www.semrush.com/" TargetMode="External"/><Relationship Id="rId52" Type="http://schemas.openxmlformats.org/officeDocument/2006/relationships/hyperlink" Target="https://adstransparency.google.com/advertiser/AR01693402396748677121/creative/CR10217646322949816321?region=anywhere" TargetMode="External"/><Relationship Id="rId1304" Type="http://schemas.openxmlformats.org/officeDocument/2006/relationships/hyperlink" Target="https://adstransparency.google.com/advertiser/AR11070511645502472193/creative/CR02338767592849670145?region=anywhere" TargetMode="External"/><Relationship Id="rId1788" Type="http://schemas.openxmlformats.org/officeDocument/2006/relationships/hyperlink" Target="https://adstransparency.google.com/advertiser/AR11070511645502472193/creative/CR17853858559012372481?region=anywhere" TargetMode="External"/><Relationship Id="rId55" Type="http://schemas.openxmlformats.org/officeDocument/2006/relationships/hyperlink" Target="https://www.tryprofound.com/" TargetMode="External"/><Relationship Id="rId1305" Type="http://schemas.openxmlformats.org/officeDocument/2006/relationships/hyperlink" Target="https://www.semrush.com/" TargetMode="External"/><Relationship Id="rId1789" Type="http://schemas.openxmlformats.org/officeDocument/2006/relationships/hyperlink" Target="https://www.semrush.com/analytics/keywordoverview/" TargetMode="External"/><Relationship Id="rId54" Type="http://schemas.openxmlformats.org/officeDocument/2006/relationships/hyperlink" Target="https://adstransparency.google.com/advertiser/AR01693402396748677121/creative/CR13114570840337285121?region=anywhere" TargetMode="External"/><Relationship Id="rId1306" Type="http://schemas.openxmlformats.org/officeDocument/2006/relationships/hyperlink" Target="https://adstransparency.google.com/advertiser/AR11070511645502472193/creative/CR00480775976234516481?region=anywhere" TargetMode="External"/><Relationship Id="rId57" Type="http://schemas.openxmlformats.org/officeDocument/2006/relationships/hyperlink" Target="https://www.tryprofound.com/" TargetMode="External"/><Relationship Id="rId1307" Type="http://schemas.openxmlformats.org/officeDocument/2006/relationships/hyperlink" Target="https://www.semrush.com/features/" TargetMode="External"/><Relationship Id="rId56" Type="http://schemas.openxmlformats.org/officeDocument/2006/relationships/hyperlink" Target="https://adstransparency.google.com/advertiser/AR01693402396748677121/creative/CR17139634969753157633?region=anywhere" TargetMode="External"/><Relationship Id="rId1308" Type="http://schemas.openxmlformats.org/officeDocument/2006/relationships/hyperlink" Target="https://adstransparency.google.com/advertiser/AR11070511645502472193/creative/CR05216080121332498433?region=anywhere" TargetMode="External"/><Relationship Id="rId1309" Type="http://schemas.openxmlformats.org/officeDocument/2006/relationships/hyperlink" Target="https://www.semrush.com/kb/demo/" TargetMode="External"/><Relationship Id="rId719" Type="http://schemas.openxmlformats.org/officeDocument/2006/relationships/hyperlink" Target="https://peec.ai/demo" TargetMode="External"/><Relationship Id="rId718" Type="http://schemas.openxmlformats.org/officeDocument/2006/relationships/hyperlink" Target="https://adstransparency.google.com/advertiser/AR05016556376214732801/creative/CR06267852740936859649?region=anywhere" TargetMode="External"/><Relationship Id="rId717" Type="http://schemas.openxmlformats.org/officeDocument/2006/relationships/hyperlink" Target="https://peec.ai/for-agencies" TargetMode="External"/><Relationship Id="rId712" Type="http://schemas.openxmlformats.org/officeDocument/2006/relationships/hyperlink" Target="https://adstransparency.google.com/advertiser/AR05016556376214732801/creative/CR01491003995659960321?region=anywhere" TargetMode="External"/><Relationship Id="rId711" Type="http://schemas.openxmlformats.org/officeDocument/2006/relationships/hyperlink" Target="https://peec.ai/" TargetMode="External"/><Relationship Id="rId710" Type="http://schemas.openxmlformats.org/officeDocument/2006/relationships/hyperlink" Target="https://adstransparency.google.com/advertiser/AR05016556376214732801/creative/CR00088017675329994753?region=anywhere" TargetMode="External"/><Relationship Id="rId716" Type="http://schemas.openxmlformats.org/officeDocument/2006/relationships/hyperlink" Target="https://adstransparency.google.com/advertiser/AR05016556376214732801/creative/CR11479383306491920385?region=anywhere" TargetMode="External"/><Relationship Id="rId715" Type="http://schemas.openxmlformats.org/officeDocument/2006/relationships/hyperlink" Target="https://peec.ai/pricing" TargetMode="External"/><Relationship Id="rId714" Type="http://schemas.openxmlformats.org/officeDocument/2006/relationships/hyperlink" Target="https://adstransparency.google.com/advertiser/AR05016556376214732801/creative/CR03776656810291757057?region=anywhere" TargetMode="External"/><Relationship Id="rId713" Type="http://schemas.openxmlformats.org/officeDocument/2006/relationships/hyperlink" Target="https://peec.ai/visibility/platform" TargetMode="External"/><Relationship Id="rId59" Type="http://schemas.openxmlformats.org/officeDocument/2006/relationships/hyperlink" Target="https://www.tryprofound.com/customers/mongodb" TargetMode="External"/><Relationship Id="rId58" Type="http://schemas.openxmlformats.org/officeDocument/2006/relationships/hyperlink" Target="https://adstransparency.google.com/advertiser/AR01693402396748677121/creative/CR03593266336727302145?region=anywhere" TargetMode="External"/><Relationship Id="rId1780" Type="http://schemas.openxmlformats.org/officeDocument/2006/relationships/hyperlink" Target="https://adstransparency.google.com/advertiser/AR11070511645502472193/creative/CR00322130948156030977?region=anywhere" TargetMode="External"/><Relationship Id="rId1781" Type="http://schemas.openxmlformats.org/officeDocument/2006/relationships/hyperlink" Target="https://www.semrush.com/" TargetMode="External"/><Relationship Id="rId1782" Type="http://schemas.openxmlformats.org/officeDocument/2006/relationships/hyperlink" Target="https://adstransparency.google.com/advertiser/AR11070511645502472193/creative/CR17897473573946130433?region=anywhere" TargetMode="External"/><Relationship Id="rId1783" Type="http://schemas.openxmlformats.org/officeDocument/2006/relationships/hyperlink" Target="https://www.semrush.com/features/" TargetMode="External"/><Relationship Id="rId1300" Type="http://schemas.openxmlformats.org/officeDocument/2006/relationships/hyperlink" Target="https://adstransparency.google.com/advertiser/AR11070511645502472193/creative/CR15384980781675839489?region=anywhere" TargetMode="External"/><Relationship Id="rId1784" Type="http://schemas.openxmlformats.org/officeDocument/2006/relationships/hyperlink" Target="https://adstransparency.google.com/advertiser/AR11070511645502472193/creative/CR04496419627462557697?region=anywhere" TargetMode="External"/><Relationship Id="rId2269" Type="http://schemas.openxmlformats.org/officeDocument/2006/relationships/hyperlink" Target="https://adstransparency.google.com/advertiser/AR13288297259528617985/creative/CR15177782050259206145?region=anywhere" TargetMode="External"/><Relationship Id="rId349" Type="http://schemas.openxmlformats.org/officeDocument/2006/relationships/hyperlink" Target="https://www.tryprofound.com/" TargetMode="External"/><Relationship Id="rId348" Type="http://schemas.openxmlformats.org/officeDocument/2006/relationships/hyperlink" Target="https://adstransparency.google.com/advertiser/AR01693402396748677121/creative/CR14974916270829338625?region=anywhere" TargetMode="External"/><Relationship Id="rId347" Type="http://schemas.openxmlformats.org/officeDocument/2006/relationships/hyperlink" Target="https://www.tryprofound.com/" TargetMode="External"/><Relationship Id="rId346" Type="http://schemas.openxmlformats.org/officeDocument/2006/relationships/hyperlink" Target="https://adstransparency.google.com/advertiser/AR01693402396748677121/creative/CR17609764220277096449?region=anywhere" TargetMode="External"/><Relationship Id="rId2260" Type="http://schemas.openxmlformats.org/officeDocument/2006/relationships/hyperlink" Target="https://otterly.ai/" TargetMode="External"/><Relationship Id="rId341" Type="http://schemas.openxmlformats.org/officeDocument/2006/relationships/hyperlink" Target="https://www.tryprofound.com/" TargetMode="External"/><Relationship Id="rId2261" Type="http://schemas.openxmlformats.org/officeDocument/2006/relationships/hyperlink" Target="https://adstransparency.google.com/advertiser/AR13288297259528617985/creative/CR00072050704910385153?region=anywhere" TargetMode="External"/><Relationship Id="rId340" Type="http://schemas.openxmlformats.org/officeDocument/2006/relationships/hyperlink" Target="https://adstransparency.google.com/advertiser/AR01693402396748677121/creative/CR07616369968191373313?region=anywhere" TargetMode="External"/><Relationship Id="rId2262" Type="http://schemas.openxmlformats.org/officeDocument/2006/relationships/hyperlink" Target="https://otterly.ai/" TargetMode="External"/><Relationship Id="rId2263" Type="http://schemas.openxmlformats.org/officeDocument/2006/relationships/hyperlink" Target="https://adstransparency.google.com/advertiser/AR13288297259528617985/creative/CR06938318464650051585?region=anywhere" TargetMode="External"/><Relationship Id="rId2264" Type="http://schemas.openxmlformats.org/officeDocument/2006/relationships/hyperlink" Target="https://otterly.ai/" TargetMode="External"/><Relationship Id="rId345" Type="http://schemas.openxmlformats.org/officeDocument/2006/relationships/hyperlink" Target="https://www.tryprofound.com/pricing" TargetMode="External"/><Relationship Id="rId2265" Type="http://schemas.openxmlformats.org/officeDocument/2006/relationships/hyperlink" Target="https://adstransparency.google.com/advertiser/AR13288297259528617985/creative/CR05811052483329392641?region=anywhere" TargetMode="External"/><Relationship Id="rId344" Type="http://schemas.openxmlformats.org/officeDocument/2006/relationships/hyperlink" Target="https://adstransparency.google.com/advertiser/AR01693402396748677121/creative/CR02254996377455034369?region=anywhere" TargetMode="External"/><Relationship Id="rId2266" Type="http://schemas.openxmlformats.org/officeDocument/2006/relationships/hyperlink" Target="https://otterly.ai/" TargetMode="External"/><Relationship Id="rId343" Type="http://schemas.openxmlformats.org/officeDocument/2006/relationships/hyperlink" Target="https://www.tryprofound.com/" TargetMode="External"/><Relationship Id="rId2267" Type="http://schemas.openxmlformats.org/officeDocument/2006/relationships/hyperlink" Target="https://adstransparency.google.com/advertiser/AR13288297259528617985/creative/CR14521479711349014529?region=anywhere" TargetMode="External"/><Relationship Id="rId342" Type="http://schemas.openxmlformats.org/officeDocument/2006/relationships/hyperlink" Target="https://adstransparency.google.com/advertiser/AR01693402396748677121/creative/CR00668603408713777153?region=anywhere" TargetMode="External"/><Relationship Id="rId2268" Type="http://schemas.openxmlformats.org/officeDocument/2006/relationships/hyperlink" Target="https://otterly.ai/" TargetMode="External"/><Relationship Id="rId2258" Type="http://schemas.openxmlformats.org/officeDocument/2006/relationships/hyperlink" Target="https://otterly.ai/" TargetMode="External"/><Relationship Id="rId2259" Type="http://schemas.openxmlformats.org/officeDocument/2006/relationships/hyperlink" Target="https://adstransparency.google.com/advertiser/AR13288297259528617985/creative/CR10874498142795988993?region=anywhere" TargetMode="External"/><Relationship Id="rId338" Type="http://schemas.openxmlformats.org/officeDocument/2006/relationships/hyperlink" Target="https://adstransparency.google.com/advertiser/AR01693402396748677121/creative/CR15281918746441023489?region=anywhere" TargetMode="External"/><Relationship Id="rId337" Type="http://schemas.openxmlformats.org/officeDocument/2006/relationships/hyperlink" Target="https://www.tryprofound.com/" TargetMode="External"/><Relationship Id="rId336" Type="http://schemas.openxmlformats.org/officeDocument/2006/relationships/hyperlink" Target="https://adstransparency.google.com/advertiser/AR01693402396748677121/creative/CR10830720881177657345?region=anywhere" TargetMode="External"/><Relationship Id="rId335" Type="http://schemas.openxmlformats.org/officeDocument/2006/relationships/hyperlink" Target="https://www.tryprofound.com/" TargetMode="External"/><Relationship Id="rId339" Type="http://schemas.openxmlformats.org/officeDocument/2006/relationships/hyperlink" Target="https://www.tryprofound.com/" TargetMode="External"/><Relationship Id="rId330" Type="http://schemas.openxmlformats.org/officeDocument/2006/relationships/hyperlink" Target="https://adstransparency.google.com/advertiser/AR01693402396748677121/creative/CR03871675943739195393?region=anywhere" TargetMode="External"/><Relationship Id="rId2250" Type="http://schemas.openxmlformats.org/officeDocument/2006/relationships/hyperlink" Target="https://otterly.ai/" TargetMode="External"/><Relationship Id="rId2251" Type="http://schemas.openxmlformats.org/officeDocument/2006/relationships/hyperlink" Target="https://adstransparency.google.com/advertiser/AR13288297259528617985/creative/CR10031143312355753985?region=anywhere" TargetMode="External"/><Relationship Id="rId2252" Type="http://schemas.openxmlformats.org/officeDocument/2006/relationships/hyperlink" Target="https://otterly.ai/" TargetMode="External"/><Relationship Id="rId2253" Type="http://schemas.openxmlformats.org/officeDocument/2006/relationships/hyperlink" Target="https://adstransparency.google.com/advertiser/AR13288297259528617985/creative/CR06892088398748581889?region=anywhere" TargetMode="External"/><Relationship Id="rId334" Type="http://schemas.openxmlformats.org/officeDocument/2006/relationships/hyperlink" Target="https://adstransparency.google.com/advertiser/AR01693402396748677121/creative/CR01458351824619700225?region=anywhere" TargetMode="External"/><Relationship Id="rId2254" Type="http://schemas.openxmlformats.org/officeDocument/2006/relationships/hyperlink" Target="https://otterly.ai/" TargetMode="External"/><Relationship Id="rId333" Type="http://schemas.openxmlformats.org/officeDocument/2006/relationships/hyperlink" Target="https://www.tryprofound.com/" TargetMode="External"/><Relationship Id="rId2255" Type="http://schemas.openxmlformats.org/officeDocument/2006/relationships/hyperlink" Target="https://adstransparency.google.com/advertiser/AR13288297259528617985/creative/CR03870825059178250241?region=anywhere" TargetMode="External"/><Relationship Id="rId332" Type="http://schemas.openxmlformats.org/officeDocument/2006/relationships/hyperlink" Target="https://adstransparency.google.com/advertiser/AR01693402396748677121/creative/CR12036278206429396993?region=anywhere" TargetMode="External"/><Relationship Id="rId2256" Type="http://schemas.openxmlformats.org/officeDocument/2006/relationships/hyperlink" Target="https://otterly.ai/" TargetMode="External"/><Relationship Id="rId331" Type="http://schemas.openxmlformats.org/officeDocument/2006/relationships/hyperlink" Target="https://www.tryprofound.com/" TargetMode="External"/><Relationship Id="rId2257" Type="http://schemas.openxmlformats.org/officeDocument/2006/relationships/hyperlink" Target="https://adstransparency.google.com/advertiser/AR13288297259528617985/creative/CR06706657343272124417?region=anywhere" TargetMode="External"/><Relationship Id="rId370" Type="http://schemas.openxmlformats.org/officeDocument/2006/relationships/hyperlink" Target="https://adstransparency.google.com/advertiser/AR01693402396748677121/creative/CR01269360043686363137?region=anywhere" TargetMode="External"/><Relationship Id="rId369" Type="http://schemas.openxmlformats.org/officeDocument/2006/relationships/hyperlink" Target="https://www.tryprofound.com/" TargetMode="External"/><Relationship Id="rId368" Type="http://schemas.openxmlformats.org/officeDocument/2006/relationships/hyperlink" Target="https://adstransparency.google.com/advertiser/AR01693402396748677121/creative/CR11172432576646217729?region=anywhere" TargetMode="External"/><Relationship Id="rId2280" Type="http://schemas.openxmlformats.org/officeDocument/2006/relationships/hyperlink" Target="https://otterly.ai/" TargetMode="External"/><Relationship Id="rId2281" Type="http://schemas.openxmlformats.org/officeDocument/2006/relationships/hyperlink" Target="https://adstransparency.google.com/advertiser/AR13288297259528617985/creative/CR14302112530128961537?region=anywhere" TargetMode="External"/><Relationship Id="rId2282" Type="http://schemas.openxmlformats.org/officeDocument/2006/relationships/hyperlink" Target="https://otterly.ai/" TargetMode="External"/><Relationship Id="rId363" Type="http://schemas.openxmlformats.org/officeDocument/2006/relationships/hyperlink" Target="https://hmesus.com/products/glucose-meter" TargetMode="External"/><Relationship Id="rId2283" Type="http://schemas.openxmlformats.org/officeDocument/2006/relationships/hyperlink" Target="https://adstransparency.google.com/advertiser/AR13288297259528617985/creative/CR02542878895615508481?region=anywhere" TargetMode="External"/><Relationship Id="rId362" Type="http://schemas.openxmlformats.org/officeDocument/2006/relationships/hyperlink" Target="https://adstransparency.google.com/advertiser/AR01693402396748677121/creative/CR01663896701569597441?region=anywhere" TargetMode="External"/><Relationship Id="rId2284" Type="http://schemas.openxmlformats.org/officeDocument/2006/relationships/hyperlink" Target="https://otterly.ai/" TargetMode="External"/><Relationship Id="rId361" Type="http://schemas.openxmlformats.org/officeDocument/2006/relationships/hyperlink" Target="https://www.tryprofound.com/" TargetMode="External"/><Relationship Id="rId2285" Type="http://schemas.openxmlformats.org/officeDocument/2006/relationships/hyperlink" Target="https://adstransparency.google.com/advertiser/AR13288297259528617985/creative/CR03779732006875693057?region=anywhere" TargetMode="External"/><Relationship Id="rId360" Type="http://schemas.openxmlformats.org/officeDocument/2006/relationships/hyperlink" Target="https://adstransparency.google.com/advertiser/AR01693402396748677121/creative/CR08963800688979083265?region=anywhere" TargetMode="External"/><Relationship Id="rId2286" Type="http://schemas.openxmlformats.org/officeDocument/2006/relationships/hyperlink" Target="https://otterly.ai/" TargetMode="External"/><Relationship Id="rId367" Type="http://schemas.openxmlformats.org/officeDocument/2006/relationships/hyperlink" Target="https://www.tryprofound.com/" TargetMode="External"/><Relationship Id="rId2287" Type="http://schemas.openxmlformats.org/officeDocument/2006/relationships/hyperlink" Target="https://adstransparency.google.com/advertiser/AR13288297259528617985/creative/CR04802831244423331841?region=anywhere" TargetMode="External"/><Relationship Id="rId366" Type="http://schemas.openxmlformats.org/officeDocument/2006/relationships/hyperlink" Target="https://adstransparency.google.com/advertiser/AR01693402396748677121/creative/CR11409546382344716289?region=anywhere" TargetMode="External"/><Relationship Id="rId2288" Type="http://schemas.openxmlformats.org/officeDocument/2006/relationships/hyperlink" Target="https://otterly.ai/" TargetMode="External"/><Relationship Id="rId365" Type="http://schemas.openxmlformats.org/officeDocument/2006/relationships/hyperlink" Target="https://hmesus.com/products/glucose-meter" TargetMode="External"/><Relationship Id="rId2289" Type="http://schemas.openxmlformats.org/officeDocument/2006/relationships/hyperlink" Target="https://adstransparency.google.com/advertiser/AR13288297259528617985/creative/CR00426208485458313217?region=anywhere" TargetMode="External"/><Relationship Id="rId364" Type="http://schemas.openxmlformats.org/officeDocument/2006/relationships/hyperlink" Target="https://adstransparency.google.com/advertiser/AR01693402396748677121/creative/CR04966302690461089793?region=anywhere" TargetMode="External"/><Relationship Id="rId95" Type="http://schemas.openxmlformats.org/officeDocument/2006/relationships/hyperlink" Target="https://www.tryprofound.com/" TargetMode="External"/><Relationship Id="rId94" Type="http://schemas.openxmlformats.org/officeDocument/2006/relationships/hyperlink" Target="https://adstransparency.google.com/advertiser/AR01693402396748677121/creative/CR03785380155157905409?region=anywhere" TargetMode="External"/><Relationship Id="rId97" Type="http://schemas.openxmlformats.org/officeDocument/2006/relationships/hyperlink" Target="https://www.tryprofound.com/" TargetMode="External"/><Relationship Id="rId96" Type="http://schemas.openxmlformats.org/officeDocument/2006/relationships/hyperlink" Target="https://adstransparency.google.com/advertiser/AR01693402396748677121/creative/CR17616439836405661697?region=anywhere" TargetMode="External"/><Relationship Id="rId99" Type="http://schemas.openxmlformats.org/officeDocument/2006/relationships/hyperlink" Target="https://www.tryprofound.com/" TargetMode="External"/><Relationship Id="rId98" Type="http://schemas.openxmlformats.org/officeDocument/2006/relationships/hyperlink" Target="https://adstransparency.google.com/advertiser/AR01693402396748677121/creative/CR11383007152357507073?region=anywhere" TargetMode="External"/><Relationship Id="rId91" Type="http://schemas.openxmlformats.org/officeDocument/2006/relationships/hyperlink" Target="https://www.tryprofound.com/" TargetMode="External"/><Relationship Id="rId90" Type="http://schemas.openxmlformats.org/officeDocument/2006/relationships/hyperlink" Target="https://adstransparency.google.com/advertiser/AR01693402396748677121/creative/CR15627384269096091649?region=anywhere" TargetMode="External"/><Relationship Id="rId93" Type="http://schemas.openxmlformats.org/officeDocument/2006/relationships/hyperlink" Target="https://www.tryprofound.com/" TargetMode="External"/><Relationship Id="rId92" Type="http://schemas.openxmlformats.org/officeDocument/2006/relationships/hyperlink" Target="https://adstransparency.google.com/advertiser/AR01693402396748677121/creative/CR02840804559142518785?region=anywhere" TargetMode="External"/><Relationship Id="rId359" Type="http://schemas.openxmlformats.org/officeDocument/2006/relationships/hyperlink" Target="https://www.tryprofound.com/" TargetMode="External"/><Relationship Id="rId358" Type="http://schemas.openxmlformats.org/officeDocument/2006/relationships/hyperlink" Target="https://adstransparency.google.com/advertiser/AR01693402396748677121/creative/CR06514224709419139073?region=anywhere" TargetMode="External"/><Relationship Id="rId357" Type="http://schemas.openxmlformats.org/officeDocument/2006/relationships/hyperlink" Target="https://www.tryprofound.com/" TargetMode="External"/><Relationship Id="rId2270" Type="http://schemas.openxmlformats.org/officeDocument/2006/relationships/hyperlink" Target="https://otterly.ai/" TargetMode="External"/><Relationship Id="rId2271" Type="http://schemas.openxmlformats.org/officeDocument/2006/relationships/hyperlink" Target="https://adstransparency.google.com/advertiser/AR13288297259528617985/creative/CR07693143298881355777?region=anywhere" TargetMode="External"/><Relationship Id="rId352" Type="http://schemas.openxmlformats.org/officeDocument/2006/relationships/hyperlink" Target="https://adstransparency.google.com/advertiser/AR01693402396748677121/creative/CR05985645102935048193?region=anywhere" TargetMode="External"/><Relationship Id="rId2272" Type="http://schemas.openxmlformats.org/officeDocument/2006/relationships/hyperlink" Target="https://otterly.ai/" TargetMode="External"/><Relationship Id="rId351" Type="http://schemas.openxmlformats.org/officeDocument/2006/relationships/hyperlink" Target="https://www.tryprofound.com/" TargetMode="External"/><Relationship Id="rId2273" Type="http://schemas.openxmlformats.org/officeDocument/2006/relationships/hyperlink" Target="https://adstransparency.google.com/advertiser/AR13288297259528617985/creative/CR14890108576746962945?region=anywhere" TargetMode="External"/><Relationship Id="rId350" Type="http://schemas.openxmlformats.org/officeDocument/2006/relationships/hyperlink" Target="https://adstransparency.google.com/advertiser/AR01693402396748677121/creative/CR12106977903607021569?region=anywhere" TargetMode="External"/><Relationship Id="rId2274" Type="http://schemas.openxmlformats.org/officeDocument/2006/relationships/hyperlink" Target="https://otterly.ai/" TargetMode="External"/><Relationship Id="rId2275" Type="http://schemas.openxmlformats.org/officeDocument/2006/relationships/hyperlink" Target="https://adstransparency.google.com/advertiser/AR13288297259528617985/creative/CR09325426378272669697?region=anywhere" TargetMode="External"/><Relationship Id="rId356" Type="http://schemas.openxmlformats.org/officeDocument/2006/relationships/hyperlink" Target="https://adstransparency.google.com/advertiser/AR01693402396748677121/creative/CR04123763998296375297?region=anywhere" TargetMode="External"/><Relationship Id="rId2276" Type="http://schemas.openxmlformats.org/officeDocument/2006/relationships/hyperlink" Target="https://otterly.ai/" TargetMode="External"/><Relationship Id="rId355" Type="http://schemas.openxmlformats.org/officeDocument/2006/relationships/hyperlink" Target="https://www.tryprofound.com/" TargetMode="External"/><Relationship Id="rId2277" Type="http://schemas.openxmlformats.org/officeDocument/2006/relationships/hyperlink" Target="https://adstransparency.google.com/advertiser/AR13288297259528617985/creative/CR11347744302626242561?region=anywhere" TargetMode="External"/><Relationship Id="rId354" Type="http://schemas.openxmlformats.org/officeDocument/2006/relationships/hyperlink" Target="https://adstransparency.google.com/advertiser/AR01693402396748677121/creative/CR17909872319895961601?region=anywhere" TargetMode="External"/><Relationship Id="rId2278" Type="http://schemas.openxmlformats.org/officeDocument/2006/relationships/hyperlink" Target="https://otterly.ai/" TargetMode="External"/><Relationship Id="rId353" Type="http://schemas.openxmlformats.org/officeDocument/2006/relationships/hyperlink" Target="https://www.tryprofound.com/" TargetMode="External"/><Relationship Id="rId2279" Type="http://schemas.openxmlformats.org/officeDocument/2006/relationships/hyperlink" Target="https://adstransparency.google.com/advertiser/AR13288297259528617985/creative/CR01350943119272574977?region=anywhere" TargetMode="External"/><Relationship Id="rId1378" Type="http://schemas.openxmlformats.org/officeDocument/2006/relationships/hyperlink" Target="https://adstransparency.google.com/advertiser/AR11070511645502472193/creative/CR16905966767208136705?region=anywhere" TargetMode="External"/><Relationship Id="rId2225" Type="http://schemas.openxmlformats.org/officeDocument/2006/relationships/hyperlink" Target="https://adstransparency.google.com/advertiser/AR01685939160927436801/creative/CR05816130234184892417?region=anywhere" TargetMode="External"/><Relationship Id="rId1379" Type="http://schemas.openxmlformats.org/officeDocument/2006/relationships/hyperlink" Target="https://www.semrush.com/agencies/" TargetMode="External"/><Relationship Id="rId2226" Type="http://schemas.openxmlformats.org/officeDocument/2006/relationships/hyperlink" Target="https://www.scrunch.com/ai-search/monitoring" TargetMode="External"/><Relationship Id="rId2227" Type="http://schemas.openxmlformats.org/officeDocument/2006/relationships/hyperlink" Target="https://adstransparency.google.com/advertiser/AR01685939160927436801/creative/CR12854880143910371329?region=anywhere" TargetMode="External"/><Relationship Id="rId2228" Type="http://schemas.openxmlformats.org/officeDocument/2006/relationships/hyperlink" Target="https://www.scrunch.com/ai-search/visibility" TargetMode="External"/><Relationship Id="rId2229" Type="http://schemas.openxmlformats.org/officeDocument/2006/relationships/hyperlink" Target="https://adstransparency.google.com/advertiser/AR01685939160927436801/creative/CR02958719415920623617?region=anywhere" TargetMode="External"/><Relationship Id="rId305" Type="http://schemas.openxmlformats.org/officeDocument/2006/relationships/hyperlink" Target="https://www.tryprofound.com/" TargetMode="External"/><Relationship Id="rId789" Type="http://schemas.openxmlformats.org/officeDocument/2006/relationships/hyperlink" Target="https://peec.ai/visibility/platform" TargetMode="External"/><Relationship Id="rId304" Type="http://schemas.openxmlformats.org/officeDocument/2006/relationships/hyperlink" Target="https://adstransparency.google.com/advertiser/AR01693402396748677121/creative/CR10895245721053691905?region=anywhere" TargetMode="External"/><Relationship Id="rId788" Type="http://schemas.openxmlformats.org/officeDocument/2006/relationships/hyperlink" Target="https://adstransparency.google.com/advertiser/AR05016556376214732801/creative/CR06694124190615732225?region=anywhere" TargetMode="External"/><Relationship Id="rId303" Type="http://schemas.openxmlformats.org/officeDocument/2006/relationships/hyperlink" Target="https://www.tryprofound.com/" TargetMode="External"/><Relationship Id="rId787" Type="http://schemas.openxmlformats.org/officeDocument/2006/relationships/hyperlink" Target="https://peec.ai/" TargetMode="External"/><Relationship Id="rId302" Type="http://schemas.openxmlformats.org/officeDocument/2006/relationships/hyperlink" Target="https://adstransparency.google.com/advertiser/AR01693402396748677121/creative/CR16038883436458409985?region=anywhere" TargetMode="External"/><Relationship Id="rId786" Type="http://schemas.openxmlformats.org/officeDocument/2006/relationships/hyperlink" Target="https://adstransparency.google.com/advertiser/AR05016556376214732801/creative/CR03509118555780022273?region=anywhere" TargetMode="External"/><Relationship Id="rId309" Type="http://schemas.openxmlformats.org/officeDocument/2006/relationships/hyperlink" Target="https://www.tryprofound.com/" TargetMode="External"/><Relationship Id="rId308" Type="http://schemas.openxmlformats.org/officeDocument/2006/relationships/hyperlink" Target="https://adstransparency.google.com/advertiser/AR01693402396748677121/creative/CR18057657978433044481?region=anywhere" TargetMode="External"/><Relationship Id="rId307" Type="http://schemas.openxmlformats.org/officeDocument/2006/relationships/hyperlink" Target="https://www.tryprofound.com/" TargetMode="External"/><Relationship Id="rId306" Type="http://schemas.openxmlformats.org/officeDocument/2006/relationships/hyperlink" Target="https://adstransparency.google.com/advertiser/AR01693402396748677121/creative/CR02183876666835599361?region=anywhere" TargetMode="External"/><Relationship Id="rId781" Type="http://schemas.openxmlformats.org/officeDocument/2006/relationships/hyperlink" Target="https://peec.ai/" TargetMode="External"/><Relationship Id="rId1370" Type="http://schemas.openxmlformats.org/officeDocument/2006/relationships/hyperlink" Target="https://adstransparency.google.com/advertiser/AR11070511645502472193/creative/CR15792720005818220545?region=anywhere" TargetMode="External"/><Relationship Id="rId780" Type="http://schemas.openxmlformats.org/officeDocument/2006/relationships/hyperlink" Target="https://adstransparency.google.com/advertiser/AR05016556376214732801/creative/CR05056663579688697857?region=anywhere" TargetMode="External"/><Relationship Id="rId1371" Type="http://schemas.openxmlformats.org/officeDocument/2006/relationships/hyperlink" Target="https://www.semrush.com/" TargetMode="External"/><Relationship Id="rId1372" Type="http://schemas.openxmlformats.org/officeDocument/2006/relationships/hyperlink" Target="https://adstransparency.google.com/advertiser/AR11070511645502472193/creative/CR16699343896416616449?region=anywhere" TargetMode="External"/><Relationship Id="rId1373" Type="http://schemas.openxmlformats.org/officeDocument/2006/relationships/hyperlink" Target="https://www.semrush.com/" TargetMode="External"/><Relationship Id="rId2220" Type="http://schemas.openxmlformats.org/officeDocument/2006/relationships/hyperlink" Target="https://scrunch.com/" TargetMode="External"/><Relationship Id="rId301" Type="http://schemas.openxmlformats.org/officeDocument/2006/relationships/hyperlink" Target="https://www.tryprofound.com/" TargetMode="External"/><Relationship Id="rId785" Type="http://schemas.openxmlformats.org/officeDocument/2006/relationships/hyperlink" Target="https://peec.ai/visibility/platform" TargetMode="External"/><Relationship Id="rId1374" Type="http://schemas.openxmlformats.org/officeDocument/2006/relationships/hyperlink" Target="https://adstransparency.google.com/advertiser/AR11070511645502472193/creative/CR10045301835255775233?region=anywhere" TargetMode="External"/><Relationship Id="rId2221" Type="http://schemas.openxmlformats.org/officeDocument/2006/relationships/hyperlink" Target="https://adstransparency.google.com/advertiser/AR01685939160927436801/creative/CR17581008005481103361?region=anywhere" TargetMode="External"/><Relationship Id="rId300" Type="http://schemas.openxmlformats.org/officeDocument/2006/relationships/hyperlink" Target="https://adstransparency.google.com/advertiser/AR01693402396748677121/creative/CR14693750531763994625?region=anywhere" TargetMode="External"/><Relationship Id="rId784" Type="http://schemas.openxmlformats.org/officeDocument/2006/relationships/hyperlink" Target="https://adstransparency.google.com/advertiser/AR05016556376214732801/creative/CR15474043671657054209?region=anywhere" TargetMode="External"/><Relationship Id="rId1375" Type="http://schemas.openxmlformats.org/officeDocument/2006/relationships/hyperlink" Target="https://www.semrush.com/analytics/backlinks/overview/" TargetMode="External"/><Relationship Id="rId2222" Type="http://schemas.openxmlformats.org/officeDocument/2006/relationships/hyperlink" Target="https://www.scrunch.com/ai-search" TargetMode="External"/><Relationship Id="rId783" Type="http://schemas.openxmlformats.org/officeDocument/2006/relationships/hyperlink" Target="https://peec.ai/" TargetMode="External"/><Relationship Id="rId1376" Type="http://schemas.openxmlformats.org/officeDocument/2006/relationships/hyperlink" Target="https://adstransparency.google.com/advertiser/AR11070511645502472193/creative/CR09606440247294427137?region=anywhere" TargetMode="External"/><Relationship Id="rId2223" Type="http://schemas.openxmlformats.org/officeDocument/2006/relationships/hyperlink" Target="https://adstransparency.google.com/advertiser/AR01685939160927436801/creative/CR00934014932859486209?region=anywhere" TargetMode="External"/><Relationship Id="rId782" Type="http://schemas.openxmlformats.org/officeDocument/2006/relationships/hyperlink" Target="https://adstransparency.google.com/advertiser/AR05016556376214732801/creative/CR05174513634000240641?region=anywhere" TargetMode="External"/><Relationship Id="rId1377" Type="http://schemas.openxmlformats.org/officeDocument/2006/relationships/hyperlink" Target="https://www.semrush.com/features/" TargetMode="External"/><Relationship Id="rId2224" Type="http://schemas.openxmlformats.org/officeDocument/2006/relationships/hyperlink" Target="https://www.scrunch.com/chatgpt/visibility" TargetMode="External"/><Relationship Id="rId1367" Type="http://schemas.openxmlformats.org/officeDocument/2006/relationships/hyperlink" Target="https://www.semrush.com/" TargetMode="External"/><Relationship Id="rId2214" Type="http://schemas.openxmlformats.org/officeDocument/2006/relationships/hyperlink" Target="https://scrunch.com/" TargetMode="External"/><Relationship Id="rId1368" Type="http://schemas.openxmlformats.org/officeDocument/2006/relationships/hyperlink" Target="https://adstransparency.google.com/advertiser/AR11070511645502472193/creative/CR10660413101335117825?region=anywhere" TargetMode="External"/><Relationship Id="rId2215" Type="http://schemas.openxmlformats.org/officeDocument/2006/relationships/hyperlink" Target="https://adstransparency.google.com/advertiser/AR01685939160927436801/creative/CR06921803250245042177?region=anywhere" TargetMode="External"/><Relationship Id="rId1369" Type="http://schemas.openxmlformats.org/officeDocument/2006/relationships/hyperlink" Target="https://www.semrush.com/analytics/keywordoverview/" TargetMode="External"/><Relationship Id="rId2216" Type="http://schemas.openxmlformats.org/officeDocument/2006/relationships/hyperlink" Target="https://www.scrunch.com/ai-search/visibility" TargetMode="External"/><Relationship Id="rId2217" Type="http://schemas.openxmlformats.org/officeDocument/2006/relationships/hyperlink" Target="https://adstransparency.google.com/advertiser/AR01685939160927436801/creative/CR15368473126413271041?region=anywhere" TargetMode="External"/><Relationship Id="rId2218" Type="http://schemas.openxmlformats.org/officeDocument/2006/relationships/hyperlink" Target="https://www.scrunch.com/aeo" TargetMode="External"/><Relationship Id="rId2219" Type="http://schemas.openxmlformats.org/officeDocument/2006/relationships/hyperlink" Target="https://adstransparency.google.com/advertiser/AR01685939160927436801/creative/CR10473084357508595713?region=anywhere" TargetMode="External"/><Relationship Id="rId778" Type="http://schemas.openxmlformats.org/officeDocument/2006/relationships/hyperlink" Target="https://adstransparency.google.com/advertiser/AR05016556376214732801/creative/CR17085141017406996481?region=anywhere" TargetMode="External"/><Relationship Id="rId777" Type="http://schemas.openxmlformats.org/officeDocument/2006/relationships/hyperlink" Target="https://peec.ai/visibility/platform" TargetMode="External"/><Relationship Id="rId776" Type="http://schemas.openxmlformats.org/officeDocument/2006/relationships/hyperlink" Target="https://adstransparency.google.com/advertiser/AR05016556376214732801/creative/CR13172290845698686977?region=anywhere" TargetMode="External"/><Relationship Id="rId775" Type="http://schemas.openxmlformats.org/officeDocument/2006/relationships/hyperlink" Target="https://peec.ai/" TargetMode="External"/><Relationship Id="rId779" Type="http://schemas.openxmlformats.org/officeDocument/2006/relationships/hyperlink" Target="https://peec.ai/for-agencies" TargetMode="External"/><Relationship Id="rId770" Type="http://schemas.openxmlformats.org/officeDocument/2006/relationships/hyperlink" Target="https://adstransparency.google.com/advertiser/AR05016556376214732801/creative/CR13311547841647214593?region=anywhere" TargetMode="External"/><Relationship Id="rId1360" Type="http://schemas.openxmlformats.org/officeDocument/2006/relationships/hyperlink" Target="https://adstransparency.google.com/advertiser/AR11070511645502472193/creative/CR05444840043841585153?region=anywhere" TargetMode="External"/><Relationship Id="rId1361" Type="http://schemas.openxmlformats.org/officeDocument/2006/relationships/hyperlink" Target="https://www.semrush.com/" TargetMode="External"/><Relationship Id="rId1362" Type="http://schemas.openxmlformats.org/officeDocument/2006/relationships/hyperlink" Target="https://adstransparency.google.com/advertiser/AR11070511645502472193/creative/CR09759734184208760833?region=anywhere" TargetMode="External"/><Relationship Id="rId774" Type="http://schemas.openxmlformats.org/officeDocument/2006/relationships/hyperlink" Target="https://adstransparency.google.com/advertiser/AR05016556376214732801/creative/CR03895038547194806273?region=anywhere" TargetMode="External"/><Relationship Id="rId1363" Type="http://schemas.openxmlformats.org/officeDocument/2006/relationships/hyperlink" Target="https://www.semrush.com/features/" TargetMode="External"/><Relationship Id="rId2210" Type="http://schemas.openxmlformats.org/officeDocument/2006/relationships/hyperlink" Target="https://www.scrunch.com/ai-search/visibility" TargetMode="External"/><Relationship Id="rId773" Type="http://schemas.openxmlformats.org/officeDocument/2006/relationships/hyperlink" Target="https://peec.ai/black-friday" TargetMode="External"/><Relationship Id="rId1364" Type="http://schemas.openxmlformats.org/officeDocument/2006/relationships/hyperlink" Target="https://adstransparency.google.com/advertiser/AR11070511645502472193/creative/CR07496503821871349761?region=anywhere" TargetMode="External"/><Relationship Id="rId2211" Type="http://schemas.openxmlformats.org/officeDocument/2006/relationships/hyperlink" Target="https://adstransparency.google.com/advertiser/AR01685939160927436801/creative/CR15472178625058439169?region=anywhere" TargetMode="External"/><Relationship Id="rId772" Type="http://schemas.openxmlformats.org/officeDocument/2006/relationships/hyperlink" Target="https://adstransparency.google.com/advertiser/AR05016556376214732801/creative/CR10409330825039446017?region=anywhere" TargetMode="External"/><Relationship Id="rId1365" Type="http://schemas.openxmlformats.org/officeDocument/2006/relationships/hyperlink" Target="https://www.semrush.com/kb/demo/" TargetMode="External"/><Relationship Id="rId2212" Type="http://schemas.openxmlformats.org/officeDocument/2006/relationships/hyperlink" Target="https://www.scrunch.com/aeo/platform" TargetMode="External"/><Relationship Id="rId771" Type="http://schemas.openxmlformats.org/officeDocument/2006/relationships/hyperlink" Target="https://peec.ai/" TargetMode="External"/><Relationship Id="rId1366" Type="http://schemas.openxmlformats.org/officeDocument/2006/relationships/hyperlink" Target="https://adstransparency.google.com/advertiser/AR11070511645502472193/creative/CR00879982088202223617?region=anywhere" TargetMode="External"/><Relationship Id="rId2213" Type="http://schemas.openxmlformats.org/officeDocument/2006/relationships/hyperlink" Target="https://adstransparency.google.com/advertiser/AR01685939160927436801/creative/CR16614962907335098369?region=anywhere" TargetMode="External"/><Relationship Id="rId2247" Type="http://schemas.openxmlformats.org/officeDocument/2006/relationships/hyperlink" Target="https://adstransparency.google.com/advertiser/AR13288297259528617985/creative/CR02101498481133748225?region=anywhere" TargetMode="External"/><Relationship Id="rId2248" Type="http://schemas.openxmlformats.org/officeDocument/2006/relationships/hyperlink" Target="https://otterly.ai/" TargetMode="External"/><Relationship Id="rId2249" Type="http://schemas.openxmlformats.org/officeDocument/2006/relationships/hyperlink" Target="https://adstransparency.google.com/advertiser/AR13288297259528617985/creative/CR10313232959016009729?region=anywhere" TargetMode="External"/><Relationship Id="rId327" Type="http://schemas.openxmlformats.org/officeDocument/2006/relationships/hyperlink" Target="https://www.tryprofound.com/" TargetMode="External"/><Relationship Id="rId326" Type="http://schemas.openxmlformats.org/officeDocument/2006/relationships/hyperlink" Target="https://adstransparency.google.com/advertiser/AR01693402396748677121/creative/CR15938755585441267713?region=anywhere" TargetMode="External"/><Relationship Id="rId325" Type="http://schemas.openxmlformats.org/officeDocument/2006/relationships/hyperlink" Target="https://www.tryprofound.com/pricing" TargetMode="External"/><Relationship Id="rId324" Type="http://schemas.openxmlformats.org/officeDocument/2006/relationships/hyperlink" Target="https://adstransparency.google.com/advertiser/AR01693402396748677121/creative/CR04213668452759502849?region=anywhere" TargetMode="External"/><Relationship Id="rId329" Type="http://schemas.openxmlformats.org/officeDocument/2006/relationships/hyperlink" Target="https://www.tryprofound.com/" TargetMode="External"/><Relationship Id="rId1390" Type="http://schemas.openxmlformats.org/officeDocument/2006/relationships/hyperlink" Target="https://adstransparency.google.com/advertiser/AR11070511645502472193/creative/CR01273957926435815425?region=anywhere" TargetMode="External"/><Relationship Id="rId328" Type="http://schemas.openxmlformats.org/officeDocument/2006/relationships/hyperlink" Target="https://adstransparency.google.com/advertiser/AR01693402396748677121/creative/CR01987036297025290241?region=anywhere" TargetMode="External"/><Relationship Id="rId1391" Type="http://schemas.openxmlformats.org/officeDocument/2006/relationships/hyperlink" Target="https://www.semrush.com/features/" TargetMode="External"/><Relationship Id="rId1392" Type="http://schemas.openxmlformats.org/officeDocument/2006/relationships/hyperlink" Target="https://adstransparency.google.com/advertiser/AR11070511645502472193/creative/CR08374339611836547073?region=anywhere" TargetMode="External"/><Relationship Id="rId1393" Type="http://schemas.openxmlformats.org/officeDocument/2006/relationships/hyperlink" Target="https://www.semrush.com/kb/demo/" TargetMode="External"/><Relationship Id="rId2240" Type="http://schemas.openxmlformats.org/officeDocument/2006/relationships/hyperlink" Target="https://otterly.ai/" TargetMode="External"/><Relationship Id="rId1394" Type="http://schemas.openxmlformats.org/officeDocument/2006/relationships/hyperlink" Target="https://adstransparency.google.com/advertiser/AR11070511645502472193/creative/CR15781005877655371777?region=anywhere" TargetMode="External"/><Relationship Id="rId2241" Type="http://schemas.openxmlformats.org/officeDocument/2006/relationships/hyperlink" Target="https://adstransparency.google.com/advertiser/AR13288297259528617985/creative/CR01953369663299649537?region=anywhere" TargetMode="External"/><Relationship Id="rId1395" Type="http://schemas.openxmlformats.org/officeDocument/2006/relationships/hyperlink" Target="https://www.semrush.com/" TargetMode="External"/><Relationship Id="rId2242" Type="http://schemas.openxmlformats.org/officeDocument/2006/relationships/hyperlink" Target="https://otterly.ai/" TargetMode="External"/><Relationship Id="rId323" Type="http://schemas.openxmlformats.org/officeDocument/2006/relationships/hyperlink" Target="https://www.tryprofound.com/" TargetMode="External"/><Relationship Id="rId1396" Type="http://schemas.openxmlformats.org/officeDocument/2006/relationships/hyperlink" Target="https://adstransparency.google.com/advertiser/AR11070511645502472193/creative/CR16557498512657350657?region=anywhere" TargetMode="External"/><Relationship Id="rId2243" Type="http://schemas.openxmlformats.org/officeDocument/2006/relationships/hyperlink" Target="https://adstransparency.google.com/advertiser/AR13288297259528617985/creative/CR16505806511075753985?region=anywhere" TargetMode="External"/><Relationship Id="rId322" Type="http://schemas.openxmlformats.org/officeDocument/2006/relationships/hyperlink" Target="https://adstransparency.google.com/advertiser/AR01693402396748677121/creative/CR06322570650057703425?region=anywhere" TargetMode="External"/><Relationship Id="rId1397" Type="http://schemas.openxmlformats.org/officeDocument/2006/relationships/hyperlink" Target="https://www.semrush.com/analytics/keywordoverview/" TargetMode="External"/><Relationship Id="rId2244" Type="http://schemas.openxmlformats.org/officeDocument/2006/relationships/hyperlink" Target="https://otterly.ai/" TargetMode="External"/><Relationship Id="rId321" Type="http://schemas.openxmlformats.org/officeDocument/2006/relationships/hyperlink" Target="https://www.tryprofound.com/" TargetMode="External"/><Relationship Id="rId1398" Type="http://schemas.openxmlformats.org/officeDocument/2006/relationships/hyperlink" Target="https://adstransparency.google.com/advertiser/AR11070511645502472193/creative/CR03279864265355296769?region=anywhere" TargetMode="External"/><Relationship Id="rId2245" Type="http://schemas.openxmlformats.org/officeDocument/2006/relationships/hyperlink" Target="https://adstransparency.google.com/advertiser/AR13288297259528617985/creative/CR10778135844226072577?region=anywhere" TargetMode="External"/><Relationship Id="rId320" Type="http://schemas.openxmlformats.org/officeDocument/2006/relationships/hyperlink" Target="https://adstransparency.google.com/advertiser/AR01693402396748677121/creative/CR15043358120879325185?region=anywhere" TargetMode="External"/><Relationship Id="rId1399" Type="http://schemas.openxmlformats.org/officeDocument/2006/relationships/hyperlink" Target="https://www.semrush.com/" TargetMode="External"/><Relationship Id="rId2246" Type="http://schemas.openxmlformats.org/officeDocument/2006/relationships/hyperlink" Target="https://otterly.ai/" TargetMode="External"/><Relationship Id="rId1389" Type="http://schemas.openxmlformats.org/officeDocument/2006/relationships/hyperlink" Target="https://www.semrush.com/" TargetMode="External"/><Relationship Id="rId2236" Type="http://schemas.openxmlformats.org/officeDocument/2006/relationships/hyperlink" Target="https://www.scrunch.com/aeo" TargetMode="External"/><Relationship Id="rId2237" Type="http://schemas.openxmlformats.org/officeDocument/2006/relationships/hyperlink" Target="https://adstransparency.google.com/advertiser/AR01685939160927436801/creative/CR08755261017233031169?region=anywhere" TargetMode="External"/><Relationship Id="rId2238" Type="http://schemas.openxmlformats.org/officeDocument/2006/relationships/hyperlink" Target="https://otterly.ai/" TargetMode="External"/><Relationship Id="rId2239" Type="http://schemas.openxmlformats.org/officeDocument/2006/relationships/hyperlink" Target="https://adstransparency.google.com/advertiser/AR13288297259528617985/creative/CR13585705181927964673?region=anywhere" TargetMode="External"/><Relationship Id="rId316" Type="http://schemas.openxmlformats.org/officeDocument/2006/relationships/hyperlink" Target="https://adstransparency.google.com/advertiser/AR01693402396748677121/creative/CR16742914750496636929?region=anywhere" TargetMode="External"/><Relationship Id="rId315" Type="http://schemas.openxmlformats.org/officeDocument/2006/relationships/hyperlink" Target="https://www.tryprofound.com/" TargetMode="External"/><Relationship Id="rId799" Type="http://schemas.openxmlformats.org/officeDocument/2006/relationships/hyperlink" Target="https://peec.ai/" TargetMode="External"/><Relationship Id="rId314" Type="http://schemas.openxmlformats.org/officeDocument/2006/relationships/hyperlink" Target="https://adstransparency.google.com/advertiser/AR01693402396748677121/creative/CR16118858338850045953?region=anywhere" TargetMode="External"/><Relationship Id="rId798" Type="http://schemas.openxmlformats.org/officeDocument/2006/relationships/hyperlink" Target="https://adstransparency.google.com/advertiser/AR05016556376214732801/creative/CR14478657719176790017?region=anywhere" TargetMode="External"/><Relationship Id="rId313" Type="http://schemas.openxmlformats.org/officeDocument/2006/relationships/hyperlink" Target="https://www.tryprofound.com/" TargetMode="External"/><Relationship Id="rId797" Type="http://schemas.openxmlformats.org/officeDocument/2006/relationships/hyperlink" Target="https://peec.ai/black-friday" TargetMode="External"/><Relationship Id="rId319" Type="http://schemas.openxmlformats.org/officeDocument/2006/relationships/hyperlink" Target="https://www.tryprofound.com/" TargetMode="External"/><Relationship Id="rId318" Type="http://schemas.openxmlformats.org/officeDocument/2006/relationships/hyperlink" Target="https://adstransparency.google.com/advertiser/AR01693402396748677121/creative/CR08495215109830868993?region=anywhere" TargetMode="External"/><Relationship Id="rId317" Type="http://schemas.openxmlformats.org/officeDocument/2006/relationships/hyperlink" Target="https://www.tryprofound.com/" TargetMode="External"/><Relationship Id="rId1380" Type="http://schemas.openxmlformats.org/officeDocument/2006/relationships/hyperlink" Target="https://adstransparency.google.com/advertiser/AR11070511645502472193/creative/CR11506438439360790529?region=anywhere" TargetMode="External"/><Relationship Id="rId792" Type="http://schemas.openxmlformats.org/officeDocument/2006/relationships/hyperlink" Target="https://adstransparency.google.com/advertiser/AR05016556376214732801/creative/CR08203903189133557761?region=anywhere" TargetMode="External"/><Relationship Id="rId1381" Type="http://schemas.openxmlformats.org/officeDocument/2006/relationships/hyperlink" Target="https://www.semrush.com/pricing/" TargetMode="External"/><Relationship Id="rId791" Type="http://schemas.openxmlformats.org/officeDocument/2006/relationships/hyperlink" Target="https://peec.ai/demo" TargetMode="External"/><Relationship Id="rId1382" Type="http://schemas.openxmlformats.org/officeDocument/2006/relationships/hyperlink" Target="https://adstransparency.google.com/advertiser/AR11070511645502472193/creative/CR01375834207099551745?region=anywhere" TargetMode="External"/><Relationship Id="rId790" Type="http://schemas.openxmlformats.org/officeDocument/2006/relationships/hyperlink" Target="https://adstransparency.google.com/advertiser/AR05016556376214732801/creative/CR10600982573708476417?region=anywhere" TargetMode="External"/><Relationship Id="rId1383" Type="http://schemas.openxmlformats.org/officeDocument/2006/relationships/hyperlink" Target="https://www.semrush.com/" TargetMode="External"/><Relationship Id="rId2230" Type="http://schemas.openxmlformats.org/officeDocument/2006/relationships/hyperlink" Target="https://www.scrunch.com/aeo/platform" TargetMode="External"/><Relationship Id="rId1384" Type="http://schemas.openxmlformats.org/officeDocument/2006/relationships/hyperlink" Target="https://adstransparency.google.com/advertiser/AR11070511645502472193/creative/CR12317922413441449985?region=anywhere" TargetMode="External"/><Relationship Id="rId2231" Type="http://schemas.openxmlformats.org/officeDocument/2006/relationships/hyperlink" Target="https://adstransparency.google.com/advertiser/AR01685939160927436801/creative/CR00646324528586162177?region=anywhere" TargetMode="External"/><Relationship Id="rId312" Type="http://schemas.openxmlformats.org/officeDocument/2006/relationships/hyperlink" Target="https://adstransparency.google.com/advertiser/AR01693402396748677121/creative/CR15214197763701997569?region=anywhere" TargetMode="External"/><Relationship Id="rId796" Type="http://schemas.openxmlformats.org/officeDocument/2006/relationships/hyperlink" Target="https://adstransparency.google.com/advertiser/AR05016556376214732801/creative/CR11274059611767832577?region=anywhere" TargetMode="External"/><Relationship Id="rId1385" Type="http://schemas.openxmlformats.org/officeDocument/2006/relationships/hyperlink" Target="https://www.semrush.com/" TargetMode="External"/><Relationship Id="rId2232" Type="http://schemas.openxmlformats.org/officeDocument/2006/relationships/hyperlink" Target="https://scrunch.com/" TargetMode="External"/><Relationship Id="rId311" Type="http://schemas.openxmlformats.org/officeDocument/2006/relationships/hyperlink" Target="https://www.tryprofound.com/" TargetMode="External"/><Relationship Id="rId795" Type="http://schemas.openxmlformats.org/officeDocument/2006/relationships/hyperlink" Target="https://peec.ai/" TargetMode="External"/><Relationship Id="rId1386" Type="http://schemas.openxmlformats.org/officeDocument/2006/relationships/hyperlink" Target="https://adstransparency.google.com/advertiser/AR11070511645502472193/creative/CR09988987048704344065?region=anywhere" TargetMode="External"/><Relationship Id="rId2233" Type="http://schemas.openxmlformats.org/officeDocument/2006/relationships/hyperlink" Target="https://adstransparency.google.com/advertiser/AR01685939160927436801/creative/CR03049339789892386817?region=anywhere" TargetMode="External"/><Relationship Id="rId310" Type="http://schemas.openxmlformats.org/officeDocument/2006/relationships/hyperlink" Target="https://adstransparency.google.com/advertiser/AR01693402396748677121/creative/CR14509384422018514945?region=anywhere" TargetMode="External"/><Relationship Id="rId794" Type="http://schemas.openxmlformats.org/officeDocument/2006/relationships/hyperlink" Target="https://adstransparency.google.com/advertiser/AR05016556376214732801/creative/CR11804261710867464193?region=anywhere" TargetMode="External"/><Relationship Id="rId1387" Type="http://schemas.openxmlformats.org/officeDocument/2006/relationships/hyperlink" Target="https://www.semrush.com/" TargetMode="External"/><Relationship Id="rId2234" Type="http://schemas.openxmlformats.org/officeDocument/2006/relationships/hyperlink" Target="https://www.scrunch.com/ai-search/visibility" TargetMode="External"/><Relationship Id="rId793" Type="http://schemas.openxmlformats.org/officeDocument/2006/relationships/hyperlink" Target="https://peec.ai/for-agencies" TargetMode="External"/><Relationship Id="rId1388" Type="http://schemas.openxmlformats.org/officeDocument/2006/relationships/hyperlink" Target="https://adstransparency.google.com/advertiser/AR11070511645502472193/creative/CR12580076359511965697?region=anywhere" TargetMode="External"/><Relationship Id="rId2235" Type="http://schemas.openxmlformats.org/officeDocument/2006/relationships/hyperlink" Target="https://adstransparency.google.com/advertiser/AR01685939160927436801/creative/CR06843287262344511489?region=anywhere" TargetMode="External"/><Relationship Id="rId297" Type="http://schemas.openxmlformats.org/officeDocument/2006/relationships/hyperlink" Target="https://www.tryprofound.com/" TargetMode="External"/><Relationship Id="rId296" Type="http://schemas.openxmlformats.org/officeDocument/2006/relationships/hyperlink" Target="https://adstransparency.google.com/advertiser/AR01693402396748677121/creative/CR10674780445545070593?region=anywhere" TargetMode="External"/><Relationship Id="rId295" Type="http://schemas.openxmlformats.org/officeDocument/2006/relationships/hyperlink" Target="https://www.tryprofound.com/" TargetMode="External"/><Relationship Id="rId294" Type="http://schemas.openxmlformats.org/officeDocument/2006/relationships/hyperlink" Target="https://adstransparency.google.com/advertiser/AR01693402396748677121/creative/CR11030916659828228097?region=anywhere" TargetMode="External"/><Relationship Id="rId299" Type="http://schemas.openxmlformats.org/officeDocument/2006/relationships/hyperlink" Target="https://www.tryprofound.com/" TargetMode="External"/><Relationship Id="rId298" Type="http://schemas.openxmlformats.org/officeDocument/2006/relationships/hyperlink" Target="https://adstransparency.google.com/advertiser/AR01693402396748677121/creative/CR17019296789347434497?region=anywhere" TargetMode="External"/><Relationship Id="rId271" Type="http://schemas.openxmlformats.org/officeDocument/2006/relationships/hyperlink" Target="https://www.tryprofound.com/" TargetMode="External"/><Relationship Id="rId270" Type="http://schemas.openxmlformats.org/officeDocument/2006/relationships/hyperlink" Target="https://adstransparency.google.com/advertiser/AR01693402396748677121/creative/CR13297424640558235649?region=anywhere" TargetMode="External"/><Relationship Id="rId269" Type="http://schemas.openxmlformats.org/officeDocument/2006/relationships/hyperlink" Target="https://www.tryprofound.com/" TargetMode="External"/><Relationship Id="rId264" Type="http://schemas.openxmlformats.org/officeDocument/2006/relationships/hyperlink" Target="https://adstransparency.google.com/advertiser/AR01693402396748677121/creative/CR03053507626156425217?region=anywhere" TargetMode="External"/><Relationship Id="rId263" Type="http://schemas.openxmlformats.org/officeDocument/2006/relationships/hyperlink" Target="https://www.tryprofound.com/" TargetMode="External"/><Relationship Id="rId262" Type="http://schemas.openxmlformats.org/officeDocument/2006/relationships/hyperlink" Target="https://adstransparency.google.com/advertiser/AR01693402396748677121/creative/CR17156796877383925761?region=anywhere" TargetMode="External"/><Relationship Id="rId261" Type="http://schemas.openxmlformats.org/officeDocument/2006/relationships/hyperlink" Target="https://www.tryprofound.com/" TargetMode="External"/><Relationship Id="rId268" Type="http://schemas.openxmlformats.org/officeDocument/2006/relationships/hyperlink" Target="https://adstransparency.google.com/advertiser/AR01693402396748677121/creative/CR08723661851914665985?region=anywhere" TargetMode="External"/><Relationship Id="rId267" Type="http://schemas.openxmlformats.org/officeDocument/2006/relationships/hyperlink" Target="https://www.tryprofound.com/" TargetMode="External"/><Relationship Id="rId266" Type="http://schemas.openxmlformats.org/officeDocument/2006/relationships/hyperlink" Target="https://adstransparency.google.com/advertiser/AR01693402396748677121/creative/CR05942927976684322817?region=anywhere" TargetMode="External"/><Relationship Id="rId265" Type="http://schemas.openxmlformats.org/officeDocument/2006/relationships/hyperlink" Target="https://www.tryprofound.com/pricing" TargetMode="External"/><Relationship Id="rId260" Type="http://schemas.openxmlformats.org/officeDocument/2006/relationships/hyperlink" Target="https://adstransparency.google.com/advertiser/AR01693402396748677121/creative/CR04601542276336844801?region=anywhere" TargetMode="External"/><Relationship Id="rId259" Type="http://schemas.openxmlformats.org/officeDocument/2006/relationships/hyperlink" Target="https://www.tryprofound.com/" TargetMode="External"/><Relationship Id="rId258" Type="http://schemas.openxmlformats.org/officeDocument/2006/relationships/hyperlink" Target="https://adstransparency.google.com/advertiser/AR01693402396748677121/creative/CR12348112073572483073?region=anywhere" TargetMode="External"/><Relationship Id="rId2290" Type="http://schemas.openxmlformats.org/officeDocument/2006/relationships/hyperlink" Target="https://otterly.ai/" TargetMode="External"/><Relationship Id="rId2291" Type="http://schemas.openxmlformats.org/officeDocument/2006/relationships/hyperlink" Target="https://adstransparency.google.com/advertiser/AR13288297259528617985/creative/CR10409984484702158849?region=anywhere" TargetMode="External"/><Relationship Id="rId2292" Type="http://schemas.openxmlformats.org/officeDocument/2006/relationships/hyperlink" Target="https://otterly.ai/" TargetMode="External"/><Relationship Id="rId2293" Type="http://schemas.openxmlformats.org/officeDocument/2006/relationships/hyperlink" Target="https://adstransparency.google.com/advertiser/AR13288297259528617985/creative/CR17650077264353689601?region=anywhere" TargetMode="External"/><Relationship Id="rId253" Type="http://schemas.openxmlformats.org/officeDocument/2006/relationships/hyperlink" Target="https://www.tryprofound.com/" TargetMode="External"/><Relationship Id="rId2294" Type="http://schemas.openxmlformats.org/officeDocument/2006/relationships/hyperlink" Target="https://otterly.ai/" TargetMode="External"/><Relationship Id="rId252" Type="http://schemas.openxmlformats.org/officeDocument/2006/relationships/hyperlink" Target="https://adstransparency.google.com/advertiser/AR01693402396748677121/creative/CR16431350993846796289?region=anywhere" TargetMode="External"/><Relationship Id="rId2295" Type="http://schemas.openxmlformats.org/officeDocument/2006/relationships/hyperlink" Target="https://adstransparency.google.com/advertiser/AR13288297259528617985/creative/CR01167316663025008641?region=anywhere" TargetMode="External"/><Relationship Id="rId251" Type="http://schemas.openxmlformats.org/officeDocument/2006/relationships/hyperlink" Target="https://www.tryprofound.com/" TargetMode="External"/><Relationship Id="rId2296" Type="http://schemas.openxmlformats.org/officeDocument/2006/relationships/hyperlink" Target="https://otterly.ai/" TargetMode="External"/><Relationship Id="rId250" Type="http://schemas.openxmlformats.org/officeDocument/2006/relationships/hyperlink" Target="https://adstransparency.google.com/advertiser/AR01693402396748677121/creative/CR07426566086251773953?region=anywhere" TargetMode="External"/><Relationship Id="rId2297" Type="http://schemas.openxmlformats.org/officeDocument/2006/relationships/hyperlink" Target="https://adstransparency.google.com/advertiser/AR13288297259528617985/creative/CR02189641749897412609?region=anywhere" TargetMode="External"/><Relationship Id="rId257" Type="http://schemas.openxmlformats.org/officeDocument/2006/relationships/hyperlink" Target="https://www.tryprofound.com/" TargetMode="External"/><Relationship Id="rId2298" Type="http://schemas.openxmlformats.org/officeDocument/2006/relationships/hyperlink" Target="https://otterly.ai/" TargetMode="External"/><Relationship Id="rId256" Type="http://schemas.openxmlformats.org/officeDocument/2006/relationships/hyperlink" Target="https://adstransparency.google.com/advertiser/AR01693402396748677121/creative/CR07663457859320938497?region=anywhere" TargetMode="External"/><Relationship Id="rId2299" Type="http://schemas.openxmlformats.org/officeDocument/2006/relationships/hyperlink" Target="https://adstransparency.google.com/advertiser/AR13288297259528617985/creative/CR17483589969590091777?region=anywhere" TargetMode="External"/><Relationship Id="rId255" Type="http://schemas.openxmlformats.org/officeDocument/2006/relationships/hyperlink" Target="https://www.tryprofound.com/" TargetMode="External"/><Relationship Id="rId254" Type="http://schemas.openxmlformats.org/officeDocument/2006/relationships/hyperlink" Target="https://adstransparency.google.com/advertiser/AR01693402396748677121/creative/CR17314572561132027905?region=anywhere" TargetMode="External"/><Relationship Id="rId293" Type="http://schemas.openxmlformats.org/officeDocument/2006/relationships/hyperlink" Target="https://www.tryprofound.com/" TargetMode="External"/><Relationship Id="rId292" Type="http://schemas.openxmlformats.org/officeDocument/2006/relationships/hyperlink" Target="https://adstransparency.google.com/advertiser/AR01693402396748677121/creative/CR01380828558280097793?region=anywhere" TargetMode="External"/><Relationship Id="rId291" Type="http://schemas.openxmlformats.org/officeDocument/2006/relationships/hyperlink" Target="https://www.tryprofound.com/" TargetMode="External"/><Relationship Id="rId290" Type="http://schemas.openxmlformats.org/officeDocument/2006/relationships/hyperlink" Target="https://adstransparency.google.com/advertiser/AR01693402396748677121/creative/CR05861029753577799681?region=anywhere" TargetMode="External"/><Relationship Id="rId286" Type="http://schemas.openxmlformats.org/officeDocument/2006/relationships/hyperlink" Target="https://adstransparency.google.com/advertiser/AR01693402396748677121/creative/CR16547814907593097217?region=anywhere" TargetMode="External"/><Relationship Id="rId285" Type="http://schemas.openxmlformats.org/officeDocument/2006/relationships/hyperlink" Target="https://www.tryprofound.com/pricing" TargetMode="External"/><Relationship Id="rId284" Type="http://schemas.openxmlformats.org/officeDocument/2006/relationships/hyperlink" Target="https://adstransparency.google.com/advertiser/AR01693402396748677121/creative/CR03299414020183818241?region=anywhere" TargetMode="External"/><Relationship Id="rId283" Type="http://schemas.openxmlformats.org/officeDocument/2006/relationships/hyperlink" Target="https://www.tryprofound.com/" TargetMode="External"/><Relationship Id="rId289" Type="http://schemas.openxmlformats.org/officeDocument/2006/relationships/hyperlink" Target="https://www.tryprofound.com/" TargetMode="External"/><Relationship Id="rId288" Type="http://schemas.openxmlformats.org/officeDocument/2006/relationships/hyperlink" Target="https://adstransparency.google.com/advertiser/AR01693402396748677121/creative/CR17300299044777623553?region=anywhere" TargetMode="External"/><Relationship Id="rId287" Type="http://schemas.openxmlformats.org/officeDocument/2006/relationships/hyperlink" Target="https://www.tryprofound.com/" TargetMode="External"/><Relationship Id="rId282" Type="http://schemas.openxmlformats.org/officeDocument/2006/relationships/hyperlink" Target="https://adstransparency.google.com/advertiser/AR01693402396748677121/creative/CR03640791558606815233?region=anywhere" TargetMode="External"/><Relationship Id="rId281" Type="http://schemas.openxmlformats.org/officeDocument/2006/relationships/hyperlink" Target="https://www.tryprofound.com/" TargetMode="External"/><Relationship Id="rId280" Type="http://schemas.openxmlformats.org/officeDocument/2006/relationships/hyperlink" Target="https://adstransparency.google.com/advertiser/AR01693402396748677121/creative/CR05387930241110900737?region=anywhere" TargetMode="External"/><Relationship Id="rId275" Type="http://schemas.openxmlformats.org/officeDocument/2006/relationships/hyperlink" Target="https://www.tryprofound.com/" TargetMode="External"/><Relationship Id="rId274" Type="http://schemas.openxmlformats.org/officeDocument/2006/relationships/hyperlink" Target="https://adstransparency.google.com/advertiser/AR01693402396748677121/creative/CR10069680988750872577?region=anywhere" TargetMode="External"/><Relationship Id="rId273" Type="http://schemas.openxmlformats.org/officeDocument/2006/relationships/hyperlink" Target="https://www.tryprofound.com/" TargetMode="External"/><Relationship Id="rId272" Type="http://schemas.openxmlformats.org/officeDocument/2006/relationships/hyperlink" Target="https://adstransparency.google.com/advertiser/AR01693402396748677121/creative/CR13973995651692756993?region=anywhere" TargetMode="External"/><Relationship Id="rId279" Type="http://schemas.openxmlformats.org/officeDocument/2006/relationships/hyperlink" Target="https://www.tryprofound.com/" TargetMode="External"/><Relationship Id="rId278" Type="http://schemas.openxmlformats.org/officeDocument/2006/relationships/hyperlink" Target="https://adstransparency.google.com/advertiser/AR01693402396748677121/creative/CR04342375497200566273?region=anywhere" TargetMode="External"/><Relationship Id="rId277" Type="http://schemas.openxmlformats.org/officeDocument/2006/relationships/hyperlink" Target="https://www.tryprofound.com/" TargetMode="External"/><Relationship Id="rId276" Type="http://schemas.openxmlformats.org/officeDocument/2006/relationships/hyperlink" Target="https://adstransparency.google.com/advertiser/AR01693402396748677121/creative/CR02818283056312352769?region=anywhere" TargetMode="External"/><Relationship Id="rId1851" Type="http://schemas.openxmlformats.org/officeDocument/2006/relationships/hyperlink" Target="https://www.semrush.com/analytics/backlinks/overview/" TargetMode="External"/><Relationship Id="rId1852" Type="http://schemas.openxmlformats.org/officeDocument/2006/relationships/hyperlink" Target="https://adstransparency.google.com/advertiser/AR11070511645502472193/creative/CR12249444829263560705?region=anywhere" TargetMode="External"/><Relationship Id="rId1853" Type="http://schemas.openxmlformats.org/officeDocument/2006/relationships/hyperlink" Target="https://www.semrush.com/features/" TargetMode="External"/><Relationship Id="rId1854" Type="http://schemas.openxmlformats.org/officeDocument/2006/relationships/hyperlink" Target="https://adstransparency.google.com/advertiser/AR11070511645502472193/creative/CR02223775890813222913?region=anywhere" TargetMode="External"/><Relationship Id="rId1855" Type="http://schemas.openxmlformats.org/officeDocument/2006/relationships/hyperlink" Target="https://www.semrush.com/agencies/" TargetMode="External"/><Relationship Id="rId1856" Type="http://schemas.openxmlformats.org/officeDocument/2006/relationships/hyperlink" Target="https://adstransparency.google.com/advertiser/AR11070511645502472193/creative/CR08376417319445856257?region=anywhere" TargetMode="External"/><Relationship Id="rId1857" Type="http://schemas.openxmlformats.org/officeDocument/2006/relationships/hyperlink" Target="https://www.semrush.com/pricing/" TargetMode="External"/><Relationship Id="rId1858" Type="http://schemas.openxmlformats.org/officeDocument/2006/relationships/hyperlink" Target="https://adstransparency.google.com/advertiser/AR11070511645502472193/creative/CR05259401463582425089?region=anywhere" TargetMode="External"/><Relationship Id="rId1859" Type="http://schemas.openxmlformats.org/officeDocument/2006/relationships/hyperlink" Target="https://www.semrush.com/" TargetMode="External"/><Relationship Id="rId1850" Type="http://schemas.openxmlformats.org/officeDocument/2006/relationships/hyperlink" Target="https://adstransparency.google.com/advertiser/AR11070511645502472193/creative/CR03078670370664873985?region=anywhere" TargetMode="External"/><Relationship Id="rId1840" Type="http://schemas.openxmlformats.org/officeDocument/2006/relationships/hyperlink" Target="https://adstransparency.google.com/advertiser/AR11070511645502472193/creative/CR17778617947531509761?region=anywhere" TargetMode="External"/><Relationship Id="rId1841" Type="http://schemas.openxmlformats.org/officeDocument/2006/relationships/hyperlink" Target="https://www.semrush.com/kb/demo/" TargetMode="External"/><Relationship Id="rId1842" Type="http://schemas.openxmlformats.org/officeDocument/2006/relationships/hyperlink" Target="https://adstransparency.google.com/advertiser/AR11070511645502472193/creative/CR07053370545336745985?region=anywhere" TargetMode="External"/><Relationship Id="rId1843" Type="http://schemas.openxmlformats.org/officeDocument/2006/relationships/hyperlink" Target="https://www.semrush.com/" TargetMode="External"/><Relationship Id="rId1844" Type="http://schemas.openxmlformats.org/officeDocument/2006/relationships/hyperlink" Target="https://adstransparency.google.com/advertiser/AR11070511645502472193/creative/CR00111334399944949761?region=anywhere" TargetMode="External"/><Relationship Id="rId1845" Type="http://schemas.openxmlformats.org/officeDocument/2006/relationships/hyperlink" Target="https://www.semrush.com/analytics/keywordoverview/" TargetMode="External"/><Relationship Id="rId1846" Type="http://schemas.openxmlformats.org/officeDocument/2006/relationships/hyperlink" Target="https://adstransparency.google.com/advertiser/AR11070511645502472193/creative/CR16752996318640603137?region=anywhere" TargetMode="External"/><Relationship Id="rId1847" Type="http://schemas.openxmlformats.org/officeDocument/2006/relationships/hyperlink" Target="https://www.semrush.com/" TargetMode="External"/><Relationship Id="rId1848" Type="http://schemas.openxmlformats.org/officeDocument/2006/relationships/hyperlink" Target="https://adstransparency.google.com/advertiser/AR11070511645502472193/creative/CR02748416900617732097?region=anywhere" TargetMode="External"/><Relationship Id="rId1849" Type="http://schemas.openxmlformats.org/officeDocument/2006/relationships/hyperlink" Target="https://www.semrush.com/" TargetMode="External"/><Relationship Id="rId1873" Type="http://schemas.openxmlformats.org/officeDocument/2006/relationships/hyperlink" Target="https://www.semrush.com/analytics/keywordoverview/" TargetMode="External"/><Relationship Id="rId1874" Type="http://schemas.openxmlformats.org/officeDocument/2006/relationships/hyperlink" Target="https://adstransparency.google.com/advertiser/AR11070511645502472193/creative/CR08323665191086587905?region=anywhere" TargetMode="External"/><Relationship Id="rId1875" Type="http://schemas.openxmlformats.org/officeDocument/2006/relationships/hyperlink" Target="https://www.semrush.com/" TargetMode="External"/><Relationship Id="rId1876" Type="http://schemas.openxmlformats.org/officeDocument/2006/relationships/hyperlink" Target="https://adstransparency.google.com/advertiser/AR11070511645502472193/creative/CR15004638449540005889?region=anywhere" TargetMode="External"/><Relationship Id="rId1877" Type="http://schemas.openxmlformats.org/officeDocument/2006/relationships/hyperlink" Target="https://www.semrush.com/" TargetMode="External"/><Relationship Id="rId1878" Type="http://schemas.openxmlformats.org/officeDocument/2006/relationships/hyperlink" Target="https://adstransparency.google.com/advertiser/AR11070511645502472193/creative/CR11841954824893497345?region=anywhere" TargetMode="External"/><Relationship Id="rId1879" Type="http://schemas.openxmlformats.org/officeDocument/2006/relationships/hyperlink" Target="https://www.semrush.com/analytics/backlinks/overview/" TargetMode="External"/><Relationship Id="rId1870" Type="http://schemas.openxmlformats.org/officeDocument/2006/relationships/hyperlink" Target="https://adstransparency.google.com/advertiser/AR11070511645502472193/creative/CR18294139333017337857?region=anywhere" TargetMode="External"/><Relationship Id="rId1871" Type="http://schemas.openxmlformats.org/officeDocument/2006/relationships/hyperlink" Target="https://www.semrush.com/" TargetMode="External"/><Relationship Id="rId1872" Type="http://schemas.openxmlformats.org/officeDocument/2006/relationships/hyperlink" Target="https://adstransparency.google.com/advertiser/AR11070511645502472193/creative/CR08748060633410306049?region=anywhere" TargetMode="External"/><Relationship Id="rId1862" Type="http://schemas.openxmlformats.org/officeDocument/2006/relationships/hyperlink" Target="https://adstransparency.google.com/advertiser/AR11070511645502472193/creative/CR02879096640717717505?region=anywhere" TargetMode="External"/><Relationship Id="rId1863" Type="http://schemas.openxmlformats.org/officeDocument/2006/relationships/hyperlink" Target="https://www.semrush.com/" TargetMode="External"/><Relationship Id="rId1864" Type="http://schemas.openxmlformats.org/officeDocument/2006/relationships/hyperlink" Target="https://adstransparency.google.com/advertiser/AR11070511645502472193/creative/CR16565052157540171777?region=anywhere" TargetMode="External"/><Relationship Id="rId1865" Type="http://schemas.openxmlformats.org/officeDocument/2006/relationships/hyperlink" Target="https://www.semrush.com/" TargetMode="External"/><Relationship Id="rId1866" Type="http://schemas.openxmlformats.org/officeDocument/2006/relationships/hyperlink" Target="https://adstransparency.google.com/advertiser/AR11070511645502472193/creative/CR07022860918732095489?region=anywhere" TargetMode="External"/><Relationship Id="rId1867" Type="http://schemas.openxmlformats.org/officeDocument/2006/relationships/hyperlink" Target="https://www.semrush.com/features/" TargetMode="External"/><Relationship Id="rId1868" Type="http://schemas.openxmlformats.org/officeDocument/2006/relationships/hyperlink" Target="https://adstransparency.google.com/advertiser/AR11070511645502472193/creative/CR11406254204012986369?region=anywhere" TargetMode="External"/><Relationship Id="rId1869" Type="http://schemas.openxmlformats.org/officeDocument/2006/relationships/hyperlink" Target="https://www.semrush.com/kb/demo/" TargetMode="External"/><Relationship Id="rId1860" Type="http://schemas.openxmlformats.org/officeDocument/2006/relationships/hyperlink" Target="https://adstransparency.google.com/advertiser/AR11070511645502472193/creative/CR12125193005938245633?region=anywhere" TargetMode="External"/><Relationship Id="rId1861" Type="http://schemas.openxmlformats.org/officeDocument/2006/relationships/hyperlink" Target="https://www.semrush.com/" TargetMode="External"/><Relationship Id="rId1810" Type="http://schemas.openxmlformats.org/officeDocument/2006/relationships/hyperlink" Target="https://adstransparency.google.com/advertiser/AR11070511645502472193/creative/CR15186659541501607937?region=anywhere" TargetMode="External"/><Relationship Id="rId1811" Type="http://schemas.openxmlformats.org/officeDocument/2006/relationships/hyperlink" Target="https://www.semrush.com/features/" TargetMode="External"/><Relationship Id="rId1812" Type="http://schemas.openxmlformats.org/officeDocument/2006/relationships/hyperlink" Target="https://adstransparency.google.com/advertiser/AR11070511645502472193/creative/CR16140497732707024897?region=anywhere" TargetMode="External"/><Relationship Id="rId1813" Type="http://schemas.openxmlformats.org/officeDocument/2006/relationships/hyperlink" Target="https://www.semrush.com/kb/demo/" TargetMode="External"/><Relationship Id="rId1814" Type="http://schemas.openxmlformats.org/officeDocument/2006/relationships/hyperlink" Target="https://adstransparency.google.com/advertiser/AR11070511645502472193/creative/CR17007776767936561153?region=anywhere" TargetMode="External"/><Relationship Id="rId1815" Type="http://schemas.openxmlformats.org/officeDocument/2006/relationships/hyperlink" Target="https://www.semrush.com/" TargetMode="External"/><Relationship Id="rId1816" Type="http://schemas.openxmlformats.org/officeDocument/2006/relationships/hyperlink" Target="https://adstransparency.google.com/advertiser/AR11070511645502472193/creative/CR04299303065485312001?region=anywhere" TargetMode="External"/><Relationship Id="rId1817" Type="http://schemas.openxmlformats.org/officeDocument/2006/relationships/hyperlink" Target="https://www.semrush.com/analytics/keywordoverview/" TargetMode="External"/><Relationship Id="rId1818" Type="http://schemas.openxmlformats.org/officeDocument/2006/relationships/hyperlink" Target="https://adstransparency.google.com/advertiser/AR11070511645502472193/creative/CR10083838343419789313?region=anywhere" TargetMode="External"/><Relationship Id="rId1819" Type="http://schemas.openxmlformats.org/officeDocument/2006/relationships/hyperlink" Target="https://www.semrush.com/" TargetMode="External"/><Relationship Id="rId1800" Type="http://schemas.openxmlformats.org/officeDocument/2006/relationships/hyperlink" Target="https://adstransparency.google.com/advertiser/AR11070511645502472193/creative/CR16750526884244094977?region=anywhere" TargetMode="External"/><Relationship Id="rId1801" Type="http://schemas.openxmlformats.org/officeDocument/2006/relationships/hyperlink" Target="https://www.semrush.com/pricing/" TargetMode="External"/><Relationship Id="rId1802" Type="http://schemas.openxmlformats.org/officeDocument/2006/relationships/hyperlink" Target="https://adstransparency.google.com/advertiser/AR11070511645502472193/creative/CR05978175716720640001?region=anywhere" TargetMode="External"/><Relationship Id="rId1803" Type="http://schemas.openxmlformats.org/officeDocument/2006/relationships/hyperlink" Target="https://www.semrush.com/" TargetMode="External"/><Relationship Id="rId1804" Type="http://schemas.openxmlformats.org/officeDocument/2006/relationships/hyperlink" Target="https://adstransparency.google.com/advertiser/AR11070511645502472193/creative/CR18225740948036386817?region=anywhere" TargetMode="External"/><Relationship Id="rId1805" Type="http://schemas.openxmlformats.org/officeDocument/2006/relationships/hyperlink" Target="https://www.semrush.com/" TargetMode="External"/><Relationship Id="rId1806" Type="http://schemas.openxmlformats.org/officeDocument/2006/relationships/hyperlink" Target="https://adstransparency.google.com/advertiser/AR11070511645502472193/creative/CR15841171738042826753?region=anywhere" TargetMode="External"/><Relationship Id="rId1807" Type="http://schemas.openxmlformats.org/officeDocument/2006/relationships/hyperlink" Target="https://www.semrush.com/" TargetMode="External"/><Relationship Id="rId1808" Type="http://schemas.openxmlformats.org/officeDocument/2006/relationships/hyperlink" Target="https://adstransparency.google.com/advertiser/AR11070511645502472193/creative/CR04883337288240594945?region=anywhere" TargetMode="External"/><Relationship Id="rId1809" Type="http://schemas.openxmlformats.org/officeDocument/2006/relationships/hyperlink" Target="https://www.semrush.com/" TargetMode="External"/><Relationship Id="rId1830" Type="http://schemas.openxmlformats.org/officeDocument/2006/relationships/hyperlink" Target="https://adstransparency.google.com/advertiser/AR11070511645502472193/creative/CR09375463992811585537?region=anywhere" TargetMode="External"/><Relationship Id="rId1831" Type="http://schemas.openxmlformats.org/officeDocument/2006/relationships/hyperlink" Target="https://www.semrush.com/" TargetMode="External"/><Relationship Id="rId1832" Type="http://schemas.openxmlformats.org/officeDocument/2006/relationships/hyperlink" Target="https://adstransparency.google.com/advertiser/AR11070511645502472193/creative/CR14992088864338739201?region=anywhere" TargetMode="External"/><Relationship Id="rId1833" Type="http://schemas.openxmlformats.org/officeDocument/2006/relationships/hyperlink" Target="https://www.semrush.com/" TargetMode="External"/><Relationship Id="rId1834" Type="http://schemas.openxmlformats.org/officeDocument/2006/relationships/hyperlink" Target="https://adstransparency.google.com/advertiser/AR11070511645502472193/creative/CR14257887294831722497?region=anywhere" TargetMode="External"/><Relationship Id="rId1835" Type="http://schemas.openxmlformats.org/officeDocument/2006/relationships/hyperlink" Target="https://www.semrush.com/" TargetMode="External"/><Relationship Id="rId1836" Type="http://schemas.openxmlformats.org/officeDocument/2006/relationships/hyperlink" Target="https://adstransparency.google.com/advertiser/AR11070511645502472193/creative/CR10853731675272118273?region=anywhere" TargetMode="External"/><Relationship Id="rId1837" Type="http://schemas.openxmlformats.org/officeDocument/2006/relationships/hyperlink" Target="https://www.semrush.com/" TargetMode="External"/><Relationship Id="rId1838" Type="http://schemas.openxmlformats.org/officeDocument/2006/relationships/hyperlink" Target="https://adstransparency.google.com/advertiser/AR11070511645502472193/creative/CR05904275684791943169?region=anywhere" TargetMode="External"/><Relationship Id="rId1839" Type="http://schemas.openxmlformats.org/officeDocument/2006/relationships/hyperlink" Target="https://www.semrush.com/features/" TargetMode="External"/><Relationship Id="rId1820" Type="http://schemas.openxmlformats.org/officeDocument/2006/relationships/hyperlink" Target="https://adstransparency.google.com/advertiser/AR11070511645502472193/creative/CR04940425753020858369?region=anywhere" TargetMode="External"/><Relationship Id="rId1821" Type="http://schemas.openxmlformats.org/officeDocument/2006/relationships/hyperlink" Target="https://www.semrush.com/" TargetMode="External"/><Relationship Id="rId1822" Type="http://schemas.openxmlformats.org/officeDocument/2006/relationships/hyperlink" Target="https://adstransparency.google.com/advertiser/AR11070511645502472193/creative/CR17631200170123198465?region=anywhere" TargetMode="External"/><Relationship Id="rId1823" Type="http://schemas.openxmlformats.org/officeDocument/2006/relationships/hyperlink" Target="https://www.semrush.com/analytics/backlinks/overview/" TargetMode="External"/><Relationship Id="rId1824" Type="http://schemas.openxmlformats.org/officeDocument/2006/relationships/hyperlink" Target="https://adstransparency.google.com/advertiser/AR11070511645502472193/creative/CR16274488858232487937?region=anywhere" TargetMode="External"/><Relationship Id="rId1825" Type="http://schemas.openxmlformats.org/officeDocument/2006/relationships/hyperlink" Target="https://www.semrush.com/features/" TargetMode="External"/><Relationship Id="rId1826" Type="http://schemas.openxmlformats.org/officeDocument/2006/relationships/hyperlink" Target="https://adstransparency.google.com/advertiser/AR11070511645502472193/creative/CR08296851641538183169?region=anywhere" TargetMode="External"/><Relationship Id="rId1827" Type="http://schemas.openxmlformats.org/officeDocument/2006/relationships/hyperlink" Target="https://www.semrush.com/agencies/" TargetMode="External"/><Relationship Id="rId1828" Type="http://schemas.openxmlformats.org/officeDocument/2006/relationships/hyperlink" Target="https://adstransparency.google.com/advertiser/AR11070511645502472193/creative/CR16615073580052381697?region=anywhere" TargetMode="External"/><Relationship Id="rId1829" Type="http://schemas.openxmlformats.org/officeDocument/2006/relationships/hyperlink" Target="https://www.semrush.com/pricing/" TargetMode="External"/><Relationship Id="rId1455" Type="http://schemas.openxmlformats.org/officeDocument/2006/relationships/hyperlink" Target="https://www.semrush.com/" TargetMode="External"/><Relationship Id="rId2302" Type="http://schemas.openxmlformats.org/officeDocument/2006/relationships/hyperlink" Target="https://otterly.ai/" TargetMode="External"/><Relationship Id="rId1456" Type="http://schemas.openxmlformats.org/officeDocument/2006/relationships/hyperlink" Target="https://adstransparency.google.com/advertiser/AR11070511645502472193/creative/CR10678286762356244481?region=anywhere" TargetMode="External"/><Relationship Id="rId2303" Type="http://schemas.openxmlformats.org/officeDocument/2006/relationships/hyperlink" Target="https://adstransparency.google.com/advertiser/AR13288297259528617985/creative/CR17207978963268272129?region=anywhere" TargetMode="External"/><Relationship Id="rId1457" Type="http://schemas.openxmlformats.org/officeDocument/2006/relationships/hyperlink" Target="https://www.semrush.com/" TargetMode="External"/><Relationship Id="rId2304" Type="http://schemas.openxmlformats.org/officeDocument/2006/relationships/hyperlink" Target="https://otterly.ai/" TargetMode="External"/><Relationship Id="rId1458" Type="http://schemas.openxmlformats.org/officeDocument/2006/relationships/hyperlink" Target="https://adstransparency.google.com/advertiser/AR11070511645502472193/creative/CR07552498349891387393?region=anywhere" TargetMode="External"/><Relationship Id="rId2305" Type="http://schemas.openxmlformats.org/officeDocument/2006/relationships/hyperlink" Target="https://adstransparency.google.com/advertiser/AR13288297259528617985/creative/CR12415117617839210497?region=anywhere" TargetMode="External"/><Relationship Id="rId1459" Type="http://schemas.openxmlformats.org/officeDocument/2006/relationships/hyperlink" Target="https://www.semrush.com/analytics/backlinks/overview/" TargetMode="External"/><Relationship Id="rId2306" Type="http://schemas.openxmlformats.org/officeDocument/2006/relationships/hyperlink" Target="https://otterly.ai/" TargetMode="External"/><Relationship Id="rId2307" Type="http://schemas.openxmlformats.org/officeDocument/2006/relationships/hyperlink" Target="https://adstransparency.google.com/advertiser/AR13288297259528617985/creative/CR17589437754972831745?region=anywhere" TargetMode="External"/><Relationship Id="rId2308" Type="http://schemas.openxmlformats.org/officeDocument/2006/relationships/hyperlink" Target="https://otterly.ai/" TargetMode="External"/><Relationship Id="rId2309" Type="http://schemas.openxmlformats.org/officeDocument/2006/relationships/hyperlink" Target="https://adstransparency.google.com/advertiser/AR13288297259528617985/creative/CR15397169898861887489?region=anywhere" TargetMode="External"/><Relationship Id="rId629" Type="http://schemas.openxmlformats.org/officeDocument/2006/relationships/hyperlink" Target="https://peec.ai/black-friday" TargetMode="External"/><Relationship Id="rId624" Type="http://schemas.openxmlformats.org/officeDocument/2006/relationships/hyperlink" Target="https://adstransparency.google.com/advertiser/AR05016556376214732801/creative/CR04783556049674174465?region=anywhere" TargetMode="External"/><Relationship Id="rId623" Type="http://schemas.openxmlformats.org/officeDocument/2006/relationships/hyperlink" Target="https://peec.ai/demo" TargetMode="External"/><Relationship Id="rId622" Type="http://schemas.openxmlformats.org/officeDocument/2006/relationships/hyperlink" Target="https://adstransparency.google.com/advertiser/AR05016556376214732801/creative/CR01140574135055810561?region=anywhere" TargetMode="External"/><Relationship Id="rId621" Type="http://schemas.openxmlformats.org/officeDocument/2006/relationships/hyperlink" Target="https://peec.ai/for-agencies" TargetMode="External"/><Relationship Id="rId628" Type="http://schemas.openxmlformats.org/officeDocument/2006/relationships/hyperlink" Target="https://adstransparency.google.com/advertiser/AR05016556376214732801/creative/CR05573575220318437377?region=anywhere" TargetMode="External"/><Relationship Id="rId627" Type="http://schemas.openxmlformats.org/officeDocument/2006/relationships/hyperlink" Target="https://peec.ai/" TargetMode="External"/><Relationship Id="rId626" Type="http://schemas.openxmlformats.org/officeDocument/2006/relationships/hyperlink" Target="https://adstransparency.google.com/advertiser/AR05016556376214732801/creative/CR01245615978415390721?region=anywhere" TargetMode="External"/><Relationship Id="rId625" Type="http://schemas.openxmlformats.org/officeDocument/2006/relationships/hyperlink" Target="https://peec.ai/" TargetMode="External"/><Relationship Id="rId1450" Type="http://schemas.openxmlformats.org/officeDocument/2006/relationships/hyperlink" Target="https://adstransparency.google.com/advertiser/AR11070511645502472193/creative/CR01852378833093656577?region=anywhere" TargetMode="External"/><Relationship Id="rId620" Type="http://schemas.openxmlformats.org/officeDocument/2006/relationships/hyperlink" Target="https://adstransparency.google.com/advertiser/AR05016556376214732801/creative/CR17970234846835900417?region=anywhere" TargetMode="External"/><Relationship Id="rId1451" Type="http://schemas.openxmlformats.org/officeDocument/2006/relationships/hyperlink" Target="https://www.semrush.com/" TargetMode="External"/><Relationship Id="rId1452" Type="http://schemas.openxmlformats.org/officeDocument/2006/relationships/hyperlink" Target="https://adstransparency.google.com/advertiser/AR11070511645502472193/creative/CR11657819681309327361?region=anywhere" TargetMode="External"/><Relationship Id="rId1453" Type="http://schemas.openxmlformats.org/officeDocument/2006/relationships/hyperlink" Target="https://www.semrush.com/analytics/keywordoverview/" TargetMode="External"/><Relationship Id="rId2300" Type="http://schemas.openxmlformats.org/officeDocument/2006/relationships/hyperlink" Target="https://otterly.ai/" TargetMode="External"/><Relationship Id="rId1454" Type="http://schemas.openxmlformats.org/officeDocument/2006/relationships/hyperlink" Target="https://adstransparency.google.com/advertiser/AR11070511645502472193/creative/CR14677397606993231873?region=anywhere" TargetMode="External"/><Relationship Id="rId2301" Type="http://schemas.openxmlformats.org/officeDocument/2006/relationships/hyperlink" Target="https://adstransparency.google.com/advertiser/AR13288297259528617985/creative/CR11724449218369159169?region=anywhere" TargetMode="External"/><Relationship Id="rId1444" Type="http://schemas.openxmlformats.org/officeDocument/2006/relationships/hyperlink" Target="https://adstransparency.google.com/advertiser/AR11070511645502472193/creative/CR03122372487535394817?region=anywhere" TargetMode="External"/><Relationship Id="rId1445" Type="http://schemas.openxmlformats.org/officeDocument/2006/relationships/hyperlink" Target="https://www.semrush.com/" TargetMode="External"/><Relationship Id="rId1446" Type="http://schemas.openxmlformats.org/officeDocument/2006/relationships/hyperlink" Target="https://adstransparency.google.com/advertiser/AR11070511645502472193/creative/CR12192622137059573761?region=anywhere" TargetMode="External"/><Relationship Id="rId1447" Type="http://schemas.openxmlformats.org/officeDocument/2006/relationships/hyperlink" Target="https://www.semrush.com/features/" TargetMode="External"/><Relationship Id="rId1448" Type="http://schemas.openxmlformats.org/officeDocument/2006/relationships/hyperlink" Target="https://adstransparency.google.com/advertiser/AR11070511645502472193/creative/CR11540640466529681409?region=anywhere" TargetMode="External"/><Relationship Id="rId1449" Type="http://schemas.openxmlformats.org/officeDocument/2006/relationships/hyperlink" Target="https://www.semrush.com/kb/demo/" TargetMode="External"/><Relationship Id="rId619" Type="http://schemas.openxmlformats.org/officeDocument/2006/relationships/hyperlink" Target="https://peec.ai/pricing" TargetMode="External"/><Relationship Id="rId618" Type="http://schemas.openxmlformats.org/officeDocument/2006/relationships/hyperlink" Target="https://adstransparency.google.com/advertiser/AR05016556376214732801/creative/CR15615681273488474113?region=anywhere" TargetMode="External"/><Relationship Id="rId613" Type="http://schemas.openxmlformats.org/officeDocument/2006/relationships/hyperlink" Target="https://peec.ai/" TargetMode="External"/><Relationship Id="rId612" Type="http://schemas.openxmlformats.org/officeDocument/2006/relationships/hyperlink" Target="https://adstransparency.google.com/advertiser/AR05016556376214732801/creative/CR10838512982644752385?region=anywhere" TargetMode="External"/><Relationship Id="rId611" Type="http://schemas.openxmlformats.org/officeDocument/2006/relationships/hyperlink" Target="https://peec.ai/for-agencies" TargetMode="External"/><Relationship Id="rId610" Type="http://schemas.openxmlformats.org/officeDocument/2006/relationships/hyperlink" Target="https://adstransparency.google.com/advertiser/AR05016556376214732801/creative/CR07103511565508280321?region=anywhere" TargetMode="External"/><Relationship Id="rId617" Type="http://schemas.openxmlformats.org/officeDocument/2006/relationships/hyperlink" Target="https://peec.ai/visibility/platform" TargetMode="External"/><Relationship Id="rId616" Type="http://schemas.openxmlformats.org/officeDocument/2006/relationships/hyperlink" Target="https://adstransparency.google.com/advertiser/AR05016556376214732801/creative/CR01452026196786151425?region=anywhere" TargetMode="External"/><Relationship Id="rId615" Type="http://schemas.openxmlformats.org/officeDocument/2006/relationships/hyperlink" Target="https://peec.ai/" TargetMode="External"/><Relationship Id="rId614" Type="http://schemas.openxmlformats.org/officeDocument/2006/relationships/hyperlink" Target="https://adstransparency.google.com/advertiser/AR05016556376214732801/creative/CR05188027344870178817?region=anywhere" TargetMode="External"/><Relationship Id="rId1440" Type="http://schemas.openxmlformats.org/officeDocument/2006/relationships/hyperlink" Target="https://adstransparency.google.com/advertiser/AR11070511645502472193/creative/CR07587471375229517825?region=anywhere" TargetMode="External"/><Relationship Id="rId1441" Type="http://schemas.openxmlformats.org/officeDocument/2006/relationships/hyperlink" Target="https://www.semrush.com/" TargetMode="External"/><Relationship Id="rId1442" Type="http://schemas.openxmlformats.org/officeDocument/2006/relationships/hyperlink" Target="https://adstransparency.google.com/advertiser/AR11070511645502472193/creative/CR06083629980019851265?region=anywhere" TargetMode="External"/><Relationship Id="rId1443" Type="http://schemas.openxmlformats.org/officeDocument/2006/relationships/hyperlink" Target="https://www.semrush.com/" TargetMode="External"/><Relationship Id="rId1477" Type="http://schemas.openxmlformats.org/officeDocument/2006/relationships/hyperlink" Target="https://www.semrush.com/kb/demo/" TargetMode="External"/><Relationship Id="rId2324" Type="http://schemas.openxmlformats.org/officeDocument/2006/relationships/hyperlink" Target="https://otterly.ai/" TargetMode="External"/><Relationship Id="rId1478" Type="http://schemas.openxmlformats.org/officeDocument/2006/relationships/hyperlink" Target="https://adstransparency.google.com/advertiser/AR11070511645502472193/creative/CR01872272365694484481?region=anywhere" TargetMode="External"/><Relationship Id="rId2325" Type="http://schemas.openxmlformats.org/officeDocument/2006/relationships/hyperlink" Target="https://adstransparency.google.com/advertiser/AR06026558866907463681/creative/CR10651535945100165121?region=anywhere" TargetMode="External"/><Relationship Id="rId1479" Type="http://schemas.openxmlformats.org/officeDocument/2006/relationships/hyperlink" Target="https://www.semrush.com/" TargetMode="External"/><Relationship Id="rId2326" Type="http://schemas.openxmlformats.org/officeDocument/2006/relationships/hyperlink" Target="https://otterly.ai/" TargetMode="External"/><Relationship Id="rId2327" Type="http://schemas.openxmlformats.org/officeDocument/2006/relationships/hyperlink" Target="https://adstransparency.google.com/advertiser/AR13852934980478435329/creative/CR02992695562169483265?region=anywhere" TargetMode="External"/><Relationship Id="rId2328" Type="http://schemas.openxmlformats.org/officeDocument/2006/relationships/hyperlink" Target="https://otterly.ai/" TargetMode="External"/><Relationship Id="rId2329" Type="http://schemas.openxmlformats.org/officeDocument/2006/relationships/hyperlink" Target="https://adstransparency.google.com/advertiser/AR12720725560519557121/creative/CR08825465358652538881?region=anywhere" TargetMode="External"/><Relationship Id="rId646" Type="http://schemas.openxmlformats.org/officeDocument/2006/relationships/hyperlink" Target="https://adstransparency.google.com/advertiser/AR05016556376214732801/creative/CR03832011748961943553?region=anywhere" TargetMode="External"/><Relationship Id="rId645" Type="http://schemas.openxmlformats.org/officeDocument/2006/relationships/hyperlink" Target="https://peec.ai/for-agencies" TargetMode="External"/><Relationship Id="rId644" Type="http://schemas.openxmlformats.org/officeDocument/2006/relationships/hyperlink" Target="https://adstransparency.google.com/advertiser/AR05016556376214732801/creative/CR16729574513355784193?region=anywhere" TargetMode="External"/><Relationship Id="rId643" Type="http://schemas.openxmlformats.org/officeDocument/2006/relationships/hyperlink" Target="https://peec.ai/pricing" TargetMode="External"/><Relationship Id="rId649" Type="http://schemas.openxmlformats.org/officeDocument/2006/relationships/hyperlink" Target="https://peec.ai/" TargetMode="External"/><Relationship Id="rId648" Type="http://schemas.openxmlformats.org/officeDocument/2006/relationships/hyperlink" Target="https://adstransparency.google.com/advertiser/AR05016556376214732801/creative/CR10033190121970335745?region=anywhere" TargetMode="External"/><Relationship Id="rId647" Type="http://schemas.openxmlformats.org/officeDocument/2006/relationships/hyperlink" Target="https://peec.ai/demo" TargetMode="External"/><Relationship Id="rId1470" Type="http://schemas.openxmlformats.org/officeDocument/2006/relationships/hyperlink" Target="https://adstransparency.google.com/advertiser/AR11070511645502472193/creative/CR01415444594526519297?region=anywhere" TargetMode="External"/><Relationship Id="rId1471" Type="http://schemas.openxmlformats.org/officeDocument/2006/relationships/hyperlink" Target="https://www.semrush.com/" TargetMode="External"/><Relationship Id="rId1472" Type="http://schemas.openxmlformats.org/officeDocument/2006/relationships/hyperlink" Target="https://adstransparency.google.com/advertiser/AR11070511645502472193/creative/CR13925669959578419201?region=anywhere" TargetMode="External"/><Relationship Id="rId642" Type="http://schemas.openxmlformats.org/officeDocument/2006/relationships/hyperlink" Target="https://adstransparency.google.com/advertiser/AR05016556376214732801/creative/CR01686138610618728449?region=anywhere" TargetMode="External"/><Relationship Id="rId1473" Type="http://schemas.openxmlformats.org/officeDocument/2006/relationships/hyperlink" Target="https://www.semrush.com/" TargetMode="External"/><Relationship Id="rId2320" Type="http://schemas.openxmlformats.org/officeDocument/2006/relationships/hyperlink" Target="https://otterly.ai/" TargetMode="External"/><Relationship Id="rId641" Type="http://schemas.openxmlformats.org/officeDocument/2006/relationships/hyperlink" Target="https://peec.ai/visibility/platform" TargetMode="External"/><Relationship Id="rId1474" Type="http://schemas.openxmlformats.org/officeDocument/2006/relationships/hyperlink" Target="https://adstransparency.google.com/advertiser/AR11070511645502472193/creative/CR12264927877127995393?region=anywhere" TargetMode="External"/><Relationship Id="rId2321" Type="http://schemas.openxmlformats.org/officeDocument/2006/relationships/hyperlink" Target="https://adstransparency.google.com/advertiser/AR13288297259528617985/creative/CR06019398254481899521?region=anywhere" TargetMode="External"/><Relationship Id="rId640" Type="http://schemas.openxmlformats.org/officeDocument/2006/relationships/hyperlink" Target="https://adstransparency.google.com/advertiser/AR05016556376214732801/creative/CR18191343061768863745?region=anywhere" TargetMode="External"/><Relationship Id="rId1475" Type="http://schemas.openxmlformats.org/officeDocument/2006/relationships/hyperlink" Target="https://www.semrush.com/features/" TargetMode="External"/><Relationship Id="rId2322" Type="http://schemas.openxmlformats.org/officeDocument/2006/relationships/hyperlink" Target="https://otterly.ai/" TargetMode="External"/><Relationship Id="rId1476" Type="http://schemas.openxmlformats.org/officeDocument/2006/relationships/hyperlink" Target="https://adstransparency.google.com/advertiser/AR11070511645502472193/creative/CR15195219686200442881?region=anywhere" TargetMode="External"/><Relationship Id="rId2323" Type="http://schemas.openxmlformats.org/officeDocument/2006/relationships/hyperlink" Target="https://adstransparency.google.com/advertiser/AR12720725560519557121/creative/CR12216991326230544385?region=anywhere" TargetMode="External"/><Relationship Id="rId1466" Type="http://schemas.openxmlformats.org/officeDocument/2006/relationships/hyperlink" Target="https://adstransparency.google.com/advertiser/AR11070511645502472193/creative/CR02241529533268230145?region=anywhere" TargetMode="External"/><Relationship Id="rId2313" Type="http://schemas.openxmlformats.org/officeDocument/2006/relationships/hyperlink" Target="https://adstransparency.google.com/advertiser/AR13288297259528617985/creative/CR03772874997098348545?region=anywhere" TargetMode="External"/><Relationship Id="rId1467" Type="http://schemas.openxmlformats.org/officeDocument/2006/relationships/hyperlink" Target="https://www.semrush.com/" TargetMode="External"/><Relationship Id="rId2314" Type="http://schemas.openxmlformats.org/officeDocument/2006/relationships/hyperlink" Target="https://otterly.ai/" TargetMode="External"/><Relationship Id="rId1468" Type="http://schemas.openxmlformats.org/officeDocument/2006/relationships/hyperlink" Target="https://adstransparency.google.com/advertiser/AR11070511645502472193/creative/CR12249957407840534529?region=anywhere" TargetMode="External"/><Relationship Id="rId2315" Type="http://schemas.openxmlformats.org/officeDocument/2006/relationships/hyperlink" Target="https://adstransparency.google.com/advertiser/AR13288297259528617985/creative/CR14275034032638001153?region=anywhere" TargetMode="External"/><Relationship Id="rId1469" Type="http://schemas.openxmlformats.org/officeDocument/2006/relationships/hyperlink" Target="https://www.semrush.com/" TargetMode="External"/><Relationship Id="rId2316" Type="http://schemas.openxmlformats.org/officeDocument/2006/relationships/hyperlink" Target="https://otterly.ai/" TargetMode="External"/><Relationship Id="rId2317" Type="http://schemas.openxmlformats.org/officeDocument/2006/relationships/hyperlink" Target="https://adstransparency.google.com/advertiser/AR13288297259528617985/creative/CR16277523295576784897?region=anywhere" TargetMode="External"/><Relationship Id="rId2318" Type="http://schemas.openxmlformats.org/officeDocument/2006/relationships/hyperlink" Target="https://otterly.ai/" TargetMode="External"/><Relationship Id="rId2319" Type="http://schemas.openxmlformats.org/officeDocument/2006/relationships/hyperlink" Target="https://adstransparency.google.com/advertiser/AR13288297259528617985/creative/CR09687367945231007745?region=anywhere" TargetMode="External"/><Relationship Id="rId635" Type="http://schemas.openxmlformats.org/officeDocument/2006/relationships/hyperlink" Target="https://peec.ai/for-agencies" TargetMode="External"/><Relationship Id="rId634" Type="http://schemas.openxmlformats.org/officeDocument/2006/relationships/hyperlink" Target="https://adstransparency.google.com/advertiser/AR05016556376214732801/creative/CR11450008573455630337?region=anywhere" TargetMode="External"/><Relationship Id="rId633" Type="http://schemas.openxmlformats.org/officeDocument/2006/relationships/hyperlink" Target="https://peec.ai/visibility/platform" TargetMode="External"/><Relationship Id="rId632" Type="http://schemas.openxmlformats.org/officeDocument/2006/relationships/hyperlink" Target="https://adstransparency.google.com/advertiser/AR05016556376214732801/creative/CR16728894740291911681?region=anywhere" TargetMode="External"/><Relationship Id="rId639" Type="http://schemas.openxmlformats.org/officeDocument/2006/relationships/hyperlink" Target="https://peec.ai/" TargetMode="External"/><Relationship Id="rId638" Type="http://schemas.openxmlformats.org/officeDocument/2006/relationships/hyperlink" Target="https://adstransparency.google.com/advertiser/AR05016556376214732801/creative/CR02973953974157180929?region=anywhere" TargetMode="External"/><Relationship Id="rId637" Type="http://schemas.openxmlformats.org/officeDocument/2006/relationships/hyperlink" Target="https://peec.ai/" TargetMode="External"/><Relationship Id="rId636" Type="http://schemas.openxmlformats.org/officeDocument/2006/relationships/hyperlink" Target="https://adstransparency.google.com/advertiser/AR05016556376214732801/creative/CR00855878139031584769?region=anywhere" TargetMode="External"/><Relationship Id="rId1460" Type="http://schemas.openxmlformats.org/officeDocument/2006/relationships/hyperlink" Target="https://adstransparency.google.com/advertiser/AR11070511645502472193/creative/CR11407298155943821313?region=anywhere" TargetMode="External"/><Relationship Id="rId1461" Type="http://schemas.openxmlformats.org/officeDocument/2006/relationships/hyperlink" Target="https://www.semrush.com/features/" TargetMode="External"/><Relationship Id="rId631" Type="http://schemas.openxmlformats.org/officeDocument/2006/relationships/hyperlink" Target="https://peec.ai/" TargetMode="External"/><Relationship Id="rId1462" Type="http://schemas.openxmlformats.org/officeDocument/2006/relationships/hyperlink" Target="https://adstransparency.google.com/advertiser/AR11070511645502472193/creative/CR12056275479670292481?region=anywhere" TargetMode="External"/><Relationship Id="rId630" Type="http://schemas.openxmlformats.org/officeDocument/2006/relationships/hyperlink" Target="https://adstransparency.google.com/advertiser/AR05016556376214732801/creative/CR12892717362679119873?region=anywhere" TargetMode="External"/><Relationship Id="rId1463" Type="http://schemas.openxmlformats.org/officeDocument/2006/relationships/hyperlink" Target="https://www.semrush.com/agencies/" TargetMode="External"/><Relationship Id="rId2310" Type="http://schemas.openxmlformats.org/officeDocument/2006/relationships/hyperlink" Target="https://otterly.ai/" TargetMode="External"/><Relationship Id="rId1464" Type="http://schemas.openxmlformats.org/officeDocument/2006/relationships/hyperlink" Target="https://adstransparency.google.com/advertiser/AR11070511645502472193/creative/CR09034936479956074497?region=anywhere" TargetMode="External"/><Relationship Id="rId2311" Type="http://schemas.openxmlformats.org/officeDocument/2006/relationships/hyperlink" Target="https://adstransparency.google.com/advertiser/AR13288297259528617985/creative/CR15799337442319794177?region=anywhere" TargetMode="External"/><Relationship Id="rId1465" Type="http://schemas.openxmlformats.org/officeDocument/2006/relationships/hyperlink" Target="https://www.semrush.com/pricing/" TargetMode="External"/><Relationship Id="rId2312" Type="http://schemas.openxmlformats.org/officeDocument/2006/relationships/hyperlink" Target="https://otterly.ai/" TargetMode="External"/><Relationship Id="rId1411" Type="http://schemas.openxmlformats.org/officeDocument/2006/relationships/hyperlink" Target="https://www.semrush.com/" TargetMode="External"/><Relationship Id="rId1895" Type="http://schemas.openxmlformats.org/officeDocument/2006/relationships/hyperlink" Target="https://www.semrush.com/features/" TargetMode="External"/><Relationship Id="rId1412" Type="http://schemas.openxmlformats.org/officeDocument/2006/relationships/hyperlink" Target="https://adstransparency.google.com/advertiser/AR11070511645502472193/creative/CR15044625797656608769?region=anywhere" TargetMode="External"/><Relationship Id="rId1896" Type="http://schemas.openxmlformats.org/officeDocument/2006/relationships/hyperlink" Target="https://adstransparency.google.com/advertiser/AR11070511645502472193/creative/CR13343771400721137665?region=anywhere" TargetMode="External"/><Relationship Id="rId1413" Type="http://schemas.openxmlformats.org/officeDocument/2006/relationships/hyperlink" Target="https://www.semrush.com/" TargetMode="External"/><Relationship Id="rId1897" Type="http://schemas.openxmlformats.org/officeDocument/2006/relationships/hyperlink" Target="https://www.semrush.com/kb/demo/" TargetMode="External"/><Relationship Id="rId1414" Type="http://schemas.openxmlformats.org/officeDocument/2006/relationships/hyperlink" Target="https://adstransparency.google.com/advertiser/AR11070511645502472193/creative/CR05106927203996663809?region=anywhere" TargetMode="External"/><Relationship Id="rId1898" Type="http://schemas.openxmlformats.org/officeDocument/2006/relationships/hyperlink" Target="https://adstransparency.google.com/advertiser/AR11070511645502472193/creative/CR13996012762153615361?region=anywhere" TargetMode="External"/><Relationship Id="rId1415" Type="http://schemas.openxmlformats.org/officeDocument/2006/relationships/hyperlink" Target="https://www.semrush.com/" TargetMode="External"/><Relationship Id="rId1899" Type="http://schemas.openxmlformats.org/officeDocument/2006/relationships/hyperlink" Target="https://www.semrush.com/" TargetMode="External"/><Relationship Id="rId1416" Type="http://schemas.openxmlformats.org/officeDocument/2006/relationships/hyperlink" Target="https://adstransparency.google.com/advertiser/AR11070511645502472193/creative/CR01523172407353802753?region=anywhere" TargetMode="External"/><Relationship Id="rId1417" Type="http://schemas.openxmlformats.org/officeDocument/2006/relationships/hyperlink" Target="https://www.semrush.com/" TargetMode="External"/><Relationship Id="rId1418" Type="http://schemas.openxmlformats.org/officeDocument/2006/relationships/hyperlink" Target="https://adstransparency.google.com/advertiser/AR11070511645502472193/creative/CR09825406587806679041?region=anywhere" TargetMode="External"/><Relationship Id="rId1419" Type="http://schemas.openxmlformats.org/officeDocument/2006/relationships/hyperlink" Target="https://www.semrush.com/features/" TargetMode="External"/><Relationship Id="rId1890" Type="http://schemas.openxmlformats.org/officeDocument/2006/relationships/hyperlink" Target="https://adstransparency.google.com/advertiser/AR11070511645502472193/creative/CR16737864221143859201?region=anywhere" TargetMode="External"/><Relationship Id="rId1891" Type="http://schemas.openxmlformats.org/officeDocument/2006/relationships/hyperlink" Target="https://www.semrush.com/" TargetMode="External"/><Relationship Id="rId1892" Type="http://schemas.openxmlformats.org/officeDocument/2006/relationships/hyperlink" Target="https://adstransparency.google.com/advertiser/AR11070511645502472193/creative/CR01317989415758331905?region=anywhere" TargetMode="External"/><Relationship Id="rId1893" Type="http://schemas.openxmlformats.org/officeDocument/2006/relationships/hyperlink" Target="https://www.semrush.com/" TargetMode="External"/><Relationship Id="rId1410" Type="http://schemas.openxmlformats.org/officeDocument/2006/relationships/hyperlink" Target="https://adstransparency.google.com/advertiser/AR11070511645502472193/creative/CR04740053090437169153?region=anywhere" TargetMode="External"/><Relationship Id="rId1894" Type="http://schemas.openxmlformats.org/officeDocument/2006/relationships/hyperlink" Target="https://adstransparency.google.com/advertiser/AR11070511645502472193/creative/CR13475189909555773441?region=anywhere" TargetMode="External"/><Relationship Id="rId1400" Type="http://schemas.openxmlformats.org/officeDocument/2006/relationships/hyperlink" Target="https://adstransparency.google.com/advertiser/AR11070511645502472193/creative/CR07476823293878599681?region=anywhere" TargetMode="External"/><Relationship Id="rId1884" Type="http://schemas.openxmlformats.org/officeDocument/2006/relationships/hyperlink" Target="https://adstransparency.google.com/advertiser/AR11070511645502472193/creative/CR01425920191560155137?region=anywhere" TargetMode="External"/><Relationship Id="rId1401" Type="http://schemas.openxmlformats.org/officeDocument/2006/relationships/hyperlink" Target="https://www.semrush.com/" TargetMode="External"/><Relationship Id="rId1885" Type="http://schemas.openxmlformats.org/officeDocument/2006/relationships/hyperlink" Target="https://www.semrush.com/pricing/" TargetMode="External"/><Relationship Id="rId1402" Type="http://schemas.openxmlformats.org/officeDocument/2006/relationships/hyperlink" Target="https://adstransparency.google.com/advertiser/AR11070511645502472193/creative/CR07867510561552990209?region=anywhere" TargetMode="External"/><Relationship Id="rId1886" Type="http://schemas.openxmlformats.org/officeDocument/2006/relationships/hyperlink" Target="https://adstransparency.google.com/advertiser/AR11070511645502472193/creative/CR13723421186560360449?region=anywhere" TargetMode="External"/><Relationship Id="rId1403" Type="http://schemas.openxmlformats.org/officeDocument/2006/relationships/hyperlink" Target="https://www.semrush.com/analytics/backlinks/overview/" TargetMode="External"/><Relationship Id="rId1887" Type="http://schemas.openxmlformats.org/officeDocument/2006/relationships/hyperlink" Target="https://www.semrush.com/" TargetMode="External"/><Relationship Id="rId1404" Type="http://schemas.openxmlformats.org/officeDocument/2006/relationships/hyperlink" Target="https://adstransparency.google.com/advertiser/AR11070511645502472193/creative/CR01874178231662280705?region=anywhere" TargetMode="External"/><Relationship Id="rId1888" Type="http://schemas.openxmlformats.org/officeDocument/2006/relationships/hyperlink" Target="https://adstransparency.google.com/advertiser/AR11070511645502472193/creative/CR04697841361578098689?region=anywhere" TargetMode="External"/><Relationship Id="rId1405" Type="http://schemas.openxmlformats.org/officeDocument/2006/relationships/hyperlink" Target="https://www.semrush.com/features/" TargetMode="External"/><Relationship Id="rId1889" Type="http://schemas.openxmlformats.org/officeDocument/2006/relationships/hyperlink" Target="https://www.semrush.com/" TargetMode="External"/><Relationship Id="rId1406" Type="http://schemas.openxmlformats.org/officeDocument/2006/relationships/hyperlink" Target="https://adstransparency.google.com/advertiser/AR11070511645502472193/creative/CR09348088317943480321?region=anywhere" TargetMode="External"/><Relationship Id="rId1407" Type="http://schemas.openxmlformats.org/officeDocument/2006/relationships/hyperlink" Target="https://www.semrush.com/agencies/" TargetMode="External"/><Relationship Id="rId1408" Type="http://schemas.openxmlformats.org/officeDocument/2006/relationships/hyperlink" Target="https://adstransparency.google.com/advertiser/AR11070511645502472193/creative/CR08717831073033093121?region=anywhere" TargetMode="External"/><Relationship Id="rId1409" Type="http://schemas.openxmlformats.org/officeDocument/2006/relationships/hyperlink" Target="https://www.semrush.com/pricing/" TargetMode="External"/><Relationship Id="rId1880" Type="http://schemas.openxmlformats.org/officeDocument/2006/relationships/hyperlink" Target="https://adstransparency.google.com/advertiser/AR11070511645502472193/creative/CR11855760980086620161?region=anywhere" TargetMode="External"/><Relationship Id="rId1881" Type="http://schemas.openxmlformats.org/officeDocument/2006/relationships/hyperlink" Target="https://www.semrush.com/features/" TargetMode="External"/><Relationship Id="rId1882" Type="http://schemas.openxmlformats.org/officeDocument/2006/relationships/hyperlink" Target="https://adstransparency.google.com/advertiser/AR11070511645502472193/creative/CR18382262441204514817?region=anywhere" TargetMode="External"/><Relationship Id="rId1883" Type="http://schemas.openxmlformats.org/officeDocument/2006/relationships/hyperlink" Target="https://www.semrush.com/agencies/" TargetMode="External"/><Relationship Id="rId1433" Type="http://schemas.openxmlformats.org/officeDocument/2006/relationships/hyperlink" Target="https://www.semrush.com/features/" TargetMode="External"/><Relationship Id="rId1434" Type="http://schemas.openxmlformats.org/officeDocument/2006/relationships/hyperlink" Target="https://adstransparency.google.com/advertiser/AR11070511645502472193/creative/CR08246905913529597953?region=anywhere" TargetMode="External"/><Relationship Id="rId1435" Type="http://schemas.openxmlformats.org/officeDocument/2006/relationships/hyperlink" Target="https://www.semrush.com/agencies/" TargetMode="External"/><Relationship Id="rId1436" Type="http://schemas.openxmlformats.org/officeDocument/2006/relationships/hyperlink" Target="https://adstransparency.google.com/advertiser/AR11070511645502472193/creative/CR13404081640729214977?region=anywhere" TargetMode="External"/><Relationship Id="rId1437" Type="http://schemas.openxmlformats.org/officeDocument/2006/relationships/hyperlink" Target="https://www.semrush.com/pricing/" TargetMode="External"/><Relationship Id="rId1438" Type="http://schemas.openxmlformats.org/officeDocument/2006/relationships/hyperlink" Target="https://adstransparency.google.com/advertiser/AR11070511645502472193/creative/CR06550728907778162689?region=anywhere" TargetMode="External"/><Relationship Id="rId1439" Type="http://schemas.openxmlformats.org/officeDocument/2006/relationships/hyperlink" Target="https://www.semrush.com/" TargetMode="External"/><Relationship Id="rId609" Type="http://schemas.openxmlformats.org/officeDocument/2006/relationships/hyperlink" Target="https://peec.ai/visibility/platform" TargetMode="External"/><Relationship Id="rId608" Type="http://schemas.openxmlformats.org/officeDocument/2006/relationships/hyperlink" Target="https://adstransparency.google.com/advertiser/AR05016556376214732801/creative/CR15920686211350396929?region=anywhere" TargetMode="External"/><Relationship Id="rId607" Type="http://schemas.openxmlformats.org/officeDocument/2006/relationships/hyperlink" Target="https://peec.ai/" TargetMode="External"/><Relationship Id="rId602" Type="http://schemas.openxmlformats.org/officeDocument/2006/relationships/hyperlink" Target="https://adstransparency.google.com/advertiser/AR05016556376214732801/creative/CR08409708976756752385?region=anywhere" TargetMode="External"/><Relationship Id="rId601" Type="http://schemas.openxmlformats.org/officeDocument/2006/relationships/hyperlink" Target="https://peec.ai/" TargetMode="External"/><Relationship Id="rId600" Type="http://schemas.openxmlformats.org/officeDocument/2006/relationships/hyperlink" Target="https://adstransparency.google.com/advertiser/AR05016556376214732801/creative/CR05428805547946147841?region=anywhere" TargetMode="External"/><Relationship Id="rId606" Type="http://schemas.openxmlformats.org/officeDocument/2006/relationships/hyperlink" Target="https://adstransparency.google.com/advertiser/AR05016556376214732801/creative/CR17630686414725185537?region=anywhere" TargetMode="External"/><Relationship Id="rId605" Type="http://schemas.openxmlformats.org/officeDocument/2006/relationships/hyperlink" Target="https://peec.ai/black-friday" TargetMode="External"/><Relationship Id="rId604" Type="http://schemas.openxmlformats.org/officeDocument/2006/relationships/hyperlink" Target="https://adstransparency.google.com/advertiser/AR05016556376214732801/creative/CR02089256681878847489?region=anywhere" TargetMode="External"/><Relationship Id="rId603" Type="http://schemas.openxmlformats.org/officeDocument/2006/relationships/hyperlink" Target="https://peec.ai/" TargetMode="External"/><Relationship Id="rId1430" Type="http://schemas.openxmlformats.org/officeDocument/2006/relationships/hyperlink" Target="https://adstransparency.google.com/advertiser/AR11070511645502472193/creative/CR08292686966370074625?region=anywhere" TargetMode="External"/><Relationship Id="rId1431" Type="http://schemas.openxmlformats.org/officeDocument/2006/relationships/hyperlink" Target="https://www.semrush.com/analytics/backlinks/overview/" TargetMode="External"/><Relationship Id="rId1432" Type="http://schemas.openxmlformats.org/officeDocument/2006/relationships/hyperlink" Target="https://adstransparency.google.com/advertiser/AR11070511645502472193/creative/CR06561864417946894337?region=anywhere" TargetMode="External"/><Relationship Id="rId1422" Type="http://schemas.openxmlformats.org/officeDocument/2006/relationships/hyperlink" Target="https://adstransparency.google.com/advertiser/AR11070511645502472193/creative/CR00138574937962053633?region=anywhere" TargetMode="External"/><Relationship Id="rId1423" Type="http://schemas.openxmlformats.org/officeDocument/2006/relationships/hyperlink" Target="https://www.semrush.com/" TargetMode="External"/><Relationship Id="rId1424" Type="http://schemas.openxmlformats.org/officeDocument/2006/relationships/hyperlink" Target="https://adstransparency.google.com/advertiser/AR11070511645502472193/creative/CR12997972073207824385?region=anywhere" TargetMode="External"/><Relationship Id="rId1425" Type="http://schemas.openxmlformats.org/officeDocument/2006/relationships/hyperlink" Target="https://www.semrush.com/analytics/keywordoverview/" TargetMode="External"/><Relationship Id="rId1426" Type="http://schemas.openxmlformats.org/officeDocument/2006/relationships/hyperlink" Target="https://adstransparency.google.com/advertiser/AR11070511645502472193/creative/CR14047885040692494337?region=anywhere" TargetMode="External"/><Relationship Id="rId1427" Type="http://schemas.openxmlformats.org/officeDocument/2006/relationships/hyperlink" Target="https://www.semrush.com/" TargetMode="External"/><Relationship Id="rId1428" Type="http://schemas.openxmlformats.org/officeDocument/2006/relationships/hyperlink" Target="https://adstransparency.google.com/advertiser/AR11070511645502472193/creative/CR02214677019776516097?region=anywhere" TargetMode="External"/><Relationship Id="rId1429" Type="http://schemas.openxmlformats.org/officeDocument/2006/relationships/hyperlink" Target="https://www.semrush.com/" TargetMode="External"/><Relationship Id="rId1420" Type="http://schemas.openxmlformats.org/officeDocument/2006/relationships/hyperlink" Target="https://adstransparency.google.com/advertiser/AR11070511645502472193/creative/CR11636449023556059137?region=anywhere" TargetMode="External"/><Relationship Id="rId1421" Type="http://schemas.openxmlformats.org/officeDocument/2006/relationships/hyperlink" Target="https://www.semrush.com/kb/demo/" TargetMode="External"/><Relationship Id="rId1059" Type="http://schemas.openxmlformats.org/officeDocument/2006/relationships/hyperlink" Target="https://peec.ai/" TargetMode="External"/><Relationship Id="rId228" Type="http://schemas.openxmlformats.org/officeDocument/2006/relationships/hyperlink" Target="https://adstransparency.google.com/advertiser/AR01693402396748677121/creative/CR16144782898887655425?region=anywhere" TargetMode="External"/><Relationship Id="rId227" Type="http://schemas.openxmlformats.org/officeDocument/2006/relationships/hyperlink" Target="https://www.tryprofound.com/" TargetMode="External"/><Relationship Id="rId226" Type="http://schemas.openxmlformats.org/officeDocument/2006/relationships/hyperlink" Target="https://adstransparency.google.com/advertiser/AR01693402396748677121/creative/CR00504146499609821185?region=anywhere" TargetMode="External"/><Relationship Id="rId225" Type="http://schemas.openxmlformats.org/officeDocument/2006/relationships/hyperlink" Target="https://www.tryprofound.com/" TargetMode="External"/><Relationship Id="rId229" Type="http://schemas.openxmlformats.org/officeDocument/2006/relationships/hyperlink" Target="https://www.tryprofound.com/" TargetMode="External"/><Relationship Id="rId1050" Type="http://schemas.openxmlformats.org/officeDocument/2006/relationships/hyperlink" Target="https://adstransparency.google.com/advertiser/AR05016556376214732801/creative/CR03799716249185812481?region=anywhere" TargetMode="External"/><Relationship Id="rId220" Type="http://schemas.openxmlformats.org/officeDocument/2006/relationships/hyperlink" Target="https://adstransparency.google.com/advertiser/AR01693402396748677121/creative/CR18045208002113306625?region=anywhere" TargetMode="External"/><Relationship Id="rId1051" Type="http://schemas.openxmlformats.org/officeDocument/2006/relationships/hyperlink" Target="https://peec.ai/pricing" TargetMode="External"/><Relationship Id="rId1052" Type="http://schemas.openxmlformats.org/officeDocument/2006/relationships/hyperlink" Target="https://adstransparency.google.com/advertiser/AR05016556376214732801/creative/CR07288710529541996545?region=anywhere" TargetMode="External"/><Relationship Id="rId1053" Type="http://schemas.openxmlformats.org/officeDocument/2006/relationships/hyperlink" Target="https://peec.ai/for-agencies" TargetMode="External"/><Relationship Id="rId1054" Type="http://schemas.openxmlformats.org/officeDocument/2006/relationships/hyperlink" Target="https://adstransparency.google.com/advertiser/AR05016556376214732801/creative/CR13652901328253353985?region=anywhere" TargetMode="External"/><Relationship Id="rId224" Type="http://schemas.openxmlformats.org/officeDocument/2006/relationships/hyperlink" Target="https://adstransparency.google.com/advertiser/AR01693402396748677121/creative/CR00639076023949852673?region=anywhere" TargetMode="External"/><Relationship Id="rId1055" Type="http://schemas.openxmlformats.org/officeDocument/2006/relationships/hyperlink" Target="https://peec.ai/demo" TargetMode="External"/><Relationship Id="rId223" Type="http://schemas.openxmlformats.org/officeDocument/2006/relationships/hyperlink" Target="https://www.tryprofound.com/" TargetMode="External"/><Relationship Id="rId1056" Type="http://schemas.openxmlformats.org/officeDocument/2006/relationships/hyperlink" Target="https://adstransparency.google.com/advertiser/AR05016556376214732801/creative/CR07319587839706923009?region=anywhere" TargetMode="External"/><Relationship Id="rId222" Type="http://schemas.openxmlformats.org/officeDocument/2006/relationships/hyperlink" Target="https://adstransparency.google.com/advertiser/AR01693402396748677121/creative/CR01529700577255096321?region=anywhere" TargetMode="External"/><Relationship Id="rId1057" Type="http://schemas.openxmlformats.org/officeDocument/2006/relationships/hyperlink" Target="https://peec.ai/" TargetMode="External"/><Relationship Id="rId221" Type="http://schemas.openxmlformats.org/officeDocument/2006/relationships/hyperlink" Target="https://www.tryprofound.com/" TargetMode="External"/><Relationship Id="rId1058" Type="http://schemas.openxmlformats.org/officeDocument/2006/relationships/hyperlink" Target="https://adstransparency.google.com/advertiser/AR05016556376214732801/creative/CR03544807191389143041?region=anywhere" TargetMode="External"/><Relationship Id="rId1048" Type="http://schemas.openxmlformats.org/officeDocument/2006/relationships/hyperlink" Target="https://adstransparency.google.com/advertiser/AR05016556376214732801/creative/CR02898694576489365505?region=anywhere" TargetMode="External"/><Relationship Id="rId1049" Type="http://schemas.openxmlformats.org/officeDocument/2006/relationships/hyperlink" Target="https://peec.ai/visibility/platform" TargetMode="External"/><Relationship Id="rId217" Type="http://schemas.openxmlformats.org/officeDocument/2006/relationships/hyperlink" Target="https://www.tryprofound.com/" TargetMode="External"/><Relationship Id="rId216" Type="http://schemas.openxmlformats.org/officeDocument/2006/relationships/hyperlink" Target="https://adstransparency.google.com/advertiser/AR01693402396748677121/creative/CR14666114375719321601?region=anywhere" TargetMode="External"/><Relationship Id="rId215" Type="http://schemas.openxmlformats.org/officeDocument/2006/relationships/hyperlink" Target="https://www.tryprofound.com/" TargetMode="External"/><Relationship Id="rId699" Type="http://schemas.openxmlformats.org/officeDocument/2006/relationships/hyperlink" Target="https://peec.ai/" TargetMode="External"/><Relationship Id="rId214" Type="http://schemas.openxmlformats.org/officeDocument/2006/relationships/hyperlink" Target="https://adstransparency.google.com/advertiser/AR01693402396748677121/creative/CR18400655097483755521?region=anywhere" TargetMode="External"/><Relationship Id="rId698" Type="http://schemas.openxmlformats.org/officeDocument/2006/relationships/hyperlink" Target="https://adstransparency.google.com/advertiser/AR05016556376214732801/creative/CR07256421884533669889?region=anywhere" TargetMode="External"/><Relationship Id="rId219" Type="http://schemas.openxmlformats.org/officeDocument/2006/relationships/hyperlink" Target="https://www.tryprofound.com/" TargetMode="External"/><Relationship Id="rId218" Type="http://schemas.openxmlformats.org/officeDocument/2006/relationships/hyperlink" Target="https://adstransparency.google.com/advertiser/AR01693402396748677121/creative/CR04422433893756436481?region=anywhere" TargetMode="External"/><Relationship Id="rId693" Type="http://schemas.openxmlformats.org/officeDocument/2006/relationships/hyperlink" Target="https://peec.ai/for-agencies" TargetMode="External"/><Relationship Id="rId1040" Type="http://schemas.openxmlformats.org/officeDocument/2006/relationships/hyperlink" Target="https://adstransparency.google.com/advertiser/AR05016556376214732801/creative/CR01201383287054925825?region=anywhere" TargetMode="External"/><Relationship Id="rId692" Type="http://schemas.openxmlformats.org/officeDocument/2006/relationships/hyperlink" Target="https://adstransparency.google.com/advertiser/AR05016556376214732801/creative/CR16158149661746528257?region=anywhere" TargetMode="External"/><Relationship Id="rId1041" Type="http://schemas.openxmlformats.org/officeDocument/2006/relationships/hyperlink" Target="https://peec.ai/visibility/platform" TargetMode="External"/><Relationship Id="rId691" Type="http://schemas.openxmlformats.org/officeDocument/2006/relationships/hyperlink" Target="https://peec.ai/" TargetMode="External"/><Relationship Id="rId1042" Type="http://schemas.openxmlformats.org/officeDocument/2006/relationships/hyperlink" Target="https://adstransparency.google.com/advertiser/AR05016556376214732801/creative/CR03114711640268865537?region=anywhere" TargetMode="External"/><Relationship Id="rId690" Type="http://schemas.openxmlformats.org/officeDocument/2006/relationships/hyperlink" Target="https://adstransparency.google.com/advertiser/AR05016556376214732801/creative/CR08393350167880794113?region=anywhere" TargetMode="External"/><Relationship Id="rId1043" Type="http://schemas.openxmlformats.org/officeDocument/2006/relationships/hyperlink" Target="https://peec.ai/black-friday" TargetMode="External"/><Relationship Id="rId213" Type="http://schemas.openxmlformats.org/officeDocument/2006/relationships/hyperlink" Target="https://www.tryprofound.com/" TargetMode="External"/><Relationship Id="rId697" Type="http://schemas.openxmlformats.org/officeDocument/2006/relationships/hyperlink" Target="https://peec.ai/" TargetMode="External"/><Relationship Id="rId1044" Type="http://schemas.openxmlformats.org/officeDocument/2006/relationships/hyperlink" Target="https://adstransparency.google.com/advertiser/AR05016556376214732801/creative/CR16822822282031267841?region=anywhere" TargetMode="External"/><Relationship Id="rId212" Type="http://schemas.openxmlformats.org/officeDocument/2006/relationships/hyperlink" Target="https://adstransparency.google.com/advertiser/AR01693402396748677121/creative/CR04864716981514797057?region=anywhere" TargetMode="External"/><Relationship Id="rId696" Type="http://schemas.openxmlformats.org/officeDocument/2006/relationships/hyperlink" Target="https://adstransparency.google.com/advertiser/AR05016556376214732801/creative/CR10935706924322127873?region=anywhere" TargetMode="External"/><Relationship Id="rId1045" Type="http://schemas.openxmlformats.org/officeDocument/2006/relationships/hyperlink" Target="https://peec.ai/" TargetMode="External"/><Relationship Id="rId211" Type="http://schemas.openxmlformats.org/officeDocument/2006/relationships/hyperlink" Target="https://www.tryprofound.com/" TargetMode="External"/><Relationship Id="rId695" Type="http://schemas.openxmlformats.org/officeDocument/2006/relationships/hyperlink" Target="https://peec.ai/demo" TargetMode="External"/><Relationship Id="rId1046" Type="http://schemas.openxmlformats.org/officeDocument/2006/relationships/hyperlink" Target="https://adstransparency.google.com/advertiser/AR05016556376214732801/creative/CR01482174367533105153?region=anywhere" TargetMode="External"/><Relationship Id="rId210" Type="http://schemas.openxmlformats.org/officeDocument/2006/relationships/hyperlink" Target="https://adstransparency.google.com/advertiser/AR01693402396748677121/creative/CR17524162223532933121?region=anywhere" TargetMode="External"/><Relationship Id="rId694" Type="http://schemas.openxmlformats.org/officeDocument/2006/relationships/hyperlink" Target="https://adstransparency.google.com/advertiser/AR05016556376214732801/creative/CR10839020269822017537?region=anywhere" TargetMode="External"/><Relationship Id="rId1047" Type="http://schemas.openxmlformats.org/officeDocument/2006/relationships/hyperlink" Target="https://peec.ai/" TargetMode="External"/><Relationship Id="rId249" Type="http://schemas.openxmlformats.org/officeDocument/2006/relationships/hyperlink" Target="https://www.tryprofound.com/" TargetMode="External"/><Relationship Id="rId248" Type="http://schemas.openxmlformats.org/officeDocument/2006/relationships/hyperlink" Target="https://adstransparency.google.com/advertiser/AR01693402396748677121/creative/CR18131561351846297601?region=anywhere" TargetMode="External"/><Relationship Id="rId247" Type="http://schemas.openxmlformats.org/officeDocument/2006/relationships/hyperlink" Target="https://www.tryprofound.com/" TargetMode="External"/><Relationship Id="rId1070" Type="http://schemas.openxmlformats.org/officeDocument/2006/relationships/hyperlink" Target="https://adstransparency.google.com/advertiser/AR05016556376214732801/creative/CR12053172589137231873?region=anywhere" TargetMode="External"/><Relationship Id="rId1071" Type="http://schemas.openxmlformats.org/officeDocument/2006/relationships/hyperlink" Target="https://peec.ai/" TargetMode="External"/><Relationship Id="rId1072" Type="http://schemas.openxmlformats.org/officeDocument/2006/relationships/hyperlink" Target="https://adstransparency.google.com/advertiser/AR05016556376214732801/creative/CR05653859609463488513?region=anywhere" TargetMode="External"/><Relationship Id="rId242" Type="http://schemas.openxmlformats.org/officeDocument/2006/relationships/hyperlink" Target="https://adstransparency.google.com/advertiser/AR01693402396748677121/creative/CR07756697175500783617?region=anywhere" TargetMode="External"/><Relationship Id="rId1073" Type="http://schemas.openxmlformats.org/officeDocument/2006/relationships/hyperlink" Target="https://peec.ai/visibility/platform" TargetMode="External"/><Relationship Id="rId241" Type="http://schemas.openxmlformats.org/officeDocument/2006/relationships/hyperlink" Target="https://www.tryprofound.com/" TargetMode="External"/><Relationship Id="rId1074" Type="http://schemas.openxmlformats.org/officeDocument/2006/relationships/hyperlink" Target="https://adstransparency.google.com/advertiser/AR05016556376214732801/creative/CR11767973222945914881?region=anywhere" TargetMode="External"/><Relationship Id="rId240" Type="http://schemas.openxmlformats.org/officeDocument/2006/relationships/hyperlink" Target="https://adstransparency.google.com/advertiser/AR01693402396748677121/creative/CR13833214157102514177?region=anywhere" TargetMode="External"/><Relationship Id="rId1075" Type="http://schemas.openxmlformats.org/officeDocument/2006/relationships/hyperlink" Target="https://peec.ai/pricing" TargetMode="External"/><Relationship Id="rId1076" Type="http://schemas.openxmlformats.org/officeDocument/2006/relationships/hyperlink" Target="https://adstransparency.google.com/advertiser/AR05016556376214732801/creative/CR04126241584540811265?region=anywhere" TargetMode="External"/><Relationship Id="rId246" Type="http://schemas.openxmlformats.org/officeDocument/2006/relationships/hyperlink" Target="https://adstransparency.google.com/advertiser/AR01693402396748677121/creative/CR09110064047897706497?region=anywhere" TargetMode="External"/><Relationship Id="rId1077" Type="http://schemas.openxmlformats.org/officeDocument/2006/relationships/hyperlink" Target="https://peec.ai/for-agencies" TargetMode="External"/><Relationship Id="rId245" Type="http://schemas.openxmlformats.org/officeDocument/2006/relationships/hyperlink" Target="https://www.tryprofound.com/pricing" TargetMode="External"/><Relationship Id="rId1078" Type="http://schemas.openxmlformats.org/officeDocument/2006/relationships/hyperlink" Target="https://adstransparency.google.com/advertiser/AR05016556376214732801/creative/CR11349843038395432961?region=anywhere" TargetMode="External"/><Relationship Id="rId244" Type="http://schemas.openxmlformats.org/officeDocument/2006/relationships/hyperlink" Target="https://adstransparency.google.com/advertiser/AR01693402396748677121/creative/CR12675393228682297345?region=anywhere" TargetMode="External"/><Relationship Id="rId1079" Type="http://schemas.openxmlformats.org/officeDocument/2006/relationships/hyperlink" Target="https://peec.ai/demo" TargetMode="External"/><Relationship Id="rId243" Type="http://schemas.openxmlformats.org/officeDocument/2006/relationships/hyperlink" Target="https://www.tryprofound.com/" TargetMode="External"/><Relationship Id="rId239" Type="http://schemas.openxmlformats.org/officeDocument/2006/relationships/hyperlink" Target="https://www.tryprofound.com/" TargetMode="External"/><Relationship Id="rId238" Type="http://schemas.openxmlformats.org/officeDocument/2006/relationships/hyperlink" Target="https://adstransparency.google.com/advertiser/AR01693402396748677121/creative/CR01955830327372939265?region=anywhere" TargetMode="External"/><Relationship Id="rId237" Type="http://schemas.openxmlformats.org/officeDocument/2006/relationships/hyperlink" Target="https://www.tryprofound.com/" TargetMode="External"/><Relationship Id="rId236" Type="http://schemas.openxmlformats.org/officeDocument/2006/relationships/hyperlink" Target="https://adstransparency.google.com/advertiser/AR01693402396748677121/creative/CR12290870192560406529?region=anywhere" TargetMode="External"/><Relationship Id="rId1060" Type="http://schemas.openxmlformats.org/officeDocument/2006/relationships/hyperlink" Target="https://adstransparency.google.com/advertiser/AR05016556376214732801/creative/CR07197475940887166977?region=anywhere" TargetMode="External"/><Relationship Id="rId1061" Type="http://schemas.openxmlformats.org/officeDocument/2006/relationships/hyperlink" Target="https://peec.ai/black-friday" TargetMode="External"/><Relationship Id="rId231" Type="http://schemas.openxmlformats.org/officeDocument/2006/relationships/hyperlink" Target="https://www.tryprofound.com/" TargetMode="External"/><Relationship Id="rId1062" Type="http://schemas.openxmlformats.org/officeDocument/2006/relationships/hyperlink" Target="https://adstransparency.google.com/advertiser/AR05016556376214732801/creative/CR15106750575447900161?region=anywhere" TargetMode="External"/><Relationship Id="rId230" Type="http://schemas.openxmlformats.org/officeDocument/2006/relationships/hyperlink" Target="https://adstransparency.google.com/advertiser/AR01693402396748677121/creative/CR00037405230958116865?region=anywhere" TargetMode="External"/><Relationship Id="rId1063" Type="http://schemas.openxmlformats.org/officeDocument/2006/relationships/hyperlink" Target="https://peec.ai/" TargetMode="External"/><Relationship Id="rId1064" Type="http://schemas.openxmlformats.org/officeDocument/2006/relationships/hyperlink" Target="https://adstransparency.google.com/advertiser/AR05016556376214732801/creative/CR06459199100251275265?region=anywhere" TargetMode="External"/><Relationship Id="rId1065" Type="http://schemas.openxmlformats.org/officeDocument/2006/relationships/hyperlink" Target="https://peec.ai/visibility/platform" TargetMode="External"/><Relationship Id="rId235" Type="http://schemas.openxmlformats.org/officeDocument/2006/relationships/hyperlink" Target="https://www.tryprofound.com/" TargetMode="External"/><Relationship Id="rId1066" Type="http://schemas.openxmlformats.org/officeDocument/2006/relationships/hyperlink" Target="https://adstransparency.google.com/advertiser/AR05016556376214732801/creative/CR05642047556046290945?region=anywhere" TargetMode="External"/><Relationship Id="rId234" Type="http://schemas.openxmlformats.org/officeDocument/2006/relationships/hyperlink" Target="https://adstransparency.google.com/advertiser/AR01693402396748677121/creative/CR16340010328089690113?region=anywhere" TargetMode="External"/><Relationship Id="rId1067" Type="http://schemas.openxmlformats.org/officeDocument/2006/relationships/hyperlink" Target="https://peec.ai/for-agencies" TargetMode="External"/><Relationship Id="rId233" Type="http://schemas.openxmlformats.org/officeDocument/2006/relationships/hyperlink" Target="https://www.tryprofound.com/" TargetMode="External"/><Relationship Id="rId1068" Type="http://schemas.openxmlformats.org/officeDocument/2006/relationships/hyperlink" Target="https://adstransparency.google.com/advertiser/AR05016556376214732801/creative/CR06116940303258615809?region=anywhere" TargetMode="External"/><Relationship Id="rId232" Type="http://schemas.openxmlformats.org/officeDocument/2006/relationships/hyperlink" Target="https://adstransparency.google.com/advertiser/AR01693402396748677121/creative/CR11051095515696463873?region=anywhere" TargetMode="External"/><Relationship Id="rId1069" Type="http://schemas.openxmlformats.org/officeDocument/2006/relationships/hyperlink" Target="https://peec.ai/" TargetMode="External"/><Relationship Id="rId1015" Type="http://schemas.openxmlformats.org/officeDocument/2006/relationships/hyperlink" Target="https://peec.ai/" TargetMode="External"/><Relationship Id="rId1499" Type="http://schemas.openxmlformats.org/officeDocument/2006/relationships/hyperlink" Target="https://www.semrush.com/" TargetMode="External"/><Relationship Id="rId2346" Type="http://schemas.openxmlformats.org/officeDocument/2006/relationships/hyperlink" Target="https://otterly.ai/" TargetMode="External"/><Relationship Id="rId1016" Type="http://schemas.openxmlformats.org/officeDocument/2006/relationships/hyperlink" Target="https://adstransparency.google.com/advertiser/AR05016556376214732801/creative/CR13571562000651124737?region=anywhere" TargetMode="External"/><Relationship Id="rId2347" Type="http://schemas.openxmlformats.org/officeDocument/2006/relationships/hyperlink" Target="https://adstransparency.google.com/advertiser/AR13288297259528617985/creative/CR00405919815866253313?region=anywhere" TargetMode="External"/><Relationship Id="rId1017" Type="http://schemas.openxmlformats.org/officeDocument/2006/relationships/hyperlink" Target="https://peec.ai/visibility/platform" TargetMode="External"/><Relationship Id="rId2348" Type="http://schemas.openxmlformats.org/officeDocument/2006/relationships/hyperlink" Target="https://otterly.ai/" TargetMode="External"/><Relationship Id="rId1018" Type="http://schemas.openxmlformats.org/officeDocument/2006/relationships/hyperlink" Target="https://adstransparency.google.com/advertiser/AR05016556376214732801/creative/CR17705810108606316545?region=anywhere" TargetMode="External"/><Relationship Id="rId2349" Type="http://schemas.openxmlformats.org/officeDocument/2006/relationships/hyperlink" Target="https://adstransparency.google.com/advertiser/AR13288297259528617985/creative/CR09595648171300618241?region=anywhere" TargetMode="External"/><Relationship Id="rId1019" Type="http://schemas.openxmlformats.org/officeDocument/2006/relationships/hyperlink" Target="https://peec.ai/for-agencies" TargetMode="External"/><Relationship Id="rId668" Type="http://schemas.openxmlformats.org/officeDocument/2006/relationships/hyperlink" Target="https://adstransparency.google.com/advertiser/AR05016556376214732801/creative/CR01650891841245020161?region=anywhere" TargetMode="External"/><Relationship Id="rId667" Type="http://schemas.openxmlformats.org/officeDocument/2006/relationships/hyperlink" Target="https://peec.ai/pricing" TargetMode="External"/><Relationship Id="rId666" Type="http://schemas.openxmlformats.org/officeDocument/2006/relationships/hyperlink" Target="https://adstransparency.google.com/advertiser/AR05016556376214732801/creative/CR04628538928931012609?region=anywhere" TargetMode="External"/><Relationship Id="rId665" Type="http://schemas.openxmlformats.org/officeDocument/2006/relationships/hyperlink" Target="https://peec.ai/visibility/platform" TargetMode="External"/><Relationship Id="rId669" Type="http://schemas.openxmlformats.org/officeDocument/2006/relationships/hyperlink" Target="https://peec.ai/for-agencies" TargetMode="External"/><Relationship Id="rId1490" Type="http://schemas.openxmlformats.org/officeDocument/2006/relationships/hyperlink" Target="https://adstransparency.google.com/advertiser/AR11070511645502472193/creative/CR16288576247884152833?region=anywhere" TargetMode="External"/><Relationship Id="rId660" Type="http://schemas.openxmlformats.org/officeDocument/2006/relationships/hyperlink" Target="https://adstransparency.google.com/advertiser/AR05016556376214732801/creative/CR07102246577380524033?region=anywhere" TargetMode="External"/><Relationship Id="rId1491" Type="http://schemas.openxmlformats.org/officeDocument/2006/relationships/hyperlink" Target="https://www.semrush.com/agencies/" TargetMode="External"/><Relationship Id="rId1492" Type="http://schemas.openxmlformats.org/officeDocument/2006/relationships/hyperlink" Target="https://adstransparency.google.com/advertiser/AR11070511645502472193/creative/CR17600897732740907009?region=anywhere" TargetMode="External"/><Relationship Id="rId1493" Type="http://schemas.openxmlformats.org/officeDocument/2006/relationships/hyperlink" Target="https://www.semrush.com/pricing/" TargetMode="External"/><Relationship Id="rId2340" Type="http://schemas.openxmlformats.org/officeDocument/2006/relationships/hyperlink" Target="https://otterly.ai/" TargetMode="External"/><Relationship Id="rId1010" Type="http://schemas.openxmlformats.org/officeDocument/2006/relationships/hyperlink" Target="https://adstransparency.google.com/advertiser/AR05016556376214732801/creative/CR16418936476777054209?region=anywhere" TargetMode="External"/><Relationship Id="rId1494" Type="http://schemas.openxmlformats.org/officeDocument/2006/relationships/hyperlink" Target="https://adstransparency.google.com/advertiser/AR11070511645502472193/creative/CR00554209574714867713?region=anywhere" TargetMode="External"/><Relationship Id="rId2341" Type="http://schemas.openxmlformats.org/officeDocument/2006/relationships/hyperlink" Target="https://adstransparency.google.com/advertiser/AR13288297259528617985/creative/CR07346852223382454273?region=anywhere" TargetMode="External"/><Relationship Id="rId664" Type="http://schemas.openxmlformats.org/officeDocument/2006/relationships/hyperlink" Target="https://adstransparency.google.com/advertiser/AR05016556376214732801/creative/CR14808517692910206977?region=anywhere" TargetMode="External"/><Relationship Id="rId1011" Type="http://schemas.openxmlformats.org/officeDocument/2006/relationships/hyperlink" Target="https://peec.ai/" TargetMode="External"/><Relationship Id="rId1495" Type="http://schemas.openxmlformats.org/officeDocument/2006/relationships/hyperlink" Target="https://www.semrush.com/" TargetMode="External"/><Relationship Id="rId2342" Type="http://schemas.openxmlformats.org/officeDocument/2006/relationships/hyperlink" Target="https://otterly.ai/" TargetMode="External"/><Relationship Id="rId663" Type="http://schemas.openxmlformats.org/officeDocument/2006/relationships/hyperlink" Target="https://peec.ai/" TargetMode="External"/><Relationship Id="rId1012" Type="http://schemas.openxmlformats.org/officeDocument/2006/relationships/hyperlink" Target="https://adstransparency.google.com/advertiser/AR05016556376214732801/creative/CR02028070895607611393?region=anywhere" TargetMode="External"/><Relationship Id="rId1496" Type="http://schemas.openxmlformats.org/officeDocument/2006/relationships/hyperlink" Target="https://adstransparency.google.com/advertiser/AR11070511645502472193/creative/CR02575581575471169537?region=anywhere" TargetMode="External"/><Relationship Id="rId2343" Type="http://schemas.openxmlformats.org/officeDocument/2006/relationships/hyperlink" Target="https://adstransparency.google.com/advertiser/AR13288297259528617985/creative/CR13519526169757614081?region=anywhere" TargetMode="External"/><Relationship Id="rId662" Type="http://schemas.openxmlformats.org/officeDocument/2006/relationships/hyperlink" Target="https://adstransparency.google.com/advertiser/AR05016556376214732801/creative/CR18254742551493869569?region=anywhere" TargetMode="External"/><Relationship Id="rId1013" Type="http://schemas.openxmlformats.org/officeDocument/2006/relationships/hyperlink" Target="https://peec.ai/black-friday" TargetMode="External"/><Relationship Id="rId1497" Type="http://schemas.openxmlformats.org/officeDocument/2006/relationships/hyperlink" Target="https://www.semrush.com/" TargetMode="External"/><Relationship Id="rId2344" Type="http://schemas.openxmlformats.org/officeDocument/2006/relationships/hyperlink" Target="https://otterly.ai/" TargetMode="External"/><Relationship Id="rId661" Type="http://schemas.openxmlformats.org/officeDocument/2006/relationships/hyperlink" Target="https://peec.ai/" TargetMode="External"/><Relationship Id="rId1014" Type="http://schemas.openxmlformats.org/officeDocument/2006/relationships/hyperlink" Target="https://adstransparency.google.com/advertiser/AR05016556376214732801/creative/CR06961984189717544961?region=anywhere" TargetMode="External"/><Relationship Id="rId1498" Type="http://schemas.openxmlformats.org/officeDocument/2006/relationships/hyperlink" Target="https://adstransparency.google.com/advertiser/AR11070511645502472193/creative/CR14430363595072077825?region=anywhere" TargetMode="External"/><Relationship Id="rId2345" Type="http://schemas.openxmlformats.org/officeDocument/2006/relationships/hyperlink" Target="https://adstransparency.google.com/advertiser/AR13288297259528617985/creative/CR03916512009285271553?region=anywhere" TargetMode="External"/><Relationship Id="rId1004" Type="http://schemas.openxmlformats.org/officeDocument/2006/relationships/hyperlink" Target="https://adstransparency.google.com/advertiser/AR05016556376214732801/creative/CR17698724855676928001?region=anywhere" TargetMode="External"/><Relationship Id="rId1488" Type="http://schemas.openxmlformats.org/officeDocument/2006/relationships/hyperlink" Target="https://adstransparency.google.com/advertiser/AR11070511645502472193/creative/CR11519692570997293057?region=anywhere" TargetMode="External"/><Relationship Id="rId2335" Type="http://schemas.openxmlformats.org/officeDocument/2006/relationships/hyperlink" Target="https://adstransparency.google.com/advertiser/AR13288297259528617985/creative/CR08493621754273464321?region=anywhere" TargetMode="External"/><Relationship Id="rId1005" Type="http://schemas.openxmlformats.org/officeDocument/2006/relationships/hyperlink" Target="https://peec.ai/for-agencies" TargetMode="External"/><Relationship Id="rId1489" Type="http://schemas.openxmlformats.org/officeDocument/2006/relationships/hyperlink" Target="https://www.semrush.com/features/" TargetMode="External"/><Relationship Id="rId2336" Type="http://schemas.openxmlformats.org/officeDocument/2006/relationships/hyperlink" Target="https://otterly.ai/" TargetMode="External"/><Relationship Id="rId1006" Type="http://schemas.openxmlformats.org/officeDocument/2006/relationships/hyperlink" Target="https://adstransparency.google.com/advertiser/AR05016556376214732801/creative/CR12389332738728001537?region=anywhere" TargetMode="External"/><Relationship Id="rId2337" Type="http://schemas.openxmlformats.org/officeDocument/2006/relationships/hyperlink" Target="https://adstransparency.google.com/advertiser/AR13288297259528617985/creative/CR02328642602586341377?region=anywhere" TargetMode="External"/><Relationship Id="rId1007" Type="http://schemas.openxmlformats.org/officeDocument/2006/relationships/hyperlink" Target="https://peec.ai/demo" TargetMode="External"/><Relationship Id="rId2338" Type="http://schemas.openxmlformats.org/officeDocument/2006/relationships/hyperlink" Target="https://otterly.ai/" TargetMode="External"/><Relationship Id="rId1008" Type="http://schemas.openxmlformats.org/officeDocument/2006/relationships/hyperlink" Target="https://adstransparency.google.com/advertiser/AR05016556376214732801/creative/CR04002011751448051713?region=anywhere" TargetMode="External"/><Relationship Id="rId2339" Type="http://schemas.openxmlformats.org/officeDocument/2006/relationships/hyperlink" Target="https://adstransparency.google.com/advertiser/AR13288297259528617985/creative/CR05490352472247500801?region=anywhere" TargetMode="External"/><Relationship Id="rId1009" Type="http://schemas.openxmlformats.org/officeDocument/2006/relationships/hyperlink" Target="https://peec.ai/" TargetMode="External"/><Relationship Id="rId657" Type="http://schemas.openxmlformats.org/officeDocument/2006/relationships/hyperlink" Target="https://peec.ai/visibility/platform" TargetMode="External"/><Relationship Id="rId656" Type="http://schemas.openxmlformats.org/officeDocument/2006/relationships/hyperlink" Target="https://adstransparency.google.com/advertiser/AR05016556376214732801/creative/CR17235742800100720641?region=anywhere" TargetMode="External"/><Relationship Id="rId655" Type="http://schemas.openxmlformats.org/officeDocument/2006/relationships/hyperlink" Target="https://peec.ai/" TargetMode="External"/><Relationship Id="rId654" Type="http://schemas.openxmlformats.org/officeDocument/2006/relationships/hyperlink" Target="https://adstransparency.google.com/advertiser/AR05016556376214732801/creative/CR11437523756361187329?region=anywhere" TargetMode="External"/><Relationship Id="rId659" Type="http://schemas.openxmlformats.org/officeDocument/2006/relationships/hyperlink" Target="https://peec.ai/for-agencies" TargetMode="External"/><Relationship Id="rId658" Type="http://schemas.openxmlformats.org/officeDocument/2006/relationships/hyperlink" Target="https://adstransparency.google.com/advertiser/AR05016556376214732801/creative/CR16053171864939266049?region=anywhere" TargetMode="External"/><Relationship Id="rId1480" Type="http://schemas.openxmlformats.org/officeDocument/2006/relationships/hyperlink" Target="https://adstransparency.google.com/advertiser/AR11070511645502472193/creative/CR16781140827014430721?region=anywhere" TargetMode="External"/><Relationship Id="rId1481" Type="http://schemas.openxmlformats.org/officeDocument/2006/relationships/hyperlink" Target="https://www.semrush.com/analytics/keywordoverview/" TargetMode="External"/><Relationship Id="rId1482" Type="http://schemas.openxmlformats.org/officeDocument/2006/relationships/hyperlink" Target="https://adstransparency.google.com/advertiser/AR11070511645502472193/creative/CR09229180602165493761?region=anywhere" TargetMode="External"/><Relationship Id="rId1483" Type="http://schemas.openxmlformats.org/officeDocument/2006/relationships/hyperlink" Target="https://www.semrush.com/" TargetMode="External"/><Relationship Id="rId2330" Type="http://schemas.openxmlformats.org/officeDocument/2006/relationships/hyperlink" Target="https://otterly.ai/" TargetMode="External"/><Relationship Id="rId653" Type="http://schemas.openxmlformats.org/officeDocument/2006/relationships/hyperlink" Target="https://peec.ai/black-friday" TargetMode="External"/><Relationship Id="rId1000" Type="http://schemas.openxmlformats.org/officeDocument/2006/relationships/hyperlink" Target="https://adstransparency.google.com/advertiser/AR05016556376214732801/creative/CR06901511050189864961?region=anywhere" TargetMode="External"/><Relationship Id="rId1484" Type="http://schemas.openxmlformats.org/officeDocument/2006/relationships/hyperlink" Target="https://adstransparency.google.com/advertiser/AR11070511645502472193/creative/CR05349338869034647553?region=anywhere" TargetMode="External"/><Relationship Id="rId2331" Type="http://schemas.openxmlformats.org/officeDocument/2006/relationships/hyperlink" Target="https://adstransparency.google.com/advertiser/AR13288297259528617985/creative/CR03469681616312336385?region=anywhere" TargetMode="External"/><Relationship Id="rId652" Type="http://schemas.openxmlformats.org/officeDocument/2006/relationships/hyperlink" Target="https://adstransparency.google.com/advertiser/AR05016556376214732801/creative/CR04213899487640289281?region=anywhere" TargetMode="External"/><Relationship Id="rId1001" Type="http://schemas.openxmlformats.org/officeDocument/2006/relationships/hyperlink" Target="https://peec.ai/visibility/platform" TargetMode="External"/><Relationship Id="rId1485" Type="http://schemas.openxmlformats.org/officeDocument/2006/relationships/hyperlink" Target="https://www.semrush.com/" TargetMode="External"/><Relationship Id="rId2332" Type="http://schemas.openxmlformats.org/officeDocument/2006/relationships/hyperlink" Target="https://otterly.ai/" TargetMode="External"/><Relationship Id="rId651" Type="http://schemas.openxmlformats.org/officeDocument/2006/relationships/hyperlink" Target="https://peec.ai/" TargetMode="External"/><Relationship Id="rId1002" Type="http://schemas.openxmlformats.org/officeDocument/2006/relationships/hyperlink" Target="https://adstransparency.google.com/advertiser/AR05016556376214732801/creative/CR11218203321565184001?region=anywhere" TargetMode="External"/><Relationship Id="rId1486" Type="http://schemas.openxmlformats.org/officeDocument/2006/relationships/hyperlink" Target="https://adstransparency.google.com/advertiser/AR11070511645502472193/creative/CR11093066872415846401?region=anywhere" TargetMode="External"/><Relationship Id="rId2333" Type="http://schemas.openxmlformats.org/officeDocument/2006/relationships/hyperlink" Target="https://adstransparency.google.com/advertiser/AR13288297259528617985/creative/CR13651654825664839681?region=anywhere" TargetMode="External"/><Relationship Id="rId650" Type="http://schemas.openxmlformats.org/officeDocument/2006/relationships/hyperlink" Target="https://adstransparency.google.com/advertiser/AR05016556376214732801/creative/CR11354127998417633281?region=anywhere" TargetMode="External"/><Relationship Id="rId1003" Type="http://schemas.openxmlformats.org/officeDocument/2006/relationships/hyperlink" Target="https://peec.ai/pricing" TargetMode="External"/><Relationship Id="rId1487" Type="http://schemas.openxmlformats.org/officeDocument/2006/relationships/hyperlink" Target="https://www.semrush.com/analytics/backlinks/overview/" TargetMode="External"/><Relationship Id="rId2334" Type="http://schemas.openxmlformats.org/officeDocument/2006/relationships/hyperlink" Target="https://otterly.ai/" TargetMode="External"/><Relationship Id="rId1037" Type="http://schemas.openxmlformats.org/officeDocument/2006/relationships/hyperlink" Target="https://peec.ai/visibility/platform" TargetMode="External"/><Relationship Id="rId1038" Type="http://schemas.openxmlformats.org/officeDocument/2006/relationships/hyperlink" Target="https://adstransparency.google.com/advertiser/AR05016556376214732801/creative/CR08943495457993129985?region=anywhere" TargetMode="External"/><Relationship Id="rId1039" Type="http://schemas.openxmlformats.org/officeDocument/2006/relationships/hyperlink" Target="https://peec.ai/" TargetMode="External"/><Relationship Id="rId206" Type="http://schemas.openxmlformats.org/officeDocument/2006/relationships/hyperlink" Target="https://adstransparency.google.com/advertiser/AR01693402396748677121/creative/CR08050313054094622721?region=anywhere" TargetMode="External"/><Relationship Id="rId205" Type="http://schemas.openxmlformats.org/officeDocument/2006/relationships/hyperlink" Target="https://www.tryprofound.com/" TargetMode="External"/><Relationship Id="rId689" Type="http://schemas.openxmlformats.org/officeDocument/2006/relationships/hyperlink" Target="https://peec.ai/visibility/platform" TargetMode="External"/><Relationship Id="rId204" Type="http://schemas.openxmlformats.org/officeDocument/2006/relationships/hyperlink" Target="https://adstransparency.google.com/advertiser/AR01693402396748677121/creative/CR02755701122202075137?region=anywhere" TargetMode="External"/><Relationship Id="rId688" Type="http://schemas.openxmlformats.org/officeDocument/2006/relationships/hyperlink" Target="https://adstransparency.google.com/advertiser/AR05016556376214732801/creative/CR17284113039615852545?region=anywhere" TargetMode="External"/><Relationship Id="rId203" Type="http://schemas.openxmlformats.org/officeDocument/2006/relationships/hyperlink" Target="https://www.tryprofound.com/" TargetMode="External"/><Relationship Id="rId687" Type="http://schemas.openxmlformats.org/officeDocument/2006/relationships/hyperlink" Target="https://peec.ai/" TargetMode="External"/><Relationship Id="rId209" Type="http://schemas.openxmlformats.org/officeDocument/2006/relationships/hyperlink" Target="https://www.tryprofound.com/" TargetMode="External"/><Relationship Id="rId208" Type="http://schemas.openxmlformats.org/officeDocument/2006/relationships/hyperlink" Target="https://adstransparency.google.com/advertiser/AR01693402396748677121/creative/CR01647437656746885121?region=anywhere" TargetMode="External"/><Relationship Id="rId207" Type="http://schemas.openxmlformats.org/officeDocument/2006/relationships/hyperlink" Target="https://www.tryprofound.com/" TargetMode="External"/><Relationship Id="rId682" Type="http://schemas.openxmlformats.org/officeDocument/2006/relationships/hyperlink" Target="https://adstransparency.google.com/advertiser/AR05016556376214732801/creative/CR15273014901279293441?region=anywhere" TargetMode="External"/><Relationship Id="rId681" Type="http://schemas.openxmlformats.org/officeDocument/2006/relationships/hyperlink" Target="https://peec.ai/visibility/platform" TargetMode="External"/><Relationship Id="rId1030" Type="http://schemas.openxmlformats.org/officeDocument/2006/relationships/hyperlink" Target="https://adstransparency.google.com/advertiser/AR05016556376214732801/creative/CR14943128814144716801?region=anywhere" TargetMode="External"/><Relationship Id="rId680" Type="http://schemas.openxmlformats.org/officeDocument/2006/relationships/hyperlink" Target="https://adstransparency.google.com/advertiser/AR05016556376214732801/creative/CR02721651239954677761?region=anywhere" TargetMode="External"/><Relationship Id="rId1031" Type="http://schemas.openxmlformats.org/officeDocument/2006/relationships/hyperlink" Target="https://peec.ai/demo" TargetMode="External"/><Relationship Id="rId1032" Type="http://schemas.openxmlformats.org/officeDocument/2006/relationships/hyperlink" Target="https://adstransparency.google.com/advertiser/AR05016556376214732801/creative/CR02755301904991911937?region=anywhere" TargetMode="External"/><Relationship Id="rId202" Type="http://schemas.openxmlformats.org/officeDocument/2006/relationships/hyperlink" Target="https://adstransparency.google.com/advertiser/AR01693402396748677121/creative/CR13162151656273477633?region=anywhere" TargetMode="External"/><Relationship Id="rId686" Type="http://schemas.openxmlformats.org/officeDocument/2006/relationships/hyperlink" Target="https://adstransparency.google.com/advertiser/AR05016556376214732801/creative/CR03229560465923244033?region=anywhere" TargetMode="External"/><Relationship Id="rId1033" Type="http://schemas.openxmlformats.org/officeDocument/2006/relationships/hyperlink" Target="https://peec.ai/for-agencies" TargetMode="External"/><Relationship Id="rId201" Type="http://schemas.openxmlformats.org/officeDocument/2006/relationships/hyperlink" Target="https://www.tryprofound.com/" TargetMode="External"/><Relationship Id="rId685" Type="http://schemas.openxmlformats.org/officeDocument/2006/relationships/hyperlink" Target="https://peec.ai/" TargetMode="External"/><Relationship Id="rId1034" Type="http://schemas.openxmlformats.org/officeDocument/2006/relationships/hyperlink" Target="https://adstransparency.google.com/advertiser/AR05016556376214732801/creative/CR01399543869682483201?region=anywhere" TargetMode="External"/><Relationship Id="rId200" Type="http://schemas.openxmlformats.org/officeDocument/2006/relationships/hyperlink" Target="https://adstransparency.google.com/advertiser/AR01693402396748677121/creative/CR16209746512622649345?region=anywhere" TargetMode="External"/><Relationship Id="rId684" Type="http://schemas.openxmlformats.org/officeDocument/2006/relationships/hyperlink" Target="https://adstransparency.google.com/advertiser/AR05016556376214732801/creative/CR02062002262527442945?region=anywhere" TargetMode="External"/><Relationship Id="rId1035" Type="http://schemas.openxmlformats.org/officeDocument/2006/relationships/hyperlink" Target="https://peec.ai/" TargetMode="External"/><Relationship Id="rId683" Type="http://schemas.openxmlformats.org/officeDocument/2006/relationships/hyperlink" Target="https://peec.ai/for-agencies" TargetMode="External"/><Relationship Id="rId1036" Type="http://schemas.openxmlformats.org/officeDocument/2006/relationships/hyperlink" Target="https://adstransparency.google.com/advertiser/AR05016556376214732801/creative/CR11336312035987161089?region=anywhere" TargetMode="External"/><Relationship Id="rId1026" Type="http://schemas.openxmlformats.org/officeDocument/2006/relationships/hyperlink" Target="https://adstransparency.google.com/advertiser/AR05016556376214732801/creative/CR10668899681834106881?region=anywhere" TargetMode="External"/><Relationship Id="rId1027" Type="http://schemas.openxmlformats.org/officeDocument/2006/relationships/hyperlink" Target="https://peec.ai/pricing" TargetMode="External"/><Relationship Id="rId1028" Type="http://schemas.openxmlformats.org/officeDocument/2006/relationships/hyperlink" Target="https://adstransparency.google.com/advertiser/AR05016556376214732801/creative/CR15139272067813212161?region=anywhere" TargetMode="External"/><Relationship Id="rId1029" Type="http://schemas.openxmlformats.org/officeDocument/2006/relationships/hyperlink" Target="https://peec.ai/for-agencies" TargetMode="External"/><Relationship Id="rId679" Type="http://schemas.openxmlformats.org/officeDocument/2006/relationships/hyperlink" Target="https://peec.ai/" TargetMode="External"/><Relationship Id="rId678" Type="http://schemas.openxmlformats.org/officeDocument/2006/relationships/hyperlink" Target="https://adstransparency.google.com/advertiser/AR05016556376214732801/creative/CR05631932074840555521?region=anywhere" TargetMode="External"/><Relationship Id="rId677" Type="http://schemas.openxmlformats.org/officeDocument/2006/relationships/hyperlink" Target="https://peec.ai/black-friday" TargetMode="External"/><Relationship Id="rId676" Type="http://schemas.openxmlformats.org/officeDocument/2006/relationships/hyperlink" Target="https://adstransparency.google.com/advertiser/AR05016556376214732801/creative/CR11363958869320531969?region=anywhere" TargetMode="External"/><Relationship Id="rId671" Type="http://schemas.openxmlformats.org/officeDocument/2006/relationships/hyperlink" Target="https://peec.ai/demo" TargetMode="External"/><Relationship Id="rId670" Type="http://schemas.openxmlformats.org/officeDocument/2006/relationships/hyperlink" Target="https://adstransparency.google.com/advertiser/AR05016556376214732801/creative/CR05789499787682250753?region=anywhere" TargetMode="External"/><Relationship Id="rId2350" Type="http://schemas.openxmlformats.org/officeDocument/2006/relationships/drawing" Target="../drawings/drawing1.xml"/><Relationship Id="rId1020" Type="http://schemas.openxmlformats.org/officeDocument/2006/relationships/hyperlink" Target="https://adstransparency.google.com/advertiser/AR05016556376214732801/creative/CR11678155423742951425?region=anywhere" TargetMode="External"/><Relationship Id="rId1021" Type="http://schemas.openxmlformats.org/officeDocument/2006/relationships/hyperlink" Target="https://peec.ai/" TargetMode="External"/><Relationship Id="rId675" Type="http://schemas.openxmlformats.org/officeDocument/2006/relationships/hyperlink" Target="https://peec.ai/" TargetMode="External"/><Relationship Id="rId1022" Type="http://schemas.openxmlformats.org/officeDocument/2006/relationships/hyperlink" Target="https://adstransparency.google.com/advertiser/AR05016556376214732801/creative/CR10060069307208957953?region=anywhere" TargetMode="External"/><Relationship Id="rId674" Type="http://schemas.openxmlformats.org/officeDocument/2006/relationships/hyperlink" Target="https://adstransparency.google.com/advertiser/AR05016556376214732801/creative/CR02501960020632010753?region=anywhere" TargetMode="External"/><Relationship Id="rId1023" Type="http://schemas.openxmlformats.org/officeDocument/2006/relationships/hyperlink" Target="https://peec.ai/" TargetMode="External"/><Relationship Id="rId673" Type="http://schemas.openxmlformats.org/officeDocument/2006/relationships/hyperlink" Target="https://peec.ai/" TargetMode="External"/><Relationship Id="rId1024" Type="http://schemas.openxmlformats.org/officeDocument/2006/relationships/hyperlink" Target="https://adstransparency.google.com/advertiser/AR05016556376214732801/creative/CR17537122210039201793?region=anywhere" TargetMode="External"/><Relationship Id="rId672" Type="http://schemas.openxmlformats.org/officeDocument/2006/relationships/hyperlink" Target="https://adstransparency.google.com/advertiser/AR05016556376214732801/creative/CR04494943318353903617?region=anywhere" TargetMode="External"/><Relationship Id="rId1025" Type="http://schemas.openxmlformats.org/officeDocument/2006/relationships/hyperlink" Target="https://peec.ai/visibility/platform" TargetMode="External"/><Relationship Id="rId190" Type="http://schemas.openxmlformats.org/officeDocument/2006/relationships/hyperlink" Target="https://adstransparency.google.com/advertiser/AR01693402396748677121/creative/CR03958266676314636289?region=anywhere" TargetMode="External"/><Relationship Id="rId194" Type="http://schemas.openxmlformats.org/officeDocument/2006/relationships/hyperlink" Target="https://adstransparency.google.com/advertiser/AR01693402396748677121/creative/CR12200053143446224897?region=anywhere" TargetMode="External"/><Relationship Id="rId193" Type="http://schemas.openxmlformats.org/officeDocument/2006/relationships/hyperlink" Target="https://www.tryprofound.com/" TargetMode="External"/><Relationship Id="rId192" Type="http://schemas.openxmlformats.org/officeDocument/2006/relationships/hyperlink" Target="https://adstransparency.google.com/advertiser/AR01693402396748677121/creative/CR05515424936543387649?region=anywhere" TargetMode="External"/><Relationship Id="rId191" Type="http://schemas.openxmlformats.org/officeDocument/2006/relationships/hyperlink" Target="https://www.tryprofound.com/" TargetMode="External"/><Relationship Id="rId187" Type="http://schemas.openxmlformats.org/officeDocument/2006/relationships/hyperlink" Target="https://www.tryprofound.com/" TargetMode="External"/><Relationship Id="rId186" Type="http://schemas.openxmlformats.org/officeDocument/2006/relationships/hyperlink" Target="https://adstransparency.google.com/advertiser/AR01693402396748677121/creative/CR13956194214841679873?region=anywhere" TargetMode="External"/><Relationship Id="rId185" Type="http://schemas.openxmlformats.org/officeDocument/2006/relationships/hyperlink" Target="https://www.tryprofound.com/" TargetMode="External"/><Relationship Id="rId184" Type="http://schemas.openxmlformats.org/officeDocument/2006/relationships/hyperlink" Target="https://adstransparency.google.com/advertiser/AR01693402396748677121/creative/CR17646071674774224897?region=anywhere" TargetMode="External"/><Relationship Id="rId189" Type="http://schemas.openxmlformats.org/officeDocument/2006/relationships/hyperlink" Target="https://www.tryprofound.com/" TargetMode="External"/><Relationship Id="rId188" Type="http://schemas.openxmlformats.org/officeDocument/2006/relationships/hyperlink" Target="https://adstransparency.google.com/advertiser/AR01693402396748677121/creative/CR17677604018991398913?region=anywhere" TargetMode="External"/><Relationship Id="rId183" Type="http://schemas.openxmlformats.org/officeDocument/2006/relationships/hyperlink" Target="https://www.tryprofound.com/" TargetMode="External"/><Relationship Id="rId182" Type="http://schemas.openxmlformats.org/officeDocument/2006/relationships/hyperlink" Target="https://adstransparency.google.com/advertiser/AR01693402396748677121/creative/CR02678739843743219713?region=anywhere" TargetMode="External"/><Relationship Id="rId181" Type="http://schemas.openxmlformats.org/officeDocument/2006/relationships/hyperlink" Target="https://www.tryprofound.com/" TargetMode="External"/><Relationship Id="rId180" Type="http://schemas.openxmlformats.org/officeDocument/2006/relationships/hyperlink" Target="https://adstransparency.google.com/advertiser/AR01693402396748677121/creative/CR03880906275134898177?region=anywhere" TargetMode="External"/><Relationship Id="rId176" Type="http://schemas.openxmlformats.org/officeDocument/2006/relationships/hyperlink" Target="https://adstransparency.google.com/advertiser/AR01693402396748677121/creative/CR09403963050735697921?region=anywhere" TargetMode="External"/><Relationship Id="rId175" Type="http://schemas.openxmlformats.org/officeDocument/2006/relationships/hyperlink" Target="https://www.tryprofound.com/" TargetMode="External"/><Relationship Id="rId174" Type="http://schemas.openxmlformats.org/officeDocument/2006/relationships/hyperlink" Target="https://adstransparency.google.com/advertiser/AR01693402396748677121/creative/CR05492363710942937089?region=anywhere" TargetMode="External"/><Relationship Id="rId173" Type="http://schemas.openxmlformats.org/officeDocument/2006/relationships/hyperlink" Target="https://www.tryprofound.com/" TargetMode="External"/><Relationship Id="rId179" Type="http://schemas.openxmlformats.org/officeDocument/2006/relationships/hyperlink" Target="https://www.tryprofound.com/" TargetMode="External"/><Relationship Id="rId178" Type="http://schemas.openxmlformats.org/officeDocument/2006/relationships/hyperlink" Target="https://adstransparency.google.com/advertiser/AR01693402396748677121/creative/CR01009422532668817409?region=anywhere" TargetMode="External"/><Relationship Id="rId177" Type="http://schemas.openxmlformats.org/officeDocument/2006/relationships/hyperlink" Target="https://www.tryprofound.com/" TargetMode="External"/><Relationship Id="rId1910" Type="http://schemas.openxmlformats.org/officeDocument/2006/relationships/hyperlink" Target="https://adstransparency.google.com/advertiser/AR11070511645502472193/creative/CR09809118250754113537?region=anywhere" TargetMode="External"/><Relationship Id="rId1911" Type="http://schemas.openxmlformats.org/officeDocument/2006/relationships/hyperlink" Target="https://www.semrush.com/agencies/" TargetMode="External"/><Relationship Id="rId1912" Type="http://schemas.openxmlformats.org/officeDocument/2006/relationships/hyperlink" Target="https://adstransparency.google.com/advertiser/AR11070511645502472193/creative/CR03731511069013704705?region=anywhere" TargetMode="External"/><Relationship Id="rId1913" Type="http://schemas.openxmlformats.org/officeDocument/2006/relationships/hyperlink" Target="https://www.semrush.com/pricing/" TargetMode="External"/><Relationship Id="rId1914" Type="http://schemas.openxmlformats.org/officeDocument/2006/relationships/hyperlink" Target="https://adstransparency.google.com/advertiser/AR11070511645502472193/creative/CR07016545461381103617?region=anywhere" TargetMode="External"/><Relationship Id="rId1915" Type="http://schemas.openxmlformats.org/officeDocument/2006/relationships/hyperlink" Target="https://www.semrush.com/" TargetMode="External"/><Relationship Id="rId1916" Type="http://schemas.openxmlformats.org/officeDocument/2006/relationships/hyperlink" Target="https://adstransparency.google.com/advertiser/AR11070511645502472193/creative/CR17915550369740488705?region=anywhere" TargetMode="External"/><Relationship Id="rId1917" Type="http://schemas.openxmlformats.org/officeDocument/2006/relationships/hyperlink" Target="https://www.semrush.com/" TargetMode="External"/><Relationship Id="rId1918" Type="http://schemas.openxmlformats.org/officeDocument/2006/relationships/hyperlink" Target="https://adstransparency.google.com/advertiser/AR11070511645502472193/creative/CR06056337558797811713?region=anywhere" TargetMode="External"/><Relationship Id="rId1919" Type="http://schemas.openxmlformats.org/officeDocument/2006/relationships/hyperlink" Target="https://www.semrush.com/" TargetMode="External"/><Relationship Id="rId1900" Type="http://schemas.openxmlformats.org/officeDocument/2006/relationships/hyperlink" Target="https://adstransparency.google.com/advertiser/AR11070511645502472193/creative/CR06956907091697074177?region=anywhere" TargetMode="External"/><Relationship Id="rId1901" Type="http://schemas.openxmlformats.org/officeDocument/2006/relationships/hyperlink" Target="https://www.semrush.com/analytics/keywordoverview/" TargetMode="External"/><Relationship Id="rId1902" Type="http://schemas.openxmlformats.org/officeDocument/2006/relationships/hyperlink" Target="https://adstransparency.google.com/advertiser/AR11070511645502472193/creative/CR13955985419301552129?region=anywhere" TargetMode="External"/><Relationship Id="rId1903" Type="http://schemas.openxmlformats.org/officeDocument/2006/relationships/hyperlink" Target="https://www.semrush.com/" TargetMode="External"/><Relationship Id="rId1904" Type="http://schemas.openxmlformats.org/officeDocument/2006/relationships/hyperlink" Target="https://adstransparency.google.com/advertiser/AR11070511645502472193/creative/CR10804507467409522689?region=anywhere" TargetMode="External"/><Relationship Id="rId1905" Type="http://schemas.openxmlformats.org/officeDocument/2006/relationships/hyperlink" Target="https://www.semrush.com/" TargetMode="External"/><Relationship Id="rId1906" Type="http://schemas.openxmlformats.org/officeDocument/2006/relationships/hyperlink" Target="https://adstransparency.google.com/advertiser/AR11070511645502472193/creative/CR09880940377505005569?region=anywhere" TargetMode="External"/><Relationship Id="rId1907" Type="http://schemas.openxmlformats.org/officeDocument/2006/relationships/hyperlink" Target="https://www.semrush.com/analytics/backlinks/overview/" TargetMode="External"/><Relationship Id="rId1908" Type="http://schemas.openxmlformats.org/officeDocument/2006/relationships/hyperlink" Target="https://adstransparency.google.com/advertiser/AR11070511645502472193/creative/CR10547103549009952769?region=anywhere" TargetMode="External"/><Relationship Id="rId1909" Type="http://schemas.openxmlformats.org/officeDocument/2006/relationships/hyperlink" Target="https://www.semrush.com/features/" TargetMode="External"/><Relationship Id="rId198" Type="http://schemas.openxmlformats.org/officeDocument/2006/relationships/hyperlink" Target="https://adstransparency.google.com/advertiser/AR01693402396748677121/creative/CR14865356740349657089?region=anywhere" TargetMode="External"/><Relationship Id="rId197" Type="http://schemas.openxmlformats.org/officeDocument/2006/relationships/hyperlink" Target="https://www.tryprofound.com/" TargetMode="External"/><Relationship Id="rId196" Type="http://schemas.openxmlformats.org/officeDocument/2006/relationships/hyperlink" Target="https://adstransparency.google.com/advertiser/AR01693402396748677121/creative/CR14050557051516485633?region=anywhere" TargetMode="External"/><Relationship Id="rId195" Type="http://schemas.openxmlformats.org/officeDocument/2006/relationships/hyperlink" Target="https://www.tryprofound.com/" TargetMode="External"/><Relationship Id="rId199" Type="http://schemas.openxmlformats.org/officeDocument/2006/relationships/hyperlink" Target="https://www.tryprofound.com/" TargetMode="External"/><Relationship Id="rId150" Type="http://schemas.openxmlformats.org/officeDocument/2006/relationships/hyperlink" Target="https://adstransparency.google.com/advertiser/AR01693402396748677121/creative/CR12053678458975289345?region=anywhere" TargetMode="External"/><Relationship Id="rId149" Type="http://schemas.openxmlformats.org/officeDocument/2006/relationships/hyperlink" Target="https://www.tryprofound.com/" TargetMode="External"/><Relationship Id="rId148" Type="http://schemas.openxmlformats.org/officeDocument/2006/relationships/hyperlink" Target="https://adstransparency.google.com/advertiser/AR01693402396748677121/creative/CR11826517844848279553?region=anywhere" TargetMode="External"/><Relationship Id="rId1090" Type="http://schemas.openxmlformats.org/officeDocument/2006/relationships/hyperlink" Target="https://adstransparency.google.com/advertiser/AR05016556376214732801/creative/CR03161098455296770049?region=anywhere" TargetMode="External"/><Relationship Id="rId1091" Type="http://schemas.openxmlformats.org/officeDocument/2006/relationships/hyperlink" Target="https://peec.ai/for-agencies" TargetMode="External"/><Relationship Id="rId1092" Type="http://schemas.openxmlformats.org/officeDocument/2006/relationships/hyperlink" Target="https://adstransparency.google.com/advertiser/AR05016556376214732801/creative/CR06065437460626669569?region=anywhere" TargetMode="External"/><Relationship Id="rId1093" Type="http://schemas.openxmlformats.org/officeDocument/2006/relationships/hyperlink" Target="https://peec.ai/" TargetMode="External"/><Relationship Id="rId1094" Type="http://schemas.openxmlformats.org/officeDocument/2006/relationships/hyperlink" Target="https://adstransparency.google.com/advertiser/AR05016556376214732801/creative/CR12653729825958133761?region=anywhere" TargetMode="External"/><Relationship Id="rId143" Type="http://schemas.openxmlformats.org/officeDocument/2006/relationships/hyperlink" Target="https://www.tryprofound.com/" TargetMode="External"/><Relationship Id="rId1095" Type="http://schemas.openxmlformats.org/officeDocument/2006/relationships/hyperlink" Target="https://peec.ai/" TargetMode="External"/><Relationship Id="rId142" Type="http://schemas.openxmlformats.org/officeDocument/2006/relationships/hyperlink" Target="https://adstransparency.google.com/advertiser/AR01693402396748677121/creative/CR01156005299715309569?region=anywhere" TargetMode="External"/><Relationship Id="rId1096" Type="http://schemas.openxmlformats.org/officeDocument/2006/relationships/hyperlink" Target="https://adstransparency.google.com/advertiser/AR05016556376214732801/creative/CR00769293359280816129?region=anywhere" TargetMode="External"/><Relationship Id="rId141" Type="http://schemas.openxmlformats.org/officeDocument/2006/relationships/hyperlink" Target="https://www.tryprofound.com/" TargetMode="External"/><Relationship Id="rId1097" Type="http://schemas.openxmlformats.org/officeDocument/2006/relationships/hyperlink" Target="https://peec.ai/visibility/platform" TargetMode="External"/><Relationship Id="rId140" Type="http://schemas.openxmlformats.org/officeDocument/2006/relationships/hyperlink" Target="https://adstransparency.google.com/advertiser/AR01693402396748677121/creative/CR06609746525838901249?region=anywhere" TargetMode="External"/><Relationship Id="rId1098" Type="http://schemas.openxmlformats.org/officeDocument/2006/relationships/hyperlink" Target="https://adstransparency.google.com/advertiser/AR05016556376214732801/creative/CR15753878726774882305?region=anywhere" TargetMode="External"/><Relationship Id="rId147" Type="http://schemas.openxmlformats.org/officeDocument/2006/relationships/hyperlink" Target="https://www.tryprofound.com/" TargetMode="External"/><Relationship Id="rId1099" Type="http://schemas.openxmlformats.org/officeDocument/2006/relationships/hyperlink" Target="https://peec.ai/pricing" TargetMode="External"/><Relationship Id="rId146" Type="http://schemas.openxmlformats.org/officeDocument/2006/relationships/hyperlink" Target="https://adstransparency.google.com/advertiser/AR01693402396748677121/creative/CR00818376065150877697?region=anywhere" TargetMode="External"/><Relationship Id="rId145" Type="http://schemas.openxmlformats.org/officeDocument/2006/relationships/hyperlink" Target="https://www.tryprofound.com/" TargetMode="External"/><Relationship Id="rId144" Type="http://schemas.openxmlformats.org/officeDocument/2006/relationships/hyperlink" Target="https://adstransparency.google.com/advertiser/AR01693402396748677121/creative/CR10285197912178688001?region=anywhere" TargetMode="External"/><Relationship Id="rId139" Type="http://schemas.openxmlformats.org/officeDocument/2006/relationships/hyperlink" Target="https://www.tryprofound.com/" TargetMode="External"/><Relationship Id="rId138" Type="http://schemas.openxmlformats.org/officeDocument/2006/relationships/hyperlink" Target="https://adstransparency.google.com/advertiser/AR01693402396748677121/creative/CR14136941419503288321?region=anywhere" TargetMode="External"/><Relationship Id="rId137" Type="http://schemas.openxmlformats.org/officeDocument/2006/relationships/hyperlink" Target="https://www.tryprofound.com/" TargetMode="External"/><Relationship Id="rId1080" Type="http://schemas.openxmlformats.org/officeDocument/2006/relationships/hyperlink" Target="https://adstransparency.google.com/advertiser/AR05016556376214732801/creative/CR17349893109453946881?region=anywhere" TargetMode="External"/><Relationship Id="rId1081" Type="http://schemas.openxmlformats.org/officeDocument/2006/relationships/hyperlink" Target="https://peec.ai/" TargetMode="External"/><Relationship Id="rId1082" Type="http://schemas.openxmlformats.org/officeDocument/2006/relationships/hyperlink" Target="https://adstransparency.google.com/advertiser/AR05016556376214732801/creative/CR11386588373398323201?region=anywhere" TargetMode="External"/><Relationship Id="rId1083" Type="http://schemas.openxmlformats.org/officeDocument/2006/relationships/hyperlink" Target="https://peec.ai/" TargetMode="External"/><Relationship Id="rId132" Type="http://schemas.openxmlformats.org/officeDocument/2006/relationships/hyperlink" Target="https://adstransparency.google.com/advertiser/AR01693402396748677121/creative/CR15650275139113713665?region=anywhere" TargetMode="External"/><Relationship Id="rId1084" Type="http://schemas.openxmlformats.org/officeDocument/2006/relationships/hyperlink" Target="https://adstransparency.google.com/advertiser/AR05016556376214732801/creative/CR00091082014236606465?region=anywhere" TargetMode="External"/><Relationship Id="rId131" Type="http://schemas.openxmlformats.org/officeDocument/2006/relationships/hyperlink" Target="https://www.tryprofound.com/" TargetMode="External"/><Relationship Id="rId1085" Type="http://schemas.openxmlformats.org/officeDocument/2006/relationships/hyperlink" Target="https://peec.ai/black-friday" TargetMode="External"/><Relationship Id="rId130" Type="http://schemas.openxmlformats.org/officeDocument/2006/relationships/hyperlink" Target="https://adstransparency.google.com/advertiser/AR01693402396748677121/creative/CR13710177388615172097?region=anywhere" TargetMode="External"/><Relationship Id="rId1086" Type="http://schemas.openxmlformats.org/officeDocument/2006/relationships/hyperlink" Target="https://adstransparency.google.com/advertiser/AR05016556376214732801/creative/CR12290415106415656961?region=anywhere" TargetMode="External"/><Relationship Id="rId1087" Type="http://schemas.openxmlformats.org/officeDocument/2006/relationships/hyperlink" Target="https://peec.ai/" TargetMode="External"/><Relationship Id="rId136" Type="http://schemas.openxmlformats.org/officeDocument/2006/relationships/hyperlink" Target="https://adstransparency.google.com/advertiser/AR01693402396748677121/creative/CR12090125757607575553?region=anywhere" TargetMode="External"/><Relationship Id="rId1088" Type="http://schemas.openxmlformats.org/officeDocument/2006/relationships/hyperlink" Target="https://adstransparency.google.com/advertiser/AR05016556376214732801/creative/CR11172818917544427521?region=anywhere" TargetMode="External"/><Relationship Id="rId135" Type="http://schemas.openxmlformats.org/officeDocument/2006/relationships/hyperlink" Target="https://www.tryprofound.com/" TargetMode="External"/><Relationship Id="rId1089" Type="http://schemas.openxmlformats.org/officeDocument/2006/relationships/hyperlink" Target="https://peec.ai/visibility/platform" TargetMode="External"/><Relationship Id="rId134" Type="http://schemas.openxmlformats.org/officeDocument/2006/relationships/hyperlink" Target="https://adstransparency.google.com/advertiser/AR01693402396748677121/creative/CR05485526535324565505?region=anywhere" TargetMode="External"/><Relationship Id="rId133" Type="http://schemas.openxmlformats.org/officeDocument/2006/relationships/hyperlink" Target="https://www.tryprofound.com/" TargetMode="External"/><Relationship Id="rId172" Type="http://schemas.openxmlformats.org/officeDocument/2006/relationships/hyperlink" Target="https://adstransparency.google.com/advertiser/AR01693402396748677121/creative/CR10838247244428214273?region=anywhere" TargetMode="External"/><Relationship Id="rId171" Type="http://schemas.openxmlformats.org/officeDocument/2006/relationships/hyperlink" Target="https://www.tryprofound.com/" TargetMode="External"/><Relationship Id="rId170" Type="http://schemas.openxmlformats.org/officeDocument/2006/relationships/hyperlink" Target="https://adstransparency.google.com/advertiser/AR01693402396748677121/creative/CR11854265051567357953?region=anywhere" TargetMode="External"/><Relationship Id="rId165" Type="http://schemas.openxmlformats.org/officeDocument/2006/relationships/hyperlink" Target="https://www.tryprofound.com/pricing" TargetMode="External"/><Relationship Id="rId164" Type="http://schemas.openxmlformats.org/officeDocument/2006/relationships/hyperlink" Target="https://adstransparency.google.com/advertiser/AR01693402396748677121/creative/CR11969251908880695297?region=anywhere" TargetMode="External"/><Relationship Id="rId163" Type="http://schemas.openxmlformats.org/officeDocument/2006/relationships/hyperlink" Target="https://tryprofound.com/features/aim" TargetMode="External"/><Relationship Id="rId162" Type="http://schemas.openxmlformats.org/officeDocument/2006/relationships/hyperlink" Target="https://adstransparency.google.com/advertiser/AR01693402396748677121/creative/CR00020225181385490433?region=anywhere" TargetMode="External"/><Relationship Id="rId169" Type="http://schemas.openxmlformats.org/officeDocument/2006/relationships/hyperlink" Target="https://www.tryprofound.com/" TargetMode="External"/><Relationship Id="rId168" Type="http://schemas.openxmlformats.org/officeDocument/2006/relationships/hyperlink" Target="https://adstransparency.google.com/advertiser/AR01693402396748677121/creative/CR17760527261812916225?region=anywhere" TargetMode="External"/><Relationship Id="rId167" Type="http://schemas.openxmlformats.org/officeDocument/2006/relationships/hyperlink" Target="https://www.tryprofound.com/" TargetMode="External"/><Relationship Id="rId166" Type="http://schemas.openxmlformats.org/officeDocument/2006/relationships/hyperlink" Target="https://adstransparency.google.com/advertiser/AR01693402396748677121/creative/CR12288295548645015553?region=anywhere" TargetMode="External"/><Relationship Id="rId161" Type="http://schemas.openxmlformats.org/officeDocument/2006/relationships/hyperlink" Target="https://www.tryprofound.com/" TargetMode="External"/><Relationship Id="rId160" Type="http://schemas.openxmlformats.org/officeDocument/2006/relationships/hyperlink" Target="https://adstransparency.google.com/advertiser/AR01693402396748677121/creative/CR07543249352567816193?region=anywhere" TargetMode="External"/><Relationship Id="rId159" Type="http://schemas.openxmlformats.org/officeDocument/2006/relationships/hyperlink" Target="https://www.tryprofound.com/" TargetMode="External"/><Relationship Id="rId154" Type="http://schemas.openxmlformats.org/officeDocument/2006/relationships/hyperlink" Target="https://adstransparency.google.com/advertiser/AR01693402396748677121/creative/CR05781273172963753985?region=anywhere" TargetMode="External"/><Relationship Id="rId153" Type="http://schemas.openxmlformats.org/officeDocument/2006/relationships/hyperlink" Target="https://www.tryprofound.com/" TargetMode="External"/><Relationship Id="rId152" Type="http://schemas.openxmlformats.org/officeDocument/2006/relationships/hyperlink" Target="https://adstransparency.google.com/advertiser/AR01693402396748677121/creative/CR12433819829591343105?region=anywhere" TargetMode="External"/><Relationship Id="rId151" Type="http://schemas.openxmlformats.org/officeDocument/2006/relationships/hyperlink" Target="https://www.tryprofound.com/" TargetMode="External"/><Relationship Id="rId158" Type="http://schemas.openxmlformats.org/officeDocument/2006/relationships/hyperlink" Target="https://adstransparency.google.com/advertiser/AR01693402396748677121/creative/CR05779390946495954945?region=anywhere" TargetMode="External"/><Relationship Id="rId157" Type="http://schemas.openxmlformats.org/officeDocument/2006/relationships/hyperlink" Target="https://www.tryprofound.com/" TargetMode="External"/><Relationship Id="rId156" Type="http://schemas.openxmlformats.org/officeDocument/2006/relationships/hyperlink" Target="https://adstransparency.google.com/advertiser/AR01693402396748677121/creative/CR04176038285774159873?region=anywhere" TargetMode="External"/><Relationship Id="rId155" Type="http://schemas.openxmlformats.org/officeDocument/2006/relationships/hyperlink" Target="https://www.tryprofound.com/" TargetMode="External"/><Relationship Id="rId1972" Type="http://schemas.openxmlformats.org/officeDocument/2006/relationships/hyperlink" Target="https://adstransparency.google.com/advertiser/AR11070511645502472193/creative/CR13325210854170296321?region=anywhere" TargetMode="External"/><Relationship Id="rId1973" Type="http://schemas.openxmlformats.org/officeDocument/2006/relationships/hyperlink" Target="https://www.semrush.com/" TargetMode="External"/><Relationship Id="rId1974" Type="http://schemas.openxmlformats.org/officeDocument/2006/relationships/hyperlink" Target="https://adstransparency.google.com/advertiser/AR11070511645502472193/creative/CR05641650907226570753?region=anywhere" TargetMode="External"/><Relationship Id="rId1975" Type="http://schemas.openxmlformats.org/officeDocument/2006/relationships/hyperlink" Target="https://www.semrush.com/" TargetMode="External"/><Relationship Id="rId1976" Type="http://schemas.openxmlformats.org/officeDocument/2006/relationships/hyperlink" Target="https://adstransparency.google.com/advertiser/AR11070511645502472193/creative/CR01335320364711936001?region=anywhere" TargetMode="External"/><Relationship Id="rId1977" Type="http://schemas.openxmlformats.org/officeDocument/2006/relationships/hyperlink" Target="https://www.semrush.com/" TargetMode="External"/><Relationship Id="rId1978" Type="http://schemas.openxmlformats.org/officeDocument/2006/relationships/hyperlink" Target="https://adstransparency.google.com/advertiser/AR11070511645502472193/creative/CR12072792893098557441?region=anywhere" TargetMode="External"/><Relationship Id="rId1979" Type="http://schemas.openxmlformats.org/officeDocument/2006/relationships/hyperlink" Target="https://www.semrush.com/features/" TargetMode="External"/><Relationship Id="rId1970" Type="http://schemas.openxmlformats.org/officeDocument/2006/relationships/hyperlink" Target="https://adstransparency.google.com/advertiser/AR11070511645502472193/creative/CR07990005262217904129?region=anywhere" TargetMode="External"/><Relationship Id="rId1971" Type="http://schemas.openxmlformats.org/officeDocument/2006/relationships/hyperlink" Target="https://www.semrush.com/" TargetMode="External"/><Relationship Id="rId1961" Type="http://schemas.openxmlformats.org/officeDocument/2006/relationships/hyperlink" Target="https://www.semrush.com/" TargetMode="External"/><Relationship Id="rId1962" Type="http://schemas.openxmlformats.org/officeDocument/2006/relationships/hyperlink" Target="https://adstransparency.google.com/advertiser/AR11070511645502472193/creative/CR16024363981686702081?region=anywhere" TargetMode="External"/><Relationship Id="rId1963" Type="http://schemas.openxmlformats.org/officeDocument/2006/relationships/hyperlink" Target="https://www.semrush.com/analytics/backlinks/overview/" TargetMode="External"/><Relationship Id="rId1964" Type="http://schemas.openxmlformats.org/officeDocument/2006/relationships/hyperlink" Target="https://adstransparency.google.com/advertiser/AR11070511645502472193/creative/CR16331909753481461761?region=anywhere" TargetMode="External"/><Relationship Id="rId1965" Type="http://schemas.openxmlformats.org/officeDocument/2006/relationships/hyperlink" Target="https://www.semrush.com/features/" TargetMode="External"/><Relationship Id="rId1966" Type="http://schemas.openxmlformats.org/officeDocument/2006/relationships/hyperlink" Target="https://adstransparency.google.com/advertiser/AR11070511645502472193/creative/CR11443361656298536961?region=anywhere" TargetMode="External"/><Relationship Id="rId1967" Type="http://schemas.openxmlformats.org/officeDocument/2006/relationships/hyperlink" Target="https://www.semrush.com/agencies/" TargetMode="External"/><Relationship Id="rId1968" Type="http://schemas.openxmlformats.org/officeDocument/2006/relationships/hyperlink" Target="https://adstransparency.google.com/advertiser/AR11070511645502472193/creative/CR03998802173927358465?region=anywhere" TargetMode="External"/><Relationship Id="rId1969" Type="http://schemas.openxmlformats.org/officeDocument/2006/relationships/hyperlink" Target="https://www.semrush.com/pricing/" TargetMode="External"/><Relationship Id="rId1960" Type="http://schemas.openxmlformats.org/officeDocument/2006/relationships/hyperlink" Target="https://adstransparency.google.com/advertiser/AR11070511645502472193/creative/CR08625619293419077633?region=anywhere" TargetMode="External"/><Relationship Id="rId1510" Type="http://schemas.openxmlformats.org/officeDocument/2006/relationships/hyperlink" Target="https://adstransparency.google.com/advertiser/AR11070511645502472193/creative/CR04610598446808694785?region=anywhere" TargetMode="External"/><Relationship Id="rId1994" Type="http://schemas.openxmlformats.org/officeDocument/2006/relationships/hyperlink" Target="https://adstransparency.google.com/advertiser/AR11070511645502472193/creative/CR17667677911483678721?region=anywhere" TargetMode="External"/><Relationship Id="rId1511" Type="http://schemas.openxmlformats.org/officeDocument/2006/relationships/hyperlink" Target="https://www.semrush.com/" TargetMode="External"/><Relationship Id="rId1995" Type="http://schemas.openxmlformats.org/officeDocument/2006/relationships/hyperlink" Target="https://www.semrush.com/agencies/" TargetMode="External"/><Relationship Id="rId1512" Type="http://schemas.openxmlformats.org/officeDocument/2006/relationships/hyperlink" Target="https://adstransparency.google.com/advertiser/AR11070511645502472193/creative/CR09969093584822992897?region=anywhere" TargetMode="External"/><Relationship Id="rId1996" Type="http://schemas.openxmlformats.org/officeDocument/2006/relationships/hyperlink" Target="https://adstransparency.google.com/advertiser/AR11070511645502472193/creative/CR15557928403037323265?region=anywhere" TargetMode="External"/><Relationship Id="rId1513" Type="http://schemas.openxmlformats.org/officeDocument/2006/relationships/hyperlink" Target="https://www.semrush.com/" TargetMode="External"/><Relationship Id="rId1997" Type="http://schemas.openxmlformats.org/officeDocument/2006/relationships/hyperlink" Target="https://www.semrush.com/pricing/" TargetMode="External"/><Relationship Id="rId1514" Type="http://schemas.openxmlformats.org/officeDocument/2006/relationships/hyperlink" Target="https://adstransparency.google.com/advertiser/AR11070511645502472193/creative/CR12685358858479075329?region=anywhere" TargetMode="External"/><Relationship Id="rId1998" Type="http://schemas.openxmlformats.org/officeDocument/2006/relationships/hyperlink" Target="https://adstransparency.google.com/advertiser/AR11070511645502472193/creative/CR09957132032184156161?region=anywhere" TargetMode="External"/><Relationship Id="rId1515" Type="http://schemas.openxmlformats.org/officeDocument/2006/relationships/hyperlink" Target="https://www.semrush.com/analytics/backlinks/overview/" TargetMode="External"/><Relationship Id="rId1999" Type="http://schemas.openxmlformats.org/officeDocument/2006/relationships/hyperlink" Target="https://www.semrush.com/" TargetMode="External"/><Relationship Id="rId1516" Type="http://schemas.openxmlformats.org/officeDocument/2006/relationships/hyperlink" Target="https://adstransparency.google.com/advertiser/AR11070511645502472193/creative/CR15303701420406996993?region=anywhere" TargetMode="External"/><Relationship Id="rId1517" Type="http://schemas.openxmlformats.org/officeDocument/2006/relationships/hyperlink" Target="https://www.semrush.com/features/" TargetMode="External"/><Relationship Id="rId1518" Type="http://schemas.openxmlformats.org/officeDocument/2006/relationships/hyperlink" Target="https://adstransparency.google.com/advertiser/AR11070511645502472193/creative/CR13218089834322591745?region=anywhere" TargetMode="External"/><Relationship Id="rId1519" Type="http://schemas.openxmlformats.org/officeDocument/2006/relationships/hyperlink" Target="https://www.semrush.com/agencies/" TargetMode="External"/><Relationship Id="rId1990" Type="http://schemas.openxmlformats.org/officeDocument/2006/relationships/hyperlink" Target="https://adstransparency.google.com/advertiser/AR11070511645502472193/creative/CR07249351552320667649?region=anywhere" TargetMode="External"/><Relationship Id="rId1991" Type="http://schemas.openxmlformats.org/officeDocument/2006/relationships/hyperlink" Target="https://www.semrush.com/analytics/backlinks/overview/" TargetMode="External"/><Relationship Id="rId1992" Type="http://schemas.openxmlformats.org/officeDocument/2006/relationships/hyperlink" Target="https://adstransparency.google.com/advertiser/AR11070511645502472193/creative/CR13712553922869067777?region=anywhere" TargetMode="External"/><Relationship Id="rId1993" Type="http://schemas.openxmlformats.org/officeDocument/2006/relationships/hyperlink" Target="https://www.semrush.com/features/" TargetMode="External"/><Relationship Id="rId1983" Type="http://schemas.openxmlformats.org/officeDocument/2006/relationships/hyperlink" Target="https://www.semrush.com/" TargetMode="External"/><Relationship Id="rId1500" Type="http://schemas.openxmlformats.org/officeDocument/2006/relationships/hyperlink" Target="https://adstransparency.google.com/advertiser/AR11070511645502472193/creative/CR08038620821675048961?region=anywhere" TargetMode="External"/><Relationship Id="rId1984" Type="http://schemas.openxmlformats.org/officeDocument/2006/relationships/hyperlink" Target="https://adstransparency.google.com/advertiser/AR11070511645502472193/creative/CR10995233702165872641?region=anywhere" TargetMode="External"/><Relationship Id="rId1501" Type="http://schemas.openxmlformats.org/officeDocument/2006/relationships/hyperlink" Target="https://www.semrush.com/" TargetMode="External"/><Relationship Id="rId1985" Type="http://schemas.openxmlformats.org/officeDocument/2006/relationships/hyperlink" Target="https://www.semrush.com/analytics/keywordoverview/" TargetMode="External"/><Relationship Id="rId1502" Type="http://schemas.openxmlformats.org/officeDocument/2006/relationships/hyperlink" Target="https://adstransparency.google.com/advertiser/AR11070511645502472193/creative/CR01149822582623567873?region=anywhere" TargetMode="External"/><Relationship Id="rId1986" Type="http://schemas.openxmlformats.org/officeDocument/2006/relationships/hyperlink" Target="https://adstransparency.google.com/advertiser/AR11070511645502472193/creative/CR09062578133558886401?region=anywhere" TargetMode="External"/><Relationship Id="rId1503" Type="http://schemas.openxmlformats.org/officeDocument/2006/relationships/hyperlink" Target="https://www.semrush.com/features/" TargetMode="External"/><Relationship Id="rId1987" Type="http://schemas.openxmlformats.org/officeDocument/2006/relationships/hyperlink" Target="https://www.semrush.com/" TargetMode="External"/><Relationship Id="rId1504" Type="http://schemas.openxmlformats.org/officeDocument/2006/relationships/hyperlink" Target="https://adstransparency.google.com/advertiser/AR11070511645502472193/creative/CR01005355825704730625?region=anywhere" TargetMode="External"/><Relationship Id="rId1988" Type="http://schemas.openxmlformats.org/officeDocument/2006/relationships/hyperlink" Target="https://adstransparency.google.com/advertiser/AR11070511645502472193/creative/CR17136723059235880961?region=anywhere" TargetMode="External"/><Relationship Id="rId1505" Type="http://schemas.openxmlformats.org/officeDocument/2006/relationships/hyperlink" Target="https://www.semrush.com/kb/demo/" TargetMode="External"/><Relationship Id="rId1989" Type="http://schemas.openxmlformats.org/officeDocument/2006/relationships/hyperlink" Target="https://www.semrush.com/" TargetMode="External"/><Relationship Id="rId1506" Type="http://schemas.openxmlformats.org/officeDocument/2006/relationships/hyperlink" Target="https://adstransparency.google.com/advertiser/AR11070511645502472193/creative/CR01976846435575922689?region=anywhere" TargetMode="External"/><Relationship Id="rId1507" Type="http://schemas.openxmlformats.org/officeDocument/2006/relationships/hyperlink" Target="https://www.semrush.com/" TargetMode="External"/><Relationship Id="rId1508" Type="http://schemas.openxmlformats.org/officeDocument/2006/relationships/hyperlink" Target="https://adstransparency.google.com/advertiser/AR11070511645502472193/creative/CR13688346834353782785?region=anywhere" TargetMode="External"/><Relationship Id="rId1509" Type="http://schemas.openxmlformats.org/officeDocument/2006/relationships/hyperlink" Target="https://www.semrush.com/analytics/keywordoverview/" TargetMode="External"/><Relationship Id="rId1980" Type="http://schemas.openxmlformats.org/officeDocument/2006/relationships/hyperlink" Target="https://adstransparency.google.com/advertiser/AR11070511645502472193/creative/CR02924431326197055489?region=anywhere" TargetMode="External"/><Relationship Id="rId1981" Type="http://schemas.openxmlformats.org/officeDocument/2006/relationships/hyperlink" Target="https://www.semrush.com/kb/demo/" TargetMode="External"/><Relationship Id="rId1982" Type="http://schemas.openxmlformats.org/officeDocument/2006/relationships/hyperlink" Target="https://adstransparency.google.com/advertiser/AR11070511645502472193/creative/CR05296652986250952705?region=anywhere" TargetMode="External"/><Relationship Id="rId1930" Type="http://schemas.openxmlformats.org/officeDocument/2006/relationships/hyperlink" Target="https://adstransparency.google.com/advertiser/AR11070511645502472193/creative/CR11780459380070154241?region=anywhere" TargetMode="External"/><Relationship Id="rId1931" Type="http://schemas.openxmlformats.org/officeDocument/2006/relationships/hyperlink" Target="https://www.semrush.com/" TargetMode="External"/><Relationship Id="rId1932" Type="http://schemas.openxmlformats.org/officeDocument/2006/relationships/hyperlink" Target="https://adstransparency.google.com/advertiser/AR11070511645502472193/creative/CR07778814023692189697?region=anywhere" TargetMode="External"/><Relationship Id="rId1933" Type="http://schemas.openxmlformats.org/officeDocument/2006/relationships/hyperlink" Target="https://www.semrush.com/" TargetMode="External"/><Relationship Id="rId1934" Type="http://schemas.openxmlformats.org/officeDocument/2006/relationships/hyperlink" Target="https://adstransparency.google.com/advertiser/AR11070511645502472193/creative/CR06435452707108028417?region=anywhere" TargetMode="External"/><Relationship Id="rId1935" Type="http://schemas.openxmlformats.org/officeDocument/2006/relationships/hyperlink" Target="https://www.semrush.com/analytics/backlinks/overview/" TargetMode="External"/><Relationship Id="rId1936" Type="http://schemas.openxmlformats.org/officeDocument/2006/relationships/hyperlink" Target="https://adstransparency.google.com/advertiser/AR11070511645502472193/creative/CR17806000150749904897?region=anywhere" TargetMode="External"/><Relationship Id="rId1937" Type="http://schemas.openxmlformats.org/officeDocument/2006/relationships/hyperlink" Target="https://www.semrush.com/features/" TargetMode="External"/><Relationship Id="rId1938" Type="http://schemas.openxmlformats.org/officeDocument/2006/relationships/hyperlink" Target="https://adstransparency.google.com/advertiser/AR11070511645502472193/creative/CR09021166127610331137?region=anywhere" TargetMode="External"/><Relationship Id="rId1939" Type="http://schemas.openxmlformats.org/officeDocument/2006/relationships/hyperlink" Target="https://www.semrush.com/agencies/" TargetMode="External"/><Relationship Id="rId1920" Type="http://schemas.openxmlformats.org/officeDocument/2006/relationships/hyperlink" Target="https://adstransparency.google.com/advertiser/AR11070511645502472193/creative/CR04784680308903510017?region=anywhere" TargetMode="External"/><Relationship Id="rId1921" Type="http://schemas.openxmlformats.org/officeDocument/2006/relationships/hyperlink" Target="https://www.semrush.com/" TargetMode="External"/><Relationship Id="rId1922" Type="http://schemas.openxmlformats.org/officeDocument/2006/relationships/hyperlink" Target="https://adstransparency.google.com/advertiser/AR11070511645502472193/creative/CR12238469229317193729?region=anywhere" TargetMode="External"/><Relationship Id="rId1923" Type="http://schemas.openxmlformats.org/officeDocument/2006/relationships/hyperlink" Target="https://www.semrush.com/features/" TargetMode="External"/><Relationship Id="rId1924" Type="http://schemas.openxmlformats.org/officeDocument/2006/relationships/hyperlink" Target="https://adstransparency.google.com/advertiser/AR11070511645502472193/creative/CR13312965696250970113?region=anywhere" TargetMode="External"/><Relationship Id="rId1925" Type="http://schemas.openxmlformats.org/officeDocument/2006/relationships/hyperlink" Target="https://www.semrush.com/kb/demo/" TargetMode="External"/><Relationship Id="rId1926" Type="http://schemas.openxmlformats.org/officeDocument/2006/relationships/hyperlink" Target="https://adstransparency.google.com/advertiser/AR11070511645502472193/creative/CR05051256250222772225?region=anywhere" TargetMode="External"/><Relationship Id="rId1927" Type="http://schemas.openxmlformats.org/officeDocument/2006/relationships/hyperlink" Target="https://www.semrush.com/" TargetMode="External"/><Relationship Id="rId1928" Type="http://schemas.openxmlformats.org/officeDocument/2006/relationships/hyperlink" Target="https://adstransparency.google.com/advertiser/AR11070511645502472193/creative/CR11677419816104230913?region=anywhere" TargetMode="External"/><Relationship Id="rId1929" Type="http://schemas.openxmlformats.org/officeDocument/2006/relationships/hyperlink" Target="https://www.semrush.com/analytics/keywordoverview/" TargetMode="External"/><Relationship Id="rId1950" Type="http://schemas.openxmlformats.org/officeDocument/2006/relationships/hyperlink" Target="https://adstransparency.google.com/advertiser/AR11070511645502472193/creative/CR10724569398657417217?region=anywhere" TargetMode="External"/><Relationship Id="rId1951" Type="http://schemas.openxmlformats.org/officeDocument/2006/relationships/hyperlink" Target="https://www.semrush.com/features/" TargetMode="External"/><Relationship Id="rId1952" Type="http://schemas.openxmlformats.org/officeDocument/2006/relationships/hyperlink" Target="https://adstransparency.google.com/advertiser/AR11070511645502472193/creative/CR11776635038110580737?region=anywhere" TargetMode="External"/><Relationship Id="rId1953" Type="http://schemas.openxmlformats.org/officeDocument/2006/relationships/hyperlink" Target="https://www.semrush.com/kb/demo/" TargetMode="External"/><Relationship Id="rId1954" Type="http://schemas.openxmlformats.org/officeDocument/2006/relationships/hyperlink" Target="https://adstransparency.google.com/advertiser/AR11070511645502472193/creative/CR14828721708696862721?region=anywhere" TargetMode="External"/><Relationship Id="rId1955" Type="http://schemas.openxmlformats.org/officeDocument/2006/relationships/hyperlink" Target="https://www.semrush.com/" TargetMode="External"/><Relationship Id="rId1956" Type="http://schemas.openxmlformats.org/officeDocument/2006/relationships/hyperlink" Target="https://adstransparency.google.com/advertiser/AR11070511645502472193/creative/CR01433030630177767425?region=anywhere" TargetMode="External"/><Relationship Id="rId1957" Type="http://schemas.openxmlformats.org/officeDocument/2006/relationships/hyperlink" Target="https://www.semrush.com/analytics/keywordoverview/" TargetMode="External"/><Relationship Id="rId1958" Type="http://schemas.openxmlformats.org/officeDocument/2006/relationships/hyperlink" Target="https://adstransparency.google.com/advertiser/AR11070511645502472193/creative/CR01571331669485420545?region=anywhere" TargetMode="External"/><Relationship Id="rId1959" Type="http://schemas.openxmlformats.org/officeDocument/2006/relationships/hyperlink" Target="https://www.semrush.com/" TargetMode="External"/><Relationship Id="rId1940" Type="http://schemas.openxmlformats.org/officeDocument/2006/relationships/hyperlink" Target="https://adstransparency.google.com/advertiser/AR11070511645502472193/creative/CR00107832833367605249?region=anywhere" TargetMode="External"/><Relationship Id="rId1941" Type="http://schemas.openxmlformats.org/officeDocument/2006/relationships/hyperlink" Target="https://www.semrush.com/pricing/" TargetMode="External"/><Relationship Id="rId1942" Type="http://schemas.openxmlformats.org/officeDocument/2006/relationships/hyperlink" Target="https://adstransparency.google.com/advertiser/AR11070511645502472193/creative/CR13411109238017622017?region=anywhere" TargetMode="External"/><Relationship Id="rId1943" Type="http://schemas.openxmlformats.org/officeDocument/2006/relationships/hyperlink" Target="https://www.semrush.com/" TargetMode="External"/><Relationship Id="rId1944" Type="http://schemas.openxmlformats.org/officeDocument/2006/relationships/hyperlink" Target="https://adstransparency.google.com/advertiser/AR11070511645502472193/creative/CR09611199251447021569?region=anywhere" TargetMode="External"/><Relationship Id="rId1945" Type="http://schemas.openxmlformats.org/officeDocument/2006/relationships/hyperlink" Target="https://www.semrush.com/" TargetMode="External"/><Relationship Id="rId1946" Type="http://schemas.openxmlformats.org/officeDocument/2006/relationships/hyperlink" Target="https://adstransparency.google.com/advertiser/AR11070511645502472193/creative/CR17213456154672234497?region=anywhere" TargetMode="External"/><Relationship Id="rId1947" Type="http://schemas.openxmlformats.org/officeDocument/2006/relationships/hyperlink" Target="https://www.semrush.com/" TargetMode="External"/><Relationship Id="rId1948" Type="http://schemas.openxmlformats.org/officeDocument/2006/relationships/hyperlink" Target="https://adstransparency.google.com/advertiser/AR11070511645502472193/creative/CR17439792822273179649?region=anywhere" TargetMode="External"/><Relationship Id="rId1949" Type="http://schemas.openxmlformats.org/officeDocument/2006/relationships/hyperlink" Target="https://www.semrush.com/" TargetMode="External"/><Relationship Id="rId1576" Type="http://schemas.openxmlformats.org/officeDocument/2006/relationships/hyperlink" Target="https://adstransparency.google.com/advertiser/AR11070511645502472193/creative/CR09749971294048223233?region=anywhere" TargetMode="External"/><Relationship Id="rId1577" Type="http://schemas.openxmlformats.org/officeDocument/2006/relationships/hyperlink" Target="https://www.semrush.com/pricing/" TargetMode="External"/><Relationship Id="rId1578" Type="http://schemas.openxmlformats.org/officeDocument/2006/relationships/hyperlink" Target="https://adstransparency.google.com/advertiser/AR11070511645502472193/creative/CR11516411422141579265?region=anywhere" TargetMode="External"/><Relationship Id="rId1579" Type="http://schemas.openxmlformats.org/officeDocument/2006/relationships/hyperlink" Target="https://www.semrush.com/" TargetMode="External"/><Relationship Id="rId509" Type="http://schemas.openxmlformats.org/officeDocument/2006/relationships/hyperlink" Target="https://peec.ai/black-friday" TargetMode="External"/><Relationship Id="rId508" Type="http://schemas.openxmlformats.org/officeDocument/2006/relationships/hyperlink" Target="https://adstransparency.google.com/advertiser/AR05016556376214732801/creative/CR01899007978766336001?region=anywhere" TargetMode="External"/><Relationship Id="rId503" Type="http://schemas.openxmlformats.org/officeDocument/2006/relationships/hyperlink" Target="https://peec.ai/demo" TargetMode="External"/><Relationship Id="rId987" Type="http://schemas.openxmlformats.org/officeDocument/2006/relationships/hyperlink" Target="https://peec.ai/" TargetMode="External"/><Relationship Id="rId502" Type="http://schemas.openxmlformats.org/officeDocument/2006/relationships/hyperlink" Target="https://adstransparency.google.com/advertiser/AR05016556376214732801/creative/CR17795802068733132801?region=anywhere" TargetMode="External"/><Relationship Id="rId986" Type="http://schemas.openxmlformats.org/officeDocument/2006/relationships/hyperlink" Target="https://adstransparency.google.com/advertiser/AR05016556376214732801/creative/CR13382635116673630209?region=anywhere" TargetMode="External"/><Relationship Id="rId501" Type="http://schemas.openxmlformats.org/officeDocument/2006/relationships/hyperlink" Target="https://peec.ai/for-agencies" TargetMode="External"/><Relationship Id="rId985" Type="http://schemas.openxmlformats.org/officeDocument/2006/relationships/hyperlink" Target="https://peec.ai/for-agencies" TargetMode="External"/><Relationship Id="rId500" Type="http://schemas.openxmlformats.org/officeDocument/2006/relationships/hyperlink" Target="https://adstransparency.google.com/advertiser/AR05016556376214732801/creative/CR02090198800135094273?region=anywhere" TargetMode="External"/><Relationship Id="rId984" Type="http://schemas.openxmlformats.org/officeDocument/2006/relationships/hyperlink" Target="https://adstransparency.google.com/advertiser/AR05016556376214732801/creative/CR14195253374437294081?region=anywhere" TargetMode="External"/><Relationship Id="rId507" Type="http://schemas.openxmlformats.org/officeDocument/2006/relationships/hyperlink" Target="https://peec.ai/" TargetMode="External"/><Relationship Id="rId506" Type="http://schemas.openxmlformats.org/officeDocument/2006/relationships/hyperlink" Target="https://adstransparency.google.com/advertiser/AR05016556376214732801/creative/CR00714493107046973441?region=anywhere" TargetMode="External"/><Relationship Id="rId505" Type="http://schemas.openxmlformats.org/officeDocument/2006/relationships/hyperlink" Target="https://peec.ai/" TargetMode="External"/><Relationship Id="rId989" Type="http://schemas.openxmlformats.org/officeDocument/2006/relationships/hyperlink" Target="https://peec.ai/visibility/platform" TargetMode="External"/><Relationship Id="rId504" Type="http://schemas.openxmlformats.org/officeDocument/2006/relationships/hyperlink" Target="https://adstransparency.google.com/advertiser/AR05016556376214732801/creative/CR01363372093202235393?region=anywhere" TargetMode="External"/><Relationship Id="rId988" Type="http://schemas.openxmlformats.org/officeDocument/2006/relationships/hyperlink" Target="https://adstransparency.google.com/advertiser/AR05016556376214732801/creative/CR16392308504175575041?region=anywhere" TargetMode="External"/><Relationship Id="rId1570" Type="http://schemas.openxmlformats.org/officeDocument/2006/relationships/hyperlink" Target="https://adstransparency.google.com/advertiser/AR11070511645502472193/creative/CR14175110115258007553?region=anywhere" TargetMode="External"/><Relationship Id="rId1571" Type="http://schemas.openxmlformats.org/officeDocument/2006/relationships/hyperlink" Target="https://www.semrush.com/analytics/backlinks/overview/" TargetMode="External"/><Relationship Id="rId983" Type="http://schemas.openxmlformats.org/officeDocument/2006/relationships/hyperlink" Target="https://peec.ai/black-friday" TargetMode="External"/><Relationship Id="rId1572" Type="http://schemas.openxmlformats.org/officeDocument/2006/relationships/hyperlink" Target="https://adstransparency.google.com/advertiser/AR11070511645502472193/creative/CR17892646546101501953?region=anywhere" TargetMode="External"/><Relationship Id="rId982" Type="http://schemas.openxmlformats.org/officeDocument/2006/relationships/hyperlink" Target="https://adstransparency.google.com/advertiser/AR05016556376214732801/creative/CR12448701143947673601?region=anywhere" TargetMode="External"/><Relationship Id="rId1573" Type="http://schemas.openxmlformats.org/officeDocument/2006/relationships/hyperlink" Target="https://www.semrush.com/features/" TargetMode="External"/><Relationship Id="rId981" Type="http://schemas.openxmlformats.org/officeDocument/2006/relationships/hyperlink" Target="https://peec.ai/visibility/platform" TargetMode="External"/><Relationship Id="rId1574" Type="http://schemas.openxmlformats.org/officeDocument/2006/relationships/hyperlink" Target="https://adstransparency.google.com/advertiser/AR11070511645502472193/creative/CR08489605100858245121?region=anywhere" TargetMode="External"/><Relationship Id="rId980" Type="http://schemas.openxmlformats.org/officeDocument/2006/relationships/hyperlink" Target="https://adstransparency.google.com/advertiser/AR05016556376214732801/creative/CR07978548660294123521?region=anywhere" TargetMode="External"/><Relationship Id="rId1575" Type="http://schemas.openxmlformats.org/officeDocument/2006/relationships/hyperlink" Target="https://www.semrush.com/agencies/" TargetMode="External"/><Relationship Id="rId1565" Type="http://schemas.openxmlformats.org/officeDocument/2006/relationships/hyperlink" Target="https://www.semrush.com/analytics/keywordoverview/" TargetMode="External"/><Relationship Id="rId1566" Type="http://schemas.openxmlformats.org/officeDocument/2006/relationships/hyperlink" Target="https://adstransparency.google.com/advertiser/AR11070511645502472193/creative/CR17407242948763975681?region=anywhere" TargetMode="External"/><Relationship Id="rId1567" Type="http://schemas.openxmlformats.org/officeDocument/2006/relationships/hyperlink" Target="https://www.semrush.com/" TargetMode="External"/><Relationship Id="rId1568" Type="http://schemas.openxmlformats.org/officeDocument/2006/relationships/hyperlink" Target="https://adstransparency.google.com/advertiser/AR11070511645502472193/creative/CR06219010991322038273?region=anywhere" TargetMode="External"/><Relationship Id="rId1569" Type="http://schemas.openxmlformats.org/officeDocument/2006/relationships/hyperlink" Target="https://www.semrush.com/" TargetMode="External"/><Relationship Id="rId976" Type="http://schemas.openxmlformats.org/officeDocument/2006/relationships/hyperlink" Target="https://adstransparency.google.com/advertiser/AR05016556376214732801/creative/CR07517576211325779969?region=anywhere" TargetMode="External"/><Relationship Id="rId975" Type="http://schemas.openxmlformats.org/officeDocument/2006/relationships/hyperlink" Target="https://peec.ai/" TargetMode="External"/><Relationship Id="rId974" Type="http://schemas.openxmlformats.org/officeDocument/2006/relationships/hyperlink" Target="https://adstransparency.google.com/advertiser/AR05016556376214732801/creative/CR08247546379052777473?region=anywhere" TargetMode="External"/><Relationship Id="rId973" Type="http://schemas.openxmlformats.org/officeDocument/2006/relationships/hyperlink" Target="https://peec.ai/for-agencies" TargetMode="External"/><Relationship Id="rId979" Type="http://schemas.openxmlformats.org/officeDocument/2006/relationships/hyperlink" Target="https://peec.ai/pricing" TargetMode="External"/><Relationship Id="rId978" Type="http://schemas.openxmlformats.org/officeDocument/2006/relationships/hyperlink" Target="https://adstransparency.google.com/advertiser/AR05016556376214732801/creative/CR04036658737228808193?region=anywhere" TargetMode="External"/><Relationship Id="rId977" Type="http://schemas.openxmlformats.org/officeDocument/2006/relationships/hyperlink" Target="https://peec.ai/visibility/platform" TargetMode="External"/><Relationship Id="rId1560" Type="http://schemas.openxmlformats.org/officeDocument/2006/relationships/hyperlink" Target="https://adstransparency.google.com/advertiser/AR11070511645502472193/creative/CR07008123545909723137?region=anywhere" TargetMode="External"/><Relationship Id="rId972" Type="http://schemas.openxmlformats.org/officeDocument/2006/relationships/hyperlink" Target="https://adstransparency.google.com/advertiser/AR05016556376214732801/creative/CR17370574785733459969?region=anywhere" TargetMode="External"/><Relationship Id="rId1561" Type="http://schemas.openxmlformats.org/officeDocument/2006/relationships/hyperlink" Target="https://www.semrush.com/kb/demo/" TargetMode="External"/><Relationship Id="rId971" Type="http://schemas.openxmlformats.org/officeDocument/2006/relationships/hyperlink" Target="https://peec.ai/black-friday" TargetMode="External"/><Relationship Id="rId1562" Type="http://schemas.openxmlformats.org/officeDocument/2006/relationships/hyperlink" Target="https://adstransparency.google.com/advertiser/AR11070511645502472193/creative/CR15528795846026985473?region=anywhere" TargetMode="External"/><Relationship Id="rId970" Type="http://schemas.openxmlformats.org/officeDocument/2006/relationships/hyperlink" Target="https://adstransparency.google.com/advertiser/AR05016556376214732801/creative/CR11502289226074947585?region=anywhere" TargetMode="External"/><Relationship Id="rId1563" Type="http://schemas.openxmlformats.org/officeDocument/2006/relationships/hyperlink" Target="https://www.semrush.com/" TargetMode="External"/><Relationship Id="rId1564" Type="http://schemas.openxmlformats.org/officeDocument/2006/relationships/hyperlink" Target="https://adstransparency.google.com/advertiser/AR11070511645502472193/creative/CR02022941880022466561?region=anywhere" TargetMode="External"/><Relationship Id="rId1114" Type="http://schemas.openxmlformats.org/officeDocument/2006/relationships/hyperlink" Target="https://adstransparency.google.com/advertiser/AR05016556376214732801/creative/CR06895708446293753857?region=anywhere" TargetMode="External"/><Relationship Id="rId1598" Type="http://schemas.openxmlformats.org/officeDocument/2006/relationships/hyperlink" Target="https://adstransparency.google.com/advertiser/AR11070511645502472193/creative/CR01766514465387315201?region=anywhere" TargetMode="External"/><Relationship Id="rId1115" Type="http://schemas.openxmlformats.org/officeDocument/2006/relationships/hyperlink" Target="https://peec.ai/for-agencies" TargetMode="External"/><Relationship Id="rId1599" Type="http://schemas.openxmlformats.org/officeDocument/2006/relationships/hyperlink" Target="https://www.semrush.com/analytics/backlinks/overview/" TargetMode="External"/><Relationship Id="rId1116" Type="http://schemas.openxmlformats.org/officeDocument/2006/relationships/hyperlink" Target="https://adstransparency.google.com/advertiser/AR05016556376214732801/creative/CR14314962221875068929?region=anywhere" TargetMode="External"/><Relationship Id="rId1117" Type="http://schemas.openxmlformats.org/officeDocument/2006/relationships/hyperlink" Target="https://peec.ai/" TargetMode="External"/><Relationship Id="rId1118" Type="http://schemas.openxmlformats.org/officeDocument/2006/relationships/hyperlink" Target="https://adstransparency.google.com/advertiser/AR05016556376214732801/creative/CR12056615160043798529?region=anywhere" TargetMode="External"/><Relationship Id="rId1119" Type="http://schemas.openxmlformats.org/officeDocument/2006/relationships/hyperlink" Target="https://peec.ai/" TargetMode="External"/><Relationship Id="rId525" Type="http://schemas.openxmlformats.org/officeDocument/2006/relationships/hyperlink" Target="https://peec.ai/for-agencies" TargetMode="External"/><Relationship Id="rId524" Type="http://schemas.openxmlformats.org/officeDocument/2006/relationships/hyperlink" Target="https://adstransparency.google.com/advertiser/AR05016556376214732801/creative/CR13916836852528054273?region=anywhere" TargetMode="External"/><Relationship Id="rId523" Type="http://schemas.openxmlformats.org/officeDocument/2006/relationships/hyperlink" Target="https://peec.ai/pricing" TargetMode="External"/><Relationship Id="rId522" Type="http://schemas.openxmlformats.org/officeDocument/2006/relationships/hyperlink" Target="https://adstransparency.google.com/advertiser/AR05016556376214732801/creative/CR01478605515998101505?region=anywhere" TargetMode="External"/><Relationship Id="rId529" Type="http://schemas.openxmlformats.org/officeDocument/2006/relationships/hyperlink" Target="https://peec.ai/" TargetMode="External"/><Relationship Id="rId528" Type="http://schemas.openxmlformats.org/officeDocument/2006/relationships/hyperlink" Target="https://adstransparency.google.com/advertiser/AR05016556376214732801/creative/CR07077189368808472577?region=anywhere" TargetMode="External"/><Relationship Id="rId527" Type="http://schemas.openxmlformats.org/officeDocument/2006/relationships/hyperlink" Target="https://peec.ai/demo" TargetMode="External"/><Relationship Id="rId526" Type="http://schemas.openxmlformats.org/officeDocument/2006/relationships/hyperlink" Target="https://adstransparency.google.com/advertiser/AR05016556376214732801/creative/CR09451675601908793345?region=anywhere" TargetMode="External"/><Relationship Id="rId1590" Type="http://schemas.openxmlformats.org/officeDocument/2006/relationships/hyperlink" Target="https://adstransparency.google.com/advertiser/AR11070511645502472193/creative/CR01586370480292495361?region=anywhere" TargetMode="External"/><Relationship Id="rId1591" Type="http://schemas.openxmlformats.org/officeDocument/2006/relationships/hyperlink" Target="https://www.semrush.com/" TargetMode="External"/><Relationship Id="rId1592" Type="http://schemas.openxmlformats.org/officeDocument/2006/relationships/hyperlink" Target="https://adstransparency.google.com/advertiser/AR11070511645502472193/creative/CR15962260300774768641?region=anywhere" TargetMode="External"/><Relationship Id="rId1593" Type="http://schemas.openxmlformats.org/officeDocument/2006/relationships/hyperlink" Target="https://www.semrush.com/analytics/keywordoverview/" TargetMode="External"/><Relationship Id="rId521" Type="http://schemas.openxmlformats.org/officeDocument/2006/relationships/hyperlink" Target="https://peec.ai/visibility/platform" TargetMode="External"/><Relationship Id="rId1110" Type="http://schemas.openxmlformats.org/officeDocument/2006/relationships/hyperlink" Target="https://adstransparency.google.com/advertiser/AR05016556376214732801/creative/CR14165985611856478209?region=anywhere" TargetMode="External"/><Relationship Id="rId1594" Type="http://schemas.openxmlformats.org/officeDocument/2006/relationships/hyperlink" Target="https://adstransparency.google.com/advertiser/AR11070511645502472193/creative/CR08085015402003824641?region=anywhere" TargetMode="External"/><Relationship Id="rId520" Type="http://schemas.openxmlformats.org/officeDocument/2006/relationships/hyperlink" Target="https://adstransparency.google.com/advertiser/AR05016556376214732801/creative/CR15642813715768672257?region=anywhere" TargetMode="External"/><Relationship Id="rId1111" Type="http://schemas.openxmlformats.org/officeDocument/2006/relationships/hyperlink" Target="https://peec.ai/" TargetMode="External"/><Relationship Id="rId1595" Type="http://schemas.openxmlformats.org/officeDocument/2006/relationships/hyperlink" Target="https://www.semrush.com/" TargetMode="External"/><Relationship Id="rId1112" Type="http://schemas.openxmlformats.org/officeDocument/2006/relationships/hyperlink" Target="https://adstransparency.google.com/advertiser/AR05016556376214732801/creative/CR09045392835536224257?region=anywhere" TargetMode="External"/><Relationship Id="rId1596" Type="http://schemas.openxmlformats.org/officeDocument/2006/relationships/hyperlink" Target="https://adstransparency.google.com/advertiser/AR11070511645502472193/creative/CR06507813388398100481?region=anywhere" TargetMode="External"/><Relationship Id="rId1113" Type="http://schemas.openxmlformats.org/officeDocument/2006/relationships/hyperlink" Target="https://peec.ai/visibility/platform" TargetMode="External"/><Relationship Id="rId1597" Type="http://schemas.openxmlformats.org/officeDocument/2006/relationships/hyperlink" Target="https://www.semrush.com/" TargetMode="External"/><Relationship Id="rId1103" Type="http://schemas.openxmlformats.org/officeDocument/2006/relationships/hyperlink" Target="https://peec.ai/demo" TargetMode="External"/><Relationship Id="rId1587" Type="http://schemas.openxmlformats.org/officeDocument/2006/relationships/hyperlink" Target="https://www.semrush.com/features/" TargetMode="External"/><Relationship Id="rId1104" Type="http://schemas.openxmlformats.org/officeDocument/2006/relationships/hyperlink" Target="https://adstransparency.google.com/advertiser/AR05016556376214732801/creative/CR02417977647465234433?region=anywhere" TargetMode="External"/><Relationship Id="rId1588" Type="http://schemas.openxmlformats.org/officeDocument/2006/relationships/hyperlink" Target="https://adstransparency.google.com/advertiser/AR11070511645502472193/creative/CR01448711280897556481?region=anywhere" TargetMode="External"/><Relationship Id="rId1105" Type="http://schemas.openxmlformats.org/officeDocument/2006/relationships/hyperlink" Target="https://peec.ai/" TargetMode="External"/><Relationship Id="rId1589" Type="http://schemas.openxmlformats.org/officeDocument/2006/relationships/hyperlink" Target="https://www.semrush.com/kb/demo/" TargetMode="External"/><Relationship Id="rId1106" Type="http://schemas.openxmlformats.org/officeDocument/2006/relationships/hyperlink" Target="https://adstransparency.google.com/advertiser/AR05016556376214732801/creative/CR16678617002721411073?region=anywhere" TargetMode="External"/><Relationship Id="rId1107" Type="http://schemas.openxmlformats.org/officeDocument/2006/relationships/hyperlink" Target="https://peec.ai/" TargetMode="External"/><Relationship Id="rId1108" Type="http://schemas.openxmlformats.org/officeDocument/2006/relationships/hyperlink" Target="https://adstransparency.google.com/advertiser/AR05016556376214732801/creative/CR01618030092980584449?region=anywhere" TargetMode="External"/><Relationship Id="rId1109" Type="http://schemas.openxmlformats.org/officeDocument/2006/relationships/hyperlink" Target="https://peec.ai/black-friday" TargetMode="External"/><Relationship Id="rId519" Type="http://schemas.openxmlformats.org/officeDocument/2006/relationships/hyperlink" Target="https://peec.ai/" TargetMode="External"/><Relationship Id="rId514" Type="http://schemas.openxmlformats.org/officeDocument/2006/relationships/hyperlink" Target="https://adstransparency.google.com/advertiser/AR05016556376214732801/creative/CR05867077823444811777?region=anywhere" TargetMode="External"/><Relationship Id="rId998" Type="http://schemas.openxmlformats.org/officeDocument/2006/relationships/hyperlink" Target="https://adstransparency.google.com/advertiser/AR05016556376214732801/creative/CR16986935387593113601?region=anywhere" TargetMode="External"/><Relationship Id="rId513" Type="http://schemas.openxmlformats.org/officeDocument/2006/relationships/hyperlink" Target="https://peec.ai/visibility/platform" TargetMode="External"/><Relationship Id="rId997" Type="http://schemas.openxmlformats.org/officeDocument/2006/relationships/hyperlink" Target="https://peec.ai/" TargetMode="External"/><Relationship Id="rId512" Type="http://schemas.openxmlformats.org/officeDocument/2006/relationships/hyperlink" Target="https://adstransparency.google.com/advertiser/AR05016556376214732801/creative/CR10042571773653811201?region=anywhere" TargetMode="External"/><Relationship Id="rId996" Type="http://schemas.openxmlformats.org/officeDocument/2006/relationships/hyperlink" Target="https://adstransparency.google.com/advertiser/AR05016556376214732801/creative/CR07347813815020421121?region=anywhere" TargetMode="External"/><Relationship Id="rId511" Type="http://schemas.openxmlformats.org/officeDocument/2006/relationships/hyperlink" Target="https://peec.ai/" TargetMode="External"/><Relationship Id="rId995" Type="http://schemas.openxmlformats.org/officeDocument/2006/relationships/hyperlink" Target="https://peec.ai/black-friday" TargetMode="External"/><Relationship Id="rId518" Type="http://schemas.openxmlformats.org/officeDocument/2006/relationships/hyperlink" Target="https://adstransparency.google.com/advertiser/AR05016556376214732801/creative/CR09652827886956052481?region=anywhere" TargetMode="External"/><Relationship Id="rId517" Type="http://schemas.openxmlformats.org/officeDocument/2006/relationships/hyperlink" Target="https://peec.ai/" TargetMode="External"/><Relationship Id="rId516" Type="http://schemas.openxmlformats.org/officeDocument/2006/relationships/hyperlink" Target="https://adstransparency.google.com/advertiser/AR05016556376214732801/creative/CR01604472040868282369?region=anywhere" TargetMode="External"/><Relationship Id="rId515" Type="http://schemas.openxmlformats.org/officeDocument/2006/relationships/hyperlink" Target="https://peec.ai/for-agencies" TargetMode="External"/><Relationship Id="rId999" Type="http://schemas.openxmlformats.org/officeDocument/2006/relationships/hyperlink" Target="https://peec.ai/" TargetMode="External"/><Relationship Id="rId990" Type="http://schemas.openxmlformats.org/officeDocument/2006/relationships/hyperlink" Target="https://adstransparency.google.com/advertiser/AR05016556376214732801/creative/CR16415811664730914817?region=anywhere" TargetMode="External"/><Relationship Id="rId1580" Type="http://schemas.openxmlformats.org/officeDocument/2006/relationships/hyperlink" Target="https://adstransparency.google.com/advertiser/AR11070511645502472193/creative/CR13975473644428591105?region=anywhere" TargetMode="External"/><Relationship Id="rId1581" Type="http://schemas.openxmlformats.org/officeDocument/2006/relationships/hyperlink" Target="https://www.semrush.com/" TargetMode="External"/><Relationship Id="rId1582" Type="http://schemas.openxmlformats.org/officeDocument/2006/relationships/hyperlink" Target="https://adstransparency.google.com/advertiser/AR11070511645502472193/creative/CR03291240224973127681?region=anywhere" TargetMode="External"/><Relationship Id="rId510" Type="http://schemas.openxmlformats.org/officeDocument/2006/relationships/hyperlink" Target="https://adstransparency.google.com/advertiser/AR05016556376214732801/creative/CR11603393744065265665?region=anywhere" TargetMode="External"/><Relationship Id="rId994" Type="http://schemas.openxmlformats.org/officeDocument/2006/relationships/hyperlink" Target="https://adstransparency.google.com/advertiser/AR05016556376214732801/creative/CR13854527915129044993?region=anywhere" TargetMode="External"/><Relationship Id="rId1583" Type="http://schemas.openxmlformats.org/officeDocument/2006/relationships/hyperlink" Target="https://www.semrush.com/" TargetMode="External"/><Relationship Id="rId993" Type="http://schemas.openxmlformats.org/officeDocument/2006/relationships/hyperlink" Target="https://peec.ai/visibility/platform" TargetMode="External"/><Relationship Id="rId1100" Type="http://schemas.openxmlformats.org/officeDocument/2006/relationships/hyperlink" Target="https://adstransparency.google.com/advertiser/AR05016556376214732801/creative/CR13278380661078491137?region=anywhere" TargetMode="External"/><Relationship Id="rId1584" Type="http://schemas.openxmlformats.org/officeDocument/2006/relationships/hyperlink" Target="https://adstransparency.google.com/advertiser/AR11070511645502472193/creative/CR17124782809634832385?region=anywhere" TargetMode="External"/><Relationship Id="rId992" Type="http://schemas.openxmlformats.org/officeDocument/2006/relationships/hyperlink" Target="https://adstransparency.google.com/advertiser/AR05016556376214732801/creative/CR08817601376612777985?region=anywhere" TargetMode="External"/><Relationship Id="rId1101" Type="http://schemas.openxmlformats.org/officeDocument/2006/relationships/hyperlink" Target="https://peec.ai/for-agencies" TargetMode="External"/><Relationship Id="rId1585" Type="http://schemas.openxmlformats.org/officeDocument/2006/relationships/hyperlink" Target="https://www.semrush.com/" TargetMode="External"/><Relationship Id="rId991" Type="http://schemas.openxmlformats.org/officeDocument/2006/relationships/hyperlink" Target="https://peec.ai/" TargetMode="External"/><Relationship Id="rId1102" Type="http://schemas.openxmlformats.org/officeDocument/2006/relationships/hyperlink" Target="https://adstransparency.google.com/advertiser/AR05016556376214732801/creative/CR00064537879396745217?region=anywhere" TargetMode="External"/><Relationship Id="rId1586" Type="http://schemas.openxmlformats.org/officeDocument/2006/relationships/hyperlink" Target="https://adstransparency.google.com/advertiser/AR11070511645502472193/creative/CR00556206287830908929?region=anywhere" TargetMode="External"/><Relationship Id="rId1532" Type="http://schemas.openxmlformats.org/officeDocument/2006/relationships/hyperlink" Target="https://adstransparency.google.com/advertiser/AR11070511645502472193/creative/CR11098183793373085697?region=anywhere" TargetMode="External"/><Relationship Id="rId1533" Type="http://schemas.openxmlformats.org/officeDocument/2006/relationships/hyperlink" Target="https://www.semrush.com/kb/demo/" TargetMode="External"/><Relationship Id="rId1534" Type="http://schemas.openxmlformats.org/officeDocument/2006/relationships/hyperlink" Target="https://adstransparency.google.com/advertiser/AR11070511645502472193/creative/CR12840069696514424833?region=anywhere" TargetMode="External"/><Relationship Id="rId1535" Type="http://schemas.openxmlformats.org/officeDocument/2006/relationships/hyperlink" Target="https://www.semrush.com/" TargetMode="External"/><Relationship Id="rId1536" Type="http://schemas.openxmlformats.org/officeDocument/2006/relationships/hyperlink" Target="https://adstransparency.google.com/advertiser/AR11070511645502472193/creative/CR11928512228522721281?region=anywhere" TargetMode="External"/><Relationship Id="rId1537" Type="http://schemas.openxmlformats.org/officeDocument/2006/relationships/hyperlink" Target="https://www.semrush.com/analytics/keywordoverview/" TargetMode="External"/><Relationship Id="rId1538" Type="http://schemas.openxmlformats.org/officeDocument/2006/relationships/hyperlink" Target="https://adstransparency.google.com/advertiser/AR11070511645502472193/creative/CR05310894788566843393?region=anywhere" TargetMode="External"/><Relationship Id="rId1539" Type="http://schemas.openxmlformats.org/officeDocument/2006/relationships/hyperlink" Target="https://www.semrush.com/" TargetMode="External"/><Relationship Id="rId949" Type="http://schemas.openxmlformats.org/officeDocument/2006/relationships/hyperlink" Target="https://peec.ai/for-agencies" TargetMode="External"/><Relationship Id="rId948" Type="http://schemas.openxmlformats.org/officeDocument/2006/relationships/hyperlink" Target="https://adstransparency.google.com/advertiser/AR05016556376214732801/creative/CR02429883021931839489?region=anywhere" TargetMode="External"/><Relationship Id="rId943" Type="http://schemas.openxmlformats.org/officeDocument/2006/relationships/hyperlink" Target="https://peec.ai/" TargetMode="External"/><Relationship Id="rId942" Type="http://schemas.openxmlformats.org/officeDocument/2006/relationships/hyperlink" Target="https://adstransparency.google.com/advertiser/AR05016556376214732801/creative/CR06723359380164575233?region=anywhere" TargetMode="External"/><Relationship Id="rId941" Type="http://schemas.openxmlformats.org/officeDocument/2006/relationships/hyperlink" Target="https://peec.ai/visibility/platform" TargetMode="External"/><Relationship Id="rId940" Type="http://schemas.openxmlformats.org/officeDocument/2006/relationships/hyperlink" Target="https://adstransparency.google.com/advertiser/AR05016556376214732801/creative/CR01341193612230131713?region=anywhere" TargetMode="External"/><Relationship Id="rId947" Type="http://schemas.openxmlformats.org/officeDocument/2006/relationships/hyperlink" Target="https://peec.ai/black-friday" TargetMode="External"/><Relationship Id="rId946" Type="http://schemas.openxmlformats.org/officeDocument/2006/relationships/hyperlink" Target="https://adstransparency.google.com/advertiser/AR05016556376214732801/creative/CR17825365780330446849?region=anywhere" TargetMode="External"/><Relationship Id="rId945" Type="http://schemas.openxmlformats.org/officeDocument/2006/relationships/hyperlink" Target="https://peec.ai/visibility/platform" TargetMode="External"/><Relationship Id="rId944" Type="http://schemas.openxmlformats.org/officeDocument/2006/relationships/hyperlink" Target="https://adstransparency.google.com/advertiser/AR05016556376214732801/creative/CR17197694999085449217?region=anywhere" TargetMode="External"/><Relationship Id="rId1530" Type="http://schemas.openxmlformats.org/officeDocument/2006/relationships/hyperlink" Target="https://adstransparency.google.com/advertiser/AR11070511645502472193/creative/CR05807966403298328577?region=anywhere" TargetMode="External"/><Relationship Id="rId1531" Type="http://schemas.openxmlformats.org/officeDocument/2006/relationships/hyperlink" Target="https://www.semrush.com/features/" TargetMode="External"/><Relationship Id="rId1521" Type="http://schemas.openxmlformats.org/officeDocument/2006/relationships/hyperlink" Target="https://www.semrush.com/pricing/" TargetMode="External"/><Relationship Id="rId1522" Type="http://schemas.openxmlformats.org/officeDocument/2006/relationships/hyperlink" Target="https://adstransparency.google.com/advertiser/AR11070511645502472193/creative/CR01121562728608038913?region=anywhere" TargetMode="External"/><Relationship Id="rId1523" Type="http://schemas.openxmlformats.org/officeDocument/2006/relationships/hyperlink" Target="https://www.semrush.com/" TargetMode="External"/><Relationship Id="rId1524" Type="http://schemas.openxmlformats.org/officeDocument/2006/relationships/hyperlink" Target="https://adstransparency.google.com/advertiser/AR11070511645502472193/creative/CR04494251356172845057?region=anywhere" TargetMode="External"/><Relationship Id="rId1525" Type="http://schemas.openxmlformats.org/officeDocument/2006/relationships/hyperlink" Target="https://www.semrush.com/" TargetMode="External"/><Relationship Id="rId1526" Type="http://schemas.openxmlformats.org/officeDocument/2006/relationships/hyperlink" Target="https://adstransparency.google.com/advertiser/AR11070511645502472193/creative/CR11158419438389166081?region=anywhere" TargetMode="External"/><Relationship Id="rId1527" Type="http://schemas.openxmlformats.org/officeDocument/2006/relationships/hyperlink" Target="https://www.semrush.com/" TargetMode="External"/><Relationship Id="rId1528" Type="http://schemas.openxmlformats.org/officeDocument/2006/relationships/hyperlink" Target="https://adstransparency.google.com/advertiser/AR11070511645502472193/creative/CR14069146056520630273?region=anywhere" TargetMode="External"/><Relationship Id="rId1529" Type="http://schemas.openxmlformats.org/officeDocument/2006/relationships/hyperlink" Target="https://www.semrush.com/" TargetMode="External"/><Relationship Id="rId939" Type="http://schemas.openxmlformats.org/officeDocument/2006/relationships/hyperlink" Target="https://peec.ai/" TargetMode="External"/><Relationship Id="rId938" Type="http://schemas.openxmlformats.org/officeDocument/2006/relationships/hyperlink" Target="https://adstransparency.google.com/advertiser/AR05016556376214732801/creative/CR06538711795442384897?region=anywhere" TargetMode="External"/><Relationship Id="rId937" Type="http://schemas.openxmlformats.org/officeDocument/2006/relationships/hyperlink" Target="https://peec.ai/for-agencies" TargetMode="External"/><Relationship Id="rId932" Type="http://schemas.openxmlformats.org/officeDocument/2006/relationships/hyperlink" Target="https://adstransparency.google.com/advertiser/AR05016556376214732801/creative/CR11525043206894911489?region=anywhere" TargetMode="External"/><Relationship Id="rId931" Type="http://schemas.openxmlformats.org/officeDocument/2006/relationships/hyperlink" Target="https://peec.ai/" TargetMode="External"/><Relationship Id="rId930" Type="http://schemas.openxmlformats.org/officeDocument/2006/relationships/hyperlink" Target="https://adstransparency.google.com/advertiser/AR05016556376214732801/creative/CR16577519038851186689?region=anywhere" TargetMode="External"/><Relationship Id="rId936" Type="http://schemas.openxmlformats.org/officeDocument/2006/relationships/hyperlink" Target="https://adstransparency.google.com/advertiser/AR05016556376214732801/creative/CR09204629469589929985?region=anywhere" TargetMode="External"/><Relationship Id="rId935" Type="http://schemas.openxmlformats.org/officeDocument/2006/relationships/hyperlink" Target="https://peec.ai/black-friday" TargetMode="External"/><Relationship Id="rId934" Type="http://schemas.openxmlformats.org/officeDocument/2006/relationships/hyperlink" Target="https://adstransparency.google.com/advertiser/AR05016556376214732801/creative/CR00407046334248386561?region=anywhere" TargetMode="External"/><Relationship Id="rId933" Type="http://schemas.openxmlformats.org/officeDocument/2006/relationships/hyperlink" Target="https://peec.ai/" TargetMode="External"/><Relationship Id="rId1520" Type="http://schemas.openxmlformats.org/officeDocument/2006/relationships/hyperlink" Target="https://adstransparency.google.com/advertiser/AR11070511645502472193/creative/CR10821645830029574145?region=anywhere" TargetMode="External"/><Relationship Id="rId1554" Type="http://schemas.openxmlformats.org/officeDocument/2006/relationships/hyperlink" Target="https://adstransparency.google.com/advertiser/AR11070511645502472193/creative/CR08818517956993482753?region=anywhere" TargetMode="External"/><Relationship Id="rId1555" Type="http://schemas.openxmlformats.org/officeDocument/2006/relationships/hyperlink" Target="https://www.semrush.com/" TargetMode="External"/><Relationship Id="rId1556" Type="http://schemas.openxmlformats.org/officeDocument/2006/relationships/hyperlink" Target="https://adstransparency.google.com/advertiser/AR11070511645502472193/creative/CR10197809595586445313?region=anywhere" TargetMode="External"/><Relationship Id="rId1557" Type="http://schemas.openxmlformats.org/officeDocument/2006/relationships/hyperlink" Target="https://www.semrush.com/" TargetMode="External"/><Relationship Id="rId1558" Type="http://schemas.openxmlformats.org/officeDocument/2006/relationships/hyperlink" Target="https://adstransparency.google.com/advertiser/AR11070511645502472193/creative/CR16322412000242040833?region=anywhere" TargetMode="External"/><Relationship Id="rId1559" Type="http://schemas.openxmlformats.org/officeDocument/2006/relationships/hyperlink" Target="https://www.semrush.com/features/" TargetMode="External"/><Relationship Id="rId965" Type="http://schemas.openxmlformats.org/officeDocument/2006/relationships/hyperlink" Target="https://peec.ai/visibility/platform" TargetMode="External"/><Relationship Id="rId964" Type="http://schemas.openxmlformats.org/officeDocument/2006/relationships/hyperlink" Target="https://adstransparency.google.com/advertiser/AR05016556376214732801/creative/CR12005802467116711937?region=anywhere" TargetMode="External"/><Relationship Id="rId963" Type="http://schemas.openxmlformats.org/officeDocument/2006/relationships/hyperlink" Target="https://peec.ai/" TargetMode="External"/><Relationship Id="rId962" Type="http://schemas.openxmlformats.org/officeDocument/2006/relationships/hyperlink" Target="https://adstransparency.google.com/advertiser/AR05016556376214732801/creative/CR14944260486487605249?region=anywhere" TargetMode="External"/><Relationship Id="rId969" Type="http://schemas.openxmlformats.org/officeDocument/2006/relationships/hyperlink" Target="https://peec.ai/visibility/platform" TargetMode="External"/><Relationship Id="rId968" Type="http://schemas.openxmlformats.org/officeDocument/2006/relationships/hyperlink" Target="https://adstransparency.google.com/advertiser/AR05016556376214732801/creative/CR07506143489420165121?region=anywhere" TargetMode="External"/><Relationship Id="rId967" Type="http://schemas.openxmlformats.org/officeDocument/2006/relationships/hyperlink" Target="https://peec.ai/" TargetMode="External"/><Relationship Id="rId966" Type="http://schemas.openxmlformats.org/officeDocument/2006/relationships/hyperlink" Target="https://adstransparency.google.com/advertiser/AR05016556376214732801/creative/CR11594987539584253953?region=anywhere" TargetMode="External"/><Relationship Id="rId961" Type="http://schemas.openxmlformats.org/officeDocument/2006/relationships/hyperlink" Target="https://peec.ai/for-agencies" TargetMode="External"/><Relationship Id="rId1550" Type="http://schemas.openxmlformats.org/officeDocument/2006/relationships/hyperlink" Target="https://adstransparency.google.com/advertiser/AR11070511645502472193/creative/CR13544201340988686337?region=anywhere" TargetMode="External"/><Relationship Id="rId960" Type="http://schemas.openxmlformats.org/officeDocument/2006/relationships/hyperlink" Target="https://adstransparency.google.com/advertiser/AR05016556376214732801/creative/CR06496914960424108033?region=anywhere" TargetMode="External"/><Relationship Id="rId1551" Type="http://schemas.openxmlformats.org/officeDocument/2006/relationships/hyperlink" Target="https://www.semrush.com/" TargetMode="External"/><Relationship Id="rId1552" Type="http://schemas.openxmlformats.org/officeDocument/2006/relationships/hyperlink" Target="https://adstransparency.google.com/advertiser/AR11070511645502472193/creative/CR08571447180152274945?region=anywhere" TargetMode="External"/><Relationship Id="rId1553" Type="http://schemas.openxmlformats.org/officeDocument/2006/relationships/hyperlink" Target="https://www.semrush.com/" TargetMode="External"/><Relationship Id="rId1543" Type="http://schemas.openxmlformats.org/officeDocument/2006/relationships/hyperlink" Target="https://www.semrush.com/analytics/backlinks/overview/" TargetMode="External"/><Relationship Id="rId1544" Type="http://schemas.openxmlformats.org/officeDocument/2006/relationships/hyperlink" Target="https://adstransparency.google.com/advertiser/AR11070511645502472193/creative/CR13488815023287435265?region=anywhere" TargetMode="External"/><Relationship Id="rId1545" Type="http://schemas.openxmlformats.org/officeDocument/2006/relationships/hyperlink" Target="https://www.semrush.com/features/" TargetMode="External"/><Relationship Id="rId1546" Type="http://schemas.openxmlformats.org/officeDocument/2006/relationships/hyperlink" Target="https://adstransparency.google.com/advertiser/AR11070511645502472193/creative/CR13087203008079462401?region=anywhere" TargetMode="External"/><Relationship Id="rId1547" Type="http://schemas.openxmlformats.org/officeDocument/2006/relationships/hyperlink" Target="https://www.semrush.com/agencies/" TargetMode="External"/><Relationship Id="rId1548" Type="http://schemas.openxmlformats.org/officeDocument/2006/relationships/hyperlink" Target="https://adstransparency.google.com/advertiser/AR11070511645502472193/creative/CR11516468046990409729?region=anywhere" TargetMode="External"/><Relationship Id="rId1549" Type="http://schemas.openxmlformats.org/officeDocument/2006/relationships/hyperlink" Target="https://www.semrush.com/pricing/" TargetMode="External"/><Relationship Id="rId959" Type="http://schemas.openxmlformats.org/officeDocument/2006/relationships/hyperlink" Target="https://peec.ai/black-friday" TargetMode="External"/><Relationship Id="rId954" Type="http://schemas.openxmlformats.org/officeDocument/2006/relationships/hyperlink" Target="https://adstransparency.google.com/advertiser/AR05016556376214732801/creative/CR05210290642856443905?region=anywhere" TargetMode="External"/><Relationship Id="rId953" Type="http://schemas.openxmlformats.org/officeDocument/2006/relationships/hyperlink" Target="https://peec.ai/visibility/platform" TargetMode="External"/><Relationship Id="rId952" Type="http://schemas.openxmlformats.org/officeDocument/2006/relationships/hyperlink" Target="https://adstransparency.google.com/advertiser/AR05016556376214732801/creative/CR11957245834610868225?region=anywhere" TargetMode="External"/><Relationship Id="rId951" Type="http://schemas.openxmlformats.org/officeDocument/2006/relationships/hyperlink" Target="https://peec.ai/" TargetMode="External"/><Relationship Id="rId958" Type="http://schemas.openxmlformats.org/officeDocument/2006/relationships/hyperlink" Target="https://adstransparency.google.com/advertiser/AR05016556376214732801/creative/CR07042411266266103809?region=anywhere" TargetMode="External"/><Relationship Id="rId957" Type="http://schemas.openxmlformats.org/officeDocument/2006/relationships/hyperlink" Target="https://peec.ai/visibility/platform" TargetMode="External"/><Relationship Id="rId956" Type="http://schemas.openxmlformats.org/officeDocument/2006/relationships/hyperlink" Target="https://adstransparency.google.com/advertiser/AR05016556376214732801/creative/CR01120039217808801793?region=anywhere" TargetMode="External"/><Relationship Id="rId955" Type="http://schemas.openxmlformats.org/officeDocument/2006/relationships/hyperlink" Target="https://peec.ai/" TargetMode="External"/><Relationship Id="rId950" Type="http://schemas.openxmlformats.org/officeDocument/2006/relationships/hyperlink" Target="https://adstransparency.google.com/advertiser/AR05016556376214732801/creative/CR07585411680713048065?region=anywhere" TargetMode="External"/><Relationship Id="rId1540" Type="http://schemas.openxmlformats.org/officeDocument/2006/relationships/hyperlink" Target="https://adstransparency.google.com/advertiser/AR11070511645502472193/creative/CR15287853540840570881?region=anywhere" TargetMode="External"/><Relationship Id="rId1541" Type="http://schemas.openxmlformats.org/officeDocument/2006/relationships/hyperlink" Target="https://www.semrush.com/" TargetMode="External"/><Relationship Id="rId1542" Type="http://schemas.openxmlformats.org/officeDocument/2006/relationships/hyperlink" Target="https://adstransparency.google.com/advertiser/AR11070511645502472193/creative/CR01287569674229252097?region=anywhere" TargetMode="External"/><Relationship Id="rId2027" Type="http://schemas.openxmlformats.org/officeDocument/2006/relationships/hyperlink" Target="https://www.semrush.com/" TargetMode="External"/><Relationship Id="rId2028" Type="http://schemas.openxmlformats.org/officeDocument/2006/relationships/hyperlink" Target="https://adstransparency.google.com/advertiser/AR11070511645502472193/creative/CR07448454347693752321?region=anywhere" TargetMode="External"/><Relationship Id="rId2029" Type="http://schemas.openxmlformats.org/officeDocument/2006/relationships/hyperlink" Target="https://www.semrush.com/" TargetMode="External"/><Relationship Id="rId590" Type="http://schemas.openxmlformats.org/officeDocument/2006/relationships/hyperlink" Target="https://adstransparency.google.com/advertiser/AR05016556376214732801/creative/CR18093817067579899905?region=anywhere" TargetMode="External"/><Relationship Id="rId107" Type="http://schemas.openxmlformats.org/officeDocument/2006/relationships/hyperlink" Target="https://www.tryprofound.com/" TargetMode="External"/><Relationship Id="rId106" Type="http://schemas.openxmlformats.org/officeDocument/2006/relationships/hyperlink" Target="https://adstransparency.google.com/advertiser/AR01693402396748677121/creative/CR03825966977629814785?region=anywhere" TargetMode="External"/><Relationship Id="rId105" Type="http://schemas.openxmlformats.org/officeDocument/2006/relationships/hyperlink" Target="https://www.tryprofound.com/customers/mongodb" TargetMode="External"/><Relationship Id="rId589" Type="http://schemas.openxmlformats.org/officeDocument/2006/relationships/hyperlink" Target="https://peec.ai/" TargetMode="External"/><Relationship Id="rId104" Type="http://schemas.openxmlformats.org/officeDocument/2006/relationships/hyperlink" Target="https://adstransparency.google.com/advertiser/AR01693402396748677121/creative/CR11084227649332051969?region=anywhere" TargetMode="External"/><Relationship Id="rId588" Type="http://schemas.openxmlformats.org/officeDocument/2006/relationships/hyperlink" Target="https://adstransparency.google.com/advertiser/AR05016556376214732801/creative/CR08821750546948947969?region=anywhere" TargetMode="External"/><Relationship Id="rId109" Type="http://schemas.openxmlformats.org/officeDocument/2006/relationships/hyperlink" Target="https://www.tryprofound.com/" TargetMode="External"/><Relationship Id="rId1170" Type="http://schemas.openxmlformats.org/officeDocument/2006/relationships/hyperlink" Target="https://adstransparency.google.com/advertiser/AR05538899415307124737/creative/CR13043656781341917185?region=anywhere" TargetMode="External"/><Relationship Id="rId108" Type="http://schemas.openxmlformats.org/officeDocument/2006/relationships/hyperlink" Target="https://adstransparency.google.com/advertiser/AR01693402396748677121/creative/CR01704522651193573377?region=anywhere" TargetMode="External"/><Relationship Id="rId1171" Type="http://schemas.openxmlformats.org/officeDocument/2006/relationships/hyperlink" Target="https://www.semrush.com/" TargetMode="External"/><Relationship Id="rId583" Type="http://schemas.openxmlformats.org/officeDocument/2006/relationships/hyperlink" Target="https://peec.ai/" TargetMode="External"/><Relationship Id="rId1172" Type="http://schemas.openxmlformats.org/officeDocument/2006/relationships/hyperlink" Target="https://adstransparency.google.com/advertiser/AR11070511645502472193/creative/CR02468285664555171841?region=anywhere" TargetMode="External"/><Relationship Id="rId582" Type="http://schemas.openxmlformats.org/officeDocument/2006/relationships/hyperlink" Target="https://adstransparency.google.com/advertiser/AR05016556376214732801/creative/CR08575078961548099585?region=anywhere" TargetMode="External"/><Relationship Id="rId1173" Type="http://schemas.openxmlformats.org/officeDocument/2006/relationships/hyperlink" Target="https://www.semrush.com/analytics/keywordoverview/" TargetMode="External"/><Relationship Id="rId2020" Type="http://schemas.openxmlformats.org/officeDocument/2006/relationships/hyperlink" Target="https://adstransparency.google.com/advertiser/AR11070511645502472193/creative/CR14402127208757854209?region=anywhere" TargetMode="External"/><Relationship Id="rId581" Type="http://schemas.openxmlformats.org/officeDocument/2006/relationships/hyperlink" Target="https://peec.ai/black-friday" TargetMode="External"/><Relationship Id="rId1174" Type="http://schemas.openxmlformats.org/officeDocument/2006/relationships/hyperlink" Target="https://adstransparency.google.com/advertiser/AR11070511645502472193/creative/CR01377189449670066177?region=anywhere" TargetMode="External"/><Relationship Id="rId2021" Type="http://schemas.openxmlformats.org/officeDocument/2006/relationships/hyperlink" Target="https://www.semrush.com/features/" TargetMode="External"/><Relationship Id="rId580" Type="http://schemas.openxmlformats.org/officeDocument/2006/relationships/hyperlink" Target="https://adstransparency.google.com/advertiser/AR05016556376214732801/creative/CR03635787818627760129?region=anywhere" TargetMode="External"/><Relationship Id="rId1175" Type="http://schemas.openxmlformats.org/officeDocument/2006/relationships/hyperlink" Target="https://www.semrush.com/" TargetMode="External"/><Relationship Id="rId2022" Type="http://schemas.openxmlformats.org/officeDocument/2006/relationships/hyperlink" Target="https://adstransparency.google.com/advertiser/AR11070511645502472193/creative/CR01984303529593929729?region=anywhere" TargetMode="External"/><Relationship Id="rId103" Type="http://schemas.openxmlformats.org/officeDocument/2006/relationships/hyperlink" Target="https://www.tryprofound.com/" TargetMode="External"/><Relationship Id="rId587" Type="http://schemas.openxmlformats.org/officeDocument/2006/relationships/hyperlink" Target="https://peec.ai/for-agencies" TargetMode="External"/><Relationship Id="rId1176" Type="http://schemas.openxmlformats.org/officeDocument/2006/relationships/hyperlink" Target="https://adstransparency.google.com/advertiser/AR11070511645502472193/creative/CR02328484960106708993?region=anywhere" TargetMode="External"/><Relationship Id="rId2023" Type="http://schemas.openxmlformats.org/officeDocument/2006/relationships/hyperlink" Target="https://www.semrush.com/agencies/" TargetMode="External"/><Relationship Id="rId102" Type="http://schemas.openxmlformats.org/officeDocument/2006/relationships/hyperlink" Target="https://adstransparency.google.com/advertiser/AR01693402396748677121/creative/CR08006714806713188353?region=anywhere" TargetMode="External"/><Relationship Id="rId586" Type="http://schemas.openxmlformats.org/officeDocument/2006/relationships/hyperlink" Target="https://adstransparency.google.com/advertiser/AR05016556376214732801/creative/CR16111946946196799489?region=anywhere" TargetMode="External"/><Relationship Id="rId1177" Type="http://schemas.openxmlformats.org/officeDocument/2006/relationships/hyperlink" Target="https://www.semrush.com/" TargetMode="External"/><Relationship Id="rId2024" Type="http://schemas.openxmlformats.org/officeDocument/2006/relationships/hyperlink" Target="https://adstransparency.google.com/advertiser/AR11070511645502472193/creative/CR05138274624101941249?region=anywhere" TargetMode="External"/><Relationship Id="rId101" Type="http://schemas.openxmlformats.org/officeDocument/2006/relationships/hyperlink" Target="https://tryprofound.com/features/aim" TargetMode="External"/><Relationship Id="rId585" Type="http://schemas.openxmlformats.org/officeDocument/2006/relationships/hyperlink" Target="https://peec.ai/visibility/platform" TargetMode="External"/><Relationship Id="rId1178" Type="http://schemas.openxmlformats.org/officeDocument/2006/relationships/hyperlink" Target="https://adstransparency.google.com/advertiser/AR11070511645502472193/creative/CR15928882795657560065?region=anywhere" TargetMode="External"/><Relationship Id="rId2025" Type="http://schemas.openxmlformats.org/officeDocument/2006/relationships/hyperlink" Target="https://www.semrush.com/pricing/" TargetMode="External"/><Relationship Id="rId100" Type="http://schemas.openxmlformats.org/officeDocument/2006/relationships/hyperlink" Target="https://adstransparency.google.com/advertiser/AR01693402396748677121/creative/CR12765300801291681793?region=anywhere" TargetMode="External"/><Relationship Id="rId584" Type="http://schemas.openxmlformats.org/officeDocument/2006/relationships/hyperlink" Target="https://adstransparency.google.com/advertiser/AR05016556376214732801/creative/CR15323805672693301249?region=anywhere" TargetMode="External"/><Relationship Id="rId1179" Type="http://schemas.openxmlformats.org/officeDocument/2006/relationships/hyperlink" Target="https://www.semrush.com/analytics/backlinks/overview/" TargetMode="External"/><Relationship Id="rId2026" Type="http://schemas.openxmlformats.org/officeDocument/2006/relationships/hyperlink" Target="https://adstransparency.google.com/advertiser/AR11070511645502472193/creative/CR08936720988897280001?region=anywhere" TargetMode="External"/><Relationship Id="rId1169" Type="http://schemas.openxmlformats.org/officeDocument/2006/relationships/hyperlink" Target="https://mangools.com/pricing" TargetMode="External"/><Relationship Id="rId2016" Type="http://schemas.openxmlformats.org/officeDocument/2006/relationships/hyperlink" Target="https://adstransparency.google.com/advertiser/AR11070511645502472193/creative/CR02999281714129272833?region=anywhere" TargetMode="External"/><Relationship Id="rId2017" Type="http://schemas.openxmlformats.org/officeDocument/2006/relationships/hyperlink" Target="https://www.semrush.com/" TargetMode="External"/><Relationship Id="rId2018" Type="http://schemas.openxmlformats.org/officeDocument/2006/relationships/hyperlink" Target="https://adstransparency.google.com/advertiser/AR11070511645502472193/creative/CR00664750213163909121?region=anywhere" TargetMode="External"/><Relationship Id="rId2019" Type="http://schemas.openxmlformats.org/officeDocument/2006/relationships/hyperlink" Target="https://www.semrush.com/analytics/backlinks/overview/" TargetMode="External"/><Relationship Id="rId579" Type="http://schemas.openxmlformats.org/officeDocument/2006/relationships/hyperlink" Target="https://peec.ai/" TargetMode="External"/><Relationship Id="rId578" Type="http://schemas.openxmlformats.org/officeDocument/2006/relationships/hyperlink" Target="https://adstransparency.google.com/advertiser/AR05016556376214732801/creative/CR03006269376811761665?region=anywhere" TargetMode="External"/><Relationship Id="rId577" Type="http://schemas.openxmlformats.org/officeDocument/2006/relationships/hyperlink" Target="https://peec.ai/" TargetMode="External"/><Relationship Id="rId1160" Type="http://schemas.openxmlformats.org/officeDocument/2006/relationships/hyperlink" Target="https://adstransparency.google.com/advertiser/AR05538899415307124737/creative/CR13254440856967970817?region=anywhere" TargetMode="External"/><Relationship Id="rId572" Type="http://schemas.openxmlformats.org/officeDocument/2006/relationships/hyperlink" Target="https://adstransparency.google.com/advertiser/AR05016556376214732801/creative/CR03912878492722659329?region=anywhere" TargetMode="External"/><Relationship Id="rId1161" Type="http://schemas.openxmlformats.org/officeDocument/2006/relationships/hyperlink" Target="https://mangools.com/serpchecker/" TargetMode="External"/><Relationship Id="rId571" Type="http://schemas.openxmlformats.org/officeDocument/2006/relationships/hyperlink" Target="https://peec.ai/pricing" TargetMode="External"/><Relationship Id="rId1162" Type="http://schemas.openxmlformats.org/officeDocument/2006/relationships/hyperlink" Target="https://adstransparency.google.com/advertiser/AR05538899415307124737/creative/CR04781040478738972673?region=anywhere" TargetMode="External"/><Relationship Id="rId570" Type="http://schemas.openxmlformats.org/officeDocument/2006/relationships/hyperlink" Target="https://adstransparency.google.com/advertiser/AR05016556376214732801/creative/CR16763611751219462145?region=anywhere" TargetMode="External"/><Relationship Id="rId1163" Type="http://schemas.openxmlformats.org/officeDocument/2006/relationships/hyperlink" Target="https://mangools.com/" TargetMode="External"/><Relationship Id="rId2010" Type="http://schemas.openxmlformats.org/officeDocument/2006/relationships/hyperlink" Target="https://adstransparency.google.com/advertiser/AR11070511645502472193/creative/CR01612546141298098177?region=anywhere" TargetMode="External"/><Relationship Id="rId1164" Type="http://schemas.openxmlformats.org/officeDocument/2006/relationships/hyperlink" Target="https://adstransparency.google.com/advertiser/AR05538899415307124737/creative/CR08860926532793663489?region=anywhere" TargetMode="External"/><Relationship Id="rId2011" Type="http://schemas.openxmlformats.org/officeDocument/2006/relationships/hyperlink" Target="https://www.semrush.com/" TargetMode="External"/><Relationship Id="rId576" Type="http://schemas.openxmlformats.org/officeDocument/2006/relationships/hyperlink" Target="https://adstransparency.google.com/advertiser/AR05016556376214732801/creative/CR01971120960702513153?region=anywhere" TargetMode="External"/><Relationship Id="rId1165" Type="http://schemas.openxmlformats.org/officeDocument/2006/relationships/hyperlink" Target="https://mangools.com/" TargetMode="External"/><Relationship Id="rId2012" Type="http://schemas.openxmlformats.org/officeDocument/2006/relationships/hyperlink" Target="https://adstransparency.google.com/advertiser/AR11070511645502472193/creative/CR08546944185570164737?region=anywhere" TargetMode="External"/><Relationship Id="rId575" Type="http://schemas.openxmlformats.org/officeDocument/2006/relationships/hyperlink" Target="https://peec.ai/demo" TargetMode="External"/><Relationship Id="rId1166" Type="http://schemas.openxmlformats.org/officeDocument/2006/relationships/hyperlink" Target="https://adstransparency.google.com/advertiser/AR05538899415307124737/creative/CR00543063069429858305?region=anywhere" TargetMode="External"/><Relationship Id="rId2013" Type="http://schemas.openxmlformats.org/officeDocument/2006/relationships/hyperlink" Target="https://www.semrush.com/analytics/keywordoverview/" TargetMode="External"/><Relationship Id="rId574" Type="http://schemas.openxmlformats.org/officeDocument/2006/relationships/hyperlink" Target="https://adstransparency.google.com/advertiser/AR05016556376214732801/creative/CR10337192966652690433?region=anywhere" TargetMode="External"/><Relationship Id="rId1167" Type="http://schemas.openxmlformats.org/officeDocument/2006/relationships/hyperlink" Target="https://mangools.com/seo-extension" TargetMode="External"/><Relationship Id="rId2014" Type="http://schemas.openxmlformats.org/officeDocument/2006/relationships/hyperlink" Target="https://adstransparency.google.com/advertiser/AR11070511645502472193/creative/CR07836812506143129601?region=anywhere" TargetMode="External"/><Relationship Id="rId573" Type="http://schemas.openxmlformats.org/officeDocument/2006/relationships/hyperlink" Target="https://peec.ai/for-agencies" TargetMode="External"/><Relationship Id="rId1168" Type="http://schemas.openxmlformats.org/officeDocument/2006/relationships/hyperlink" Target="https://adstransparency.google.com/advertiser/AR05538899415307124737/creative/CR12803935208940240897?region=anywhere" TargetMode="External"/><Relationship Id="rId2015" Type="http://schemas.openxmlformats.org/officeDocument/2006/relationships/hyperlink" Target="https://www.semrush.com/" TargetMode="External"/><Relationship Id="rId2049" Type="http://schemas.openxmlformats.org/officeDocument/2006/relationships/hyperlink" Target="https://www.semrush.com/features/" TargetMode="External"/><Relationship Id="rId129" Type="http://schemas.openxmlformats.org/officeDocument/2006/relationships/hyperlink" Target="https://www.tryprofound.com/" TargetMode="External"/><Relationship Id="rId128" Type="http://schemas.openxmlformats.org/officeDocument/2006/relationships/hyperlink" Target="https://adstransparency.google.com/advertiser/AR01693402396748677121/creative/CR12997705467407892481?region=anywhere" TargetMode="External"/><Relationship Id="rId127" Type="http://schemas.openxmlformats.org/officeDocument/2006/relationships/hyperlink" Target="https://www.tryprofound.com/" TargetMode="External"/><Relationship Id="rId126" Type="http://schemas.openxmlformats.org/officeDocument/2006/relationships/hyperlink" Target="https://adstransparency.google.com/advertiser/AR01693402396748677121/creative/CR10253017886893277185?region=anywhere" TargetMode="External"/><Relationship Id="rId1190" Type="http://schemas.openxmlformats.org/officeDocument/2006/relationships/hyperlink" Target="https://adstransparency.google.com/advertiser/AR11070511645502472193/creative/CR11271468088630968321?region=anywhere" TargetMode="External"/><Relationship Id="rId1191" Type="http://schemas.openxmlformats.org/officeDocument/2006/relationships/hyperlink" Target="https://www.semrush.com/" TargetMode="External"/><Relationship Id="rId1192" Type="http://schemas.openxmlformats.org/officeDocument/2006/relationships/hyperlink" Target="https://adstransparency.google.com/advertiser/AR11070511645502472193/creative/CR13276926720159514625?region=anywhere" TargetMode="External"/><Relationship Id="rId1193" Type="http://schemas.openxmlformats.org/officeDocument/2006/relationships/hyperlink" Target="https://www.semrush.com/" TargetMode="External"/><Relationship Id="rId2040" Type="http://schemas.openxmlformats.org/officeDocument/2006/relationships/hyperlink" Target="https://adstransparency.google.com/advertiser/AR11070511645502472193/creative/CR02294644259946496001?region=anywhere" TargetMode="External"/><Relationship Id="rId121" Type="http://schemas.openxmlformats.org/officeDocument/2006/relationships/hyperlink" Target="https://www.tryprofound.com/" TargetMode="External"/><Relationship Id="rId1194" Type="http://schemas.openxmlformats.org/officeDocument/2006/relationships/hyperlink" Target="https://adstransparency.google.com/advertiser/AR11070511645502472193/creative/CR16223738828878249985?region=anywhere" TargetMode="External"/><Relationship Id="rId2041" Type="http://schemas.openxmlformats.org/officeDocument/2006/relationships/hyperlink" Target="https://www.semrush.com/analytics/keywordoverview/" TargetMode="External"/><Relationship Id="rId120" Type="http://schemas.openxmlformats.org/officeDocument/2006/relationships/hyperlink" Target="https://adstransparency.google.com/advertiser/AR01693402396748677121/creative/CR13796671020569985025?region=anywhere" TargetMode="External"/><Relationship Id="rId1195" Type="http://schemas.openxmlformats.org/officeDocument/2006/relationships/hyperlink" Target="https://www.semrush.com/features/" TargetMode="External"/><Relationship Id="rId2042" Type="http://schemas.openxmlformats.org/officeDocument/2006/relationships/hyperlink" Target="https://adstransparency.google.com/advertiser/AR11070511645502472193/creative/CR08570924774690127873?region=anywhere" TargetMode="External"/><Relationship Id="rId1196" Type="http://schemas.openxmlformats.org/officeDocument/2006/relationships/hyperlink" Target="https://adstransparency.google.com/advertiser/AR11070511645502472193/creative/CR04957702886034243585?region=anywhere" TargetMode="External"/><Relationship Id="rId2043" Type="http://schemas.openxmlformats.org/officeDocument/2006/relationships/hyperlink" Target="https://www.semrush.com/" TargetMode="External"/><Relationship Id="rId1197" Type="http://schemas.openxmlformats.org/officeDocument/2006/relationships/hyperlink" Target="https://www.semrush.com/kb/demo/" TargetMode="External"/><Relationship Id="rId2044" Type="http://schemas.openxmlformats.org/officeDocument/2006/relationships/hyperlink" Target="https://adstransparency.google.com/advertiser/AR11070511645502472193/creative/CR01737218252943130625?region=anywhere" TargetMode="External"/><Relationship Id="rId125" Type="http://schemas.openxmlformats.org/officeDocument/2006/relationships/hyperlink" Target="https://www.tryprofound.com/pricing" TargetMode="External"/><Relationship Id="rId1198" Type="http://schemas.openxmlformats.org/officeDocument/2006/relationships/hyperlink" Target="https://adstransparency.google.com/advertiser/AR11070511645502472193/creative/CR16118561745588453377?region=anywhere" TargetMode="External"/><Relationship Id="rId2045" Type="http://schemas.openxmlformats.org/officeDocument/2006/relationships/hyperlink" Target="https://www.semrush.com/" TargetMode="External"/><Relationship Id="rId124" Type="http://schemas.openxmlformats.org/officeDocument/2006/relationships/hyperlink" Target="https://adstransparency.google.com/advertiser/AR01693402396748677121/creative/CR03688027334050316289?region=anywhere" TargetMode="External"/><Relationship Id="rId1199" Type="http://schemas.openxmlformats.org/officeDocument/2006/relationships/hyperlink" Target="https://www.semrush.com/" TargetMode="External"/><Relationship Id="rId2046" Type="http://schemas.openxmlformats.org/officeDocument/2006/relationships/hyperlink" Target="https://adstransparency.google.com/advertiser/AR11070511645502472193/creative/CR10968757462169026561?region=anywhere" TargetMode="External"/><Relationship Id="rId123" Type="http://schemas.openxmlformats.org/officeDocument/2006/relationships/hyperlink" Target="https://www.tryprofound.com/" TargetMode="External"/><Relationship Id="rId2047" Type="http://schemas.openxmlformats.org/officeDocument/2006/relationships/hyperlink" Target="https://www.semrush.com/analytics/backlinks/overview/" TargetMode="External"/><Relationship Id="rId122" Type="http://schemas.openxmlformats.org/officeDocument/2006/relationships/hyperlink" Target="https://adstransparency.google.com/advertiser/AR01693402396748677121/creative/CR08276946727274020865?region=anywhere" TargetMode="External"/><Relationship Id="rId2048" Type="http://schemas.openxmlformats.org/officeDocument/2006/relationships/hyperlink" Target="https://adstransparency.google.com/advertiser/AR11070511645502472193/creative/CR13533984060468101121?region=anywhere" TargetMode="External"/><Relationship Id="rId2038" Type="http://schemas.openxmlformats.org/officeDocument/2006/relationships/hyperlink" Target="https://adstransparency.google.com/advertiser/AR11070511645502472193/creative/CR11894578482191007745?region=anywhere" TargetMode="External"/><Relationship Id="rId2039" Type="http://schemas.openxmlformats.org/officeDocument/2006/relationships/hyperlink" Target="https://www.semrush.com/" TargetMode="External"/><Relationship Id="rId118" Type="http://schemas.openxmlformats.org/officeDocument/2006/relationships/hyperlink" Target="https://adstransparency.google.com/advertiser/AR01693402396748677121/creative/CR03870846430935515137?region=anywhere" TargetMode="External"/><Relationship Id="rId117" Type="http://schemas.openxmlformats.org/officeDocument/2006/relationships/hyperlink" Target="https://www.tryprofound.com/" TargetMode="External"/><Relationship Id="rId116" Type="http://schemas.openxmlformats.org/officeDocument/2006/relationships/hyperlink" Target="https://adstransparency.google.com/advertiser/AR01693402396748677121/creative/CR13974492012473221121?region=anywhere" TargetMode="External"/><Relationship Id="rId115" Type="http://schemas.openxmlformats.org/officeDocument/2006/relationships/hyperlink" Target="https://www.tryprofound.com/" TargetMode="External"/><Relationship Id="rId599" Type="http://schemas.openxmlformats.org/officeDocument/2006/relationships/hyperlink" Target="https://peec.ai/demo" TargetMode="External"/><Relationship Id="rId1180" Type="http://schemas.openxmlformats.org/officeDocument/2006/relationships/hyperlink" Target="https://adstransparency.google.com/advertiser/AR11070511645502472193/creative/CR12102059762326175745?region=anywhere" TargetMode="External"/><Relationship Id="rId1181" Type="http://schemas.openxmlformats.org/officeDocument/2006/relationships/hyperlink" Target="https://www.semrush.com/features/" TargetMode="External"/><Relationship Id="rId119" Type="http://schemas.openxmlformats.org/officeDocument/2006/relationships/hyperlink" Target="https://www.tryprofound.com/" TargetMode="External"/><Relationship Id="rId1182" Type="http://schemas.openxmlformats.org/officeDocument/2006/relationships/hyperlink" Target="https://adstransparency.google.com/advertiser/AR11070511645502472193/creative/CR00926089515607523329?region=anywhere" TargetMode="External"/><Relationship Id="rId110" Type="http://schemas.openxmlformats.org/officeDocument/2006/relationships/hyperlink" Target="https://adstransparency.google.com/advertiser/AR01693402396748677121/creative/CR03937488243011878913?region=anywhere" TargetMode="External"/><Relationship Id="rId594" Type="http://schemas.openxmlformats.org/officeDocument/2006/relationships/hyperlink" Target="https://adstransparency.google.com/advertiser/AR05016556376214732801/creative/CR07296207712784744449?region=anywhere" TargetMode="External"/><Relationship Id="rId1183" Type="http://schemas.openxmlformats.org/officeDocument/2006/relationships/hyperlink" Target="https://www.semrush.com/agencies/" TargetMode="External"/><Relationship Id="rId2030" Type="http://schemas.openxmlformats.org/officeDocument/2006/relationships/hyperlink" Target="https://adstransparency.google.com/advertiser/AR11070511645502472193/creative/CR02037043322807123969?region=anywhere" TargetMode="External"/><Relationship Id="rId593" Type="http://schemas.openxmlformats.org/officeDocument/2006/relationships/hyperlink" Target="https://peec.ai/visibility/platform" TargetMode="External"/><Relationship Id="rId1184" Type="http://schemas.openxmlformats.org/officeDocument/2006/relationships/hyperlink" Target="https://adstransparency.google.com/advertiser/AR11070511645502472193/creative/CR03584006842503659521?region=anywhere" TargetMode="External"/><Relationship Id="rId2031" Type="http://schemas.openxmlformats.org/officeDocument/2006/relationships/hyperlink" Target="https://www.semrush.com/" TargetMode="External"/><Relationship Id="rId592" Type="http://schemas.openxmlformats.org/officeDocument/2006/relationships/hyperlink" Target="https://adstransparency.google.com/advertiser/AR05016556376214732801/creative/CR17103325041354866689?region=anywhere" TargetMode="External"/><Relationship Id="rId1185" Type="http://schemas.openxmlformats.org/officeDocument/2006/relationships/hyperlink" Target="https://www.semrush.com/pricing/" TargetMode="External"/><Relationship Id="rId2032" Type="http://schemas.openxmlformats.org/officeDocument/2006/relationships/hyperlink" Target="https://adstransparency.google.com/advertiser/AR11070511645502472193/creative/CR13814129693261037569?region=anywhere" TargetMode="External"/><Relationship Id="rId591" Type="http://schemas.openxmlformats.org/officeDocument/2006/relationships/hyperlink" Target="https://peec.ai/" TargetMode="External"/><Relationship Id="rId1186" Type="http://schemas.openxmlformats.org/officeDocument/2006/relationships/hyperlink" Target="https://adstransparency.google.com/advertiser/AR11070511645502472193/creative/CR06451990014824808449?region=anywhere" TargetMode="External"/><Relationship Id="rId2033" Type="http://schemas.openxmlformats.org/officeDocument/2006/relationships/hyperlink" Target="https://www.semrush.com/" TargetMode="External"/><Relationship Id="rId114" Type="http://schemas.openxmlformats.org/officeDocument/2006/relationships/hyperlink" Target="https://adstransparency.google.com/advertiser/AR01693402396748677121/creative/CR09409414979142025217?region=anywhere" TargetMode="External"/><Relationship Id="rId598" Type="http://schemas.openxmlformats.org/officeDocument/2006/relationships/hyperlink" Target="https://adstransparency.google.com/advertiser/AR05016556376214732801/creative/CR01624675635748143105?region=anywhere" TargetMode="External"/><Relationship Id="rId1187" Type="http://schemas.openxmlformats.org/officeDocument/2006/relationships/hyperlink" Target="https://www.semrush.com/" TargetMode="External"/><Relationship Id="rId2034" Type="http://schemas.openxmlformats.org/officeDocument/2006/relationships/hyperlink" Target="https://adstransparency.google.com/advertiser/AR11070511645502472193/creative/CR01079746927014182913?region=anywhere" TargetMode="External"/><Relationship Id="rId113" Type="http://schemas.openxmlformats.org/officeDocument/2006/relationships/hyperlink" Target="https://www.tryprofound.com/" TargetMode="External"/><Relationship Id="rId597" Type="http://schemas.openxmlformats.org/officeDocument/2006/relationships/hyperlink" Target="https://peec.ai/for-agencies" TargetMode="External"/><Relationship Id="rId1188" Type="http://schemas.openxmlformats.org/officeDocument/2006/relationships/hyperlink" Target="https://adstransparency.google.com/advertiser/AR11070511645502472193/creative/CR12945459947621056513?region=anywhere" TargetMode="External"/><Relationship Id="rId2035" Type="http://schemas.openxmlformats.org/officeDocument/2006/relationships/hyperlink" Target="https://www.semrush.com/features/" TargetMode="External"/><Relationship Id="rId112" Type="http://schemas.openxmlformats.org/officeDocument/2006/relationships/hyperlink" Target="https://adstransparency.google.com/advertiser/AR01693402396748677121/creative/CR14395915303068368897?region=anywhere" TargetMode="External"/><Relationship Id="rId596" Type="http://schemas.openxmlformats.org/officeDocument/2006/relationships/hyperlink" Target="https://adstransparency.google.com/advertiser/AR05016556376214732801/creative/CR03679118609805737985?region=anywhere" TargetMode="External"/><Relationship Id="rId1189" Type="http://schemas.openxmlformats.org/officeDocument/2006/relationships/hyperlink" Target="https://www.semrush.com/" TargetMode="External"/><Relationship Id="rId2036" Type="http://schemas.openxmlformats.org/officeDocument/2006/relationships/hyperlink" Target="https://adstransparency.google.com/advertiser/AR11070511645502472193/creative/CR16298024351301632001?region=anywhere" TargetMode="External"/><Relationship Id="rId111" Type="http://schemas.openxmlformats.org/officeDocument/2006/relationships/hyperlink" Target="https://www.tryprofound.com/" TargetMode="External"/><Relationship Id="rId595" Type="http://schemas.openxmlformats.org/officeDocument/2006/relationships/hyperlink" Target="https://peec.ai/pricing" TargetMode="External"/><Relationship Id="rId2037" Type="http://schemas.openxmlformats.org/officeDocument/2006/relationships/hyperlink" Target="https://www.semrush.com/kb/demo/" TargetMode="External"/><Relationship Id="rId1136" Type="http://schemas.openxmlformats.org/officeDocument/2006/relationships/hyperlink" Target="https://adstransparency.google.com/advertiser/AR03264499243192156161/creative/CR02847621187637346305?region=anywhere" TargetMode="External"/><Relationship Id="rId1137" Type="http://schemas.openxmlformats.org/officeDocument/2006/relationships/hyperlink" Target="https://mangools.com/" TargetMode="External"/><Relationship Id="rId1138" Type="http://schemas.openxmlformats.org/officeDocument/2006/relationships/hyperlink" Target="https://adstransparency.google.com/advertiser/AR05538899415307124737/creative/CR04476897652482506753?region=anywhere" TargetMode="External"/><Relationship Id="rId1139" Type="http://schemas.openxmlformats.org/officeDocument/2006/relationships/hyperlink" Target="https://mangools.com/kwfinder/" TargetMode="External"/><Relationship Id="rId547" Type="http://schemas.openxmlformats.org/officeDocument/2006/relationships/hyperlink" Target="https://peec.ai/pricing" TargetMode="External"/><Relationship Id="rId546" Type="http://schemas.openxmlformats.org/officeDocument/2006/relationships/hyperlink" Target="https://adstransparency.google.com/advertiser/AR05016556376214732801/creative/CR01711398790755254273?region=anywhere" TargetMode="External"/><Relationship Id="rId545" Type="http://schemas.openxmlformats.org/officeDocument/2006/relationships/hyperlink" Target="https://peec.ai/visibility/platform" TargetMode="External"/><Relationship Id="rId544" Type="http://schemas.openxmlformats.org/officeDocument/2006/relationships/hyperlink" Target="https://adstransparency.google.com/advertiser/AR05016556376214732801/creative/CR09213222865925570561?region=anywhere" TargetMode="External"/><Relationship Id="rId549" Type="http://schemas.openxmlformats.org/officeDocument/2006/relationships/hyperlink" Target="https://peec.ai/for-agencies" TargetMode="External"/><Relationship Id="rId548" Type="http://schemas.openxmlformats.org/officeDocument/2006/relationships/hyperlink" Target="https://adstransparency.google.com/advertiser/AR05016556376214732801/creative/CR16588146368489455617?region=anywhere" TargetMode="External"/><Relationship Id="rId1130" Type="http://schemas.openxmlformats.org/officeDocument/2006/relationships/hyperlink" Target="https://adstransparency.google.com/advertiser/AR05538899415307124737/creative/CR16401207161016811521?region=anywhere" TargetMode="External"/><Relationship Id="rId1131" Type="http://schemas.openxmlformats.org/officeDocument/2006/relationships/hyperlink" Target="https://mangools.com/seo/tools" TargetMode="External"/><Relationship Id="rId543" Type="http://schemas.openxmlformats.org/officeDocument/2006/relationships/hyperlink" Target="https://peec.ai/" TargetMode="External"/><Relationship Id="rId1132" Type="http://schemas.openxmlformats.org/officeDocument/2006/relationships/hyperlink" Target="https://adstransparency.google.com/advertiser/AR05538899415307124737/creative/CR01617934452648837121?region=anywhere" TargetMode="External"/><Relationship Id="rId542" Type="http://schemas.openxmlformats.org/officeDocument/2006/relationships/hyperlink" Target="https://adstransparency.google.com/advertiser/AR05016556376214732801/creative/CR04838218820004872193?region=anywhere" TargetMode="External"/><Relationship Id="rId1133" Type="http://schemas.openxmlformats.org/officeDocument/2006/relationships/hyperlink" Target="https://mangools.com/" TargetMode="External"/><Relationship Id="rId541" Type="http://schemas.openxmlformats.org/officeDocument/2006/relationships/hyperlink" Target="https://peec.ai/" TargetMode="External"/><Relationship Id="rId1134" Type="http://schemas.openxmlformats.org/officeDocument/2006/relationships/hyperlink" Target="https://adstransparency.google.com/advertiser/AR07491212980508426241/creative/CR08723590615587094529?region=anywhere" TargetMode="External"/><Relationship Id="rId540" Type="http://schemas.openxmlformats.org/officeDocument/2006/relationships/hyperlink" Target="https://adstransparency.google.com/advertiser/AR05016556376214732801/creative/CR11673893811162972161?region=anywhere" TargetMode="External"/><Relationship Id="rId1135" Type="http://schemas.openxmlformats.org/officeDocument/2006/relationships/hyperlink" Target="https://mangools.com/" TargetMode="External"/><Relationship Id="rId1125" Type="http://schemas.openxmlformats.org/officeDocument/2006/relationships/hyperlink" Target="https://mangools.com/" TargetMode="External"/><Relationship Id="rId1126" Type="http://schemas.openxmlformats.org/officeDocument/2006/relationships/hyperlink" Target="https://adstransparency.google.com/advertiser/AR07491212980508426241/creative/CR08610461864205221889?region=anywhere" TargetMode="External"/><Relationship Id="rId1127" Type="http://schemas.openxmlformats.org/officeDocument/2006/relationships/hyperlink" Target="https://mangools.com/kwfinder/" TargetMode="External"/><Relationship Id="rId1128" Type="http://schemas.openxmlformats.org/officeDocument/2006/relationships/hyperlink" Target="https://adstransparency.google.com/advertiser/AR05538899415307124737/creative/CR13023370877708795905?region=anywhere" TargetMode="External"/><Relationship Id="rId1129" Type="http://schemas.openxmlformats.org/officeDocument/2006/relationships/hyperlink" Target="https://mangools.com/seo/tools" TargetMode="External"/><Relationship Id="rId536" Type="http://schemas.openxmlformats.org/officeDocument/2006/relationships/hyperlink" Target="https://adstransparency.google.com/advertiser/AR05016556376214732801/creative/CR00520717514229940225?region=anywhere" TargetMode="External"/><Relationship Id="rId535" Type="http://schemas.openxmlformats.org/officeDocument/2006/relationships/hyperlink" Target="https://peec.ai/" TargetMode="External"/><Relationship Id="rId534" Type="http://schemas.openxmlformats.org/officeDocument/2006/relationships/hyperlink" Target="https://adstransparency.google.com/advertiser/AR05016556376214732801/creative/CR00906715914567680001?region=anywhere" TargetMode="External"/><Relationship Id="rId533" Type="http://schemas.openxmlformats.org/officeDocument/2006/relationships/hyperlink" Target="https://peec.ai/black-friday" TargetMode="External"/><Relationship Id="rId539" Type="http://schemas.openxmlformats.org/officeDocument/2006/relationships/hyperlink" Target="https://peec.ai/for-agencies" TargetMode="External"/><Relationship Id="rId538" Type="http://schemas.openxmlformats.org/officeDocument/2006/relationships/hyperlink" Target="https://adstransparency.google.com/advertiser/AR05016556376214732801/creative/CR07907421622460481537?region=anywhere" TargetMode="External"/><Relationship Id="rId537" Type="http://schemas.openxmlformats.org/officeDocument/2006/relationships/hyperlink" Target="https://peec.ai/visibility/platform" TargetMode="External"/><Relationship Id="rId1120" Type="http://schemas.openxmlformats.org/officeDocument/2006/relationships/hyperlink" Target="https://adstransparency.google.com/advertiser/AR05016556376214732801/creative/CR14001897520184164353?region=anywhere" TargetMode="External"/><Relationship Id="rId532" Type="http://schemas.openxmlformats.org/officeDocument/2006/relationships/hyperlink" Target="https://adstransparency.google.com/advertiser/AR05016556376214732801/creative/CR05624922619494006785?region=anywhere" TargetMode="External"/><Relationship Id="rId1121" Type="http://schemas.openxmlformats.org/officeDocument/2006/relationships/hyperlink" Target="https://mangools.com/serpwatcher/" TargetMode="External"/><Relationship Id="rId531" Type="http://schemas.openxmlformats.org/officeDocument/2006/relationships/hyperlink" Target="https://peec.ai/" TargetMode="External"/><Relationship Id="rId1122" Type="http://schemas.openxmlformats.org/officeDocument/2006/relationships/hyperlink" Target="https://adstransparency.google.com/advertiser/AR05538899415307124737/creative/CR06206837284478648321?region=anywhere" TargetMode="External"/><Relationship Id="rId530" Type="http://schemas.openxmlformats.org/officeDocument/2006/relationships/hyperlink" Target="https://adstransparency.google.com/advertiser/AR05016556376214732801/creative/CR18174418390951657473?region=anywhere" TargetMode="External"/><Relationship Id="rId1123" Type="http://schemas.openxmlformats.org/officeDocument/2006/relationships/hyperlink" Target="https://mangools.com/" TargetMode="External"/><Relationship Id="rId1124" Type="http://schemas.openxmlformats.org/officeDocument/2006/relationships/hyperlink" Target="https://adstransparency.google.com/advertiser/AR05538899415307124737/creative/CR03305588044261752833?region=anywhere" TargetMode="External"/><Relationship Id="rId1158" Type="http://schemas.openxmlformats.org/officeDocument/2006/relationships/hyperlink" Target="https://adstransparency.google.com/advertiser/AR05538899415307124737/creative/CR00906987055853076481?region=anywhere" TargetMode="External"/><Relationship Id="rId2005" Type="http://schemas.openxmlformats.org/officeDocument/2006/relationships/hyperlink" Target="https://www.semrush.com/" TargetMode="External"/><Relationship Id="rId1159" Type="http://schemas.openxmlformats.org/officeDocument/2006/relationships/hyperlink" Target="https://mangools.com/siteprofiler/" TargetMode="External"/><Relationship Id="rId2006" Type="http://schemas.openxmlformats.org/officeDocument/2006/relationships/hyperlink" Target="https://adstransparency.google.com/advertiser/AR11070511645502472193/creative/CR03681106707217383425?region=anywhere" TargetMode="External"/><Relationship Id="rId2007" Type="http://schemas.openxmlformats.org/officeDocument/2006/relationships/hyperlink" Target="https://www.semrush.com/features/" TargetMode="External"/><Relationship Id="rId2008" Type="http://schemas.openxmlformats.org/officeDocument/2006/relationships/hyperlink" Target="https://adstransparency.google.com/advertiser/AR11070511645502472193/creative/CR13757083216081059841?region=anywhere" TargetMode="External"/><Relationship Id="rId2009" Type="http://schemas.openxmlformats.org/officeDocument/2006/relationships/hyperlink" Target="https://www.semrush.com/kb/demo/" TargetMode="External"/><Relationship Id="rId569" Type="http://schemas.openxmlformats.org/officeDocument/2006/relationships/hyperlink" Target="https://peec.ai/visibility/platform" TargetMode="External"/><Relationship Id="rId568" Type="http://schemas.openxmlformats.org/officeDocument/2006/relationships/hyperlink" Target="https://adstransparency.google.com/advertiser/AR05016556376214732801/creative/CR11123426407093370881?region=anywhere" TargetMode="External"/><Relationship Id="rId567" Type="http://schemas.openxmlformats.org/officeDocument/2006/relationships/hyperlink" Target="https://peec.ai/" TargetMode="External"/><Relationship Id="rId566" Type="http://schemas.openxmlformats.org/officeDocument/2006/relationships/hyperlink" Target="https://adstransparency.google.com/advertiser/AR05016556376214732801/creative/CR05912681760423936001?region=anywhere" TargetMode="External"/><Relationship Id="rId561" Type="http://schemas.openxmlformats.org/officeDocument/2006/relationships/hyperlink" Target="https://peec.ai/visibility/platform" TargetMode="External"/><Relationship Id="rId1150" Type="http://schemas.openxmlformats.org/officeDocument/2006/relationships/hyperlink" Target="https://adstransparency.google.com/advertiser/AR11494914002723536897/creative/CR16980757601123827713?region=anywhere" TargetMode="External"/><Relationship Id="rId560" Type="http://schemas.openxmlformats.org/officeDocument/2006/relationships/hyperlink" Target="https://adstransparency.google.com/advertiser/AR05016556376214732801/creative/CR03492617085270360065?region=anywhere" TargetMode="External"/><Relationship Id="rId1151" Type="http://schemas.openxmlformats.org/officeDocument/2006/relationships/hyperlink" Target="https://mangools.com/" TargetMode="External"/><Relationship Id="rId1152" Type="http://schemas.openxmlformats.org/officeDocument/2006/relationships/hyperlink" Target="https://adstransparency.google.com/advertiser/AR05538899415307124737/creative/CR06694026883836674049?region=anywhere" TargetMode="External"/><Relationship Id="rId1153" Type="http://schemas.openxmlformats.org/officeDocument/2006/relationships/hyperlink" Target="https://mangools.com/kwfinder/" TargetMode="External"/><Relationship Id="rId2000" Type="http://schemas.openxmlformats.org/officeDocument/2006/relationships/hyperlink" Target="https://adstransparency.google.com/advertiser/AR11070511645502472193/creative/CR10522292622452588545?region=anywhere" TargetMode="External"/><Relationship Id="rId565" Type="http://schemas.openxmlformats.org/officeDocument/2006/relationships/hyperlink" Target="https://peec.ai/" TargetMode="External"/><Relationship Id="rId1154" Type="http://schemas.openxmlformats.org/officeDocument/2006/relationships/hyperlink" Target="https://adstransparency.google.com/advertiser/AR05538899415307124737/creative/CR15740018197295792129?region=anywhere" TargetMode="External"/><Relationship Id="rId2001" Type="http://schemas.openxmlformats.org/officeDocument/2006/relationships/hyperlink" Target="https://www.semrush.com/" TargetMode="External"/><Relationship Id="rId564" Type="http://schemas.openxmlformats.org/officeDocument/2006/relationships/hyperlink" Target="https://adstransparency.google.com/advertiser/AR05016556376214732801/creative/CR10325031431746617345?region=anywhere" TargetMode="External"/><Relationship Id="rId1155" Type="http://schemas.openxmlformats.org/officeDocument/2006/relationships/hyperlink" Target="https://mangools.com/serpwatcher/" TargetMode="External"/><Relationship Id="rId2002" Type="http://schemas.openxmlformats.org/officeDocument/2006/relationships/hyperlink" Target="https://adstransparency.google.com/advertiser/AR11070511645502472193/creative/CR00675722205337747457?region=anywhere" TargetMode="External"/><Relationship Id="rId563" Type="http://schemas.openxmlformats.org/officeDocument/2006/relationships/hyperlink" Target="https://peec.ai/for-agencies" TargetMode="External"/><Relationship Id="rId1156" Type="http://schemas.openxmlformats.org/officeDocument/2006/relationships/hyperlink" Target="https://adstransparency.google.com/advertiser/AR05538899415307124737/creative/CR06290233162681286657?region=anywhere" TargetMode="External"/><Relationship Id="rId2003" Type="http://schemas.openxmlformats.org/officeDocument/2006/relationships/hyperlink" Target="https://www.semrush.com/" TargetMode="External"/><Relationship Id="rId562" Type="http://schemas.openxmlformats.org/officeDocument/2006/relationships/hyperlink" Target="https://adstransparency.google.com/advertiser/AR05016556376214732801/creative/CR05823261391724740609?region=anywhere" TargetMode="External"/><Relationship Id="rId1157" Type="http://schemas.openxmlformats.org/officeDocument/2006/relationships/hyperlink" Target="https://mangools.com/linkminer/" TargetMode="External"/><Relationship Id="rId2004" Type="http://schemas.openxmlformats.org/officeDocument/2006/relationships/hyperlink" Target="https://adstransparency.google.com/advertiser/AR11070511645502472193/creative/CR10582093273180930049?region=anywhere" TargetMode="External"/><Relationship Id="rId1147" Type="http://schemas.openxmlformats.org/officeDocument/2006/relationships/hyperlink" Target="https://mangools.com/pricing" TargetMode="External"/><Relationship Id="rId1148" Type="http://schemas.openxmlformats.org/officeDocument/2006/relationships/hyperlink" Target="https://adstransparency.google.com/advertiser/AR17788391970247278593/creative/CR09727762293038514177?region=anywhere" TargetMode="External"/><Relationship Id="rId1149" Type="http://schemas.openxmlformats.org/officeDocument/2006/relationships/hyperlink" Target="https://mangools.com/" TargetMode="External"/><Relationship Id="rId558" Type="http://schemas.openxmlformats.org/officeDocument/2006/relationships/hyperlink" Target="https://adstransparency.google.com/advertiser/AR05016556376214732801/creative/CR01802740306915885057?region=anywhere" TargetMode="External"/><Relationship Id="rId557" Type="http://schemas.openxmlformats.org/officeDocument/2006/relationships/hyperlink" Target="https://peec.ai/visibility/platform" TargetMode="External"/><Relationship Id="rId556" Type="http://schemas.openxmlformats.org/officeDocument/2006/relationships/hyperlink" Target="https://adstransparency.google.com/advertiser/AR05016556376214732801/creative/CR02155252118557032449?region=anywhere" TargetMode="External"/><Relationship Id="rId555" Type="http://schemas.openxmlformats.org/officeDocument/2006/relationships/hyperlink" Target="https://peec.ai/" TargetMode="External"/><Relationship Id="rId559" Type="http://schemas.openxmlformats.org/officeDocument/2006/relationships/hyperlink" Target="https://peec.ai/" TargetMode="External"/><Relationship Id="rId550" Type="http://schemas.openxmlformats.org/officeDocument/2006/relationships/hyperlink" Target="https://adstransparency.google.com/advertiser/AR05016556376214732801/creative/CR01148763409328635905?region=anywhere" TargetMode="External"/><Relationship Id="rId1140" Type="http://schemas.openxmlformats.org/officeDocument/2006/relationships/hyperlink" Target="https://adstransparency.google.com/advertiser/AR05538899415307124737/creative/CR18261034025747480577?region=anywhere" TargetMode="External"/><Relationship Id="rId1141" Type="http://schemas.openxmlformats.org/officeDocument/2006/relationships/hyperlink" Target="https://mangools.com/linkminer/" TargetMode="External"/><Relationship Id="rId1142" Type="http://schemas.openxmlformats.org/officeDocument/2006/relationships/hyperlink" Target="https://adstransparency.google.com/advertiser/AR08188980299493801985/creative/CR14483344619418419201?region=anywhere" TargetMode="External"/><Relationship Id="rId554" Type="http://schemas.openxmlformats.org/officeDocument/2006/relationships/hyperlink" Target="https://adstransparency.google.com/advertiser/AR05016556376214732801/creative/CR06678522395495497729?region=anywhere" TargetMode="External"/><Relationship Id="rId1143" Type="http://schemas.openxmlformats.org/officeDocument/2006/relationships/hyperlink" Target="https://mangools.com/siteprofiler/" TargetMode="External"/><Relationship Id="rId553" Type="http://schemas.openxmlformats.org/officeDocument/2006/relationships/hyperlink" Target="https://peec.ai/" TargetMode="External"/><Relationship Id="rId1144" Type="http://schemas.openxmlformats.org/officeDocument/2006/relationships/hyperlink" Target="https://adstransparency.google.com/advertiser/AR06046219148424380417/creative/CR15876814846998609921?region=anywhere" TargetMode="External"/><Relationship Id="rId552" Type="http://schemas.openxmlformats.org/officeDocument/2006/relationships/hyperlink" Target="https://adstransparency.google.com/advertiser/AR05016556376214732801/creative/CR15692211517619437569?region=anywhere" TargetMode="External"/><Relationship Id="rId1145" Type="http://schemas.openxmlformats.org/officeDocument/2006/relationships/hyperlink" Target="https://mangools.com/serpchecker/" TargetMode="External"/><Relationship Id="rId551" Type="http://schemas.openxmlformats.org/officeDocument/2006/relationships/hyperlink" Target="https://peec.ai/demo" TargetMode="External"/><Relationship Id="rId1146" Type="http://schemas.openxmlformats.org/officeDocument/2006/relationships/hyperlink" Target="https://adstransparency.google.com/advertiser/AR11083541597025992705/creative/CR14197332439256268801?region=anywhere" TargetMode="External"/><Relationship Id="rId2090" Type="http://schemas.openxmlformats.org/officeDocument/2006/relationships/hyperlink" Target="https://rankscale.ai/" TargetMode="External"/><Relationship Id="rId2091" Type="http://schemas.openxmlformats.org/officeDocument/2006/relationships/hyperlink" Target="https://adstransparency.google.com/advertiser/AR00739524288117211137/creative/CR03082580981337554945?region=anywhere" TargetMode="External"/><Relationship Id="rId2092" Type="http://schemas.openxmlformats.org/officeDocument/2006/relationships/hyperlink" Target="https://rankscale.ai/" TargetMode="External"/><Relationship Id="rId2093" Type="http://schemas.openxmlformats.org/officeDocument/2006/relationships/hyperlink" Target="https://adstransparency.google.com/advertiser/AR16480343677202333697/creative/CR06832660276303626241?region=anywhere" TargetMode="External"/><Relationship Id="rId2094" Type="http://schemas.openxmlformats.org/officeDocument/2006/relationships/hyperlink" Target="https://rankscale.ai/" TargetMode="External"/><Relationship Id="rId2095" Type="http://schemas.openxmlformats.org/officeDocument/2006/relationships/hyperlink" Target="https://adstransparency.google.com/advertiser/AR00739524288117211137/creative/CR16115500567777771521?region=anywhere" TargetMode="External"/><Relationship Id="rId2096" Type="http://schemas.openxmlformats.org/officeDocument/2006/relationships/hyperlink" Target="https://rankscale.ai/" TargetMode="External"/><Relationship Id="rId2097" Type="http://schemas.openxmlformats.org/officeDocument/2006/relationships/hyperlink" Target="https://adstransparency.google.com/advertiser/AR00492563599877734401/creative/CR06318832722840125441?region=anywhere" TargetMode="External"/><Relationship Id="rId2098" Type="http://schemas.openxmlformats.org/officeDocument/2006/relationships/hyperlink" Target="https://rankscale.ai/rankscale_ai" TargetMode="External"/><Relationship Id="rId2099" Type="http://schemas.openxmlformats.org/officeDocument/2006/relationships/hyperlink" Target="https://adstransparency.google.com/advertiser/AR09760715412437204993/creative/CR02011469670187532289?region=anywhere" TargetMode="External"/><Relationship Id="rId2060" Type="http://schemas.openxmlformats.org/officeDocument/2006/relationships/hyperlink" Target="https://adstransparency.google.com/advertiser/AR11070511645502472193/creative/CR06112763808340508673?region=anywhere" TargetMode="External"/><Relationship Id="rId2061" Type="http://schemas.openxmlformats.org/officeDocument/2006/relationships/hyperlink" Target="https://www.semrush.com/" TargetMode="External"/><Relationship Id="rId2062" Type="http://schemas.openxmlformats.org/officeDocument/2006/relationships/hyperlink" Target="https://adstransparency.google.com/advertiser/AR11070511645502472193/creative/CR18172691676659712001?region=anywhere" TargetMode="External"/><Relationship Id="rId2063" Type="http://schemas.openxmlformats.org/officeDocument/2006/relationships/hyperlink" Target="https://www.semrush.com/features/" TargetMode="External"/><Relationship Id="rId2064" Type="http://schemas.openxmlformats.org/officeDocument/2006/relationships/hyperlink" Target="https://adstransparency.google.com/advertiser/AR11070511645502472193/creative/CR13744804419977871361?region=anywhere" TargetMode="External"/><Relationship Id="rId2065" Type="http://schemas.openxmlformats.org/officeDocument/2006/relationships/hyperlink" Target="https://www.semrush.com/kb/demo/" TargetMode="External"/><Relationship Id="rId2066" Type="http://schemas.openxmlformats.org/officeDocument/2006/relationships/hyperlink" Target="https://adstransparency.google.com/advertiser/AR11070511645502472193/creative/CR16577862155198529537?region=anywhere" TargetMode="External"/><Relationship Id="rId2067" Type="http://schemas.openxmlformats.org/officeDocument/2006/relationships/hyperlink" Target="http://rankscale.ai" TargetMode="External"/><Relationship Id="rId2068" Type="http://schemas.openxmlformats.org/officeDocument/2006/relationships/hyperlink" Target="https://rankscale.ai/" TargetMode="External"/><Relationship Id="rId2069" Type="http://schemas.openxmlformats.org/officeDocument/2006/relationships/hyperlink" Target="https://adstransparency.google.com/advertiser/AR00739524288117211137/creative/CR02154636529484431361?region=anywhere" TargetMode="External"/><Relationship Id="rId2050" Type="http://schemas.openxmlformats.org/officeDocument/2006/relationships/hyperlink" Target="https://adstransparency.google.com/advertiser/AR11070511645502472193/creative/CR00202335204939923457?region=anywhere" TargetMode="External"/><Relationship Id="rId2051" Type="http://schemas.openxmlformats.org/officeDocument/2006/relationships/hyperlink" Target="https://www.semrush.com/agencies/" TargetMode="External"/><Relationship Id="rId495" Type="http://schemas.openxmlformats.org/officeDocument/2006/relationships/hyperlink" Target="https://peec.ai/" TargetMode="External"/><Relationship Id="rId2052" Type="http://schemas.openxmlformats.org/officeDocument/2006/relationships/hyperlink" Target="https://adstransparency.google.com/advertiser/AR11070511645502472193/creative/CR17059132688327245825?region=anywhere" TargetMode="External"/><Relationship Id="rId494" Type="http://schemas.openxmlformats.org/officeDocument/2006/relationships/hyperlink" Target="https://adstransparency.google.com/advertiser/AR05016556376214732801/creative/CR15367453741695369217?region=anywhere" TargetMode="External"/><Relationship Id="rId2053" Type="http://schemas.openxmlformats.org/officeDocument/2006/relationships/hyperlink" Target="https://www.semrush.com/pricing/" TargetMode="External"/><Relationship Id="rId493" Type="http://schemas.openxmlformats.org/officeDocument/2006/relationships/hyperlink" Target="https://peec.ai/" TargetMode="External"/><Relationship Id="rId2054" Type="http://schemas.openxmlformats.org/officeDocument/2006/relationships/hyperlink" Target="https://adstransparency.google.com/advertiser/AR11070511645502472193/creative/CR01310044791412621313?region=anywhere" TargetMode="External"/><Relationship Id="rId492" Type="http://schemas.openxmlformats.org/officeDocument/2006/relationships/hyperlink" Target="https://adstransparency.google.com/advertiser/AR05016556376214732801/creative/CR11672936755010469889?region=anywhere" TargetMode="External"/><Relationship Id="rId2055" Type="http://schemas.openxmlformats.org/officeDocument/2006/relationships/hyperlink" Target="https://www.semrush.com/" TargetMode="External"/><Relationship Id="rId499" Type="http://schemas.openxmlformats.org/officeDocument/2006/relationships/hyperlink" Target="https://peec.ai/pricing" TargetMode="External"/><Relationship Id="rId2056" Type="http://schemas.openxmlformats.org/officeDocument/2006/relationships/hyperlink" Target="https://adstransparency.google.com/advertiser/AR11070511645502472193/creative/CR13714471230629740545?region=anywhere" TargetMode="External"/><Relationship Id="rId498" Type="http://schemas.openxmlformats.org/officeDocument/2006/relationships/hyperlink" Target="https://adstransparency.google.com/advertiser/AR05016556376214732801/creative/CR04472575266115289089?region=anywhere" TargetMode="External"/><Relationship Id="rId2057" Type="http://schemas.openxmlformats.org/officeDocument/2006/relationships/hyperlink" Target="https://www.semrush.com/" TargetMode="External"/><Relationship Id="rId497" Type="http://schemas.openxmlformats.org/officeDocument/2006/relationships/hyperlink" Target="https://peec.ai/visibility/platform" TargetMode="External"/><Relationship Id="rId2058" Type="http://schemas.openxmlformats.org/officeDocument/2006/relationships/hyperlink" Target="https://adstransparency.google.com/advertiser/AR11070511645502472193/creative/CR12028709005175029761?region=anywhere" TargetMode="External"/><Relationship Id="rId496" Type="http://schemas.openxmlformats.org/officeDocument/2006/relationships/hyperlink" Target="https://adstransparency.google.com/advertiser/AR05016556376214732801/creative/CR06641856019171377153?region=anywhere" TargetMode="External"/><Relationship Id="rId2059" Type="http://schemas.openxmlformats.org/officeDocument/2006/relationships/hyperlink" Target="https://www.semrush.com/" TargetMode="External"/><Relationship Id="rId2080" Type="http://schemas.openxmlformats.org/officeDocument/2006/relationships/hyperlink" Target="https://rankscale.ai/" TargetMode="External"/><Relationship Id="rId2081" Type="http://schemas.openxmlformats.org/officeDocument/2006/relationships/hyperlink" Target="https://adstransparency.google.com/advertiser/AR00739524288117211137/creative/CR00604732984414699521?region=anywhere" TargetMode="External"/><Relationship Id="rId2082" Type="http://schemas.openxmlformats.org/officeDocument/2006/relationships/hyperlink" Target="https://rankscale.ai/" TargetMode="External"/><Relationship Id="rId2083" Type="http://schemas.openxmlformats.org/officeDocument/2006/relationships/hyperlink" Target="https://adstransparency.google.com/advertiser/AR00739524288117211137/creative/CR04271243485794795521?region=anywhere" TargetMode="External"/><Relationship Id="rId2084" Type="http://schemas.openxmlformats.org/officeDocument/2006/relationships/hyperlink" Target="https://rankscale.ai/" TargetMode="External"/><Relationship Id="rId2085" Type="http://schemas.openxmlformats.org/officeDocument/2006/relationships/hyperlink" Target="https://adstransparency.google.com/advertiser/AR14002065152757727233/creative/CR08576620133252857857?region=anywhere" TargetMode="External"/><Relationship Id="rId2086" Type="http://schemas.openxmlformats.org/officeDocument/2006/relationships/hyperlink" Target="https://rankscale.ai/" TargetMode="External"/><Relationship Id="rId2087" Type="http://schemas.openxmlformats.org/officeDocument/2006/relationships/hyperlink" Target="https://adstransparency.google.com/advertiser/AR13497936107894996993/creative/CR08725855334662406145?region=anywhere" TargetMode="External"/><Relationship Id="rId2088" Type="http://schemas.openxmlformats.org/officeDocument/2006/relationships/hyperlink" Target="https://rankscale.ai/" TargetMode="External"/><Relationship Id="rId2089" Type="http://schemas.openxmlformats.org/officeDocument/2006/relationships/hyperlink" Target="https://adstransparency.google.com/advertiser/AR00739524288117211137/creative/CR03064711718362939393?region=anywhere" TargetMode="External"/><Relationship Id="rId2070" Type="http://schemas.openxmlformats.org/officeDocument/2006/relationships/hyperlink" Target="https://rankscale.ai/" TargetMode="External"/><Relationship Id="rId2071" Type="http://schemas.openxmlformats.org/officeDocument/2006/relationships/hyperlink" Target="https://adstransparency.google.com/advertiser/AR00739524288117211137/creative/CR12006826069492498433?region=anywhere" TargetMode="External"/><Relationship Id="rId2072" Type="http://schemas.openxmlformats.org/officeDocument/2006/relationships/hyperlink" Target="https://rankscale.ai/" TargetMode="External"/><Relationship Id="rId2073" Type="http://schemas.openxmlformats.org/officeDocument/2006/relationships/hyperlink" Target="https://adstransparency.google.com/advertiser/AR00739524288117211137/creative/CR13827474182419513345?region=anywhere" TargetMode="External"/><Relationship Id="rId2074" Type="http://schemas.openxmlformats.org/officeDocument/2006/relationships/hyperlink" Target="https://rankscale.ai/" TargetMode="External"/><Relationship Id="rId2075" Type="http://schemas.openxmlformats.org/officeDocument/2006/relationships/hyperlink" Target="https://adstransparency.google.com/advertiser/AR09953131201428455425/creative/CR03180908519503167489?region=anywhere" TargetMode="External"/><Relationship Id="rId2076" Type="http://schemas.openxmlformats.org/officeDocument/2006/relationships/hyperlink" Target="https://rankscale.ai/" TargetMode="External"/><Relationship Id="rId2077" Type="http://schemas.openxmlformats.org/officeDocument/2006/relationships/hyperlink" Target="https://adstransparency.google.com/advertiser/AR00739524288117211137/creative/CR18166801206322659329?region=anywhere" TargetMode="External"/><Relationship Id="rId2078" Type="http://schemas.openxmlformats.org/officeDocument/2006/relationships/hyperlink" Target="https://rankscale.ai/" TargetMode="External"/><Relationship Id="rId2079" Type="http://schemas.openxmlformats.org/officeDocument/2006/relationships/hyperlink" Target="https://adstransparency.google.com/advertiser/AR00739524288117211137/creative/CR04111750296164630529?region=anywhere" TargetMode="External"/><Relationship Id="rId1610" Type="http://schemas.openxmlformats.org/officeDocument/2006/relationships/hyperlink" Target="https://adstransparency.google.com/advertiser/AR11070511645502472193/creative/CR14528768786246402049?region=anywhere" TargetMode="External"/><Relationship Id="rId1611" Type="http://schemas.openxmlformats.org/officeDocument/2006/relationships/hyperlink" Target="https://www.semrush.com/" TargetMode="External"/><Relationship Id="rId1612" Type="http://schemas.openxmlformats.org/officeDocument/2006/relationships/hyperlink" Target="https://adstransparency.google.com/advertiser/AR11070511645502472193/creative/CR15096139875923001345?region=anywhere" TargetMode="External"/><Relationship Id="rId1613" Type="http://schemas.openxmlformats.org/officeDocument/2006/relationships/hyperlink" Target="https://www.semrush.com/" TargetMode="External"/><Relationship Id="rId1614" Type="http://schemas.openxmlformats.org/officeDocument/2006/relationships/hyperlink" Target="https://adstransparency.google.com/advertiser/AR11070511645502472193/creative/CR00482851544950112257?region=anywhere" TargetMode="External"/><Relationship Id="rId1615" Type="http://schemas.openxmlformats.org/officeDocument/2006/relationships/hyperlink" Target="https://www.semrush.com/features/" TargetMode="External"/><Relationship Id="rId1616" Type="http://schemas.openxmlformats.org/officeDocument/2006/relationships/hyperlink" Target="https://adstransparency.google.com/advertiser/AR11070511645502472193/creative/CR12175326819154657281?region=anywhere" TargetMode="External"/><Relationship Id="rId907" Type="http://schemas.openxmlformats.org/officeDocument/2006/relationships/hyperlink" Target="https://peec.ai/" TargetMode="External"/><Relationship Id="rId1617" Type="http://schemas.openxmlformats.org/officeDocument/2006/relationships/hyperlink" Target="https://www.semrush.com/kb/demo/" TargetMode="External"/><Relationship Id="rId906" Type="http://schemas.openxmlformats.org/officeDocument/2006/relationships/hyperlink" Target="https://adstransparency.google.com/advertiser/AR05016556376214732801/creative/CR14884022642448269313?region=anywhere" TargetMode="External"/><Relationship Id="rId1618" Type="http://schemas.openxmlformats.org/officeDocument/2006/relationships/hyperlink" Target="https://adstransparency.google.com/advertiser/AR11070511645502472193/creative/CR10351125496963530753?region=anywhere" TargetMode="External"/><Relationship Id="rId905" Type="http://schemas.openxmlformats.org/officeDocument/2006/relationships/hyperlink" Target="https://peec.ai/visibility/platform" TargetMode="External"/><Relationship Id="rId1619" Type="http://schemas.openxmlformats.org/officeDocument/2006/relationships/hyperlink" Target="https://www.semrush.com/" TargetMode="External"/><Relationship Id="rId904" Type="http://schemas.openxmlformats.org/officeDocument/2006/relationships/hyperlink" Target="https://adstransparency.google.com/advertiser/AR05016556376214732801/creative/CR07016234093432012801?region=anywhere" TargetMode="External"/><Relationship Id="rId909" Type="http://schemas.openxmlformats.org/officeDocument/2006/relationships/hyperlink" Target="https://peec.ai/visibility/platform" TargetMode="External"/><Relationship Id="rId908" Type="http://schemas.openxmlformats.org/officeDocument/2006/relationships/hyperlink" Target="https://adstransparency.google.com/advertiser/AR05016556376214732801/creative/CR11941063222473261057?region=anywhere" TargetMode="External"/><Relationship Id="rId903" Type="http://schemas.openxmlformats.org/officeDocument/2006/relationships/hyperlink" Target="https://peec.ai/" TargetMode="External"/><Relationship Id="rId902" Type="http://schemas.openxmlformats.org/officeDocument/2006/relationships/hyperlink" Target="https://adstransparency.google.com/advertiser/AR05016556376214732801/creative/CR03574374296010620929?region=anywhere" TargetMode="External"/><Relationship Id="rId901" Type="http://schemas.openxmlformats.org/officeDocument/2006/relationships/hyperlink" Target="https://peec.ai/for-agencies" TargetMode="External"/><Relationship Id="rId900" Type="http://schemas.openxmlformats.org/officeDocument/2006/relationships/hyperlink" Target="https://adstransparency.google.com/advertiser/AR05016556376214732801/creative/CR16456203323888893953?region=anywhere" TargetMode="External"/><Relationship Id="rId1600" Type="http://schemas.openxmlformats.org/officeDocument/2006/relationships/hyperlink" Target="https://adstransparency.google.com/advertiser/AR11070511645502472193/creative/CR15686149428979171329?region=anywhere" TargetMode="External"/><Relationship Id="rId1601" Type="http://schemas.openxmlformats.org/officeDocument/2006/relationships/hyperlink" Target="https://www.semrush.com/features/" TargetMode="External"/><Relationship Id="rId1602" Type="http://schemas.openxmlformats.org/officeDocument/2006/relationships/hyperlink" Target="https://adstransparency.google.com/advertiser/AR11070511645502472193/creative/CR10167260489642409985?region=anywhere" TargetMode="External"/><Relationship Id="rId1603" Type="http://schemas.openxmlformats.org/officeDocument/2006/relationships/hyperlink" Target="https://www.semrush.com/agencies/" TargetMode="External"/><Relationship Id="rId1604" Type="http://schemas.openxmlformats.org/officeDocument/2006/relationships/hyperlink" Target="https://adstransparency.google.com/advertiser/AR11070511645502472193/creative/CR13675043018535600129?region=anywhere" TargetMode="External"/><Relationship Id="rId1605" Type="http://schemas.openxmlformats.org/officeDocument/2006/relationships/hyperlink" Target="https://www.semrush.com/pricing/" TargetMode="External"/><Relationship Id="rId1606" Type="http://schemas.openxmlformats.org/officeDocument/2006/relationships/hyperlink" Target="https://adstransparency.google.com/advertiser/AR11070511645502472193/creative/CR00490951509672984577?region=anywhere" TargetMode="External"/><Relationship Id="rId1607" Type="http://schemas.openxmlformats.org/officeDocument/2006/relationships/hyperlink" Target="https://www.semrush.com/" TargetMode="External"/><Relationship Id="rId1608" Type="http://schemas.openxmlformats.org/officeDocument/2006/relationships/hyperlink" Target="https://adstransparency.google.com/advertiser/AR11070511645502472193/creative/CR03052479350856220673?region=anywhere" TargetMode="External"/><Relationship Id="rId1609" Type="http://schemas.openxmlformats.org/officeDocument/2006/relationships/hyperlink" Target="https://www.semrush.com/" TargetMode="External"/><Relationship Id="rId1631" Type="http://schemas.openxmlformats.org/officeDocument/2006/relationships/hyperlink" Target="https://www.semrush.com/agencies/" TargetMode="External"/><Relationship Id="rId1632" Type="http://schemas.openxmlformats.org/officeDocument/2006/relationships/hyperlink" Target="https://adstransparency.google.com/advertiser/AR11070511645502472193/creative/CR08811944870324207617?region=anywhere" TargetMode="External"/><Relationship Id="rId1633" Type="http://schemas.openxmlformats.org/officeDocument/2006/relationships/hyperlink" Target="https://www.semrush.com/pricing/" TargetMode="External"/><Relationship Id="rId1634" Type="http://schemas.openxmlformats.org/officeDocument/2006/relationships/hyperlink" Target="https://adstransparency.google.com/advertiser/AR11070511645502472193/creative/CR04160584486637010945?region=anywhere" TargetMode="External"/><Relationship Id="rId1635" Type="http://schemas.openxmlformats.org/officeDocument/2006/relationships/hyperlink" Target="https://www.semrush.com/" TargetMode="External"/><Relationship Id="rId1636" Type="http://schemas.openxmlformats.org/officeDocument/2006/relationships/hyperlink" Target="https://adstransparency.google.com/advertiser/AR11070511645502472193/creative/CR09153069727231246337?region=anywhere" TargetMode="External"/><Relationship Id="rId1637" Type="http://schemas.openxmlformats.org/officeDocument/2006/relationships/hyperlink" Target="https://www.semrush.com/" TargetMode="External"/><Relationship Id="rId1638" Type="http://schemas.openxmlformats.org/officeDocument/2006/relationships/hyperlink" Target="https://adstransparency.google.com/advertiser/AR11070511645502472193/creative/CR08862062397024632833?region=anywhere" TargetMode="External"/><Relationship Id="rId929" Type="http://schemas.openxmlformats.org/officeDocument/2006/relationships/hyperlink" Target="https://peec.ai/visibility/platform" TargetMode="External"/><Relationship Id="rId1639" Type="http://schemas.openxmlformats.org/officeDocument/2006/relationships/hyperlink" Target="https://www.semrush.com/" TargetMode="External"/><Relationship Id="rId928" Type="http://schemas.openxmlformats.org/officeDocument/2006/relationships/hyperlink" Target="https://adstransparency.google.com/advertiser/AR05016556376214732801/creative/CR03164954923611717633?region=anywhere" TargetMode="External"/><Relationship Id="rId927" Type="http://schemas.openxmlformats.org/officeDocument/2006/relationships/hyperlink" Target="https://peec.ai/" TargetMode="External"/><Relationship Id="rId926" Type="http://schemas.openxmlformats.org/officeDocument/2006/relationships/hyperlink" Target="https://adstransparency.google.com/advertiser/AR05016556376214732801/creative/CR05763391171116138497?region=anywhere" TargetMode="External"/><Relationship Id="rId921" Type="http://schemas.openxmlformats.org/officeDocument/2006/relationships/hyperlink" Target="https://peec.ai/visibility/platform" TargetMode="External"/><Relationship Id="rId920" Type="http://schemas.openxmlformats.org/officeDocument/2006/relationships/hyperlink" Target="https://adstransparency.google.com/advertiser/AR05016556376214732801/creative/CR00826740093053042689?region=anywhere" TargetMode="External"/><Relationship Id="rId925" Type="http://schemas.openxmlformats.org/officeDocument/2006/relationships/hyperlink" Target="https://peec.ai/for-agencies" TargetMode="External"/><Relationship Id="rId924" Type="http://schemas.openxmlformats.org/officeDocument/2006/relationships/hyperlink" Target="https://adstransparency.google.com/advertiser/AR05016556376214732801/creative/CR07582850643254050817?region=anywhere" TargetMode="External"/><Relationship Id="rId923" Type="http://schemas.openxmlformats.org/officeDocument/2006/relationships/hyperlink" Target="https://peec.ai/black-friday" TargetMode="External"/><Relationship Id="rId922" Type="http://schemas.openxmlformats.org/officeDocument/2006/relationships/hyperlink" Target="https://adstransparency.google.com/advertiser/AR05016556376214732801/creative/CR17470636940930842625?region=anywhere" TargetMode="External"/><Relationship Id="rId1630" Type="http://schemas.openxmlformats.org/officeDocument/2006/relationships/hyperlink" Target="https://adstransparency.google.com/advertiser/AR11070511645502472193/creative/CR04659705419243978753?region=anywhere" TargetMode="External"/><Relationship Id="rId1620" Type="http://schemas.openxmlformats.org/officeDocument/2006/relationships/hyperlink" Target="https://adstransparency.google.com/advertiser/AR11070511645502472193/creative/CR13847948506267910145?region=anywhere" TargetMode="External"/><Relationship Id="rId1621" Type="http://schemas.openxmlformats.org/officeDocument/2006/relationships/hyperlink" Target="https://www.semrush.com/analytics/keywordoverview/" TargetMode="External"/><Relationship Id="rId1622" Type="http://schemas.openxmlformats.org/officeDocument/2006/relationships/hyperlink" Target="https://adstransparency.google.com/advertiser/AR11070511645502472193/creative/CR14238591518599282689?region=anywhere" TargetMode="External"/><Relationship Id="rId1623" Type="http://schemas.openxmlformats.org/officeDocument/2006/relationships/hyperlink" Target="https://www.semrush.com/" TargetMode="External"/><Relationship Id="rId1624" Type="http://schemas.openxmlformats.org/officeDocument/2006/relationships/hyperlink" Target="https://adstransparency.google.com/advertiser/AR11070511645502472193/creative/CR04452656144099311617?region=anywhere" TargetMode="External"/><Relationship Id="rId1625" Type="http://schemas.openxmlformats.org/officeDocument/2006/relationships/hyperlink" Target="https://www.semrush.com/" TargetMode="External"/><Relationship Id="rId1626" Type="http://schemas.openxmlformats.org/officeDocument/2006/relationships/hyperlink" Target="https://adstransparency.google.com/advertiser/AR11070511645502472193/creative/CR13190474500279369729?region=anywhere" TargetMode="External"/><Relationship Id="rId1627" Type="http://schemas.openxmlformats.org/officeDocument/2006/relationships/hyperlink" Target="https://www.semrush.com/analytics/backlinks/overview/" TargetMode="External"/><Relationship Id="rId918" Type="http://schemas.openxmlformats.org/officeDocument/2006/relationships/hyperlink" Target="https://adstransparency.google.com/advertiser/AR05016556376214732801/creative/CR15092143426033942529?region=anywhere" TargetMode="External"/><Relationship Id="rId1628" Type="http://schemas.openxmlformats.org/officeDocument/2006/relationships/hyperlink" Target="https://adstransparency.google.com/advertiser/AR11070511645502472193/creative/CR05748327930535084033?region=anywhere" TargetMode="External"/><Relationship Id="rId917" Type="http://schemas.openxmlformats.org/officeDocument/2006/relationships/hyperlink" Target="https://peec.ai/visibility/platform" TargetMode="External"/><Relationship Id="rId1629" Type="http://schemas.openxmlformats.org/officeDocument/2006/relationships/hyperlink" Target="https://www.semrush.com/features/" TargetMode="External"/><Relationship Id="rId916" Type="http://schemas.openxmlformats.org/officeDocument/2006/relationships/hyperlink" Target="https://adstransparency.google.com/advertiser/AR05016556376214732801/creative/CR06325074487142252545?region=anywhere" TargetMode="External"/><Relationship Id="rId915" Type="http://schemas.openxmlformats.org/officeDocument/2006/relationships/hyperlink" Target="https://peec.ai/" TargetMode="External"/><Relationship Id="rId919" Type="http://schemas.openxmlformats.org/officeDocument/2006/relationships/hyperlink" Target="https://peec.ai/" TargetMode="External"/><Relationship Id="rId910" Type="http://schemas.openxmlformats.org/officeDocument/2006/relationships/hyperlink" Target="https://adstransparency.google.com/advertiser/AR05016556376214732801/creative/CR06039762214850658305?region=anywhere" TargetMode="External"/><Relationship Id="rId914" Type="http://schemas.openxmlformats.org/officeDocument/2006/relationships/hyperlink" Target="https://adstransparency.google.com/advertiser/AR05016556376214732801/creative/CR10677519852995870721?region=anywhere" TargetMode="External"/><Relationship Id="rId913" Type="http://schemas.openxmlformats.org/officeDocument/2006/relationships/hyperlink" Target="https://peec.ai/for-agencies" TargetMode="External"/><Relationship Id="rId912" Type="http://schemas.openxmlformats.org/officeDocument/2006/relationships/hyperlink" Target="https://adstransparency.google.com/advertiser/AR05016556376214732801/creative/CR08498483519813582849?region=anywhere" TargetMode="External"/><Relationship Id="rId911" Type="http://schemas.openxmlformats.org/officeDocument/2006/relationships/hyperlink" Target="https://peec.ai/black-friday" TargetMode="External"/><Relationship Id="rId1213" Type="http://schemas.openxmlformats.org/officeDocument/2006/relationships/hyperlink" Target="https://www.semrush.com/pricing/" TargetMode="External"/><Relationship Id="rId1697" Type="http://schemas.openxmlformats.org/officeDocument/2006/relationships/hyperlink" Target="https://www.semrush.com/" TargetMode="External"/><Relationship Id="rId1214" Type="http://schemas.openxmlformats.org/officeDocument/2006/relationships/hyperlink" Target="https://adstransparency.google.com/advertiser/AR11070511645502472193/creative/CR11247542715610562561?region=anywhere" TargetMode="External"/><Relationship Id="rId1698" Type="http://schemas.openxmlformats.org/officeDocument/2006/relationships/hyperlink" Target="https://adstransparency.google.com/advertiser/AR11070511645502472193/creative/CR15886129737710436353?region=anywhere" TargetMode="External"/><Relationship Id="rId1215" Type="http://schemas.openxmlformats.org/officeDocument/2006/relationships/hyperlink" Target="https://www.semrush.com/" TargetMode="External"/><Relationship Id="rId1699" Type="http://schemas.openxmlformats.org/officeDocument/2006/relationships/hyperlink" Target="https://www.semrush.com/features/" TargetMode="External"/><Relationship Id="rId1216" Type="http://schemas.openxmlformats.org/officeDocument/2006/relationships/hyperlink" Target="https://adstransparency.google.com/advertiser/AR11070511645502472193/creative/CR01122947975820083201?region=anywhere" TargetMode="External"/><Relationship Id="rId1217" Type="http://schemas.openxmlformats.org/officeDocument/2006/relationships/hyperlink" Target="https://www.semrush.com/" TargetMode="External"/><Relationship Id="rId1218" Type="http://schemas.openxmlformats.org/officeDocument/2006/relationships/hyperlink" Target="https://adstransparency.google.com/advertiser/AR11070511645502472193/creative/CR11831271239773585409?region=anywhere" TargetMode="External"/><Relationship Id="rId1219" Type="http://schemas.openxmlformats.org/officeDocument/2006/relationships/hyperlink" Target="https://www.semrush.com/" TargetMode="External"/><Relationship Id="rId866" Type="http://schemas.openxmlformats.org/officeDocument/2006/relationships/hyperlink" Target="https://adstransparency.google.com/advertiser/AR05016556376214732801/creative/CR05588452274067210241?region=anywhere" TargetMode="External"/><Relationship Id="rId865" Type="http://schemas.openxmlformats.org/officeDocument/2006/relationships/hyperlink" Target="https://peec.ai/for-agencies" TargetMode="External"/><Relationship Id="rId864" Type="http://schemas.openxmlformats.org/officeDocument/2006/relationships/hyperlink" Target="https://adstransparency.google.com/advertiser/AR05016556376214732801/creative/CR18237095501537214465?region=anywhere" TargetMode="External"/><Relationship Id="rId863" Type="http://schemas.openxmlformats.org/officeDocument/2006/relationships/hyperlink" Target="https://peec.ai/black-friday" TargetMode="External"/><Relationship Id="rId869" Type="http://schemas.openxmlformats.org/officeDocument/2006/relationships/hyperlink" Target="https://peec.ai/visibility/platform" TargetMode="External"/><Relationship Id="rId868" Type="http://schemas.openxmlformats.org/officeDocument/2006/relationships/hyperlink" Target="https://adstransparency.google.com/advertiser/AR05016556376214732801/creative/CR01339871174619824129?region=anywhere" TargetMode="External"/><Relationship Id="rId867" Type="http://schemas.openxmlformats.org/officeDocument/2006/relationships/hyperlink" Target="https://peec.ai/" TargetMode="External"/><Relationship Id="rId1690" Type="http://schemas.openxmlformats.org/officeDocument/2006/relationships/hyperlink" Target="https://adstransparency.google.com/advertiser/AR11070511645502472193/creative/CR04939800818099421185?region=anywhere" TargetMode="External"/><Relationship Id="rId1691" Type="http://schemas.openxmlformats.org/officeDocument/2006/relationships/hyperlink" Target="https://www.semrush.com/" TargetMode="External"/><Relationship Id="rId1692" Type="http://schemas.openxmlformats.org/officeDocument/2006/relationships/hyperlink" Target="https://adstransparency.google.com/advertiser/AR11070511645502472193/creative/CR17603070780034252801?region=anywhere" TargetMode="External"/><Relationship Id="rId862" Type="http://schemas.openxmlformats.org/officeDocument/2006/relationships/hyperlink" Target="https://adstransparency.google.com/advertiser/AR05016556376214732801/creative/CR05095092610591096833?region=anywhere" TargetMode="External"/><Relationship Id="rId1693" Type="http://schemas.openxmlformats.org/officeDocument/2006/relationships/hyperlink" Target="https://www.semrush.com/" TargetMode="External"/><Relationship Id="rId861" Type="http://schemas.openxmlformats.org/officeDocument/2006/relationships/hyperlink" Target="https://peec.ai/visibility/platform" TargetMode="External"/><Relationship Id="rId1210" Type="http://schemas.openxmlformats.org/officeDocument/2006/relationships/hyperlink" Target="https://adstransparency.google.com/advertiser/AR11070511645502472193/creative/CR04874667767904600065?region=anywhere" TargetMode="External"/><Relationship Id="rId1694" Type="http://schemas.openxmlformats.org/officeDocument/2006/relationships/hyperlink" Target="https://adstransparency.google.com/advertiser/AR11070511645502472193/creative/CR18279129212591800321?region=anywhere" TargetMode="External"/><Relationship Id="rId860" Type="http://schemas.openxmlformats.org/officeDocument/2006/relationships/hyperlink" Target="https://adstransparency.google.com/advertiser/AR05016556376214732801/creative/CR03555360716309397505?region=anywhere" TargetMode="External"/><Relationship Id="rId1211" Type="http://schemas.openxmlformats.org/officeDocument/2006/relationships/hyperlink" Target="https://www.semrush.com/agencies/" TargetMode="External"/><Relationship Id="rId1695" Type="http://schemas.openxmlformats.org/officeDocument/2006/relationships/hyperlink" Target="https://www.semrush.com/" TargetMode="External"/><Relationship Id="rId1212" Type="http://schemas.openxmlformats.org/officeDocument/2006/relationships/hyperlink" Target="https://adstransparency.google.com/advertiser/AR11070511645502472193/creative/CR03590007427212247041?region=anywhere" TargetMode="External"/><Relationship Id="rId1696" Type="http://schemas.openxmlformats.org/officeDocument/2006/relationships/hyperlink" Target="https://adstransparency.google.com/advertiser/AR11070511645502472193/creative/CR10549028106675421185?region=anywhere" TargetMode="External"/><Relationship Id="rId1202" Type="http://schemas.openxmlformats.org/officeDocument/2006/relationships/hyperlink" Target="https://adstransparency.google.com/advertiser/AR11070511645502472193/creative/CR14223296169395617793?region=anywhere" TargetMode="External"/><Relationship Id="rId1686" Type="http://schemas.openxmlformats.org/officeDocument/2006/relationships/hyperlink" Target="https://adstransparency.google.com/advertiser/AR11070511645502472193/creative/CR02991633064569864193?region=anywhere" TargetMode="External"/><Relationship Id="rId1203" Type="http://schemas.openxmlformats.org/officeDocument/2006/relationships/hyperlink" Target="https://www.semrush.com/" TargetMode="External"/><Relationship Id="rId1687" Type="http://schemas.openxmlformats.org/officeDocument/2006/relationships/hyperlink" Target="https://www.semrush.com/agencies/" TargetMode="External"/><Relationship Id="rId1204" Type="http://schemas.openxmlformats.org/officeDocument/2006/relationships/hyperlink" Target="https://adstransparency.google.com/advertiser/AR11070511645502472193/creative/CR10555220075126718465?region=anywhere" TargetMode="External"/><Relationship Id="rId1688" Type="http://schemas.openxmlformats.org/officeDocument/2006/relationships/hyperlink" Target="https://adstransparency.google.com/advertiser/AR11070511645502472193/creative/CR09935987289710657537?region=anywhere" TargetMode="External"/><Relationship Id="rId1205" Type="http://schemas.openxmlformats.org/officeDocument/2006/relationships/hyperlink" Target="https://www.semrush.com/" TargetMode="External"/><Relationship Id="rId1689" Type="http://schemas.openxmlformats.org/officeDocument/2006/relationships/hyperlink" Target="https://www.semrush.com/pricing/" TargetMode="External"/><Relationship Id="rId1206" Type="http://schemas.openxmlformats.org/officeDocument/2006/relationships/hyperlink" Target="https://adstransparency.google.com/advertiser/AR11070511645502472193/creative/CR13261777648952016897?region=anywhere" TargetMode="External"/><Relationship Id="rId1207" Type="http://schemas.openxmlformats.org/officeDocument/2006/relationships/hyperlink" Target="https://www.semrush.com/analytics/backlinks/overview/" TargetMode="External"/><Relationship Id="rId1208" Type="http://schemas.openxmlformats.org/officeDocument/2006/relationships/hyperlink" Target="https://adstransparency.google.com/advertiser/AR11070511645502472193/creative/CR03641438251832573953?region=anywhere" TargetMode="External"/><Relationship Id="rId1209" Type="http://schemas.openxmlformats.org/officeDocument/2006/relationships/hyperlink" Target="https://www.semrush.com/features/" TargetMode="External"/><Relationship Id="rId855" Type="http://schemas.openxmlformats.org/officeDocument/2006/relationships/hyperlink" Target="https://peec.ai/" TargetMode="External"/><Relationship Id="rId854" Type="http://schemas.openxmlformats.org/officeDocument/2006/relationships/hyperlink" Target="https://adstransparency.google.com/advertiser/AR05016556376214732801/creative/CR12036096211485196289?region=anywhere" TargetMode="External"/><Relationship Id="rId853" Type="http://schemas.openxmlformats.org/officeDocument/2006/relationships/hyperlink" Target="https://peec.ai/for-agencies" TargetMode="External"/><Relationship Id="rId852" Type="http://schemas.openxmlformats.org/officeDocument/2006/relationships/hyperlink" Target="https://adstransparency.google.com/advertiser/AR05016556376214732801/creative/CR02232677640030912513?region=anywhere" TargetMode="External"/><Relationship Id="rId859" Type="http://schemas.openxmlformats.org/officeDocument/2006/relationships/hyperlink" Target="https://peec.ai/" TargetMode="External"/><Relationship Id="rId858" Type="http://schemas.openxmlformats.org/officeDocument/2006/relationships/hyperlink" Target="https://adstransparency.google.com/advertiser/AR05016556376214732801/creative/CR17748454941967515649?region=anywhere" TargetMode="External"/><Relationship Id="rId857" Type="http://schemas.openxmlformats.org/officeDocument/2006/relationships/hyperlink" Target="https://peec.ai/visibility/platform" TargetMode="External"/><Relationship Id="rId856" Type="http://schemas.openxmlformats.org/officeDocument/2006/relationships/hyperlink" Target="https://adstransparency.google.com/advertiser/AR05016556376214732801/creative/CR10405615025493377025?region=anywhere" TargetMode="External"/><Relationship Id="rId1680" Type="http://schemas.openxmlformats.org/officeDocument/2006/relationships/hyperlink" Target="https://adstransparency.google.com/advertiser/AR11070511645502472193/creative/CR14254493274235469825?region=anywhere" TargetMode="External"/><Relationship Id="rId1681" Type="http://schemas.openxmlformats.org/officeDocument/2006/relationships/hyperlink" Target="https://www.semrush.com/" TargetMode="External"/><Relationship Id="rId851" Type="http://schemas.openxmlformats.org/officeDocument/2006/relationships/hyperlink" Target="https://peec.ai/black-friday" TargetMode="External"/><Relationship Id="rId1682" Type="http://schemas.openxmlformats.org/officeDocument/2006/relationships/hyperlink" Target="https://adstransparency.google.com/advertiser/AR11070511645502472193/creative/CR06263281968020979713?region=anywhere" TargetMode="External"/><Relationship Id="rId850" Type="http://schemas.openxmlformats.org/officeDocument/2006/relationships/hyperlink" Target="https://adstransparency.google.com/advertiser/AR05016556376214732801/creative/CR02803259578538524673?region=anywhere" TargetMode="External"/><Relationship Id="rId1683" Type="http://schemas.openxmlformats.org/officeDocument/2006/relationships/hyperlink" Target="https://www.semrush.com/analytics/backlinks/overview/" TargetMode="External"/><Relationship Id="rId1200" Type="http://schemas.openxmlformats.org/officeDocument/2006/relationships/hyperlink" Target="https://adstransparency.google.com/advertiser/AR11070511645502472193/creative/CR16820278862528118785?region=anywhere" TargetMode="External"/><Relationship Id="rId1684" Type="http://schemas.openxmlformats.org/officeDocument/2006/relationships/hyperlink" Target="https://adstransparency.google.com/advertiser/AR11070511645502472193/creative/CR07261511979125178369?region=anywhere" TargetMode="External"/><Relationship Id="rId1201" Type="http://schemas.openxmlformats.org/officeDocument/2006/relationships/hyperlink" Target="https://www.semrush.com/analytics/keywordoverview/" TargetMode="External"/><Relationship Id="rId1685" Type="http://schemas.openxmlformats.org/officeDocument/2006/relationships/hyperlink" Target="https://www.semrush.com/features/" TargetMode="External"/><Relationship Id="rId1235" Type="http://schemas.openxmlformats.org/officeDocument/2006/relationships/hyperlink" Target="https://www.semrush.com/analytics/backlinks/overview/" TargetMode="External"/><Relationship Id="rId1236" Type="http://schemas.openxmlformats.org/officeDocument/2006/relationships/hyperlink" Target="https://adstransparency.google.com/advertiser/AR11070511645502472193/creative/CR06382271932422684673?region=anywhere" TargetMode="External"/><Relationship Id="rId1237" Type="http://schemas.openxmlformats.org/officeDocument/2006/relationships/hyperlink" Target="https://www.semrush.com/features/" TargetMode="External"/><Relationship Id="rId1238" Type="http://schemas.openxmlformats.org/officeDocument/2006/relationships/hyperlink" Target="https://adstransparency.google.com/advertiser/AR11070511645502472193/creative/CR10611820485593268225?region=anywhere" TargetMode="External"/><Relationship Id="rId1239" Type="http://schemas.openxmlformats.org/officeDocument/2006/relationships/hyperlink" Target="https://www.semrush.com/agencies/" TargetMode="External"/><Relationship Id="rId409" Type="http://schemas.openxmlformats.org/officeDocument/2006/relationships/hyperlink" Target="https://peec.ai/" TargetMode="External"/><Relationship Id="rId404" Type="http://schemas.openxmlformats.org/officeDocument/2006/relationships/hyperlink" Target="https://adstransparency.google.com/advertiser/AR05016556376214732801/creative/CR09057676948808925185?region=anywhere" TargetMode="External"/><Relationship Id="rId888" Type="http://schemas.openxmlformats.org/officeDocument/2006/relationships/hyperlink" Target="https://adstransparency.google.com/advertiser/AR05016556376214732801/creative/CR04742481430586589185?region=anywhere" TargetMode="External"/><Relationship Id="rId403" Type="http://schemas.openxmlformats.org/officeDocument/2006/relationships/hyperlink" Target="https://peec.ai/" TargetMode="External"/><Relationship Id="rId887" Type="http://schemas.openxmlformats.org/officeDocument/2006/relationships/hyperlink" Target="https://peec.ai/black-friday" TargetMode="External"/><Relationship Id="rId402" Type="http://schemas.openxmlformats.org/officeDocument/2006/relationships/hyperlink" Target="https://adstransparency.google.com/advertiser/AR05016556376214732801/creative/CR14430034042231455745?region=anywhere" TargetMode="External"/><Relationship Id="rId886" Type="http://schemas.openxmlformats.org/officeDocument/2006/relationships/hyperlink" Target="https://adstransparency.google.com/advertiser/AR05016556376214732801/creative/CR02500392503597858817?region=anywhere" TargetMode="External"/><Relationship Id="rId401" Type="http://schemas.openxmlformats.org/officeDocument/2006/relationships/hyperlink" Target="https://peec.ai/" TargetMode="External"/><Relationship Id="rId885" Type="http://schemas.openxmlformats.org/officeDocument/2006/relationships/hyperlink" Target="https://peec.ai/visibility/platform" TargetMode="External"/><Relationship Id="rId408" Type="http://schemas.openxmlformats.org/officeDocument/2006/relationships/hyperlink" Target="https://adstransparency.google.com/advertiser/AR05016556376214732801/creative/CR16418874655017795585?region=anywhere" TargetMode="External"/><Relationship Id="rId407" Type="http://schemas.openxmlformats.org/officeDocument/2006/relationships/hyperlink" Target="https://peec.ai/demo" TargetMode="External"/><Relationship Id="rId406" Type="http://schemas.openxmlformats.org/officeDocument/2006/relationships/hyperlink" Target="https://adstransparency.google.com/advertiser/AR05016556376214732801/creative/CR04743430884646977537?region=anywhere" TargetMode="External"/><Relationship Id="rId405" Type="http://schemas.openxmlformats.org/officeDocument/2006/relationships/hyperlink" Target="https://peec.ai/for-agencies" TargetMode="External"/><Relationship Id="rId889" Type="http://schemas.openxmlformats.org/officeDocument/2006/relationships/hyperlink" Target="https://peec.ai/for-agencies" TargetMode="External"/><Relationship Id="rId880" Type="http://schemas.openxmlformats.org/officeDocument/2006/relationships/hyperlink" Target="https://adstransparency.google.com/advertiser/AR05016556376214732801/creative/CR15700107385496403969?region=anywhere" TargetMode="External"/><Relationship Id="rId1230" Type="http://schemas.openxmlformats.org/officeDocument/2006/relationships/hyperlink" Target="https://adstransparency.google.com/advertiser/AR11070511645502472193/creative/CR03634547818619731969?region=anywhere" TargetMode="External"/><Relationship Id="rId400" Type="http://schemas.openxmlformats.org/officeDocument/2006/relationships/hyperlink" Target="https://adstransparency.google.com/advertiser/AR05016556376214732801/creative/CR12417144911122399233?region=anywhere" TargetMode="External"/><Relationship Id="rId884" Type="http://schemas.openxmlformats.org/officeDocument/2006/relationships/hyperlink" Target="https://adstransparency.google.com/advertiser/AR05016556376214732801/creative/CR09881806311631355905?region=anywhere" TargetMode="External"/><Relationship Id="rId1231" Type="http://schemas.openxmlformats.org/officeDocument/2006/relationships/hyperlink" Target="https://www.semrush.com/" TargetMode="External"/><Relationship Id="rId883" Type="http://schemas.openxmlformats.org/officeDocument/2006/relationships/hyperlink" Target="https://peec.ai/" TargetMode="External"/><Relationship Id="rId1232" Type="http://schemas.openxmlformats.org/officeDocument/2006/relationships/hyperlink" Target="https://adstransparency.google.com/advertiser/AR11070511645502472193/creative/CR17645418358708895745?region=anywhere" TargetMode="External"/><Relationship Id="rId882" Type="http://schemas.openxmlformats.org/officeDocument/2006/relationships/hyperlink" Target="https://adstransparency.google.com/advertiser/AR05016556376214732801/creative/CR17721855556668358657?region=anywhere" TargetMode="External"/><Relationship Id="rId1233" Type="http://schemas.openxmlformats.org/officeDocument/2006/relationships/hyperlink" Target="https://www.semrush.com/" TargetMode="External"/><Relationship Id="rId881" Type="http://schemas.openxmlformats.org/officeDocument/2006/relationships/hyperlink" Target="https://peec.ai/visibility/platform" TargetMode="External"/><Relationship Id="rId1234" Type="http://schemas.openxmlformats.org/officeDocument/2006/relationships/hyperlink" Target="https://adstransparency.google.com/advertiser/AR11070511645502472193/creative/CR06312954321361174529?region=anywhere" TargetMode="External"/><Relationship Id="rId1224" Type="http://schemas.openxmlformats.org/officeDocument/2006/relationships/hyperlink" Target="https://adstransparency.google.com/advertiser/AR11070511645502472193/creative/CR04906517020578676737?region=anywhere" TargetMode="External"/><Relationship Id="rId1225" Type="http://schemas.openxmlformats.org/officeDocument/2006/relationships/hyperlink" Target="https://www.semrush.com/kb/demo/" TargetMode="External"/><Relationship Id="rId1226" Type="http://schemas.openxmlformats.org/officeDocument/2006/relationships/hyperlink" Target="https://adstransparency.google.com/advertiser/AR11070511645502472193/creative/CR00058861813827108865?region=anywhere" TargetMode="External"/><Relationship Id="rId1227" Type="http://schemas.openxmlformats.org/officeDocument/2006/relationships/hyperlink" Target="https://www.semrush.com/" TargetMode="External"/><Relationship Id="rId1228" Type="http://schemas.openxmlformats.org/officeDocument/2006/relationships/hyperlink" Target="https://adstransparency.google.com/advertiser/AR11070511645502472193/creative/CR07194262068399177729?region=anywhere" TargetMode="External"/><Relationship Id="rId1229" Type="http://schemas.openxmlformats.org/officeDocument/2006/relationships/hyperlink" Target="https://www.semrush.com/analytics/keywordoverview/" TargetMode="External"/><Relationship Id="rId877" Type="http://schemas.openxmlformats.org/officeDocument/2006/relationships/hyperlink" Target="https://peec.ai/for-agencies" TargetMode="External"/><Relationship Id="rId876" Type="http://schemas.openxmlformats.org/officeDocument/2006/relationships/hyperlink" Target="https://adstransparency.google.com/advertiser/AR05016556376214732801/creative/CR14591851616622608385?region=anywhere" TargetMode="External"/><Relationship Id="rId875" Type="http://schemas.openxmlformats.org/officeDocument/2006/relationships/hyperlink" Target="https://peec.ai/black-friday" TargetMode="External"/><Relationship Id="rId874" Type="http://schemas.openxmlformats.org/officeDocument/2006/relationships/hyperlink" Target="https://adstransparency.google.com/advertiser/AR05016556376214732801/creative/CR13810543051971493889?region=anywhere" TargetMode="External"/><Relationship Id="rId879" Type="http://schemas.openxmlformats.org/officeDocument/2006/relationships/hyperlink" Target="https://peec.ai/" TargetMode="External"/><Relationship Id="rId878" Type="http://schemas.openxmlformats.org/officeDocument/2006/relationships/hyperlink" Target="https://adstransparency.google.com/advertiser/AR05016556376214732801/creative/CR04931351139959439361?region=anywhere" TargetMode="External"/><Relationship Id="rId873" Type="http://schemas.openxmlformats.org/officeDocument/2006/relationships/hyperlink" Target="https://peec.ai/visibility/platform" TargetMode="External"/><Relationship Id="rId1220" Type="http://schemas.openxmlformats.org/officeDocument/2006/relationships/hyperlink" Target="https://adstransparency.google.com/advertiser/AR11070511645502472193/creative/CR03716774271716950017?region=anywhere" TargetMode="External"/><Relationship Id="rId872" Type="http://schemas.openxmlformats.org/officeDocument/2006/relationships/hyperlink" Target="https://adstransparency.google.com/advertiser/AR05016556376214732801/creative/CR11878012827690074113?region=anywhere" TargetMode="External"/><Relationship Id="rId1221" Type="http://schemas.openxmlformats.org/officeDocument/2006/relationships/hyperlink" Target="https://www.semrush.com/" TargetMode="External"/><Relationship Id="rId871" Type="http://schemas.openxmlformats.org/officeDocument/2006/relationships/hyperlink" Target="https://peec.ai/" TargetMode="External"/><Relationship Id="rId1222" Type="http://schemas.openxmlformats.org/officeDocument/2006/relationships/hyperlink" Target="https://adstransparency.google.com/advertiser/AR11070511645502472193/creative/CR02123310043049754625?region=anywhere" TargetMode="External"/><Relationship Id="rId870" Type="http://schemas.openxmlformats.org/officeDocument/2006/relationships/hyperlink" Target="https://adstransparency.google.com/advertiser/AR05016556376214732801/creative/CR03411235357750984705?region=anywhere" TargetMode="External"/><Relationship Id="rId1223" Type="http://schemas.openxmlformats.org/officeDocument/2006/relationships/hyperlink" Target="https://www.semrush.com/features/" TargetMode="External"/><Relationship Id="rId1653" Type="http://schemas.openxmlformats.org/officeDocument/2006/relationships/hyperlink" Target="https://www.semrush.com/" TargetMode="External"/><Relationship Id="rId1654" Type="http://schemas.openxmlformats.org/officeDocument/2006/relationships/hyperlink" Target="https://adstransparency.google.com/advertiser/AR11070511645502472193/creative/CR03724687912168587265?region=anywhere" TargetMode="External"/><Relationship Id="rId1655" Type="http://schemas.openxmlformats.org/officeDocument/2006/relationships/hyperlink" Target="https://www.semrush.com/analytics/backlinks/overview/" TargetMode="External"/><Relationship Id="rId1656" Type="http://schemas.openxmlformats.org/officeDocument/2006/relationships/hyperlink" Target="https://adstransparency.google.com/advertiser/AR11070511645502472193/creative/CR00867107631674687489?region=anywhere" TargetMode="External"/><Relationship Id="rId1657" Type="http://schemas.openxmlformats.org/officeDocument/2006/relationships/hyperlink" Target="https://www.semrush.com/features/" TargetMode="External"/><Relationship Id="rId1658" Type="http://schemas.openxmlformats.org/officeDocument/2006/relationships/hyperlink" Target="https://adstransparency.google.com/advertiser/AR11070511645502472193/creative/CR17019398949439537153?region=anywhere" TargetMode="External"/><Relationship Id="rId1659" Type="http://schemas.openxmlformats.org/officeDocument/2006/relationships/hyperlink" Target="https://www.semrush.com/agencies/" TargetMode="External"/><Relationship Id="rId829" Type="http://schemas.openxmlformats.org/officeDocument/2006/relationships/hyperlink" Target="https://peec.ai/" TargetMode="External"/><Relationship Id="rId828" Type="http://schemas.openxmlformats.org/officeDocument/2006/relationships/hyperlink" Target="https://adstransparency.google.com/advertiser/AR05016556376214732801/creative/CR16078756375236182017?region=anywhere" TargetMode="External"/><Relationship Id="rId827" Type="http://schemas.openxmlformats.org/officeDocument/2006/relationships/hyperlink" Target="https://peec.ai/for-agencies" TargetMode="External"/><Relationship Id="rId822" Type="http://schemas.openxmlformats.org/officeDocument/2006/relationships/hyperlink" Target="https://adstransparency.google.com/advertiser/AR05016556376214732801/creative/CR18322534152085176321?region=anywhere" TargetMode="External"/><Relationship Id="rId821" Type="http://schemas.openxmlformats.org/officeDocument/2006/relationships/hyperlink" Target="https://peec.ai/black-friday" TargetMode="External"/><Relationship Id="rId820" Type="http://schemas.openxmlformats.org/officeDocument/2006/relationships/hyperlink" Target="https://adstransparency.google.com/advertiser/AR05016556376214732801/creative/CR01235201790824153089?region=anywhere" TargetMode="External"/><Relationship Id="rId826" Type="http://schemas.openxmlformats.org/officeDocument/2006/relationships/hyperlink" Target="https://adstransparency.google.com/advertiser/AR05016556376214732801/creative/CR01644336939467276289?region=anywhere" TargetMode="External"/><Relationship Id="rId825" Type="http://schemas.openxmlformats.org/officeDocument/2006/relationships/hyperlink" Target="https://peec.ai/" TargetMode="External"/><Relationship Id="rId824" Type="http://schemas.openxmlformats.org/officeDocument/2006/relationships/hyperlink" Target="https://adstransparency.google.com/advertiser/AR05016556376214732801/creative/CR08382349528275091457?region=anywhere" TargetMode="External"/><Relationship Id="rId823" Type="http://schemas.openxmlformats.org/officeDocument/2006/relationships/hyperlink" Target="https://peec.ai/" TargetMode="External"/><Relationship Id="rId1650" Type="http://schemas.openxmlformats.org/officeDocument/2006/relationships/hyperlink" Target="https://adstransparency.google.com/advertiser/AR11070511645502472193/creative/CR11793623179954487297?region=anywhere" TargetMode="External"/><Relationship Id="rId1651" Type="http://schemas.openxmlformats.org/officeDocument/2006/relationships/hyperlink" Target="https://www.semrush.com/" TargetMode="External"/><Relationship Id="rId1652" Type="http://schemas.openxmlformats.org/officeDocument/2006/relationships/hyperlink" Target="https://adstransparency.google.com/advertiser/AR11070511645502472193/creative/CR09579191196652142593?region=anywhere" TargetMode="External"/><Relationship Id="rId1642" Type="http://schemas.openxmlformats.org/officeDocument/2006/relationships/hyperlink" Target="https://adstransparency.google.com/advertiser/AR11070511645502472193/creative/CR08405867188640022529?region=anywhere" TargetMode="External"/><Relationship Id="rId1643" Type="http://schemas.openxmlformats.org/officeDocument/2006/relationships/hyperlink" Target="https://www.semrush.com/features/" TargetMode="External"/><Relationship Id="rId1644" Type="http://schemas.openxmlformats.org/officeDocument/2006/relationships/hyperlink" Target="https://adstransparency.google.com/advertiser/AR11070511645502472193/creative/CR15164717034622681089?region=anywhere" TargetMode="External"/><Relationship Id="rId1645" Type="http://schemas.openxmlformats.org/officeDocument/2006/relationships/hyperlink" Target="https://www.semrush.com/kb/demo/" TargetMode="External"/><Relationship Id="rId1646" Type="http://schemas.openxmlformats.org/officeDocument/2006/relationships/hyperlink" Target="https://adstransparency.google.com/advertiser/AR11070511645502472193/creative/CR17952055289654018049?region=anywhere" TargetMode="External"/><Relationship Id="rId1647" Type="http://schemas.openxmlformats.org/officeDocument/2006/relationships/hyperlink" Target="https://www.semrush.com/" TargetMode="External"/><Relationship Id="rId1648" Type="http://schemas.openxmlformats.org/officeDocument/2006/relationships/hyperlink" Target="https://adstransparency.google.com/advertiser/AR11070511645502472193/creative/CR03717443504931078145?region=anywhere" TargetMode="External"/><Relationship Id="rId1649" Type="http://schemas.openxmlformats.org/officeDocument/2006/relationships/hyperlink" Target="https://www.semrush.com/analytics/keywordoverview/" TargetMode="External"/><Relationship Id="rId819" Type="http://schemas.openxmlformats.org/officeDocument/2006/relationships/hyperlink" Target="https://peec.ai/" TargetMode="External"/><Relationship Id="rId818" Type="http://schemas.openxmlformats.org/officeDocument/2006/relationships/hyperlink" Target="https://adstransparency.google.com/advertiser/AR05016556376214732801/creative/CR13871067593667772417?region=anywhere" TargetMode="External"/><Relationship Id="rId817" Type="http://schemas.openxmlformats.org/officeDocument/2006/relationships/hyperlink" Target="https://peec.ai/" TargetMode="External"/><Relationship Id="rId816" Type="http://schemas.openxmlformats.org/officeDocument/2006/relationships/hyperlink" Target="https://adstransparency.google.com/advertiser/AR05016556376214732801/creative/CR11124414155082170369?region=anywhere" TargetMode="External"/><Relationship Id="rId811" Type="http://schemas.openxmlformats.org/officeDocument/2006/relationships/hyperlink" Target="https://peec.ai/pricing" TargetMode="External"/><Relationship Id="rId810" Type="http://schemas.openxmlformats.org/officeDocument/2006/relationships/hyperlink" Target="https://adstransparency.google.com/advertiser/AR05016556376214732801/creative/CR01210474049193377793?region=anywhere" TargetMode="External"/><Relationship Id="rId815" Type="http://schemas.openxmlformats.org/officeDocument/2006/relationships/hyperlink" Target="https://peec.ai/" TargetMode="External"/><Relationship Id="rId814" Type="http://schemas.openxmlformats.org/officeDocument/2006/relationships/hyperlink" Target="https://adstransparency.google.com/advertiser/AR05016556376214732801/creative/CR01627746133637857281?region=anywhere" TargetMode="External"/><Relationship Id="rId813" Type="http://schemas.openxmlformats.org/officeDocument/2006/relationships/hyperlink" Target="https://peec.ai/for-agencies" TargetMode="External"/><Relationship Id="rId812" Type="http://schemas.openxmlformats.org/officeDocument/2006/relationships/hyperlink" Target="https://adstransparency.google.com/advertiser/AR05016556376214732801/creative/CR17245047941236785153?region=anywhere" TargetMode="External"/><Relationship Id="rId1640" Type="http://schemas.openxmlformats.org/officeDocument/2006/relationships/hyperlink" Target="https://adstransparency.google.com/advertiser/AR11070511645502472193/creative/CR16741994364774907905?region=anywhere" TargetMode="External"/><Relationship Id="rId1641" Type="http://schemas.openxmlformats.org/officeDocument/2006/relationships/hyperlink" Target="https://www.semrush.com/" TargetMode="External"/><Relationship Id="rId1675" Type="http://schemas.openxmlformats.org/officeDocument/2006/relationships/hyperlink" Target="https://www.semrush.com/" TargetMode="External"/><Relationship Id="rId1676" Type="http://schemas.openxmlformats.org/officeDocument/2006/relationships/hyperlink" Target="https://adstransparency.google.com/advertiser/AR11070511645502472193/creative/CR05255583993570525185?region=anywhere" TargetMode="External"/><Relationship Id="rId1677" Type="http://schemas.openxmlformats.org/officeDocument/2006/relationships/hyperlink" Target="https://www.semrush.com/analytics/keywordoverview/" TargetMode="External"/><Relationship Id="rId1678" Type="http://schemas.openxmlformats.org/officeDocument/2006/relationships/hyperlink" Target="https://adstransparency.google.com/advertiser/AR11070511645502472193/creative/CR10880862365205659649?region=anywhere" TargetMode="External"/><Relationship Id="rId1679" Type="http://schemas.openxmlformats.org/officeDocument/2006/relationships/hyperlink" Target="https://www.semrush.com/" TargetMode="External"/><Relationship Id="rId849" Type="http://schemas.openxmlformats.org/officeDocument/2006/relationships/hyperlink" Target="https://peec.ai/visibility/platform" TargetMode="External"/><Relationship Id="rId844" Type="http://schemas.openxmlformats.org/officeDocument/2006/relationships/hyperlink" Target="https://adstransparency.google.com/advertiser/AR05016556376214732801/creative/CR03853724191622692865?region=anywhere" TargetMode="External"/><Relationship Id="rId843" Type="http://schemas.openxmlformats.org/officeDocument/2006/relationships/hyperlink" Target="https://peec.ai/" TargetMode="External"/><Relationship Id="rId842" Type="http://schemas.openxmlformats.org/officeDocument/2006/relationships/hyperlink" Target="https://adstransparency.google.com/advertiser/AR05016556376214732801/creative/CR02867715149182009345?region=anywhere" TargetMode="External"/><Relationship Id="rId841" Type="http://schemas.openxmlformats.org/officeDocument/2006/relationships/hyperlink" Target="https://peec.ai/for-agencies" TargetMode="External"/><Relationship Id="rId848" Type="http://schemas.openxmlformats.org/officeDocument/2006/relationships/hyperlink" Target="https://adstransparency.google.com/advertiser/AR05016556376214732801/creative/CR12046895614693212161?region=anywhere" TargetMode="External"/><Relationship Id="rId847" Type="http://schemas.openxmlformats.org/officeDocument/2006/relationships/hyperlink" Target="https://peec.ai/" TargetMode="External"/><Relationship Id="rId846" Type="http://schemas.openxmlformats.org/officeDocument/2006/relationships/hyperlink" Target="https://adstransparency.google.com/advertiser/AR05016556376214732801/creative/CR03498663299711500289?region=anywhere" TargetMode="External"/><Relationship Id="rId845" Type="http://schemas.openxmlformats.org/officeDocument/2006/relationships/hyperlink" Target="https://peec.ai/visibility/platform" TargetMode="External"/><Relationship Id="rId1670" Type="http://schemas.openxmlformats.org/officeDocument/2006/relationships/hyperlink" Target="https://adstransparency.google.com/advertiser/AR11070511645502472193/creative/CR11774416773401542657?region=anywhere" TargetMode="External"/><Relationship Id="rId840" Type="http://schemas.openxmlformats.org/officeDocument/2006/relationships/hyperlink" Target="https://adstransparency.google.com/advertiser/AR05016556376214732801/creative/CR17030973027308797953?region=anywhere" TargetMode="External"/><Relationship Id="rId1671" Type="http://schemas.openxmlformats.org/officeDocument/2006/relationships/hyperlink" Target="https://www.semrush.com/features/" TargetMode="External"/><Relationship Id="rId1672" Type="http://schemas.openxmlformats.org/officeDocument/2006/relationships/hyperlink" Target="https://adstransparency.google.com/advertiser/AR11070511645502472193/creative/CR08967887092663189505?region=anywhere" TargetMode="External"/><Relationship Id="rId1673" Type="http://schemas.openxmlformats.org/officeDocument/2006/relationships/hyperlink" Target="https://www.semrush.com/kb/demo/" TargetMode="External"/><Relationship Id="rId1674" Type="http://schemas.openxmlformats.org/officeDocument/2006/relationships/hyperlink" Target="https://adstransparency.google.com/advertiser/AR11070511645502472193/creative/CR08805915217276960769?region=anywhere" TargetMode="External"/><Relationship Id="rId1664" Type="http://schemas.openxmlformats.org/officeDocument/2006/relationships/hyperlink" Target="https://adstransparency.google.com/advertiser/AR11070511645502472193/creative/CR00888286046691786753?region=anywhere" TargetMode="External"/><Relationship Id="rId1665" Type="http://schemas.openxmlformats.org/officeDocument/2006/relationships/hyperlink" Target="https://www.semrush.com/" TargetMode="External"/><Relationship Id="rId1666" Type="http://schemas.openxmlformats.org/officeDocument/2006/relationships/hyperlink" Target="https://adstransparency.google.com/advertiser/AR11070511645502472193/creative/CR17672290603280367617?region=anywhere" TargetMode="External"/><Relationship Id="rId1667" Type="http://schemas.openxmlformats.org/officeDocument/2006/relationships/hyperlink" Target="https://www.semrush.com/" TargetMode="External"/><Relationship Id="rId1668" Type="http://schemas.openxmlformats.org/officeDocument/2006/relationships/hyperlink" Target="https://adstransparency.google.com/advertiser/AR11070511645502472193/creative/CR09102622759359348737?region=anywhere" TargetMode="External"/><Relationship Id="rId1669" Type="http://schemas.openxmlformats.org/officeDocument/2006/relationships/hyperlink" Target="https://www.semrush.com/" TargetMode="External"/><Relationship Id="rId839" Type="http://schemas.openxmlformats.org/officeDocument/2006/relationships/hyperlink" Target="https://peec.ai/black-friday" TargetMode="External"/><Relationship Id="rId838" Type="http://schemas.openxmlformats.org/officeDocument/2006/relationships/hyperlink" Target="https://adstransparency.google.com/advertiser/AR05016556376214732801/creative/CR10615003545985875969?region=anywhere" TargetMode="External"/><Relationship Id="rId833" Type="http://schemas.openxmlformats.org/officeDocument/2006/relationships/hyperlink" Target="https://peec.ai/visibility/platform" TargetMode="External"/><Relationship Id="rId832" Type="http://schemas.openxmlformats.org/officeDocument/2006/relationships/hyperlink" Target="https://adstransparency.google.com/advertiser/AR05016556376214732801/creative/CR11383791971731505153?region=anywhere" TargetMode="External"/><Relationship Id="rId831" Type="http://schemas.openxmlformats.org/officeDocument/2006/relationships/hyperlink" Target="https://peec.ai/" TargetMode="External"/><Relationship Id="rId830" Type="http://schemas.openxmlformats.org/officeDocument/2006/relationships/hyperlink" Target="https://adstransparency.google.com/advertiser/AR05016556376214732801/creative/CR03495671253694414849?region=anywhere" TargetMode="External"/><Relationship Id="rId837" Type="http://schemas.openxmlformats.org/officeDocument/2006/relationships/hyperlink" Target="https://peec.ai/for-agencies" TargetMode="External"/><Relationship Id="rId836" Type="http://schemas.openxmlformats.org/officeDocument/2006/relationships/hyperlink" Target="https://adstransparency.google.com/advertiser/AR05016556376214732801/creative/CR05376424375912235009?region=anywhere" TargetMode="External"/><Relationship Id="rId835" Type="http://schemas.openxmlformats.org/officeDocument/2006/relationships/hyperlink" Target="https://peec.ai/pricing" TargetMode="External"/><Relationship Id="rId834" Type="http://schemas.openxmlformats.org/officeDocument/2006/relationships/hyperlink" Target="https://adstransparency.google.com/advertiser/AR05016556376214732801/creative/CR02188495964291989505?region=anywhere" TargetMode="External"/><Relationship Id="rId1660" Type="http://schemas.openxmlformats.org/officeDocument/2006/relationships/hyperlink" Target="https://adstransparency.google.com/advertiser/AR11070511645502472193/creative/CR18359057798056116225?region=anywhere" TargetMode="External"/><Relationship Id="rId1661" Type="http://schemas.openxmlformats.org/officeDocument/2006/relationships/hyperlink" Target="https://www.semrush.com/pricing/" TargetMode="External"/><Relationship Id="rId1662" Type="http://schemas.openxmlformats.org/officeDocument/2006/relationships/hyperlink" Target="https://adstransparency.google.com/advertiser/AR11070511645502472193/creative/CR16046155305716809729?region=anywhere" TargetMode="External"/><Relationship Id="rId1663" Type="http://schemas.openxmlformats.org/officeDocument/2006/relationships/hyperlink" Target="https://www.semrush.com/" TargetMode="External"/><Relationship Id="rId2148" Type="http://schemas.openxmlformats.org/officeDocument/2006/relationships/hyperlink" Target="https://scrunch.com/" TargetMode="External"/><Relationship Id="rId2149" Type="http://schemas.openxmlformats.org/officeDocument/2006/relationships/hyperlink" Target="https://adstransparency.google.com/advertiser/AR01685939160927436801/creative/CR06070463835083374593?region=anywhere" TargetMode="External"/><Relationship Id="rId469" Type="http://schemas.openxmlformats.org/officeDocument/2006/relationships/hyperlink" Target="https://peec.ai/" TargetMode="External"/><Relationship Id="rId468" Type="http://schemas.openxmlformats.org/officeDocument/2006/relationships/hyperlink" Target="https://adstransparency.google.com/advertiser/AR05016556376214732801/creative/CR07256735219577782273?region=anywhere" TargetMode="External"/><Relationship Id="rId467" Type="http://schemas.openxmlformats.org/officeDocument/2006/relationships/hyperlink" Target="https://peec.ai/for-agencies" TargetMode="External"/><Relationship Id="rId1290" Type="http://schemas.openxmlformats.org/officeDocument/2006/relationships/hyperlink" Target="https://adstransparency.google.com/advertiser/AR11070511645502472193/creative/CR11097998456944328705?region=anywhere" TargetMode="External"/><Relationship Id="rId1291" Type="http://schemas.openxmlformats.org/officeDocument/2006/relationships/hyperlink" Target="https://www.semrush.com/analytics/backlinks/overview/" TargetMode="External"/><Relationship Id="rId1292" Type="http://schemas.openxmlformats.org/officeDocument/2006/relationships/hyperlink" Target="https://adstransparency.google.com/advertiser/AR11070511645502472193/creative/CR16292544522787749889?region=anywhere" TargetMode="External"/><Relationship Id="rId462" Type="http://schemas.openxmlformats.org/officeDocument/2006/relationships/hyperlink" Target="https://adstransparency.google.com/advertiser/AR05016556376214732801/creative/CR06560459585683980289?region=anywhere" TargetMode="External"/><Relationship Id="rId1293" Type="http://schemas.openxmlformats.org/officeDocument/2006/relationships/hyperlink" Target="https://www.semrush.com/features/" TargetMode="External"/><Relationship Id="rId2140" Type="http://schemas.openxmlformats.org/officeDocument/2006/relationships/hyperlink" Target="https://athenahq.ai/" TargetMode="External"/><Relationship Id="rId461" Type="http://schemas.openxmlformats.org/officeDocument/2006/relationships/hyperlink" Target="https://peec.ai/black-friday" TargetMode="External"/><Relationship Id="rId1294" Type="http://schemas.openxmlformats.org/officeDocument/2006/relationships/hyperlink" Target="https://adstransparency.google.com/advertiser/AR11070511645502472193/creative/CR14828450026245586945?region=anywhere" TargetMode="External"/><Relationship Id="rId2141" Type="http://schemas.openxmlformats.org/officeDocument/2006/relationships/hyperlink" Target="https://adstransparency.google.com/advertiser/AR17913883853710163969/creative/CR02313798233538691073?region=anywhere" TargetMode="External"/><Relationship Id="rId460" Type="http://schemas.openxmlformats.org/officeDocument/2006/relationships/hyperlink" Target="https://adstransparency.google.com/advertiser/AR05016556376214732801/creative/CR04879608672512114689?region=anywhere" TargetMode="External"/><Relationship Id="rId1295" Type="http://schemas.openxmlformats.org/officeDocument/2006/relationships/hyperlink" Target="https://www.semrush.com/agencies/" TargetMode="External"/><Relationship Id="rId2142" Type="http://schemas.openxmlformats.org/officeDocument/2006/relationships/hyperlink" Target="https://athenahq.ai/" TargetMode="External"/><Relationship Id="rId1296" Type="http://schemas.openxmlformats.org/officeDocument/2006/relationships/hyperlink" Target="https://adstransparency.google.com/advertiser/AR11070511645502472193/creative/CR01176395236046274561?region=anywhere" TargetMode="External"/><Relationship Id="rId2143" Type="http://schemas.openxmlformats.org/officeDocument/2006/relationships/hyperlink" Target="https://adstransparency.google.com/advertiser/AR17913883853710163969/creative/CR06264284275948912641?region=anywhere" TargetMode="External"/><Relationship Id="rId466" Type="http://schemas.openxmlformats.org/officeDocument/2006/relationships/hyperlink" Target="https://adstransparency.google.com/advertiser/AR05016556376214732801/creative/CR01886147583961726977?region=anywhere" TargetMode="External"/><Relationship Id="rId1297" Type="http://schemas.openxmlformats.org/officeDocument/2006/relationships/hyperlink" Target="https://www.semrush.com/pricing/" TargetMode="External"/><Relationship Id="rId2144" Type="http://schemas.openxmlformats.org/officeDocument/2006/relationships/hyperlink" Target="https://www.scrunch.com/ai-search/visibility" TargetMode="External"/><Relationship Id="rId465" Type="http://schemas.openxmlformats.org/officeDocument/2006/relationships/hyperlink" Target="https://peec.ai/visibility/platform" TargetMode="External"/><Relationship Id="rId1298" Type="http://schemas.openxmlformats.org/officeDocument/2006/relationships/hyperlink" Target="https://adstransparency.google.com/advertiser/AR11070511645502472193/creative/CR12404139380782923777?region=anywhere" TargetMode="External"/><Relationship Id="rId2145" Type="http://schemas.openxmlformats.org/officeDocument/2006/relationships/hyperlink" Target="https://adstransparency.google.com/advertiser/AR01685939160927436801/creative/CR16928783617759379457?region=anywhere" TargetMode="External"/><Relationship Id="rId464" Type="http://schemas.openxmlformats.org/officeDocument/2006/relationships/hyperlink" Target="https://adstransparency.google.com/advertiser/AR05016556376214732801/creative/CR16521296061520674817?region=anywhere" TargetMode="External"/><Relationship Id="rId1299" Type="http://schemas.openxmlformats.org/officeDocument/2006/relationships/hyperlink" Target="https://www.semrush.com/" TargetMode="External"/><Relationship Id="rId2146" Type="http://schemas.openxmlformats.org/officeDocument/2006/relationships/hyperlink" Target="https://www.scrunch.com/aeo" TargetMode="External"/><Relationship Id="rId463" Type="http://schemas.openxmlformats.org/officeDocument/2006/relationships/hyperlink" Target="https://peec.ai/" TargetMode="External"/><Relationship Id="rId2147" Type="http://schemas.openxmlformats.org/officeDocument/2006/relationships/hyperlink" Target="https://adstransparency.google.com/advertiser/AR01685939160927436801/creative/CR01752131642115227649?region=anywhere" TargetMode="External"/><Relationship Id="rId2137" Type="http://schemas.openxmlformats.org/officeDocument/2006/relationships/hyperlink" Target="https://adstransparency.google.com/advertiser/AR17913883853710163969/creative/CR10443754635729567745?region=anywhere" TargetMode="External"/><Relationship Id="rId2138" Type="http://schemas.openxmlformats.org/officeDocument/2006/relationships/hyperlink" Target="https://athenahq.ai/" TargetMode="External"/><Relationship Id="rId2139" Type="http://schemas.openxmlformats.org/officeDocument/2006/relationships/hyperlink" Target="https://adstransparency.google.com/advertiser/AR17913883853710163969/creative/CR13206724251345747969?region=anywhere" TargetMode="External"/><Relationship Id="rId459" Type="http://schemas.openxmlformats.org/officeDocument/2006/relationships/hyperlink" Target="https://peec.ai/" TargetMode="External"/><Relationship Id="rId458" Type="http://schemas.openxmlformats.org/officeDocument/2006/relationships/hyperlink" Target="https://adstransparency.google.com/advertiser/AR05016556376214732801/creative/CR15801240834386427905?region=anywhere" TargetMode="External"/><Relationship Id="rId457" Type="http://schemas.openxmlformats.org/officeDocument/2006/relationships/hyperlink" Target="https://peec.ai/for-agencies" TargetMode="External"/><Relationship Id="rId456" Type="http://schemas.openxmlformats.org/officeDocument/2006/relationships/hyperlink" Target="https://adstransparency.google.com/advertiser/AR05016556376214732801/creative/CR10872155152236675073?region=anywhere" TargetMode="External"/><Relationship Id="rId1280" Type="http://schemas.openxmlformats.org/officeDocument/2006/relationships/hyperlink" Target="https://adstransparency.google.com/advertiser/AR11070511645502472193/creative/CR00068120019560562689?region=anywhere" TargetMode="External"/><Relationship Id="rId1281" Type="http://schemas.openxmlformats.org/officeDocument/2006/relationships/hyperlink" Target="https://www.semrush.com/kb/demo/" TargetMode="External"/><Relationship Id="rId451" Type="http://schemas.openxmlformats.org/officeDocument/2006/relationships/hyperlink" Target="https://peec.ai/pricing" TargetMode="External"/><Relationship Id="rId1282" Type="http://schemas.openxmlformats.org/officeDocument/2006/relationships/hyperlink" Target="https://adstransparency.google.com/advertiser/AR11070511645502472193/creative/CR09732953053073506305?region=anywhere" TargetMode="External"/><Relationship Id="rId450" Type="http://schemas.openxmlformats.org/officeDocument/2006/relationships/hyperlink" Target="https://adstransparency.google.com/advertiser/AR05016556376214732801/creative/CR07973029618728828929?region=anywhere" TargetMode="External"/><Relationship Id="rId1283" Type="http://schemas.openxmlformats.org/officeDocument/2006/relationships/hyperlink" Target="https://www.semrush.com/" TargetMode="External"/><Relationship Id="rId2130" Type="http://schemas.openxmlformats.org/officeDocument/2006/relationships/hyperlink" Target="https://athenahq.ai/AISearch/Monitoring" TargetMode="External"/><Relationship Id="rId1284" Type="http://schemas.openxmlformats.org/officeDocument/2006/relationships/hyperlink" Target="https://adstransparency.google.com/advertiser/AR11070511645502472193/creative/CR03697722183338950657?region=anywhere" TargetMode="External"/><Relationship Id="rId2131" Type="http://schemas.openxmlformats.org/officeDocument/2006/relationships/hyperlink" Target="https://adstransparency.google.com/advertiser/AR17913883853710163969/creative/CR09859460206675623937?region=anywhere" TargetMode="External"/><Relationship Id="rId1285" Type="http://schemas.openxmlformats.org/officeDocument/2006/relationships/hyperlink" Target="https://www.semrush.com/analytics/keywordoverview/" TargetMode="External"/><Relationship Id="rId2132" Type="http://schemas.openxmlformats.org/officeDocument/2006/relationships/hyperlink" Target="https://athenahq.ai/" TargetMode="External"/><Relationship Id="rId455" Type="http://schemas.openxmlformats.org/officeDocument/2006/relationships/hyperlink" Target="https://peec.ai/demo" TargetMode="External"/><Relationship Id="rId1286" Type="http://schemas.openxmlformats.org/officeDocument/2006/relationships/hyperlink" Target="https://adstransparency.google.com/advertiser/AR11070511645502472193/creative/CR11316539518384865281?region=anywhere" TargetMode="External"/><Relationship Id="rId2133" Type="http://schemas.openxmlformats.org/officeDocument/2006/relationships/hyperlink" Target="https://adstransparency.google.com/advertiser/AR17913883853710163969/creative/CR16529671617115062273?region=anywhere" TargetMode="External"/><Relationship Id="rId454" Type="http://schemas.openxmlformats.org/officeDocument/2006/relationships/hyperlink" Target="https://adstransparency.google.com/advertiser/AR05016556376214732801/creative/CR07857169723413233665?region=anywhere" TargetMode="External"/><Relationship Id="rId1287" Type="http://schemas.openxmlformats.org/officeDocument/2006/relationships/hyperlink" Target="https://www.semrush.com/" TargetMode="External"/><Relationship Id="rId2134" Type="http://schemas.openxmlformats.org/officeDocument/2006/relationships/hyperlink" Target="https://athenahq.ai/" TargetMode="External"/><Relationship Id="rId453" Type="http://schemas.openxmlformats.org/officeDocument/2006/relationships/hyperlink" Target="https://peec.ai/for-agencies" TargetMode="External"/><Relationship Id="rId1288" Type="http://schemas.openxmlformats.org/officeDocument/2006/relationships/hyperlink" Target="https://adstransparency.google.com/advertiser/AR11070511645502472193/creative/CR11374153927680327681?region=anywhere" TargetMode="External"/><Relationship Id="rId2135" Type="http://schemas.openxmlformats.org/officeDocument/2006/relationships/hyperlink" Target="https://adstransparency.google.com/advertiser/AR17913883853710163969/creative/CR16686007988602798081?region=anywhere" TargetMode="External"/><Relationship Id="rId452" Type="http://schemas.openxmlformats.org/officeDocument/2006/relationships/hyperlink" Target="https://adstransparency.google.com/advertiser/AR05016556376214732801/creative/CR10434718780453027841?region=anywhere" TargetMode="External"/><Relationship Id="rId1289" Type="http://schemas.openxmlformats.org/officeDocument/2006/relationships/hyperlink" Target="https://www.semrush.com/" TargetMode="External"/><Relationship Id="rId2136" Type="http://schemas.openxmlformats.org/officeDocument/2006/relationships/hyperlink" Target="https://athenahq.ai/" TargetMode="External"/><Relationship Id="rId491" Type="http://schemas.openxmlformats.org/officeDocument/2006/relationships/hyperlink" Target="https://peec.ai/for-agencies" TargetMode="External"/><Relationship Id="rId490" Type="http://schemas.openxmlformats.org/officeDocument/2006/relationships/hyperlink" Target="https://adstransparency.google.com/advertiser/AR05016556376214732801/creative/CR00615555202488991745?region=anywhere" TargetMode="External"/><Relationship Id="rId489" Type="http://schemas.openxmlformats.org/officeDocument/2006/relationships/hyperlink" Target="https://peec.ai/" TargetMode="External"/><Relationship Id="rId2160" Type="http://schemas.openxmlformats.org/officeDocument/2006/relationships/hyperlink" Target="https://scrunch.com/" TargetMode="External"/><Relationship Id="rId2161" Type="http://schemas.openxmlformats.org/officeDocument/2006/relationships/hyperlink" Target="https://adstransparency.google.com/advertiser/AR01685939160927436801/creative/CR03072615763857637377?region=anywhere" TargetMode="External"/><Relationship Id="rId484" Type="http://schemas.openxmlformats.org/officeDocument/2006/relationships/hyperlink" Target="https://adstransparency.google.com/advertiser/AR05016556376214732801/creative/CR10344186960116973569?region=anywhere" TargetMode="External"/><Relationship Id="rId2162" Type="http://schemas.openxmlformats.org/officeDocument/2006/relationships/hyperlink" Target="https://www.scrunch.com/ai-search/visibility" TargetMode="External"/><Relationship Id="rId483" Type="http://schemas.openxmlformats.org/officeDocument/2006/relationships/hyperlink" Target="https://peec.ai/" TargetMode="External"/><Relationship Id="rId2163" Type="http://schemas.openxmlformats.org/officeDocument/2006/relationships/hyperlink" Target="https://adstransparency.google.com/advertiser/AR01685939160927436801/creative/CR18097747615490768897?region=anywhere" TargetMode="External"/><Relationship Id="rId482" Type="http://schemas.openxmlformats.org/officeDocument/2006/relationships/hyperlink" Target="https://adstransparency.google.com/advertiser/AR05016556376214732801/creative/CR01323660524935708673?region=anywhere" TargetMode="External"/><Relationship Id="rId2164" Type="http://schemas.openxmlformats.org/officeDocument/2006/relationships/hyperlink" Target="https://www.scrunch.com/aeo" TargetMode="External"/><Relationship Id="rId481" Type="http://schemas.openxmlformats.org/officeDocument/2006/relationships/hyperlink" Target="https://peec.ai/" TargetMode="External"/><Relationship Id="rId2165" Type="http://schemas.openxmlformats.org/officeDocument/2006/relationships/hyperlink" Target="https://adstransparency.google.com/advertiser/AR01685939160927436801/creative/CR17017660853484257281?region=anywhere" TargetMode="External"/><Relationship Id="rId488" Type="http://schemas.openxmlformats.org/officeDocument/2006/relationships/hyperlink" Target="https://adstransparency.google.com/advertiser/AR05016556376214732801/creative/CR01019464509804249089?region=anywhere" TargetMode="External"/><Relationship Id="rId2166" Type="http://schemas.openxmlformats.org/officeDocument/2006/relationships/hyperlink" Target="https://scrunch.com/" TargetMode="External"/><Relationship Id="rId487" Type="http://schemas.openxmlformats.org/officeDocument/2006/relationships/hyperlink" Target="https://peec.ai/" TargetMode="External"/><Relationship Id="rId2167" Type="http://schemas.openxmlformats.org/officeDocument/2006/relationships/hyperlink" Target="https://adstransparency.google.com/advertiser/AR01685939160927436801/creative/CR05076430599732854785?region=anywhere" TargetMode="External"/><Relationship Id="rId486" Type="http://schemas.openxmlformats.org/officeDocument/2006/relationships/hyperlink" Target="https://adstransparency.google.com/advertiser/AR05016556376214732801/creative/CR01692383218189205505?region=anywhere" TargetMode="External"/><Relationship Id="rId2168" Type="http://schemas.openxmlformats.org/officeDocument/2006/relationships/hyperlink" Target="https://www.scrunch.com/ai-search" TargetMode="External"/><Relationship Id="rId485" Type="http://schemas.openxmlformats.org/officeDocument/2006/relationships/hyperlink" Target="https://peec.ai/black-friday" TargetMode="External"/><Relationship Id="rId2169" Type="http://schemas.openxmlformats.org/officeDocument/2006/relationships/hyperlink" Target="https://adstransparency.google.com/advertiser/AR01685939160927436801/creative/CR01141904956442279937?region=anywhere" TargetMode="External"/><Relationship Id="rId2159" Type="http://schemas.openxmlformats.org/officeDocument/2006/relationships/hyperlink" Target="https://adstransparency.google.com/advertiser/AR01685939160927436801/creative/CR08987697981503307777?region=anywhere" TargetMode="External"/><Relationship Id="rId480" Type="http://schemas.openxmlformats.org/officeDocument/2006/relationships/hyperlink" Target="https://adstransparency.google.com/advertiser/AR05016556376214732801/creative/CR06178031875127246849?region=anywhere" TargetMode="External"/><Relationship Id="rId479" Type="http://schemas.openxmlformats.org/officeDocument/2006/relationships/hyperlink" Target="https://peec.ai/demo" TargetMode="External"/><Relationship Id="rId478" Type="http://schemas.openxmlformats.org/officeDocument/2006/relationships/hyperlink" Target="https://adstransparency.google.com/advertiser/AR05016556376214732801/creative/CR01949663166652743681?region=anywhere" TargetMode="External"/><Relationship Id="rId2150" Type="http://schemas.openxmlformats.org/officeDocument/2006/relationships/hyperlink" Target="https://www.scrunch.com/ai-search" TargetMode="External"/><Relationship Id="rId473" Type="http://schemas.openxmlformats.org/officeDocument/2006/relationships/hyperlink" Target="https://peec.ai/visibility/platform" TargetMode="External"/><Relationship Id="rId2151" Type="http://schemas.openxmlformats.org/officeDocument/2006/relationships/hyperlink" Target="https://adstransparency.google.com/advertiser/AR01685939160927436801/creative/CR02272827363681107969?region=anywhere" TargetMode="External"/><Relationship Id="rId472" Type="http://schemas.openxmlformats.org/officeDocument/2006/relationships/hyperlink" Target="https://adstransparency.google.com/advertiser/AR05016556376214732801/creative/CR07530997975535845377?region=anywhere" TargetMode="External"/><Relationship Id="rId2152" Type="http://schemas.openxmlformats.org/officeDocument/2006/relationships/hyperlink" Target="https://www.scrunch.com/chatgpt/visibility" TargetMode="External"/><Relationship Id="rId471" Type="http://schemas.openxmlformats.org/officeDocument/2006/relationships/hyperlink" Target="https://peec.ai/" TargetMode="External"/><Relationship Id="rId2153" Type="http://schemas.openxmlformats.org/officeDocument/2006/relationships/hyperlink" Target="https://adstransparency.google.com/advertiser/AR01685939160927436801/creative/CR12423139104919650305?region=anywhere" TargetMode="External"/><Relationship Id="rId470" Type="http://schemas.openxmlformats.org/officeDocument/2006/relationships/hyperlink" Target="https://adstransparency.google.com/advertiser/AR05016556376214732801/creative/CR04805165687997726721?region=anywhere" TargetMode="External"/><Relationship Id="rId2154" Type="http://schemas.openxmlformats.org/officeDocument/2006/relationships/hyperlink" Target="https://www.scrunch.com/ai-search/monitoring" TargetMode="External"/><Relationship Id="rId477" Type="http://schemas.openxmlformats.org/officeDocument/2006/relationships/hyperlink" Target="https://peec.ai/for-agencies" TargetMode="External"/><Relationship Id="rId2155" Type="http://schemas.openxmlformats.org/officeDocument/2006/relationships/hyperlink" Target="https://adstransparency.google.com/advertiser/AR01685939160927436801/creative/CR13454074261190737921?region=anywhere" TargetMode="External"/><Relationship Id="rId476" Type="http://schemas.openxmlformats.org/officeDocument/2006/relationships/hyperlink" Target="https://adstransparency.google.com/advertiser/AR05016556376214732801/creative/CR10468144389203951617?region=anywhere" TargetMode="External"/><Relationship Id="rId2156" Type="http://schemas.openxmlformats.org/officeDocument/2006/relationships/hyperlink" Target="https://www.scrunch.com/ai-search/visibility" TargetMode="External"/><Relationship Id="rId475" Type="http://schemas.openxmlformats.org/officeDocument/2006/relationships/hyperlink" Target="https://peec.ai/pricing" TargetMode="External"/><Relationship Id="rId2157" Type="http://schemas.openxmlformats.org/officeDocument/2006/relationships/hyperlink" Target="https://adstransparency.google.com/advertiser/AR01685939160927436801/creative/CR13414692984499208193?region=anywhere" TargetMode="External"/><Relationship Id="rId474" Type="http://schemas.openxmlformats.org/officeDocument/2006/relationships/hyperlink" Target="https://adstransparency.google.com/advertiser/AR05016556376214732801/creative/CR05535764802145615873?region=anywhere" TargetMode="External"/><Relationship Id="rId2158" Type="http://schemas.openxmlformats.org/officeDocument/2006/relationships/hyperlink" Target="https://www.scrunch.com/aeo/platform" TargetMode="External"/><Relationship Id="rId1257" Type="http://schemas.openxmlformats.org/officeDocument/2006/relationships/hyperlink" Target="https://www.semrush.com/analytics/keywordoverview/" TargetMode="External"/><Relationship Id="rId2104" Type="http://schemas.openxmlformats.org/officeDocument/2006/relationships/hyperlink" Target="https://www.accuranker.com/" TargetMode="External"/><Relationship Id="rId1258" Type="http://schemas.openxmlformats.org/officeDocument/2006/relationships/hyperlink" Target="https://adstransparency.google.com/advertiser/AR11070511645502472193/creative/CR11961088146713608193?region=anywhere" TargetMode="External"/><Relationship Id="rId2105" Type="http://schemas.openxmlformats.org/officeDocument/2006/relationships/hyperlink" Target="https://adstransparency.google.com/advertiser/AR01866760943401172993/creative/CR13817981832248950785?region=anywhere" TargetMode="External"/><Relationship Id="rId1259" Type="http://schemas.openxmlformats.org/officeDocument/2006/relationships/hyperlink" Target="https://www.semrush.com/" TargetMode="External"/><Relationship Id="rId2106" Type="http://schemas.openxmlformats.org/officeDocument/2006/relationships/hyperlink" Target="https://www.accuranker.com/pricing" TargetMode="External"/><Relationship Id="rId2107" Type="http://schemas.openxmlformats.org/officeDocument/2006/relationships/hyperlink" Target="https://adstransparency.google.com/advertiser/AR01866760943401172993/creative/CR09302985698137079809?region=anywhere" TargetMode="External"/><Relationship Id="rId2108" Type="http://schemas.openxmlformats.org/officeDocument/2006/relationships/hyperlink" Target="https://athenahq.ai/" TargetMode="External"/><Relationship Id="rId2109" Type="http://schemas.openxmlformats.org/officeDocument/2006/relationships/hyperlink" Target="https://adstransparency.google.com/advertiser/AR17913883853710163969/creative/CR09040885482107437057?region=anywhere" TargetMode="External"/><Relationship Id="rId426" Type="http://schemas.openxmlformats.org/officeDocument/2006/relationships/hyperlink" Target="https://adstransparency.google.com/advertiser/AR05016556376214732801/creative/CR08892140044408586241?region=anywhere" TargetMode="External"/><Relationship Id="rId425" Type="http://schemas.openxmlformats.org/officeDocument/2006/relationships/hyperlink" Target="https://peec.ai/visibility/platform" TargetMode="External"/><Relationship Id="rId424" Type="http://schemas.openxmlformats.org/officeDocument/2006/relationships/hyperlink" Target="https://adstransparency.google.com/advertiser/AR05016556376214732801/creative/CR04501385356981043201?region=anywhere" TargetMode="External"/><Relationship Id="rId423" Type="http://schemas.openxmlformats.org/officeDocument/2006/relationships/hyperlink" Target="https://peec.ai/" TargetMode="External"/><Relationship Id="rId429" Type="http://schemas.openxmlformats.org/officeDocument/2006/relationships/hyperlink" Target="https://peec.ai/for-agencies" TargetMode="External"/><Relationship Id="rId428" Type="http://schemas.openxmlformats.org/officeDocument/2006/relationships/hyperlink" Target="https://adstransparency.google.com/advertiser/AR05016556376214732801/creative/CR10656106821095260161?region=anywhere" TargetMode="External"/><Relationship Id="rId427" Type="http://schemas.openxmlformats.org/officeDocument/2006/relationships/hyperlink" Target="https://peec.ai/" TargetMode="External"/><Relationship Id="rId1250" Type="http://schemas.openxmlformats.org/officeDocument/2006/relationships/hyperlink" Target="https://adstransparency.google.com/advertiser/AR11070511645502472193/creative/CR14133740947313262593?region=anywhere" TargetMode="External"/><Relationship Id="rId1251" Type="http://schemas.openxmlformats.org/officeDocument/2006/relationships/hyperlink" Target="https://www.semrush.com/features/" TargetMode="External"/><Relationship Id="rId1252" Type="http://schemas.openxmlformats.org/officeDocument/2006/relationships/hyperlink" Target="https://adstransparency.google.com/advertiser/AR11070511645502472193/creative/CR08220543472986226689?region=anywhere" TargetMode="External"/><Relationship Id="rId422" Type="http://schemas.openxmlformats.org/officeDocument/2006/relationships/hyperlink" Target="https://adstransparency.google.com/advertiser/AR05016556376214732801/creative/CR07749788419957456897?region=anywhere" TargetMode="External"/><Relationship Id="rId1253" Type="http://schemas.openxmlformats.org/officeDocument/2006/relationships/hyperlink" Target="https://www.semrush.com/kb/demo/" TargetMode="External"/><Relationship Id="rId2100" Type="http://schemas.openxmlformats.org/officeDocument/2006/relationships/hyperlink" Target="https://rankscale.ai/" TargetMode="External"/><Relationship Id="rId421" Type="http://schemas.openxmlformats.org/officeDocument/2006/relationships/hyperlink" Target="https://peec.ai/" TargetMode="External"/><Relationship Id="rId1254" Type="http://schemas.openxmlformats.org/officeDocument/2006/relationships/hyperlink" Target="https://adstransparency.google.com/advertiser/AR11070511645502472193/creative/CR17592219588110581761?region=anywhere" TargetMode="External"/><Relationship Id="rId2101" Type="http://schemas.openxmlformats.org/officeDocument/2006/relationships/hyperlink" Target="https://adstransparency.google.com/advertiser/AR00739524288117211137/creative/CR06185217364003389441?region=anywhere" TargetMode="External"/><Relationship Id="rId420" Type="http://schemas.openxmlformats.org/officeDocument/2006/relationships/hyperlink" Target="https://adstransparency.google.com/advertiser/AR05016556376214732801/creative/CR00023504131217948673?region=anywhere" TargetMode="External"/><Relationship Id="rId1255" Type="http://schemas.openxmlformats.org/officeDocument/2006/relationships/hyperlink" Target="https://www.semrush.com/" TargetMode="External"/><Relationship Id="rId2102" Type="http://schemas.openxmlformats.org/officeDocument/2006/relationships/hyperlink" Target="https://www.accuranker.com/" TargetMode="External"/><Relationship Id="rId1256" Type="http://schemas.openxmlformats.org/officeDocument/2006/relationships/hyperlink" Target="https://adstransparency.google.com/advertiser/AR11070511645502472193/creative/CR17225545654386819073?region=anywhere" TargetMode="External"/><Relationship Id="rId2103" Type="http://schemas.openxmlformats.org/officeDocument/2006/relationships/hyperlink" Target="https://adstransparency.google.com/advertiser/AR01866760943401172993/creative/CR17962702857178185729?region=anywhere" TargetMode="External"/><Relationship Id="rId1246" Type="http://schemas.openxmlformats.org/officeDocument/2006/relationships/hyperlink" Target="https://adstransparency.google.com/advertiser/AR11070511645502472193/creative/CR14823119344766025729?region=anywhere" TargetMode="External"/><Relationship Id="rId1247" Type="http://schemas.openxmlformats.org/officeDocument/2006/relationships/hyperlink" Target="https://www.semrush.com/" TargetMode="External"/><Relationship Id="rId1248" Type="http://schemas.openxmlformats.org/officeDocument/2006/relationships/hyperlink" Target="https://adstransparency.google.com/advertiser/AR11070511645502472193/creative/CR05335817238245015553?region=anywhere" TargetMode="External"/><Relationship Id="rId1249" Type="http://schemas.openxmlformats.org/officeDocument/2006/relationships/hyperlink" Target="https://www.semrush.com/" TargetMode="External"/><Relationship Id="rId415" Type="http://schemas.openxmlformats.org/officeDocument/2006/relationships/hyperlink" Target="https://peec.ai/" TargetMode="External"/><Relationship Id="rId899" Type="http://schemas.openxmlformats.org/officeDocument/2006/relationships/hyperlink" Target="https://peec.ai/black-friday" TargetMode="External"/><Relationship Id="rId414" Type="http://schemas.openxmlformats.org/officeDocument/2006/relationships/hyperlink" Target="https://adstransparency.google.com/advertiser/AR05016556376214732801/creative/CR08480653246552080385?region=anywhere" TargetMode="External"/><Relationship Id="rId898" Type="http://schemas.openxmlformats.org/officeDocument/2006/relationships/hyperlink" Target="https://adstransparency.google.com/advertiser/AR05016556376214732801/creative/CR08231437159316324353?region=anywhere" TargetMode="External"/><Relationship Id="rId413" Type="http://schemas.openxmlformats.org/officeDocument/2006/relationships/hyperlink" Target="https://peec.ai/" TargetMode="External"/><Relationship Id="rId897" Type="http://schemas.openxmlformats.org/officeDocument/2006/relationships/hyperlink" Target="https://peec.ai/visibility/platform" TargetMode="External"/><Relationship Id="rId412" Type="http://schemas.openxmlformats.org/officeDocument/2006/relationships/hyperlink" Target="https://adstransparency.google.com/advertiser/AR05016556376214732801/creative/CR08771988686490304513?region=anywhere" TargetMode="External"/><Relationship Id="rId896" Type="http://schemas.openxmlformats.org/officeDocument/2006/relationships/hyperlink" Target="https://adstransparency.google.com/advertiser/AR05016556376214732801/creative/CR12137251281240588289?region=anywhere" TargetMode="External"/><Relationship Id="rId419" Type="http://schemas.openxmlformats.org/officeDocument/2006/relationships/hyperlink" Target="https://peec.ai/for-agencies" TargetMode="External"/><Relationship Id="rId418" Type="http://schemas.openxmlformats.org/officeDocument/2006/relationships/hyperlink" Target="https://adstransparency.google.com/advertiser/AR05016556376214732801/creative/CR15077145013689253889?region=anywhere" TargetMode="External"/><Relationship Id="rId417" Type="http://schemas.openxmlformats.org/officeDocument/2006/relationships/hyperlink" Target="https://peec.ai/visibility/platform" TargetMode="External"/><Relationship Id="rId416" Type="http://schemas.openxmlformats.org/officeDocument/2006/relationships/hyperlink" Target="https://adstransparency.google.com/advertiser/AR05016556376214732801/creative/CR02617533329959813121?region=anywhere" TargetMode="External"/><Relationship Id="rId891" Type="http://schemas.openxmlformats.org/officeDocument/2006/relationships/hyperlink" Target="https://peec.ai/" TargetMode="External"/><Relationship Id="rId890" Type="http://schemas.openxmlformats.org/officeDocument/2006/relationships/hyperlink" Target="https://adstransparency.google.com/advertiser/AR05016556376214732801/creative/CR06689866056959262721?region=anywhere" TargetMode="External"/><Relationship Id="rId1240" Type="http://schemas.openxmlformats.org/officeDocument/2006/relationships/hyperlink" Target="https://adstransparency.google.com/advertiser/AR11070511645502472193/creative/CR09940973257115041793?region=anywhere" TargetMode="External"/><Relationship Id="rId1241" Type="http://schemas.openxmlformats.org/officeDocument/2006/relationships/hyperlink" Target="https://www.semrush.com/pricing/" TargetMode="External"/><Relationship Id="rId411" Type="http://schemas.openxmlformats.org/officeDocument/2006/relationships/hyperlink" Target="https://peec.ai/" TargetMode="External"/><Relationship Id="rId895" Type="http://schemas.openxmlformats.org/officeDocument/2006/relationships/hyperlink" Target="https://peec.ai/" TargetMode="External"/><Relationship Id="rId1242" Type="http://schemas.openxmlformats.org/officeDocument/2006/relationships/hyperlink" Target="https://adstransparency.google.com/advertiser/AR11070511645502472193/creative/CR04061229274466615297?region=anywhere" TargetMode="External"/><Relationship Id="rId410" Type="http://schemas.openxmlformats.org/officeDocument/2006/relationships/hyperlink" Target="https://adstransparency.google.com/advertiser/AR05016556376214732801/creative/CR10003101161642524673?region=anywhere" TargetMode="External"/><Relationship Id="rId894" Type="http://schemas.openxmlformats.org/officeDocument/2006/relationships/hyperlink" Target="https://adstransparency.google.com/advertiser/AR05016556376214732801/creative/CR07352071124043169793?region=anywhere" TargetMode="External"/><Relationship Id="rId1243" Type="http://schemas.openxmlformats.org/officeDocument/2006/relationships/hyperlink" Target="https://www.semrush.com/" TargetMode="External"/><Relationship Id="rId893" Type="http://schemas.openxmlformats.org/officeDocument/2006/relationships/hyperlink" Target="https://peec.ai/visibility/platform" TargetMode="External"/><Relationship Id="rId1244" Type="http://schemas.openxmlformats.org/officeDocument/2006/relationships/hyperlink" Target="https://adstransparency.google.com/advertiser/AR11070511645502472193/creative/CR15505035056153362433?region=anywhere" TargetMode="External"/><Relationship Id="rId892" Type="http://schemas.openxmlformats.org/officeDocument/2006/relationships/hyperlink" Target="https://adstransparency.google.com/advertiser/AR05016556376214732801/creative/CR00146912878232862721?region=anywhere" TargetMode="External"/><Relationship Id="rId1245" Type="http://schemas.openxmlformats.org/officeDocument/2006/relationships/hyperlink" Target="https://www.semrush.com/" TargetMode="External"/><Relationship Id="rId1279" Type="http://schemas.openxmlformats.org/officeDocument/2006/relationships/hyperlink" Target="https://www.semrush.com/features/" TargetMode="External"/><Relationship Id="rId2126" Type="http://schemas.openxmlformats.org/officeDocument/2006/relationships/hyperlink" Target="https://athenahq.ai/AISearch/Content" TargetMode="External"/><Relationship Id="rId2127" Type="http://schemas.openxmlformats.org/officeDocument/2006/relationships/hyperlink" Target="https://adstransparency.google.com/advertiser/AR17913883853710163969/creative/CR00089787571223134209?region=anywhere" TargetMode="External"/><Relationship Id="rId2128" Type="http://schemas.openxmlformats.org/officeDocument/2006/relationships/hyperlink" Target="https://athenahq.ai/" TargetMode="External"/><Relationship Id="rId2129" Type="http://schemas.openxmlformats.org/officeDocument/2006/relationships/hyperlink" Target="https://adstransparency.google.com/advertiser/AR17913883853710163969/creative/CR01253671412917338113?region=anywhere" TargetMode="External"/><Relationship Id="rId448" Type="http://schemas.openxmlformats.org/officeDocument/2006/relationships/hyperlink" Target="https://adstransparency.google.com/advertiser/AR05016556376214732801/creative/CR15541951159055941633?region=anywhere" TargetMode="External"/><Relationship Id="rId447" Type="http://schemas.openxmlformats.org/officeDocument/2006/relationships/hyperlink" Target="https://peec.ai/" TargetMode="External"/><Relationship Id="rId446" Type="http://schemas.openxmlformats.org/officeDocument/2006/relationships/hyperlink" Target="https://adstransparency.google.com/advertiser/AR05016556376214732801/creative/CR08787300373749563393?region=anywhere" TargetMode="External"/><Relationship Id="rId445" Type="http://schemas.openxmlformats.org/officeDocument/2006/relationships/hyperlink" Target="https://peec.ai/" TargetMode="External"/><Relationship Id="rId449" Type="http://schemas.openxmlformats.org/officeDocument/2006/relationships/hyperlink" Target="https://peec.ai/" TargetMode="External"/><Relationship Id="rId1270" Type="http://schemas.openxmlformats.org/officeDocument/2006/relationships/hyperlink" Target="https://adstransparency.google.com/advertiser/AR11070511645502472193/creative/CR17496943607028908033?region=anywhere" TargetMode="External"/><Relationship Id="rId440" Type="http://schemas.openxmlformats.org/officeDocument/2006/relationships/hyperlink" Target="https://adstransparency.google.com/advertiser/AR05016556376214732801/creative/CR16556748259180150785?region=anywhere" TargetMode="External"/><Relationship Id="rId1271" Type="http://schemas.openxmlformats.org/officeDocument/2006/relationships/hyperlink" Target="https://www.semrush.com/" TargetMode="External"/><Relationship Id="rId1272" Type="http://schemas.openxmlformats.org/officeDocument/2006/relationships/hyperlink" Target="https://adstransparency.google.com/advertiser/AR11070511645502472193/creative/CR13723064558245904385?region=anywhere" TargetMode="External"/><Relationship Id="rId1273" Type="http://schemas.openxmlformats.org/officeDocument/2006/relationships/hyperlink" Target="https://www.semrush.com/" TargetMode="External"/><Relationship Id="rId2120" Type="http://schemas.openxmlformats.org/officeDocument/2006/relationships/hyperlink" Target="https://athenahq.ai/seoclarity/alternative" TargetMode="External"/><Relationship Id="rId1274" Type="http://schemas.openxmlformats.org/officeDocument/2006/relationships/hyperlink" Target="https://adstransparency.google.com/advertiser/AR11070511645502472193/creative/CR03348136859334082561?region=anywhere" TargetMode="External"/><Relationship Id="rId2121" Type="http://schemas.openxmlformats.org/officeDocument/2006/relationships/hyperlink" Target="https://adstransparency.google.com/advertiser/AR17913883853710163969/creative/CR16681113332203126785?region=anywhere" TargetMode="External"/><Relationship Id="rId444" Type="http://schemas.openxmlformats.org/officeDocument/2006/relationships/hyperlink" Target="https://adstransparency.google.com/advertiser/AR05016556376214732801/creative/CR18365701485397803009?region=anywhere" TargetMode="External"/><Relationship Id="rId1275" Type="http://schemas.openxmlformats.org/officeDocument/2006/relationships/hyperlink" Target="https://www.semrush.com/" TargetMode="External"/><Relationship Id="rId2122" Type="http://schemas.openxmlformats.org/officeDocument/2006/relationships/hyperlink" Target="https://athenahq.ai/scrunch/alternative" TargetMode="External"/><Relationship Id="rId443" Type="http://schemas.openxmlformats.org/officeDocument/2006/relationships/hyperlink" Target="https://peec.ai/" TargetMode="External"/><Relationship Id="rId1276" Type="http://schemas.openxmlformats.org/officeDocument/2006/relationships/hyperlink" Target="https://adstransparency.google.com/advertiser/AR11070511645502472193/creative/CR12259327609141198849?region=anywhere" TargetMode="External"/><Relationship Id="rId2123" Type="http://schemas.openxmlformats.org/officeDocument/2006/relationships/hyperlink" Target="https://adstransparency.google.com/advertiser/AR17913883853710163969/creative/CR14799257399822647297?region=anywhere" TargetMode="External"/><Relationship Id="rId442" Type="http://schemas.openxmlformats.org/officeDocument/2006/relationships/hyperlink" Target="https://adstransparency.google.com/advertiser/AR05016556376214732801/creative/CR07652558537993748481?region=anywhere" TargetMode="External"/><Relationship Id="rId1277" Type="http://schemas.openxmlformats.org/officeDocument/2006/relationships/hyperlink" Target="https://www.semrush.com/" TargetMode="External"/><Relationship Id="rId2124" Type="http://schemas.openxmlformats.org/officeDocument/2006/relationships/hyperlink" Target="https://athenahq.ai/search-report" TargetMode="External"/><Relationship Id="rId441" Type="http://schemas.openxmlformats.org/officeDocument/2006/relationships/hyperlink" Target="https://peec.ai/visibility/platform" TargetMode="External"/><Relationship Id="rId1278" Type="http://schemas.openxmlformats.org/officeDocument/2006/relationships/hyperlink" Target="https://adstransparency.google.com/advertiser/AR11070511645502472193/creative/CR09051142894802436097?region=anywhere" TargetMode="External"/><Relationship Id="rId2125" Type="http://schemas.openxmlformats.org/officeDocument/2006/relationships/hyperlink" Target="https://adstransparency.google.com/advertiser/AR17913883853710163969/creative/CR07462500050392842241?region=anywhere" TargetMode="External"/><Relationship Id="rId1268" Type="http://schemas.openxmlformats.org/officeDocument/2006/relationships/hyperlink" Target="https://adstransparency.google.com/advertiser/AR11070511645502472193/creative/CR03343945589728477185?region=anywhere" TargetMode="External"/><Relationship Id="rId2115" Type="http://schemas.openxmlformats.org/officeDocument/2006/relationships/hyperlink" Target="https://adstransparency.google.com/advertiser/AR17913883853710163969/creative/CR18280905636835229697?region=anywhere" TargetMode="External"/><Relationship Id="rId1269" Type="http://schemas.openxmlformats.org/officeDocument/2006/relationships/hyperlink" Target="https://www.semrush.com/pricing/" TargetMode="External"/><Relationship Id="rId2116" Type="http://schemas.openxmlformats.org/officeDocument/2006/relationships/hyperlink" Target="https://athenahq.ai/report/2026" TargetMode="External"/><Relationship Id="rId2117" Type="http://schemas.openxmlformats.org/officeDocument/2006/relationships/hyperlink" Target="https://adstransparency.google.com/advertiser/AR17913883853710163969/creative/CR04924011856894361601?region=anywhere" TargetMode="External"/><Relationship Id="rId2118" Type="http://schemas.openxmlformats.org/officeDocument/2006/relationships/hyperlink" Target="https://athenahq.ai/" TargetMode="External"/><Relationship Id="rId2119" Type="http://schemas.openxmlformats.org/officeDocument/2006/relationships/hyperlink" Target="https://adstransparency.google.com/advertiser/AR17913883853710163969/creative/CR02845759508293091329?region=anywhere" TargetMode="External"/><Relationship Id="rId437" Type="http://schemas.openxmlformats.org/officeDocument/2006/relationships/hyperlink" Target="https://peec.ai/black-friday" TargetMode="External"/><Relationship Id="rId436" Type="http://schemas.openxmlformats.org/officeDocument/2006/relationships/hyperlink" Target="https://adstransparency.google.com/advertiser/AR05016556376214732801/creative/CR13758031476140539905?region=anywhere" TargetMode="External"/><Relationship Id="rId435" Type="http://schemas.openxmlformats.org/officeDocument/2006/relationships/hyperlink" Target="https://peec.ai/" TargetMode="External"/><Relationship Id="rId434" Type="http://schemas.openxmlformats.org/officeDocument/2006/relationships/hyperlink" Target="https://adstransparency.google.com/advertiser/AR05016556376214732801/creative/CR10482587874594127873?region=anywhere" TargetMode="External"/><Relationship Id="rId439" Type="http://schemas.openxmlformats.org/officeDocument/2006/relationships/hyperlink" Target="https://peec.ai/" TargetMode="External"/><Relationship Id="rId438" Type="http://schemas.openxmlformats.org/officeDocument/2006/relationships/hyperlink" Target="https://adstransparency.google.com/advertiser/AR05016556376214732801/creative/CR16330717161322446849?region=anywhere" TargetMode="External"/><Relationship Id="rId1260" Type="http://schemas.openxmlformats.org/officeDocument/2006/relationships/hyperlink" Target="https://adstransparency.google.com/advertiser/AR11070511645502472193/creative/CR01828016335481733121?region=anywhere" TargetMode="External"/><Relationship Id="rId1261" Type="http://schemas.openxmlformats.org/officeDocument/2006/relationships/hyperlink" Target="https://www.semrush.com/" TargetMode="External"/><Relationship Id="rId1262" Type="http://schemas.openxmlformats.org/officeDocument/2006/relationships/hyperlink" Target="https://adstransparency.google.com/advertiser/AR11070511645502472193/creative/CR05107982185403514881?region=anywhere" TargetMode="External"/><Relationship Id="rId1263" Type="http://schemas.openxmlformats.org/officeDocument/2006/relationships/hyperlink" Target="https://www.semrush.com/analytics/backlinks/overview/" TargetMode="External"/><Relationship Id="rId2110" Type="http://schemas.openxmlformats.org/officeDocument/2006/relationships/hyperlink" Target="https://athenahq.ai/" TargetMode="External"/><Relationship Id="rId433" Type="http://schemas.openxmlformats.org/officeDocument/2006/relationships/hyperlink" Target="https://peec.ai/" TargetMode="External"/><Relationship Id="rId1264" Type="http://schemas.openxmlformats.org/officeDocument/2006/relationships/hyperlink" Target="https://adstransparency.google.com/advertiser/AR11070511645502472193/creative/CR17978489267172671489?region=anywhere" TargetMode="External"/><Relationship Id="rId2111" Type="http://schemas.openxmlformats.org/officeDocument/2006/relationships/hyperlink" Target="https://adstransparency.google.com/advertiser/AR17913883853710163969/creative/CR10575763900135899137?region=anywhere" TargetMode="External"/><Relationship Id="rId432" Type="http://schemas.openxmlformats.org/officeDocument/2006/relationships/hyperlink" Target="https://adstransparency.google.com/advertiser/AR05016556376214732801/creative/CR15141815375647211521?region=anywhere" TargetMode="External"/><Relationship Id="rId1265" Type="http://schemas.openxmlformats.org/officeDocument/2006/relationships/hyperlink" Target="https://www.semrush.com/features/" TargetMode="External"/><Relationship Id="rId2112" Type="http://schemas.openxmlformats.org/officeDocument/2006/relationships/hyperlink" Target="https://athenahq.ai/aeo/platform" TargetMode="External"/><Relationship Id="rId431" Type="http://schemas.openxmlformats.org/officeDocument/2006/relationships/hyperlink" Target="https://peec.ai/demo" TargetMode="External"/><Relationship Id="rId1266" Type="http://schemas.openxmlformats.org/officeDocument/2006/relationships/hyperlink" Target="https://adstransparency.google.com/advertiser/AR11070511645502472193/creative/CR15550450684586360833?region=anywhere" TargetMode="External"/><Relationship Id="rId2113" Type="http://schemas.openxmlformats.org/officeDocument/2006/relationships/hyperlink" Target="https://adstransparency.google.com/advertiser/AR17913883853710163969/creative/CR12852410984391770113?region=anywhere" TargetMode="External"/><Relationship Id="rId430" Type="http://schemas.openxmlformats.org/officeDocument/2006/relationships/hyperlink" Target="https://adstransparency.google.com/advertiser/AR05016556376214732801/creative/CR12275662641078206465?region=anywhere" TargetMode="External"/><Relationship Id="rId1267" Type="http://schemas.openxmlformats.org/officeDocument/2006/relationships/hyperlink" Target="https://www.semrush.com/agencies/" TargetMode="External"/><Relationship Id="rId2114" Type="http://schemas.openxmlformats.org/officeDocument/2006/relationships/hyperlink" Target="https://athenahq.ai/"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1" Type="http://schemas.openxmlformats.org/officeDocument/2006/relationships/hyperlink" Target="https://www.semrush.com/" TargetMode="External"/><Relationship Id="rId39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1" Type="http://schemas.openxmlformats.org/officeDocument/2006/relationships/hyperlink" Target="https://www.tryprofound.com/customers/mongodb" TargetMode="External"/><Relationship Id="rId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 Type="http://schemas.openxmlformats.org/officeDocument/2006/relationships/hyperlink" Target="https://www.tryprofound.com/customers/mongodb" TargetMode="External"/><Relationship Id="rId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 Type="http://schemas.openxmlformats.org/officeDocument/2006/relationships/hyperlink" Target="https://www.tryprofound.com/contact-sales" TargetMode="External"/><Relationship Id="rId385" Type="http://schemas.openxmlformats.org/officeDocument/2006/relationships/hyperlink" Target="https://www.semrush.com/lp/website-audit-1/en/" TargetMode="External"/><Relationship Id="rId38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83" Type="http://schemas.openxmlformats.org/officeDocument/2006/relationships/hyperlink" Target="https://www.semrush.com/" TargetMode="External"/><Relationship Id="rId38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5" Type="http://schemas.openxmlformats.org/officeDocument/2006/relationships/hyperlink" Target="https://www.tryprofound.com/contact-sales" TargetMode="External"/><Relationship Id="rId389" Type="http://schemas.openxmlformats.org/officeDocument/2006/relationships/hyperlink" Target="http://spotlightconf.com/" TargetMode="External"/><Relationship Id="rId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8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7" Type="http://schemas.openxmlformats.org/officeDocument/2006/relationships/hyperlink" Target="https://www.tryprofound.com/customers/mongodb" TargetMode="External"/><Relationship Id="rId387" Type="http://schemas.openxmlformats.org/officeDocument/2006/relationships/hyperlink" Target="https://www.semrush.com/" TargetMode="External"/><Relationship Id="rId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8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81" Type="http://schemas.openxmlformats.org/officeDocument/2006/relationships/hyperlink" Target="http://spotlightconf.com/" TargetMode="External"/><Relationship Id="rId38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9" Type="http://schemas.openxmlformats.org/officeDocument/2006/relationships/hyperlink" Target="https://www.semrush.com/lp/semrush-one/en/" TargetMode="External"/><Relationship Id="rId37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3" Type="http://schemas.openxmlformats.org/officeDocument/2006/relationships/hyperlink" Target="https://www.semrush.com/lp/website-audit-1/en/" TargetMode="External"/><Relationship Id="rId37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1" Type="http://schemas.openxmlformats.org/officeDocument/2006/relationships/hyperlink" Target="https://www.spotlightconf.com/" TargetMode="External"/><Relationship Id="rId37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7" Type="http://schemas.openxmlformats.org/officeDocument/2006/relationships/hyperlink" Target="https://www.spotlightconf.com/" TargetMode="External"/><Relationship Id="rId37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5" Type="http://schemas.openxmlformats.org/officeDocument/2006/relationships/hyperlink" Target="http://spotlightconf.com/" TargetMode="External"/><Relationship Id="rId39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5" Type="http://schemas.openxmlformats.org/officeDocument/2006/relationships/hyperlink" Target="https://www.spotlightconf.com/" TargetMode="External"/><Relationship Id="rId39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3" Type="http://schemas.openxmlformats.org/officeDocument/2006/relationships/hyperlink" Target="https://www.semrush.com/lp/product-keyword-magic-tool-7/en/" TargetMode="External"/><Relationship Id="rId399" Type="http://schemas.openxmlformats.org/officeDocument/2006/relationships/hyperlink" Target="https://www.semrush.com/lp/semrush-one/en/" TargetMode="External"/><Relationship Id="rId39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7" Type="http://schemas.openxmlformats.org/officeDocument/2006/relationships/hyperlink" Target="http://spotlightconf.com/" TargetMode="External"/><Relationship Id="rId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1" Type="http://schemas.openxmlformats.org/officeDocument/2006/relationships/hyperlink" Target="https://www.tryprofound.com/aeo-report" TargetMode="External"/><Relationship Id="rId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3" Type="http://schemas.openxmlformats.org/officeDocument/2006/relationships/hyperlink" Target="https://www.tryprofound.com/customers/mongodb" TargetMode="External"/><Relationship Id="rId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5" Type="http://schemas.openxmlformats.org/officeDocument/2006/relationships/hyperlink" Target="https://www.tryprofound.com/profound-index" TargetMode="External"/><Relationship Id="rId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7" Type="http://schemas.openxmlformats.org/officeDocument/2006/relationships/hyperlink" Target="https://www.tryprofound.com/customers/mongodb" TargetMode="External"/><Relationship Id="rId49" Type="http://schemas.openxmlformats.org/officeDocument/2006/relationships/hyperlink" Target="https://www.tryprofound.com/customers/mongodb" TargetMode="External"/><Relationship Id="rId31" Type="http://schemas.openxmlformats.org/officeDocument/2006/relationships/hyperlink" Target="https://www.tryprofound.com/contact-sales" TargetMode="External"/><Relationship Id="rId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3" Type="http://schemas.openxmlformats.org/officeDocument/2006/relationships/hyperlink" Target="https://www.tryprofound.com/profound-index" TargetMode="External"/><Relationship Id="rId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5" Type="http://schemas.openxmlformats.org/officeDocument/2006/relationships/hyperlink" Target="https://www.tryprofound.com/profound-index" TargetMode="External"/><Relationship Id="rId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7" Type="http://schemas.openxmlformats.org/officeDocument/2006/relationships/hyperlink" Target="https://www.tryprofound.com/contact-sales" TargetMode="External"/><Relationship Id="rId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9" Type="http://schemas.openxmlformats.org/officeDocument/2006/relationships/hyperlink" Target="https://www.tryprofound.com/contact-sales" TargetMode="External"/><Relationship Id="rId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 Type="http://schemas.openxmlformats.org/officeDocument/2006/relationships/hyperlink" Target="https://www.tryprofound.com/contact-sales" TargetMode="External"/><Relationship Id="rId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 Type="http://schemas.openxmlformats.org/officeDocument/2006/relationships/hyperlink" Target="https://www.tryprofound.com/contact-sales" TargetMode="External"/><Relationship Id="rId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 Type="http://schemas.openxmlformats.org/officeDocument/2006/relationships/hyperlink" Target="https://www.tryprofound.com/contact-sales" TargetMode="External"/><Relationship Id="rId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 Type="http://schemas.openxmlformats.org/officeDocument/2006/relationships/hyperlink" Target="https://www.tryprofound.com/customers/mongodb" TargetMode="External"/><Relationship Id="rId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 Type="http://schemas.openxmlformats.org/officeDocument/2006/relationships/hyperlink" Target="https://www.tryprofound.com/contact-sales" TargetMode="External"/><Relationship Id="rId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 Type="http://schemas.openxmlformats.org/officeDocument/2006/relationships/hyperlink" Target="https://www.tryprofound.com/contact-sales" TargetMode="External"/><Relationship Id="rId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 Type="http://schemas.openxmlformats.org/officeDocument/2006/relationships/hyperlink" Target="https://www.tryprofound.com/features/aim" TargetMode="External"/><Relationship Id="rId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 Type="http://schemas.openxmlformats.org/officeDocument/2006/relationships/hyperlink" Target="https://www.tryprofound.com/contact-sales" TargetMode="External"/><Relationship Id="rId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3" Type="http://schemas.openxmlformats.org/officeDocument/2006/relationships/hyperlink" Target="https://www.tryprofound.com/contact-sales" TargetMode="External"/><Relationship Id="rId8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7" Type="http://schemas.openxmlformats.org/officeDocument/2006/relationships/hyperlink" Target="https://www.tryprofound.com/customers/mongodb" TargetMode="External"/><Relationship Id="rId89" Type="http://schemas.openxmlformats.org/officeDocument/2006/relationships/hyperlink" Target="https://www.tryprofound.com/contact-sales" TargetMode="External"/><Relationship Id="rId8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1" Type="http://schemas.openxmlformats.org/officeDocument/2006/relationships/hyperlink" Target="https://www.tryprofound.com/profound-index" TargetMode="External"/><Relationship Id="rId73" Type="http://schemas.openxmlformats.org/officeDocument/2006/relationships/hyperlink" Target="https://www.tryprofound.com/features/aim" TargetMode="External"/><Relationship Id="rId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5" Type="http://schemas.openxmlformats.org/officeDocument/2006/relationships/hyperlink" Target="https://www.tryprofound.com/profound-index" TargetMode="External"/><Relationship Id="rId7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7" Type="http://schemas.openxmlformats.org/officeDocument/2006/relationships/hyperlink" Target="https://www.tryprofound.com/" TargetMode="External"/><Relationship Id="rId7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9" Type="http://schemas.openxmlformats.org/officeDocument/2006/relationships/hyperlink" Target="https://www.tryprofound.com/contact-sales" TargetMode="External"/><Relationship Id="rId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1" Type="http://schemas.openxmlformats.org/officeDocument/2006/relationships/hyperlink" Target="https://www.tryprofound.com/contact-sales" TargetMode="External"/><Relationship Id="rId6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5" Type="http://schemas.openxmlformats.org/officeDocument/2006/relationships/hyperlink" Target="https://www.tryprofound.com/profound-index" TargetMode="External"/><Relationship Id="rId6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7" Type="http://schemas.openxmlformats.org/officeDocument/2006/relationships/hyperlink" Target="https://www.tryprofound.com/profound-index" TargetMode="External"/><Relationship Id="rId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9" Type="http://schemas.openxmlformats.org/officeDocument/2006/relationships/hyperlink" Target="https://www.tryprofound.com/customers/mongodb" TargetMode="External"/><Relationship Id="rId51" Type="http://schemas.openxmlformats.org/officeDocument/2006/relationships/hyperlink" Target="https://www.tryprofound.com/contact-sales" TargetMode="External"/><Relationship Id="rId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3" Type="http://schemas.openxmlformats.org/officeDocument/2006/relationships/hyperlink" Target="https://www.tryprofound.com/customers/mongodb" TargetMode="External"/><Relationship Id="rId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5" Type="http://schemas.openxmlformats.org/officeDocument/2006/relationships/hyperlink" Target="https://www.tryprofound.com/contact-sales" TargetMode="External"/><Relationship Id="rId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7" Type="http://schemas.openxmlformats.org/officeDocument/2006/relationships/hyperlink" Target="https://www.tryprofound.com/profound-index" TargetMode="External"/><Relationship Id="rId5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 Type="http://schemas.openxmlformats.org/officeDocument/2006/relationships/hyperlink" Target="https://www.tryprofound.com/profound-index" TargetMode="External"/><Relationship Id="rId5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49" Type="http://schemas.openxmlformats.org/officeDocument/2006/relationships/hyperlink" Target="https://mangools.com/kwfinder/features/keyword-gap-analysis-tool/" TargetMode="External"/><Relationship Id="rId3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7" Type="http://schemas.openxmlformats.org/officeDocument/2006/relationships/hyperlink" Target="https://mangools.com/ai-search-grader" TargetMode="External"/><Relationship Id="rId3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1" Type="http://schemas.openxmlformats.org/officeDocument/2006/relationships/hyperlink" Target="https://mangools.com/ai-search-watcher" TargetMode="External"/><Relationship Id="rId3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5" Type="http://schemas.openxmlformats.org/officeDocument/2006/relationships/hyperlink" Target="https://mangools.com/kwfinder/features/keyword-gap-analysis-tool/" TargetMode="External"/><Relationship Id="rId3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3" Type="http://schemas.openxmlformats.org/officeDocument/2006/relationships/hyperlink" Target="https://mangools.com/kwfinder/features/keyword-gap-analysis-tool/" TargetMode="External"/><Relationship Id="rId3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7" Type="http://schemas.openxmlformats.org/officeDocument/2006/relationships/hyperlink" Target="https://mangools.com/kwfinder/features/keyword-gap-analysis-tool/" TargetMode="External"/><Relationship Id="rId3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5" Type="http://schemas.openxmlformats.org/officeDocument/2006/relationships/hyperlink" Target="https://mangools.com/kwfinder/features/keyword-gap-analysis-tool/" TargetMode="External"/><Relationship Id="rId339" Type="http://schemas.openxmlformats.org/officeDocument/2006/relationships/hyperlink" Target="https://mangools.com/kwfinder/features/keyword-gap-analysis-tool/" TargetMode="External"/><Relationship Id="rId3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3" Type="http://schemas.openxmlformats.org/officeDocument/2006/relationships/hyperlink" Target="https://mangools.com/ai-search-watcher" TargetMode="External"/><Relationship Id="rId3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1" Type="http://schemas.openxmlformats.org/officeDocument/2006/relationships/hyperlink" Target="https://mangools.com/ai-search-watcher" TargetMode="External"/><Relationship Id="rId37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9" Type="http://schemas.openxmlformats.org/officeDocument/2006/relationships/hyperlink" Target="https://www.semrush.com/lp/website-audit-1/en/" TargetMode="External"/><Relationship Id="rId36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3" Type="http://schemas.openxmlformats.org/officeDocument/2006/relationships/hyperlink" Target="https://www.semrush.com/lp/website-audit-1/en/" TargetMode="External"/><Relationship Id="rId36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1" Type="http://schemas.openxmlformats.org/officeDocument/2006/relationships/hyperlink" Target="http://spotlightconf.com/" TargetMode="External"/><Relationship Id="rId36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7" Type="http://schemas.openxmlformats.org/officeDocument/2006/relationships/hyperlink" Target="https://www.semrush.com/lp/ai-toolkit/en/" TargetMode="External"/><Relationship Id="rId36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5" Type="http://schemas.openxmlformats.org/officeDocument/2006/relationships/hyperlink" Target="https://www.semrush.com/" TargetMode="External"/><Relationship Id="rId36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95" Type="http://schemas.openxmlformats.org/officeDocument/2006/relationships/hyperlink" Target="https://www.tryprofound.com/contact-sales" TargetMode="External"/><Relationship Id="rId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7" Type="http://schemas.openxmlformats.org/officeDocument/2006/relationships/hyperlink" Target="https://www.tryprofound.com/customers/mongodb" TargetMode="External"/><Relationship Id="rId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9" Type="http://schemas.openxmlformats.org/officeDocument/2006/relationships/hyperlink" Target="https://www.tryprofound.com/customers/mongodb" TargetMode="External"/><Relationship Id="rId9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1" Type="http://schemas.openxmlformats.org/officeDocument/2006/relationships/hyperlink" Target="https://www.tryprofound.com/contact-sales" TargetMode="External"/><Relationship Id="rId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3" Type="http://schemas.openxmlformats.org/officeDocument/2006/relationships/hyperlink" Target="https://www.tryprofound.com/contact-sales" TargetMode="External"/><Relationship Id="rId9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59" Type="http://schemas.openxmlformats.org/officeDocument/2006/relationships/hyperlink" Target="https://www.semrush.com/lp/semrush-one/en/" TargetMode="External"/><Relationship Id="rId35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57" Type="http://schemas.openxmlformats.org/officeDocument/2006/relationships/hyperlink" Target="https://www.semrush.com/" TargetMode="External"/><Relationship Id="rId3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51" Type="http://schemas.openxmlformats.org/officeDocument/2006/relationships/hyperlink" Target="https://mangools.com/kwfinder/features/keyword-gap-analysis-tool/" TargetMode="External"/><Relationship Id="rId3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5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55" Type="http://schemas.openxmlformats.org/officeDocument/2006/relationships/hyperlink" Target="https://www.semrush.com/" TargetMode="External"/><Relationship Id="rId3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53" Type="http://schemas.openxmlformats.org/officeDocument/2006/relationships/hyperlink" Target="https://mangools.com/kwfinder/features/keyword-gap-analysis-tool/" TargetMode="External"/><Relationship Id="rId30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3" Type="http://schemas.openxmlformats.org/officeDocument/2006/relationships/hyperlink" Target="https://www.tryprofound.com/aeo-report" TargetMode="External"/><Relationship Id="rId3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7" Type="http://schemas.openxmlformats.org/officeDocument/2006/relationships/hyperlink" Target="https://www.tryprofound.com/customers/mongodb" TargetMode="External"/><Relationship Id="rId3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27" Type="http://schemas.openxmlformats.org/officeDocument/2006/relationships/hyperlink" Target="https://mangools.com/blackfriday-2025" TargetMode="External"/><Relationship Id="rId3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5" Type="http://schemas.openxmlformats.org/officeDocument/2006/relationships/hyperlink" Target="https://mangools.com/blackfriday-2025" TargetMode="External"/><Relationship Id="rId3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9" Type="http://schemas.openxmlformats.org/officeDocument/2006/relationships/hyperlink" Target="https://mangools.com/ai-search-watcher" TargetMode="External"/><Relationship Id="rId3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3" Type="http://schemas.openxmlformats.org/officeDocument/2006/relationships/hyperlink" Target="https://mangools.com/ai-search-grader" TargetMode="External"/><Relationship Id="rId3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1" Type="http://schemas.openxmlformats.org/officeDocument/2006/relationships/hyperlink" Target="https://mangools.com/reddit-threads-finder" TargetMode="External"/><Relationship Id="rId3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5" Type="http://schemas.openxmlformats.org/officeDocument/2006/relationships/hyperlink" Target="https://www.tryprofound.com/contact-sales" TargetMode="External"/><Relationship Id="rId3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9" Type="http://schemas.openxmlformats.org/officeDocument/2006/relationships/hyperlink" Target="https://mangools.com/kwfinder/" TargetMode="External"/><Relationship Id="rId3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17" Type="http://schemas.openxmlformats.org/officeDocument/2006/relationships/hyperlink" Target="https://mangools.com/ai-search-watcher/" TargetMode="External"/><Relationship Id="rId3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1" Type="http://schemas.openxmlformats.org/officeDocument/2006/relationships/hyperlink" Target="https://www.tryprofound.com/customers/mongodb" TargetMode="External"/><Relationship Id="rId3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7" Type="http://schemas.openxmlformats.org/officeDocument/2006/relationships/hyperlink" Target="https://www.tryprofound.com/profound-index" TargetMode="External"/><Relationship Id="rId2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9" Type="http://schemas.openxmlformats.org/officeDocument/2006/relationships/hyperlink" Target="https://www.tryprofound.com/aeo-report" TargetMode="External"/><Relationship Id="rId29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1" Type="http://schemas.openxmlformats.org/officeDocument/2006/relationships/hyperlink" Target="https://www.tryprofound.com/contact-sales" TargetMode="External"/><Relationship Id="rId27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9" Type="http://schemas.openxmlformats.org/officeDocument/2006/relationships/hyperlink" Target="https://www.tryprofound.com/customers/mongodb" TargetMode="External"/><Relationship Id="rId26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3" Type="http://schemas.openxmlformats.org/officeDocument/2006/relationships/hyperlink" Target="https://www.tryprofound.com/contact-sales" TargetMode="External"/><Relationship Id="rId26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1" Type="http://schemas.openxmlformats.org/officeDocument/2006/relationships/hyperlink" Target="https://www.tryprofound.com/contact-sales" TargetMode="External"/><Relationship Id="rId26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7" Type="http://schemas.openxmlformats.org/officeDocument/2006/relationships/hyperlink" Target="https://www.tryprofound.com/contact-sales" TargetMode="External"/><Relationship Id="rId2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5" Type="http://schemas.openxmlformats.org/officeDocument/2006/relationships/hyperlink" Target="https://www.tryprofound.com/customers/mongodb" TargetMode="External"/><Relationship Id="rId2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9" Type="http://schemas.openxmlformats.org/officeDocument/2006/relationships/hyperlink" Target="https://www.tryprofound.com/contact-sales" TargetMode="External"/><Relationship Id="rId25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3" Type="http://schemas.openxmlformats.org/officeDocument/2006/relationships/hyperlink" Target="https://www.tryprofound.com/contact-sales" TargetMode="External"/><Relationship Id="rId2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1" Type="http://schemas.openxmlformats.org/officeDocument/2006/relationships/hyperlink" Target="https://www.tryprofound.com/contact-sales" TargetMode="External"/><Relationship Id="rId2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7" Type="http://schemas.openxmlformats.org/officeDocument/2006/relationships/hyperlink" Target="https://www.tryprofound.com/contact-sales" TargetMode="External"/><Relationship Id="rId25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5" Type="http://schemas.openxmlformats.org/officeDocument/2006/relationships/hyperlink" Target="https://www.tryprofound.com/profound-index" TargetMode="External"/><Relationship Id="rId2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3" Type="http://schemas.openxmlformats.org/officeDocument/2006/relationships/hyperlink" Target="https://www.tryprofound.com/profound-index" TargetMode="External"/><Relationship Id="rId29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1" Type="http://schemas.openxmlformats.org/officeDocument/2006/relationships/hyperlink" Target="https://www.tryprofound.com/customers/mongodb" TargetMode="External"/><Relationship Id="rId2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5" Type="http://schemas.openxmlformats.org/officeDocument/2006/relationships/hyperlink" Target="https://www.tryprofound.com/contact-sales" TargetMode="External"/><Relationship Id="rId2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3" Type="http://schemas.openxmlformats.org/officeDocument/2006/relationships/hyperlink" Target="https://www.tryprofound.com/profound-index" TargetMode="External"/><Relationship Id="rId289" Type="http://schemas.openxmlformats.org/officeDocument/2006/relationships/hyperlink" Target="https://www.tryprofound.com/contact-sales" TargetMode="External"/><Relationship Id="rId28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1" Type="http://schemas.openxmlformats.org/officeDocument/2006/relationships/hyperlink" Target="https://www.tryprofound.com/customers/mongodb" TargetMode="External"/><Relationship Id="rId28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5" Type="http://schemas.openxmlformats.org/officeDocument/2006/relationships/hyperlink" Target="https://www.tryprofound.com/contact-sales" TargetMode="External"/><Relationship Id="rId27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3" Type="http://schemas.openxmlformats.org/officeDocument/2006/relationships/hyperlink" Target="https://www.tryprofound.com/contact-sales" TargetMode="External"/><Relationship Id="rId2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9" Type="http://schemas.openxmlformats.org/officeDocument/2006/relationships/hyperlink" Target="https://www.tryprofound.com/aeo-report" TargetMode="External"/><Relationship Id="rId2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7" Type="http://schemas.openxmlformats.org/officeDocument/2006/relationships/hyperlink" Target="https://www.tryprofound.com/contact-sales" TargetMode="External"/><Relationship Id="rId27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601" Type="http://schemas.openxmlformats.org/officeDocument/2006/relationships/hyperlink" Target="http://otterly.ai" TargetMode="External"/><Relationship Id="rId600" Type="http://schemas.openxmlformats.org/officeDocument/2006/relationships/hyperlink" Target="https://otterly.ai/" TargetMode="External"/><Relationship Id="rId603" Type="http://schemas.openxmlformats.org/officeDocument/2006/relationships/drawing" Target="../drawings/drawing2.xml"/><Relationship Id="rId2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7" Type="http://schemas.openxmlformats.org/officeDocument/2006/relationships/hyperlink" Target="https://www.tryprofound.com/contact-sales" TargetMode="External"/><Relationship Id="rId2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5" Type="http://schemas.openxmlformats.org/officeDocument/2006/relationships/hyperlink" Target="https://www.tryprofound.com/profound-index" TargetMode="External"/><Relationship Id="rId229" Type="http://schemas.openxmlformats.org/officeDocument/2006/relationships/hyperlink" Target="https://www.tryprofound.com/customers/mongodb" TargetMode="External"/><Relationship Id="rId2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3" Type="http://schemas.openxmlformats.org/officeDocument/2006/relationships/hyperlink" Target="https://www.tryprofound.com/contact-sales" TargetMode="External"/><Relationship Id="rId2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1" Type="http://schemas.openxmlformats.org/officeDocument/2006/relationships/hyperlink" Target="https://www.tryprofound.com/profound-index" TargetMode="External"/><Relationship Id="rId217" Type="http://schemas.openxmlformats.org/officeDocument/2006/relationships/hyperlink" Target="https://www.tryprofound.com/contact-sales" TargetMode="External"/><Relationship Id="rId2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5" Type="http://schemas.openxmlformats.org/officeDocument/2006/relationships/hyperlink" Target="https://www.tryprofound.com/profound-index" TargetMode="External"/><Relationship Id="rId2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9" Type="http://schemas.openxmlformats.org/officeDocument/2006/relationships/hyperlink" Target="https://www.tryprofound.com/contact-sales" TargetMode="External"/><Relationship Id="rId2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3" Type="http://schemas.openxmlformats.org/officeDocument/2006/relationships/hyperlink" Target="https://www.tryprofound.com/contact-sales" TargetMode="External"/><Relationship Id="rId2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1" Type="http://schemas.openxmlformats.org/officeDocument/2006/relationships/hyperlink" Target="https://www.tryprofound.com/contact-sales" TargetMode="External"/><Relationship Id="rId2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9" Type="http://schemas.openxmlformats.org/officeDocument/2006/relationships/hyperlink" Target="https://www.tryprofound.com/customers/mongodb" TargetMode="External"/><Relationship Id="rId2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7" Type="http://schemas.openxmlformats.org/officeDocument/2006/relationships/hyperlink" Target="https://www.tryprofound.com/contact-sales" TargetMode="External"/><Relationship Id="rId2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1" Type="http://schemas.openxmlformats.org/officeDocument/2006/relationships/hyperlink" Target="https://www.tryprofound.com/customers/mongodb" TargetMode="External"/><Relationship Id="rId2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3" Type="http://schemas.openxmlformats.org/officeDocument/2006/relationships/hyperlink" Target="https://www.tryprofound.com/contact-sales" TargetMode="External"/><Relationship Id="rId239" Type="http://schemas.openxmlformats.org/officeDocument/2006/relationships/hyperlink" Target="https://www.tryprofound.com/contact-sales" TargetMode="External"/><Relationship Id="rId2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1" Type="http://schemas.openxmlformats.org/officeDocument/2006/relationships/hyperlink" Target="https://www.tryprofound.com/contact-sales" TargetMode="External"/><Relationship Id="rId2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5" Type="http://schemas.openxmlformats.org/officeDocument/2006/relationships/hyperlink" Target="https://www.tryprofound.com/contact-sales" TargetMode="External"/><Relationship Id="rId2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3" Type="http://schemas.openxmlformats.org/officeDocument/2006/relationships/hyperlink" Target="https://www.tryprofound.com/contact-sales" TargetMode="External"/><Relationship Id="rId2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5" Type="http://schemas.openxmlformats.org/officeDocument/2006/relationships/hyperlink" Target="https://www.tryprofound.com/contact-sales" TargetMode="External"/><Relationship Id="rId20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3" Type="http://schemas.openxmlformats.org/officeDocument/2006/relationships/hyperlink" Target="https://www.tryprofound.com/profound-index" TargetMode="External"/><Relationship Id="rId209" Type="http://schemas.openxmlformats.org/officeDocument/2006/relationships/hyperlink" Target="https://www.tryprofound.com/contact-sales" TargetMode="External"/><Relationship Id="rId20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7" Type="http://schemas.openxmlformats.org/officeDocument/2006/relationships/hyperlink" Target="https://www.tryprofound.com/features/aim" TargetMode="External"/><Relationship Id="rId2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1" Type="http://schemas.openxmlformats.org/officeDocument/2006/relationships/hyperlink" Target="https://www.tryprofound.com/customers/mongodb" TargetMode="External"/><Relationship Id="rId2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3" Type="http://schemas.openxmlformats.org/officeDocument/2006/relationships/hyperlink" Target="https://www.tryprofound.com/aeo-report" TargetMode="External"/><Relationship Id="rId19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1" Type="http://schemas.openxmlformats.org/officeDocument/2006/relationships/hyperlink" Target="https://www.tryprofound.com/profound-index" TargetMode="External"/><Relationship Id="rId187" Type="http://schemas.openxmlformats.org/officeDocument/2006/relationships/hyperlink" Target="https://www.tryprofound.com/customers/mongodb" TargetMode="External"/><Relationship Id="rId18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1" Type="http://schemas.openxmlformats.org/officeDocument/2006/relationships/hyperlink" Target="https://www.tryprofound.com/customers/mongodb" TargetMode="External"/><Relationship Id="rId18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3" Type="http://schemas.openxmlformats.org/officeDocument/2006/relationships/hyperlink" Target="https://www.tryprofound.com/contact-sales" TargetMode="External"/><Relationship Id="rId179" Type="http://schemas.openxmlformats.org/officeDocument/2006/relationships/hyperlink" Target="https://www.tryprofound.com/aeo-report" TargetMode="External"/><Relationship Id="rId1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7" Type="http://schemas.openxmlformats.org/officeDocument/2006/relationships/hyperlink" Target="https://www.tryprofound.com/contact-sales" TargetMode="External"/><Relationship Id="rId19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7" Type="http://schemas.openxmlformats.org/officeDocument/2006/relationships/hyperlink" Target="https://www.tryprofound.com/customers/mongodb" TargetMode="External"/><Relationship Id="rId1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5" Type="http://schemas.openxmlformats.org/officeDocument/2006/relationships/hyperlink" Target="https://www.tryprofound.com/contact-sales" TargetMode="External"/><Relationship Id="rId199" Type="http://schemas.openxmlformats.org/officeDocument/2006/relationships/hyperlink" Target="https://www.tryprofound.com/customers/mongodb" TargetMode="External"/><Relationship Id="rId1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1" Type="http://schemas.openxmlformats.org/officeDocument/2006/relationships/hyperlink" Target="https://www.tryprofound.com/contact-sales" TargetMode="External"/><Relationship Id="rId1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7" Type="http://schemas.openxmlformats.org/officeDocument/2006/relationships/hyperlink" Target="https://www.tryprofound.com/profound-index" TargetMode="External"/><Relationship Id="rId1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5" Type="http://schemas.openxmlformats.org/officeDocument/2006/relationships/hyperlink" Target="https://www.tryprofound.com/contact-sales" TargetMode="External"/><Relationship Id="rId1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9" Type="http://schemas.openxmlformats.org/officeDocument/2006/relationships/hyperlink" Target="https://www.tryprofound.com/contact-sales" TargetMode="External"/><Relationship Id="rId1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7" Type="http://schemas.openxmlformats.org/officeDocument/2006/relationships/hyperlink" Target="https://www.tryprofound.com/contact-sales" TargetMode="External"/><Relationship Id="rId1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5" Type="http://schemas.openxmlformats.org/officeDocument/2006/relationships/hyperlink" Target="https://www.tryprofound.com/profound-index" TargetMode="External"/><Relationship Id="rId1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1" Type="http://schemas.openxmlformats.org/officeDocument/2006/relationships/hyperlink" Target="https://www.tryprofound.com/profound-index" TargetMode="External"/><Relationship Id="rId17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5" Type="http://schemas.openxmlformats.org/officeDocument/2006/relationships/hyperlink" Target="https://www.tryprofound.com/contact-sales" TargetMode="External"/><Relationship Id="rId16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3" Type="http://schemas.openxmlformats.org/officeDocument/2006/relationships/hyperlink" Target="https://www.tryprofound.com/customers/mongodb" TargetMode="External"/><Relationship Id="rId16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9" Type="http://schemas.openxmlformats.org/officeDocument/2006/relationships/hyperlink" Target="https://www.tryprofound.com/" TargetMode="External"/><Relationship Id="rId16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7" Type="http://schemas.openxmlformats.org/officeDocument/2006/relationships/hyperlink" Target="https://www.tryprofound.com/contact-sales" TargetMode="External"/><Relationship Id="rId1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1" Type="http://schemas.openxmlformats.org/officeDocument/2006/relationships/hyperlink" Target="https://www.tryprofound.com/customers/mongodb" TargetMode="External"/><Relationship Id="rId1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9" Type="http://schemas.openxmlformats.org/officeDocument/2006/relationships/hyperlink" Target="https://www.tryprofound.com/contact-sales" TargetMode="External"/><Relationship Id="rId1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1" Type="http://schemas.openxmlformats.org/officeDocument/2006/relationships/hyperlink" Target="https://www.tryprofound.com/contact-sales" TargetMode="External"/><Relationship Id="rId15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7" Type="http://schemas.openxmlformats.org/officeDocument/2006/relationships/hyperlink" Target="https://www.tryprofound.com/contact-sales" TargetMode="External"/><Relationship Id="rId15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5" Type="http://schemas.openxmlformats.org/officeDocument/2006/relationships/hyperlink" Target="https://www.tryprofound.com/contact-sales" TargetMode="External"/><Relationship Id="rId50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8" Type="http://schemas.openxmlformats.org/officeDocument/2006/relationships/hyperlink" Target="http://otterly.ai" TargetMode="External"/><Relationship Id="rId50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2" Type="http://schemas.openxmlformats.org/officeDocument/2006/relationships/hyperlink" Target="http://otterly.ai" TargetMode="External"/><Relationship Id="rId501" Type="http://schemas.openxmlformats.org/officeDocument/2006/relationships/hyperlink" Target="https://otterly.ai/" TargetMode="External"/><Relationship Id="rId5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7" Type="http://schemas.openxmlformats.org/officeDocument/2006/relationships/hyperlink" Target="https://otterly.ai/" TargetMode="External"/><Relationship Id="rId5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5" Type="http://schemas.openxmlformats.org/officeDocument/2006/relationships/hyperlink" Target="http://otterly.ai" TargetMode="External"/><Relationship Id="rId504" Type="http://schemas.openxmlformats.org/officeDocument/2006/relationships/hyperlink" Target="https://otterly.ai/geo-guide/?utm_campaign=facebookads" TargetMode="External"/><Relationship Id="rId525" Type="http://schemas.openxmlformats.org/officeDocument/2006/relationships/hyperlink" Target="https://otterly.ai/" TargetMode="External"/><Relationship Id="rId5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23" Type="http://schemas.openxmlformats.org/officeDocument/2006/relationships/hyperlink" Target="http://otterly.ai" TargetMode="External"/><Relationship Id="rId522" Type="http://schemas.openxmlformats.org/officeDocument/2006/relationships/hyperlink" Target="https://otterly.ai/" TargetMode="External"/><Relationship Id="rId529" Type="http://schemas.openxmlformats.org/officeDocument/2006/relationships/hyperlink" Target="http://otterly.ai" TargetMode="External"/><Relationship Id="rId528" Type="http://schemas.openxmlformats.org/officeDocument/2006/relationships/hyperlink" Target="https://otterly.ai/" TargetMode="External"/><Relationship Id="rId52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26" Type="http://schemas.openxmlformats.org/officeDocument/2006/relationships/hyperlink" Target="http://otterly.ai" TargetMode="External"/><Relationship Id="rId52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20" Type="http://schemas.openxmlformats.org/officeDocument/2006/relationships/hyperlink" Target="http://otterly.ai" TargetMode="External"/><Relationship Id="rId519" Type="http://schemas.openxmlformats.org/officeDocument/2006/relationships/hyperlink" Target="https://otterly.ai/" TargetMode="External"/><Relationship Id="rId514" Type="http://schemas.openxmlformats.org/officeDocument/2006/relationships/hyperlink" Target="http://otterly.ai" TargetMode="External"/><Relationship Id="rId513" Type="http://schemas.openxmlformats.org/officeDocument/2006/relationships/hyperlink" Target="https://otterly.ai/" TargetMode="External"/><Relationship Id="rId5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11" Type="http://schemas.openxmlformats.org/officeDocument/2006/relationships/hyperlink" Target="http://otterly.ai" TargetMode="External"/><Relationship Id="rId5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17" Type="http://schemas.openxmlformats.org/officeDocument/2006/relationships/hyperlink" Target="http://otterly.ai" TargetMode="External"/><Relationship Id="rId516" Type="http://schemas.openxmlformats.org/officeDocument/2006/relationships/hyperlink" Target="https://otterly.ai/get-a-free-brand-report" TargetMode="External"/><Relationship Id="rId51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10" Type="http://schemas.openxmlformats.org/officeDocument/2006/relationships/hyperlink" Target="https://otterly.ai/" TargetMode="External"/><Relationship Id="rId5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07" Type="http://schemas.openxmlformats.org/officeDocument/2006/relationships/hyperlink" Target="https://www.tryprofound.com/customers/mongodb" TargetMode="External"/><Relationship Id="rId1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05" Type="http://schemas.openxmlformats.org/officeDocument/2006/relationships/hyperlink" Target="https://www.tryprofound.com/contact-sales" TargetMode="External"/><Relationship Id="rId589" Type="http://schemas.openxmlformats.org/officeDocument/2006/relationships/hyperlink" Target="http://otterly.ai" TargetMode="External"/><Relationship Id="rId10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8" Type="http://schemas.openxmlformats.org/officeDocument/2006/relationships/hyperlink" Target="https://otterly.ai/" TargetMode="External"/><Relationship Id="rId109" Type="http://schemas.openxmlformats.org/officeDocument/2006/relationships/hyperlink" Target="https://www.tryprofound.com/contact-sales" TargetMode="External"/><Relationship Id="rId10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3" Type="http://schemas.openxmlformats.org/officeDocument/2006/relationships/hyperlink" Target="http://otterly.ai" TargetMode="External"/><Relationship Id="rId582" Type="http://schemas.openxmlformats.org/officeDocument/2006/relationships/hyperlink" Target="https://otterly.ai/" TargetMode="External"/><Relationship Id="rId58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80" Type="http://schemas.openxmlformats.org/officeDocument/2006/relationships/hyperlink" Target="http://otterly.ai" TargetMode="External"/><Relationship Id="rId103" Type="http://schemas.openxmlformats.org/officeDocument/2006/relationships/hyperlink" Target="https://www.tryprofound.com/contact-sales" TargetMode="External"/><Relationship Id="rId58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6" Type="http://schemas.openxmlformats.org/officeDocument/2006/relationships/hyperlink" Target="http://otterly.ai" TargetMode="External"/><Relationship Id="rId101" Type="http://schemas.openxmlformats.org/officeDocument/2006/relationships/hyperlink" Target="https://www.tryprofound.com/features/aim" TargetMode="External"/><Relationship Id="rId585" Type="http://schemas.openxmlformats.org/officeDocument/2006/relationships/hyperlink" Target="https://otterly.ai/" TargetMode="External"/><Relationship Id="rId1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9" Type="http://schemas.openxmlformats.org/officeDocument/2006/relationships/hyperlink" Target="https://otterly.ai/" TargetMode="External"/><Relationship Id="rId5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7" Type="http://schemas.openxmlformats.org/officeDocument/2006/relationships/hyperlink" Target="http://otterly.ai" TargetMode="External"/><Relationship Id="rId5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1" Type="http://schemas.openxmlformats.org/officeDocument/2006/relationships/hyperlink" Target="http://otterly.ai" TargetMode="External"/><Relationship Id="rId570" Type="http://schemas.openxmlformats.org/officeDocument/2006/relationships/hyperlink" Target="https://otterly.ai/" TargetMode="External"/><Relationship Id="rId576" Type="http://schemas.openxmlformats.org/officeDocument/2006/relationships/hyperlink" Target="https://otterly.ai/" TargetMode="External"/><Relationship Id="rId57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4" Type="http://schemas.openxmlformats.org/officeDocument/2006/relationships/hyperlink" Target="http://otterly.ai" TargetMode="External"/><Relationship Id="rId573" Type="http://schemas.openxmlformats.org/officeDocument/2006/relationships/hyperlink" Target="https://otterly.ai/" TargetMode="External"/><Relationship Id="rId129" Type="http://schemas.openxmlformats.org/officeDocument/2006/relationships/hyperlink" Target="https://www.tryprofound.com/features/aim" TargetMode="External"/><Relationship Id="rId1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7" Type="http://schemas.openxmlformats.org/officeDocument/2006/relationships/hyperlink" Target="https://www.tryprofound.com/contact-sales" TargetMode="External"/><Relationship Id="rId1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1" Type="http://schemas.openxmlformats.org/officeDocument/2006/relationships/hyperlink" Target="https://www.tryprofound.com/customers/mongodb" TargetMode="External"/><Relationship Id="rId1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5" Type="http://schemas.openxmlformats.org/officeDocument/2006/relationships/hyperlink" Target="https://www.tryprofound.com/contact-sales" TargetMode="External"/><Relationship Id="rId1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3" Type="http://schemas.openxmlformats.org/officeDocument/2006/relationships/hyperlink" Target="https://www.tryprofound.com/" TargetMode="External"/><Relationship Id="rId1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7" Type="http://schemas.openxmlformats.org/officeDocument/2006/relationships/hyperlink" Target="https://www.tryprofound.com/customers/mongodb" TargetMode="External"/><Relationship Id="rId1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5" Type="http://schemas.openxmlformats.org/officeDocument/2006/relationships/hyperlink" Target="https://www.tryprofound.com/customers/mongodb" TargetMode="External"/><Relationship Id="rId59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19" Type="http://schemas.openxmlformats.org/officeDocument/2006/relationships/hyperlink" Target="https://www.tryprofound.com/profound-index" TargetMode="External"/><Relationship Id="rId1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4" Type="http://schemas.openxmlformats.org/officeDocument/2006/relationships/hyperlink" Target="https://otterly.ai/" TargetMode="External"/><Relationship Id="rId59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92" Type="http://schemas.openxmlformats.org/officeDocument/2006/relationships/hyperlink" Target="http://otterly.ai" TargetMode="External"/><Relationship Id="rId591" Type="http://schemas.openxmlformats.org/officeDocument/2006/relationships/hyperlink" Target="https://otterly.ai/" TargetMode="External"/><Relationship Id="rId1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8" Type="http://schemas.openxmlformats.org/officeDocument/2006/relationships/hyperlink" Target="http://otterly.ai" TargetMode="External"/><Relationship Id="rId113" Type="http://schemas.openxmlformats.org/officeDocument/2006/relationships/hyperlink" Target="https://www.tryprofound.com/contact-sales" TargetMode="External"/><Relationship Id="rId597" Type="http://schemas.openxmlformats.org/officeDocument/2006/relationships/hyperlink" Target="https://otterly.ai/" TargetMode="External"/><Relationship Id="rId1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11" Type="http://schemas.openxmlformats.org/officeDocument/2006/relationships/hyperlink" Target="https://www.tryprofound.com/customers/mongodb" TargetMode="External"/><Relationship Id="rId595" Type="http://schemas.openxmlformats.org/officeDocument/2006/relationships/hyperlink" Target="http://otterly.ai" TargetMode="External"/><Relationship Id="rId547" Type="http://schemas.openxmlformats.org/officeDocument/2006/relationships/hyperlink" Target="http://otterly.ai" TargetMode="External"/><Relationship Id="rId546" Type="http://schemas.openxmlformats.org/officeDocument/2006/relationships/hyperlink" Target="https://otterly.ai/" TargetMode="External"/><Relationship Id="rId54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44" Type="http://schemas.openxmlformats.org/officeDocument/2006/relationships/hyperlink" Target="http://otterly.ai" TargetMode="External"/><Relationship Id="rId549" Type="http://schemas.openxmlformats.org/officeDocument/2006/relationships/hyperlink" Target="https://otterly.ai/" TargetMode="External"/><Relationship Id="rId5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43" Type="http://schemas.openxmlformats.org/officeDocument/2006/relationships/hyperlink" Target="https://otterly.ai/" TargetMode="External"/><Relationship Id="rId5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41" Type="http://schemas.openxmlformats.org/officeDocument/2006/relationships/hyperlink" Target="http://otterly.ai" TargetMode="External"/><Relationship Id="rId540" Type="http://schemas.openxmlformats.org/officeDocument/2006/relationships/hyperlink" Target="https://otterly.ai/" TargetMode="External"/><Relationship Id="rId5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35" Type="http://schemas.openxmlformats.org/officeDocument/2006/relationships/hyperlink" Target="http://otterly.ai" TargetMode="External"/><Relationship Id="rId534" Type="http://schemas.openxmlformats.org/officeDocument/2006/relationships/hyperlink" Target="https://otterly.ai/" TargetMode="External"/><Relationship Id="rId53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3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38" Type="http://schemas.openxmlformats.org/officeDocument/2006/relationships/hyperlink" Target="http://otterly.ai" TargetMode="External"/><Relationship Id="rId537" Type="http://schemas.openxmlformats.org/officeDocument/2006/relationships/hyperlink" Target="https://otterly.ai/geo-guide/?utm_campaign=facebookads" TargetMode="External"/><Relationship Id="rId532" Type="http://schemas.openxmlformats.org/officeDocument/2006/relationships/hyperlink" Target="http://otterly.ai" TargetMode="External"/><Relationship Id="rId531" Type="http://schemas.openxmlformats.org/officeDocument/2006/relationships/hyperlink" Target="https://otterly.ai/" TargetMode="External"/><Relationship Id="rId5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8" Type="http://schemas.openxmlformats.org/officeDocument/2006/relationships/hyperlink" Target="http://otterly.ai" TargetMode="External"/><Relationship Id="rId567" Type="http://schemas.openxmlformats.org/officeDocument/2006/relationships/hyperlink" Target="https://otterly.ai/" TargetMode="External"/><Relationship Id="rId5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1" Type="http://schemas.openxmlformats.org/officeDocument/2006/relationships/hyperlink" Target="https://otterly.ai/" TargetMode="External"/><Relationship Id="rId5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5" Type="http://schemas.openxmlformats.org/officeDocument/2006/relationships/hyperlink" Target="http://otterly.ai" TargetMode="External"/><Relationship Id="rId564" Type="http://schemas.openxmlformats.org/officeDocument/2006/relationships/hyperlink" Target="https://otterly.ai/" TargetMode="External"/><Relationship Id="rId56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2" Type="http://schemas.openxmlformats.org/officeDocument/2006/relationships/hyperlink" Target="http://otterly.ai" TargetMode="External"/><Relationship Id="rId558" Type="http://schemas.openxmlformats.org/officeDocument/2006/relationships/hyperlink" Target="https://otterly.ai/" TargetMode="External"/><Relationship Id="rId55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56" Type="http://schemas.openxmlformats.org/officeDocument/2006/relationships/hyperlink" Target="http://otterly.ai" TargetMode="External"/><Relationship Id="rId555" Type="http://schemas.openxmlformats.org/officeDocument/2006/relationships/hyperlink" Target="https://otterly.ai/" TargetMode="External"/><Relationship Id="rId559" Type="http://schemas.openxmlformats.org/officeDocument/2006/relationships/hyperlink" Target="http://otterly.ai" TargetMode="External"/><Relationship Id="rId550" Type="http://schemas.openxmlformats.org/officeDocument/2006/relationships/hyperlink" Target="http://otterly.ai" TargetMode="External"/><Relationship Id="rId5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53" Type="http://schemas.openxmlformats.org/officeDocument/2006/relationships/hyperlink" Target="http://otterly.ai" TargetMode="External"/><Relationship Id="rId552" Type="http://schemas.openxmlformats.org/officeDocument/2006/relationships/hyperlink" Target="https://otterly.ai/" TargetMode="External"/><Relationship Id="rId55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5" Type="http://schemas.openxmlformats.org/officeDocument/2006/relationships/hyperlink" Target="https://otterly.ai/" TargetMode="External"/><Relationship Id="rId4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3" Type="http://schemas.openxmlformats.org/officeDocument/2006/relationships/hyperlink" Target="http://otterly.ai" TargetMode="External"/><Relationship Id="rId492" Type="http://schemas.openxmlformats.org/officeDocument/2006/relationships/hyperlink" Target="https://otterly.ai/" TargetMode="External"/><Relationship Id="rId499" Type="http://schemas.openxmlformats.org/officeDocument/2006/relationships/hyperlink" Target="http://otterly.ai" TargetMode="External"/><Relationship Id="rId498" Type="http://schemas.openxmlformats.org/officeDocument/2006/relationships/hyperlink" Target="https://otterly.ai/geo-guide/?utm_campaign=facebookads" TargetMode="External"/><Relationship Id="rId49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6" Type="http://schemas.openxmlformats.org/officeDocument/2006/relationships/hyperlink" Target="http://otterly.ai" TargetMode="External"/><Relationship Id="rId409" Type="http://schemas.openxmlformats.org/officeDocument/2006/relationships/hyperlink" Target="https://www.semrush.com/lp/semrush-one/en/" TargetMode="External"/><Relationship Id="rId40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3" Type="http://schemas.openxmlformats.org/officeDocument/2006/relationships/hyperlink" Target="http://spotlightconf.com/" TargetMode="External"/><Relationship Id="rId40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1" Type="http://schemas.openxmlformats.org/officeDocument/2006/relationships/hyperlink" Target="https://www.semrush.com/lp/semrush-one/en/" TargetMode="External"/><Relationship Id="rId40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7" Type="http://schemas.openxmlformats.org/officeDocument/2006/relationships/hyperlink" Target="https://www.semrush.com/lp/website-audit-1/en/" TargetMode="External"/><Relationship Id="rId40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5" Type="http://schemas.openxmlformats.org/officeDocument/2006/relationships/hyperlink" Target="http://spotlightconf.com/" TargetMode="External"/><Relationship Id="rId40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9" Type="http://schemas.openxmlformats.org/officeDocument/2006/relationships/hyperlink" Target="https://www.semrush.com/lp/ai-toolkit/" TargetMode="External"/><Relationship Id="rId46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7" Type="http://schemas.openxmlformats.org/officeDocument/2006/relationships/hyperlink" Target="https://www.semrush.com/lp/semrush-one/en/" TargetMode="External"/><Relationship Id="rId46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1" Type="http://schemas.openxmlformats.org/officeDocument/2006/relationships/hyperlink" Target="https://www.semrush.com/lp/product-free-trial/" TargetMode="External"/><Relationship Id="rId46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5" Type="http://schemas.openxmlformats.org/officeDocument/2006/relationships/hyperlink" Target="https://www.semrush.com/" TargetMode="External"/><Relationship Id="rId46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3" Type="http://schemas.openxmlformats.org/officeDocument/2006/relationships/hyperlink" Target="https://www.semrush.com/lp/ai-toolkit/" TargetMode="External"/><Relationship Id="rId459" Type="http://schemas.openxmlformats.org/officeDocument/2006/relationships/hyperlink" Target="http://ww.semrush.com/lp/semrush-one/en/" TargetMode="External"/><Relationship Id="rId45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7" Type="http://schemas.openxmlformats.org/officeDocument/2006/relationships/hyperlink" Target="https://www.semrush.com/lp/traffic-analytics-7-new/en/" TargetMode="External"/><Relationship Id="rId45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1" Type="http://schemas.openxmlformats.org/officeDocument/2006/relationships/hyperlink" Target="https://www.semrush.com/lp/semrush-one/en/" TargetMode="External"/><Relationship Id="rId45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5" Type="http://schemas.openxmlformats.org/officeDocument/2006/relationships/hyperlink" Target="https://www.semrush.com/lp/product-keyword-magic-tool-7/en/" TargetMode="External"/><Relationship Id="rId45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3" Type="http://schemas.openxmlformats.org/officeDocument/2006/relationships/hyperlink" Target="https://www.semrush.com/lp/semrush-one/en/" TargetMode="External"/><Relationship Id="rId45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9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0" Type="http://schemas.openxmlformats.org/officeDocument/2006/relationships/hyperlink" Target="http://otterly.ai" TargetMode="External"/><Relationship Id="rId489" Type="http://schemas.openxmlformats.org/officeDocument/2006/relationships/hyperlink" Target="https://otterly.ai/geo-guide/" TargetMode="External"/><Relationship Id="rId48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3" Type="http://schemas.openxmlformats.org/officeDocument/2006/relationships/hyperlink" Target="http://spotlightconf.com/" TargetMode="External"/><Relationship Id="rId48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1" Type="http://schemas.openxmlformats.org/officeDocument/2006/relationships/hyperlink" Target="https://www.semrush.com/" TargetMode="External"/><Relationship Id="rId48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7" Type="http://schemas.openxmlformats.org/officeDocument/2006/relationships/hyperlink" Target="https://www.semrush.com/" TargetMode="External"/><Relationship Id="rId48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5" Type="http://schemas.openxmlformats.org/officeDocument/2006/relationships/hyperlink" Target="https://www.semrush.com/" TargetMode="External"/><Relationship Id="rId48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9" Type="http://schemas.openxmlformats.org/officeDocument/2006/relationships/hyperlink" Target="http://www.semrush.com/lp/semrush-one/en/" TargetMode="External"/><Relationship Id="rId47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3" Type="http://schemas.openxmlformats.org/officeDocument/2006/relationships/hyperlink" Target="https://www.semrush.com/lp/semrush-one/en/" TargetMode="External"/><Relationship Id="rId47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1" Type="http://schemas.openxmlformats.org/officeDocument/2006/relationships/hyperlink" Target="https://www.semrush.com/lp/product-seo-challenges/" TargetMode="External"/><Relationship Id="rId47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7" Type="http://schemas.openxmlformats.org/officeDocument/2006/relationships/hyperlink" Target="https://www.semrush.com/lp/ai-toolkit/" TargetMode="External"/><Relationship Id="rId47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5" Type="http://schemas.openxmlformats.org/officeDocument/2006/relationships/hyperlink" Target="http://www.semrush.com/lp/semrush-one/en/" TargetMode="External"/><Relationship Id="rId47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5" Type="http://schemas.openxmlformats.org/officeDocument/2006/relationships/hyperlink" Target="http://spotlightconf.com/" TargetMode="External"/><Relationship Id="rId42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3" Type="http://schemas.openxmlformats.org/officeDocument/2006/relationships/hyperlink" Target="https://www.semrush.com/lp/website-audit-1/en/" TargetMode="External"/><Relationship Id="rId429" Type="http://schemas.openxmlformats.org/officeDocument/2006/relationships/hyperlink" Target="https://www.semrush.com/lp/website-audit-1/en/" TargetMode="External"/><Relationship Id="rId42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7" Type="http://schemas.openxmlformats.org/officeDocument/2006/relationships/hyperlink" Target="https://www.semrush.com/" TargetMode="External"/><Relationship Id="rId42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1" Type="http://schemas.openxmlformats.org/officeDocument/2006/relationships/hyperlink" Target="http://spotlightconf.com/" TargetMode="External"/><Relationship Id="rId42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5" Type="http://schemas.openxmlformats.org/officeDocument/2006/relationships/hyperlink" Target="https://www.semrush.com/lp/semrush-one/en/" TargetMode="External"/><Relationship Id="rId41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3" Type="http://schemas.openxmlformats.org/officeDocument/2006/relationships/hyperlink" Target="https://www.semrush.com/" TargetMode="External"/><Relationship Id="rId41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9" Type="http://schemas.openxmlformats.org/officeDocument/2006/relationships/hyperlink" Target="http://www.semrush.com/lp/semrush-one/en/" TargetMode="External"/><Relationship Id="rId41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7" Type="http://schemas.openxmlformats.org/officeDocument/2006/relationships/hyperlink" Target="https://www.semrush.com/lp/website-audit-1/en/" TargetMode="External"/><Relationship Id="rId41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1" Type="http://schemas.openxmlformats.org/officeDocument/2006/relationships/hyperlink" Target="https://www.semrush.com/" TargetMode="External"/><Relationship Id="rId41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7" Type="http://schemas.openxmlformats.org/officeDocument/2006/relationships/hyperlink" Target="https://www.semrush.com/lp/position-tracking-new/en/" TargetMode="External"/><Relationship Id="rId44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5" Type="http://schemas.openxmlformats.org/officeDocument/2006/relationships/hyperlink" Target="https://www.semrush.com/lp/semrush-one/en/" TargetMode="External"/><Relationship Id="rId449" Type="http://schemas.openxmlformats.org/officeDocument/2006/relationships/hyperlink" Target="https://www.semrush.com/lp/product-keyword-magic-tool-7/en/" TargetMode="External"/><Relationship Id="rId44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3" Type="http://schemas.openxmlformats.org/officeDocument/2006/relationships/hyperlink" Target="https://www.semrush.com/" TargetMode="External"/><Relationship Id="rId44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1" Type="http://schemas.openxmlformats.org/officeDocument/2006/relationships/hyperlink" Target="https://www.semrush.com/lp/product-free-trial/" TargetMode="External"/><Relationship Id="rId437" Type="http://schemas.openxmlformats.org/officeDocument/2006/relationships/hyperlink" Target="https://www.semrush.com/lp/product-competitive-research-new/en/" TargetMode="External"/><Relationship Id="rId43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5" Type="http://schemas.openxmlformats.org/officeDocument/2006/relationships/hyperlink" Target="http://www.semrush.com/lp/semrush-one/en/" TargetMode="External"/><Relationship Id="rId43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9" Type="http://schemas.openxmlformats.org/officeDocument/2006/relationships/hyperlink" Target="https://www.semrush.com/lp/semrush-one/en/" TargetMode="External"/><Relationship Id="rId43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3" Type="http://schemas.openxmlformats.org/officeDocument/2006/relationships/hyperlink" Target="https://www.semrush.com/lp/traffic-analytics-7-new/en/" TargetMode="External"/><Relationship Id="rId43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1" Type="http://schemas.openxmlformats.org/officeDocument/2006/relationships/hyperlink" Target="https://www.semrush.com/lp/ai-toolkit/en/" TargetMode="External"/><Relationship Id="rId43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18.75"/>
    <col customWidth="1" min="5" max="5" width="39.13"/>
    <col customWidth="1" min="6" max="6" width="16.63"/>
  </cols>
  <sheetData>
    <row r="1">
      <c r="A1" s="1" t="s">
        <v>0</v>
      </c>
      <c r="B1" s="1" t="s">
        <v>2</v>
      </c>
      <c r="C1" s="1" t="s">
        <v>3</v>
      </c>
      <c r="D1" s="1" t="s">
        <v>5</v>
      </c>
      <c r="E1" s="1" t="s">
        <v>6</v>
      </c>
      <c r="F1" s="3" t="s">
        <v>9</v>
      </c>
      <c r="G1" s="1" t="s">
        <v>12</v>
      </c>
      <c r="H1" s="1" t="s">
        <v>13</v>
      </c>
      <c r="I1" s="1" t="s">
        <v>14</v>
      </c>
      <c r="J1" s="1" t="s">
        <v>15</v>
      </c>
      <c r="K1" s="5"/>
      <c r="L1" s="5"/>
      <c r="M1" s="5"/>
      <c r="N1" s="5"/>
      <c r="O1" s="5"/>
      <c r="P1" s="5"/>
      <c r="Q1" s="5"/>
      <c r="R1" s="5"/>
      <c r="S1" s="5"/>
      <c r="T1" s="5"/>
      <c r="U1" s="5"/>
      <c r="V1" s="5"/>
      <c r="W1" s="5"/>
      <c r="X1" s="5"/>
      <c r="Y1" s="5"/>
      <c r="Z1" s="5"/>
    </row>
    <row r="2">
      <c r="A2" s="6">
        <v>1.0</v>
      </c>
      <c r="B2" s="6" t="s">
        <v>41</v>
      </c>
      <c r="C2" s="11" t="s">
        <v>42</v>
      </c>
      <c r="D2" s="6" t="s">
        <v>70</v>
      </c>
      <c r="E2" s="6" t="s">
        <v>71</v>
      </c>
      <c r="F2" s="15" t="s">
        <v>72</v>
      </c>
      <c r="G2" s="6" t="s">
        <v>96</v>
      </c>
      <c r="H2" s="6" t="s">
        <v>100</v>
      </c>
      <c r="I2" s="16">
        <v>46273.0</v>
      </c>
      <c r="J2" s="6" t="s">
        <v>105</v>
      </c>
    </row>
    <row r="3">
      <c r="A3" s="6">
        <v>2.0</v>
      </c>
      <c r="B3" s="6" t="s">
        <v>107</v>
      </c>
      <c r="C3" s="12" t="s">
        <v>109</v>
      </c>
      <c r="D3" s="6" t="s">
        <v>70</v>
      </c>
      <c r="E3" s="6" t="s">
        <v>118</v>
      </c>
      <c r="F3" s="15" t="s">
        <v>119</v>
      </c>
      <c r="G3" s="6" t="s">
        <v>140</v>
      </c>
      <c r="H3" s="6" t="s">
        <v>100</v>
      </c>
      <c r="I3" s="16">
        <v>46273.0</v>
      </c>
      <c r="J3" s="6" t="s">
        <v>141</v>
      </c>
    </row>
    <row r="4">
      <c r="A4" s="6">
        <v>3.0</v>
      </c>
      <c r="B4" s="6" t="s">
        <v>143</v>
      </c>
      <c r="C4" s="12" t="s">
        <v>51</v>
      </c>
      <c r="D4" s="6" t="s">
        <v>70</v>
      </c>
      <c r="E4" s="6" t="s">
        <v>155</v>
      </c>
      <c r="F4" s="15" t="s">
        <v>158</v>
      </c>
      <c r="G4" s="6" t="s">
        <v>174</v>
      </c>
      <c r="H4" s="6" t="s">
        <v>175</v>
      </c>
      <c r="I4" s="16">
        <v>46269.0</v>
      </c>
      <c r="J4" s="6" t="s">
        <v>177</v>
      </c>
    </row>
    <row r="5">
      <c r="A5" s="6">
        <v>4.0</v>
      </c>
      <c r="B5" s="6" t="s">
        <v>178</v>
      </c>
      <c r="C5" s="12" t="s">
        <v>179</v>
      </c>
      <c r="D5" s="6" t="s">
        <v>70</v>
      </c>
      <c r="E5" s="6" t="s">
        <v>191</v>
      </c>
      <c r="F5" s="15" t="s">
        <v>202</v>
      </c>
      <c r="G5" s="6" t="s">
        <v>215</v>
      </c>
      <c r="H5" s="6" t="s">
        <v>100</v>
      </c>
      <c r="I5" s="16">
        <v>46274.0</v>
      </c>
      <c r="J5" s="6" t="s">
        <v>218</v>
      </c>
    </row>
    <row r="6">
      <c r="A6" s="6">
        <v>5.0</v>
      </c>
      <c r="B6" s="6" t="s">
        <v>219</v>
      </c>
      <c r="C6" s="12" t="s">
        <v>42</v>
      </c>
      <c r="D6" s="6" t="s">
        <v>70</v>
      </c>
      <c r="E6" s="6" t="s">
        <v>220</v>
      </c>
      <c r="F6" s="15" t="s">
        <v>222</v>
      </c>
      <c r="G6" s="6" t="s">
        <v>239</v>
      </c>
      <c r="H6" s="6" t="s">
        <v>100</v>
      </c>
      <c r="I6" s="16">
        <v>46273.0</v>
      </c>
      <c r="J6" s="6" t="s">
        <v>105</v>
      </c>
    </row>
    <row r="7">
      <c r="A7" s="6">
        <v>6.0</v>
      </c>
      <c r="B7" s="6" t="s">
        <v>240</v>
      </c>
      <c r="C7" s="12" t="s">
        <v>42</v>
      </c>
      <c r="D7" s="6" t="s">
        <v>70</v>
      </c>
      <c r="E7" s="6" t="s">
        <v>241</v>
      </c>
      <c r="F7" s="15" t="s">
        <v>242</v>
      </c>
      <c r="G7" s="6" t="s">
        <v>259</v>
      </c>
      <c r="H7" s="6" t="s">
        <v>100</v>
      </c>
      <c r="I7" s="16">
        <v>46274.0</v>
      </c>
      <c r="J7" s="6" t="s">
        <v>218</v>
      </c>
    </row>
    <row r="8">
      <c r="A8" s="6">
        <v>7.0</v>
      </c>
      <c r="B8" s="6" t="s">
        <v>262</v>
      </c>
      <c r="C8" s="12" t="s">
        <v>42</v>
      </c>
      <c r="D8" s="6" t="s">
        <v>70</v>
      </c>
      <c r="E8" s="6" t="s">
        <v>263</v>
      </c>
      <c r="F8" s="15" t="s">
        <v>264</v>
      </c>
      <c r="G8" s="6" t="s">
        <v>288</v>
      </c>
      <c r="H8" s="6" t="s">
        <v>100</v>
      </c>
      <c r="I8" s="16">
        <v>46274.0</v>
      </c>
      <c r="J8" s="6" t="s">
        <v>291</v>
      </c>
    </row>
    <row r="9">
      <c r="A9" s="6">
        <v>8.0</v>
      </c>
      <c r="B9" s="6" t="s">
        <v>294</v>
      </c>
      <c r="C9" s="12" t="s">
        <v>296</v>
      </c>
      <c r="D9" s="6" t="s">
        <v>70</v>
      </c>
      <c r="E9" s="6" t="s">
        <v>308</v>
      </c>
      <c r="F9" s="15" t="s">
        <v>309</v>
      </c>
      <c r="G9" s="6" t="s">
        <v>319</v>
      </c>
      <c r="H9" s="6" t="s">
        <v>175</v>
      </c>
      <c r="I9" s="17">
        <v>46006.0</v>
      </c>
      <c r="J9" s="6" t="s">
        <v>325</v>
      </c>
    </row>
    <row r="10">
      <c r="A10" s="6">
        <v>9.0</v>
      </c>
      <c r="B10" s="6" t="s">
        <v>41</v>
      </c>
      <c r="C10" s="12" t="s">
        <v>42</v>
      </c>
      <c r="D10" s="6" t="s">
        <v>70</v>
      </c>
      <c r="E10" s="6" t="s">
        <v>326</v>
      </c>
      <c r="F10" s="15" t="s">
        <v>327</v>
      </c>
      <c r="G10" s="6" t="s">
        <v>338</v>
      </c>
      <c r="H10" s="6" t="s">
        <v>340</v>
      </c>
      <c r="I10" s="16">
        <v>46274.0</v>
      </c>
      <c r="J10" s="6" t="s">
        <v>342</v>
      </c>
    </row>
    <row r="11">
      <c r="A11" s="6">
        <v>10.0</v>
      </c>
      <c r="B11" s="6" t="s">
        <v>41</v>
      </c>
      <c r="C11" s="12" t="s">
        <v>42</v>
      </c>
      <c r="D11" s="6" t="s">
        <v>70</v>
      </c>
      <c r="E11" s="6" t="s">
        <v>346</v>
      </c>
      <c r="F11" s="15" t="s">
        <v>347</v>
      </c>
      <c r="G11" s="6" t="s">
        <v>361</v>
      </c>
      <c r="H11" s="6" t="s">
        <v>340</v>
      </c>
      <c r="I11" s="16">
        <v>46274.0</v>
      </c>
      <c r="J11" s="6" t="s">
        <v>362</v>
      </c>
    </row>
    <row r="12">
      <c r="A12" s="6">
        <v>11.0</v>
      </c>
      <c r="B12" s="6" t="s">
        <v>251</v>
      </c>
      <c r="C12" s="12" t="s">
        <v>42</v>
      </c>
      <c r="D12" s="6" t="s">
        <v>70</v>
      </c>
      <c r="E12" s="6" t="s">
        <v>363</v>
      </c>
      <c r="F12" s="15" t="s">
        <v>264</v>
      </c>
      <c r="G12" s="6" t="s">
        <v>288</v>
      </c>
      <c r="H12" s="6" t="s">
        <v>100</v>
      </c>
      <c r="I12" s="16">
        <v>46274.0</v>
      </c>
      <c r="J12" s="6" t="s">
        <v>291</v>
      </c>
    </row>
    <row r="13">
      <c r="A13" s="6">
        <v>12.0</v>
      </c>
      <c r="B13" s="6" t="s">
        <v>110</v>
      </c>
      <c r="C13" s="12" t="s">
        <v>42</v>
      </c>
      <c r="D13" s="6" t="s">
        <v>70</v>
      </c>
      <c r="E13" s="6" t="s">
        <v>367</v>
      </c>
      <c r="F13" s="15" t="s">
        <v>368</v>
      </c>
      <c r="G13" s="6" t="s">
        <v>380</v>
      </c>
      <c r="H13" s="6" t="s">
        <v>100</v>
      </c>
      <c r="I13" s="16">
        <v>46274.0</v>
      </c>
      <c r="J13" s="6" t="s">
        <v>342</v>
      </c>
    </row>
    <row r="14">
      <c r="A14" s="6">
        <v>13.0</v>
      </c>
      <c r="B14" s="6" t="s">
        <v>178</v>
      </c>
      <c r="C14" s="12" t="s">
        <v>179</v>
      </c>
      <c r="D14" s="6" t="s">
        <v>70</v>
      </c>
      <c r="E14" s="6" t="s">
        <v>382</v>
      </c>
      <c r="F14" s="15" t="s">
        <v>202</v>
      </c>
      <c r="G14" s="6" t="s">
        <v>215</v>
      </c>
      <c r="H14" s="6" t="s">
        <v>100</v>
      </c>
      <c r="I14" s="16">
        <v>46274.0</v>
      </c>
      <c r="J14" s="6" t="s">
        <v>218</v>
      </c>
    </row>
    <row r="15">
      <c r="A15" s="6">
        <v>14.0</v>
      </c>
      <c r="B15" s="6" t="s">
        <v>41</v>
      </c>
      <c r="C15" s="12" t="s">
        <v>42</v>
      </c>
      <c r="D15" s="6" t="s">
        <v>70</v>
      </c>
      <c r="E15" s="6" t="s">
        <v>346</v>
      </c>
      <c r="F15" s="15" t="s">
        <v>389</v>
      </c>
      <c r="G15" s="6" t="s">
        <v>397</v>
      </c>
      <c r="H15" s="6" t="s">
        <v>340</v>
      </c>
      <c r="I15" s="16">
        <v>46274.0</v>
      </c>
      <c r="J15" s="6" t="s">
        <v>342</v>
      </c>
    </row>
    <row r="16">
      <c r="A16" s="6">
        <v>15.0</v>
      </c>
      <c r="B16" s="6" t="s">
        <v>41</v>
      </c>
      <c r="C16" s="12" t="s">
        <v>42</v>
      </c>
      <c r="D16" s="6" t="s">
        <v>70</v>
      </c>
      <c r="E16" s="6" t="s">
        <v>346</v>
      </c>
      <c r="F16" s="15" t="s">
        <v>401</v>
      </c>
      <c r="G16" s="6" t="s">
        <v>409</v>
      </c>
      <c r="H16" s="6" t="s">
        <v>340</v>
      </c>
      <c r="I16" s="16">
        <v>46274.0</v>
      </c>
      <c r="J16" s="6" t="s">
        <v>410</v>
      </c>
    </row>
    <row r="17">
      <c r="A17" s="6">
        <v>16.0</v>
      </c>
      <c r="B17" s="6" t="s">
        <v>41</v>
      </c>
      <c r="C17" s="12" t="s">
        <v>42</v>
      </c>
      <c r="D17" s="6" t="s">
        <v>70</v>
      </c>
      <c r="E17" s="6" t="s">
        <v>346</v>
      </c>
      <c r="F17" s="15" t="s">
        <v>413</v>
      </c>
      <c r="G17" s="6" t="s">
        <v>424</v>
      </c>
      <c r="H17" s="6" t="s">
        <v>340</v>
      </c>
      <c r="I17" s="16">
        <v>46274.0</v>
      </c>
      <c r="J17" s="6" t="s">
        <v>362</v>
      </c>
    </row>
    <row r="18">
      <c r="A18" s="6">
        <v>17.0</v>
      </c>
      <c r="B18" s="6" t="s">
        <v>426</v>
      </c>
      <c r="C18" s="12" t="s">
        <v>42</v>
      </c>
      <c r="D18" s="6" t="s">
        <v>70</v>
      </c>
      <c r="E18" s="6" t="s">
        <v>428</v>
      </c>
      <c r="F18" s="15" t="s">
        <v>429</v>
      </c>
      <c r="G18" s="6" t="s">
        <v>438</v>
      </c>
      <c r="H18" s="6" t="s">
        <v>100</v>
      </c>
      <c r="I18" s="16">
        <v>46274.0</v>
      </c>
      <c r="J18" s="6" t="s">
        <v>440</v>
      </c>
    </row>
    <row r="19">
      <c r="A19" s="6">
        <v>18.0</v>
      </c>
      <c r="B19" s="6" t="s">
        <v>110</v>
      </c>
      <c r="C19" s="12" t="s">
        <v>42</v>
      </c>
      <c r="D19" s="6" t="s">
        <v>70</v>
      </c>
      <c r="E19" s="6" t="s">
        <v>442</v>
      </c>
      <c r="F19" s="15" t="s">
        <v>444</v>
      </c>
      <c r="G19" s="6" t="s">
        <v>455</v>
      </c>
      <c r="H19" s="6" t="s">
        <v>340</v>
      </c>
      <c r="I19" s="16">
        <v>46274.0</v>
      </c>
      <c r="J19" s="6" t="s">
        <v>342</v>
      </c>
    </row>
    <row r="20">
      <c r="A20" s="6">
        <v>19.0</v>
      </c>
      <c r="B20" s="6" t="s">
        <v>41</v>
      </c>
      <c r="C20" s="12" t="s">
        <v>42</v>
      </c>
      <c r="D20" s="6" t="s">
        <v>70</v>
      </c>
      <c r="E20" s="6" t="s">
        <v>346</v>
      </c>
      <c r="F20" s="15" t="s">
        <v>460</v>
      </c>
      <c r="G20" s="6" t="s">
        <v>467</v>
      </c>
      <c r="H20" s="6" t="s">
        <v>340</v>
      </c>
      <c r="I20" s="16">
        <v>46274.0</v>
      </c>
      <c r="J20" s="6" t="s">
        <v>342</v>
      </c>
    </row>
    <row r="21">
      <c r="A21" s="6">
        <v>20.0</v>
      </c>
      <c r="B21" s="6" t="s">
        <v>41</v>
      </c>
      <c r="C21" s="12" t="s">
        <v>42</v>
      </c>
      <c r="D21" s="6" t="s">
        <v>70</v>
      </c>
      <c r="E21" s="6" t="s">
        <v>346</v>
      </c>
      <c r="F21" s="15" t="s">
        <v>469</v>
      </c>
      <c r="G21" s="6" t="s">
        <v>482</v>
      </c>
      <c r="H21" s="6" t="s">
        <v>340</v>
      </c>
      <c r="I21" s="16">
        <v>46274.0</v>
      </c>
      <c r="J21" s="6" t="s">
        <v>342</v>
      </c>
    </row>
    <row r="22">
      <c r="A22" s="6">
        <v>21.0</v>
      </c>
      <c r="B22" s="6" t="s">
        <v>251</v>
      </c>
      <c r="C22" s="12" t="s">
        <v>42</v>
      </c>
      <c r="D22" s="6" t="s">
        <v>70</v>
      </c>
      <c r="E22" s="6" t="s">
        <v>363</v>
      </c>
      <c r="F22" s="15" t="s">
        <v>488</v>
      </c>
      <c r="G22" s="6" t="s">
        <v>499</v>
      </c>
      <c r="H22" s="6" t="s">
        <v>100</v>
      </c>
      <c r="I22" s="16">
        <v>46274.0</v>
      </c>
      <c r="J22" s="6" t="s">
        <v>218</v>
      </c>
    </row>
    <row r="23">
      <c r="A23" s="6">
        <v>22.0</v>
      </c>
      <c r="B23" s="6" t="s">
        <v>41</v>
      </c>
      <c r="C23" s="12" t="s">
        <v>42</v>
      </c>
      <c r="D23" s="6" t="s">
        <v>70</v>
      </c>
      <c r="E23" s="6" t="s">
        <v>346</v>
      </c>
      <c r="F23" s="15" t="s">
        <v>506</v>
      </c>
      <c r="G23" s="6" t="s">
        <v>518</v>
      </c>
      <c r="H23" s="6" t="s">
        <v>340</v>
      </c>
      <c r="I23" s="16">
        <v>46274.0</v>
      </c>
      <c r="J23" s="6" t="s">
        <v>519</v>
      </c>
    </row>
    <row r="24">
      <c r="A24" s="6">
        <v>23.0</v>
      </c>
      <c r="B24" s="6" t="s">
        <v>41</v>
      </c>
      <c r="C24" s="12" t="s">
        <v>42</v>
      </c>
      <c r="D24" s="6" t="s">
        <v>70</v>
      </c>
      <c r="E24" s="6" t="s">
        <v>346</v>
      </c>
      <c r="F24" s="15" t="s">
        <v>522</v>
      </c>
      <c r="G24" s="6" t="s">
        <v>531</v>
      </c>
      <c r="H24" s="6" t="s">
        <v>340</v>
      </c>
      <c r="I24" s="16">
        <v>46274.0</v>
      </c>
      <c r="J24" s="6" t="s">
        <v>532</v>
      </c>
    </row>
    <row r="25">
      <c r="A25" s="6">
        <v>24.0</v>
      </c>
      <c r="B25" s="6" t="s">
        <v>533</v>
      </c>
      <c r="C25" s="12" t="s">
        <v>42</v>
      </c>
      <c r="D25" s="6" t="s">
        <v>70</v>
      </c>
      <c r="E25" s="6" t="s">
        <v>537</v>
      </c>
      <c r="F25" s="15" t="s">
        <v>538</v>
      </c>
      <c r="G25" s="6" t="s">
        <v>548</v>
      </c>
      <c r="H25" s="6" t="s">
        <v>100</v>
      </c>
      <c r="I25" s="16">
        <v>46274.0</v>
      </c>
      <c r="J25" s="6" t="s">
        <v>549</v>
      </c>
    </row>
    <row r="26">
      <c r="A26" s="6">
        <v>25.0</v>
      </c>
      <c r="B26" s="6" t="s">
        <v>143</v>
      </c>
      <c r="C26" s="12" t="s">
        <v>51</v>
      </c>
      <c r="D26" s="6" t="s">
        <v>70</v>
      </c>
      <c r="E26" s="6" t="s">
        <v>552</v>
      </c>
      <c r="F26" s="15" t="s">
        <v>158</v>
      </c>
      <c r="G26" s="6" t="s">
        <v>174</v>
      </c>
      <c r="H26" s="6" t="s">
        <v>175</v>
      </c>
      <c r="I26" s="16">
        <v>46269.0</v>
      </c>
      <c r="J26" s="6" t="s">
        <v>177</v>
      </c>
    </row>
    <row r="27">
      <c r="A27" s="6">
        <v>26.0</v>
      </c>
      <c r="B27" s="6" t="s">
        <v>533</v>
      </c>
      <c r="C27" s="12" t="s">
        <v>42</v>
      </c>
      <c r="D27" s="6" t="s">
        <v>70</v>
      </c>
      <c r="E27" s="6" t="s">
        <v>556</v>
      </c>
      <c r="F27" s="15" t="s">
        <v>557</v>
      </c>
      <c r="G27" s="6" t="s">
        <v>571</v>
      </c>
      <c r="H27" s="6" t="s">
        <v>340</v>
      </c>
      <c r="I27" s="16">
        <v>46273.0</v>
      </c>
      <c r="J27" s="6" t="s">
        <v>572</v>
      </c>
    </row>
    <row r="28">
      <c r="A28" s="6">
        <v>27.0</v>
      </c>
      <c r="B28" s="6" t="s">
        <v>143</v>
      </c>
      <c r="C28" s="12" t="s">
        <v>51</v>
      </c>
      <c r="D28" s="6" t="s">
        <v>70</v>
      </c>
      <c r="E28" s="6" t="s">
        <v>552</v>
      </c>
      <c r="F28" s="15" t="s">
        <v>576</v>
      </c>
      <c r="G28" s="6" t="s">
        <v>587</v>
      </c>
      <c r="H28" s="6" t="s">
        <v>175</v>
      </c>
      <c r="I28" s="16">
        <v>46268.0</v>
      </c>
      <c r="J28" s="6" t="s">
        <v>588</v>
      </c>
    </row>
    <row r="29">
      <c r="A29" s="6">
        <v>28.0</v>
      </c>
      <c r="B29" s="6" t="s">
        <v>41</v>
      </c>
      <c r="C29" s="12" t="s">
        <v>42</v>
      </c>
      <c r="D29" s="6" t="s">
        <v>70</v>
      </c>
      <c r="E29" s="6" t="s">
        <v>346</v>
      </c>
      <c r="F29" s="15" t="s">
        <v>590</v>
      </c>
      <c r="G29" s="6" t="s">
        <v>601</v>
      </c>
      <c r="H29" s="6" t="s">
        <v>340</v>
      </c>
      <c r="I29" s="16">
        <v>46274.0</v>
      </c>
      <c r="J29" s="6" t="s">
        <v>342</v>
      </c>
    </row>
    <row r="30">
      <c r="A30" s="6">
        <v>29.0</v>
      </c>
      <c r="B30" s="6" t="s">
        <v>41</v>
      </c>
      <c r="C30" s="12" t="s">
        <v>42</v>
      </c>
      <c r="D30" s="6" t="s">
        <v>70</v>
      </c>
      <c r="E30" s="6" t="s">
        <v>346</v>
      </c>
      <c r="F30" s="15" t="s">
        <v>603</v>
      </c>
      <c r="G30" s="6" t="s">
        <v>613</v>
      </c>
      <c r="H30" s="6" t="s">
        <v>340</v>
      </c>
      <c r="I30" s="16">
        <v>46274.0</v>
      </c>
      <c r="J30" s="6" t="s">
        <v>342</v>
      </c>
    </row>
    <row r="31">
      <c r="A31" s="6">
        <v>30.0</v>
      </c>
      <c r="B31" s="6" t="s">
        <v>143</v>
      </c>
      <c r="C31" s="12" t="s">
        <v>51</v>
      </c>
      <c r="D31" s="6" t="s">
        <v>70</v>
      </c>
      <c r="E31" s="6" t="s">
        <v>552</v>
      </c>
      <c r="F31" s="15" t="s">
        <v>615</v>
      </c>
      <c r="G31" s="6" t="s">
        <v>626</v>
      </c>
      <c r="H31" s="6" t="s">
        <v>175</v>
      </c>
      <c r="I31" s="16">
        <v>46268.0</v>
      </c>
      <c r="J31" s="6" t="s">
        <v>588</v>
      </c>
    </row>
    <row r="32">
      <c r="A32" s="6">
        <v>31.0</v>
      </c>
      <c r="B32" s="6" t="s">
        <v>41</v>
      </c>
      <c r="C32" s="12" t="s">
        <v>42</v>
      </c>
      <c r="D32" s="6" t="s">
        <v>70</v>
      </c>
      <c r="E32" s="6" t="s">
        <v>346</v>
      </c>
      <c r="F32" s="15" t="s">
        <v>633</v>
      </c>
      <c r="G32" s="6" t="s">
        <v>643</v>
      </c>
      <c r="H32" s="6" t="s">
        <v>340</v>
      </c>
      <c r="I32" s="16">
        <v>46274.0</v>
      </c>
      <c r="J32" s="6" t="s">
        <v>342</v>
      </c>
    </row>
    <row r="33">
      <c r="A33" s="6">
        <v>32.0</v>
      </c>
      <c r="B33" s="6" t="s">
        <v>41</v>
      </c>
      <c r="C33" s="12" t="s">
        <v>42</v>
      </c>
      <c r="D33" s="6" t="s">
        <v>70</v>
      </c>
      <c r="E33" s="6" t="s">
        <v>346</v>
      </c>
      <c r="F33" s="15" t="s">
        <v>648</v>
      </c>
      <c r="G33" s="6" t="s">
        <v>662</v>
      </c>
      <c r="H33" s="6" t="s">
        <v>340</v>
      </c>
      <c r="I33" s="16">
        <v>46274.0</v>
      </c>
      <c r="J33" s="6" t="s">
        <v>342</v>
      </c>
    </row>
    <row r="34">
      <c r="A34" s="6">
        <v>33.0</v>
      </c>
      <c r="B34" s="6" t="s">
        <v>41</v>
      </c>
      <c r="C34" s="12" t="s">
        <v>42</v>
      </c>
      <c r="D34" s="6" t="s">
        <v>70</v>
      </c>
      <c r="E34" s="6" t="s">
        <v>346</v>
      </c>
      <c r="F34" s="15" t="s">
        <v>665</v>
      </c>
      <c r="G34" s="6" t="s">
        <v>679</v>
      </c>
      <c r="H34" s="6" t="s">
        <v>340</v>
      </c>
      <c r="I34" s="16">
        <v>46274.0</v>
      </c>
      <c r="J34" s="6" t="s">
        <v>362</v>
      </c>
    </row>
    <row r="35">
      <c r="A35" s="6">
        <v>34.0</v>
      </c>
      <c r="B35" s="6" t="s">
        <v>533</v>
      </c>
      <c r="C35" s="12" t="s">
        <v>42</v>
      </c>
      <c r="D35" s="6" t="s">
        <v>70</v>
      </c>
      <c r="E35" s="6" t="s">
        <v>537</v>
      </c>
      <c r="F35" s="15" t="s">
        <v>681</v>
      </c>
      <c r="G35" s="6" t="s">
        <v>697</v>
      </c>
      <c r="H35" s="6" t="s">
        <v>100</v>
      </c>
      <c r="I35" s="16">
        <v>46274.0</v>
      </c>
      <c r="J35" s="6" t="s">
        <v>440</v>
      </c>
    </row>
    <row r="36">
      <c r="A36" s="6">
        <v>35.0</v>
      </c>
      <c r="B36" s="6" t="s">
        <v>41</v>
      </c>
      <c r="C36" s="12" t="s">
        <v>42</v>
      </c>
      <c r="D36" s="6" t="s">
        <v>70</v>
      </c>
      <c r="E36" s="6" t="s">
        <v>346</v>
      </c>
      <c r="F36" s="15" t="s">
        <v>704</v>
      </c>
      <c r="G36" s="6" t="s">
        <v>721</v>
      </c>
      <c r="H36" s="6" t="s">
        <v>340</v>
      </c>
      <c r="I36" s="16">
        <v>46274.0</v>
      </c>
      <c r="J36" s="6" t="s">
        <v>410</v>
      </c>
    </row>
    <row r="37">
      <c r="A37" s="6">
        <v>36.0</v>
      </c>
      <c r="B37" s="6" t="s">
        <v>41</v>
      </c>
      <c r="C37" s="12" t="s">
        <v>42</v>
      </c>
      <c r="D37" s="6" t="s">
        <v>70</v>
      </c>
      <c r="E37" s="6" t="s">
        <v>346</v>
      </c>
      <c r="F37" s="15" t="s">
        <v>724</v>
      </c>
      <c r="G37" s="6" t="s">
        <v>736</v>
      </c>
      <c r="H37" s="6" t="s">
        <v>340</v>
      </c>
      <c r="I37" s="16">
        <v>46274.0</v>
      </c>
      <c r="J37" s="6" t="s">
        <v>362</v>
      </c>
    </row>
    <row r="38">
      <c r="A38" s="6">
        <v>37.0</v>
      </c>
      <c r="B38" s="6" t="s">
        <v>41</v>
      </c>
      <c r="C38" s="12" t="s">
        <v>42</v>
      </c>
      <c r="D38" s="6" t="s">
        <v>70</v>
      </c>
      <c r="E38" s="6" t="s">
        <v>346</v>
      </c>
      <c r="F38" s="15" t="s">
        <v>738</v>
      </c>
      <c r="G38" s="6" t="s">
        <v>753</v>
      </c>
      <c r="H38" s="6" t="s">
        <v>340</v>
      </c>
      <c r="I38" s="16">
        <v>46274.0</v>
      </c>
      <c r="J38" s="6" t="s">
        <v>362</v>
      </c>
    </row>
    <row r="39">
      <c r="A39" s="6">
        <v>38.0</v>
      </c>
      <c r="B39" s="6" t="s">
        <v>240</v>
      </c>
      <c r="C39" s="12" t="s">
        <v>42</v>
      </c>
      <c r="D39" s="6" t="s">
        <v>70</v>
      </c>
      <c r="E39" s="6" t="s">
        <v>756</v>
      </c>
      <c r="F39" s="15" t="s">
        <v>242</v>
      </c>
      <c r="G39" s="6" t="s">
        <v>259</v>
      </c>
      <c r="H39" s="6" t="s">
        <v>100</v>
      </c>
      <c r="I39" s="16">
        <v>46274.0</v>
      </c>
      <c r="J39" s="6" t="s">
        <v>218</v>
      </c>
    </row>
    <row r="40">
      <c r="A40" s="6">
        <v>39.0</v>
      </c>
      <c r="B40" s="6" t="s">
        <v>41</v>
      </c>
      <c r="C40" s="12" t="s">
        <v>42</v>
      </c>
      <c r="D40" s="6" t="s">
        <v>70</v>
      </c>
      <c r="E40" s="6" t="s">
        <v>763</v>
      </c>
      <c r="F40" s="15" t="s">
        <v>765</v>
      </c>
      <c r="G40" s="6" t="s">
        <v>777</v>
      </c>
      <c r="H40" s="6" t="s">
        <v>100</v>
      </c>
      <c r="I40" s="16">
        <v>46274.0</v>
      </c>
      <c r="J40" s="6" t="s">
        <v>778</v>
      </c>
    </row>
    <row r="41">
      <c r="A41" s="6">
        <v>40.0</v>
      </c>
      <c r="B41" s="6" t="s">
        <v>41</v>
      </c>
      <c r="C41" s="12" t="s">
        <v>42</v>
      </c>
      <c r="D41" s="6" t="s">
        <v>70</v>
      </c>
      <c r="E41" s="6" t="s">
        <v>346</v>
      </c>
      <c r="F41" s="15" t="s">
        <v>783</v>
      </c>
      <c r="G41" s="6" t="s">
        <v>792</v>
      </c>
      <c r="H41" s="6" t="s">
        <v>340</v>
      </c>
      <c r="I41" s="16">
        <v>46274.0</v>
      </c>
      <c r="J41" s="6" t="s">
        <v>342</v>
      </c>
    </row>
    <row r="42">
      <c r="A42" s="6">
        <v>41.0</v>
      </c>
      <c r="B42" s="6" t="s">
        <v>41</v>
      </c>
      <c r="C42" s="12" t="s">
        <v>42</v>
      </c>
      <c r="D42" s="6" t="s">
        <v>70</v>
      </c>
      <c r="E42" s="6" t="s">
        <v>346</v>
      </c>
      <c r="F42" s="15" t="s">
        <v>797</v>
      </c>
      <c r="G42" s="6" t="s">
        <v>806</v>
      </c>
      <c r="H42" s="6" t="s">
        <v>340</v>
      </c>
      <c r="I42" s="16">
        <v>46274.0</v>
      </c>
      <c r="J42" s="6" t="s">
        <v>342</v>
      </c>
    </row>
    <row r="43">
      <c r="A43" s="6">
        <v>42.0</v>
      </c>
      <c r="B43" s="6" t="s">
        <v>110</v>
      </c>
      <c r="C43" s="12" t="s">
        <v>42</v>
      </c>
      <c r="D43" s="6" t="s">
        <v>70</v>
      </c>
      <c r="E43" s="6" t="s">
        <v>367</v>
      </c>
      <c r="F43" s="15" t="s">
        <v>813</v>
      </c>
      <c r="G43" s="6" t="s">
        <v>828</v>
      </c>
      <c r="H43" s="6" t="s">
        <v>100</v>
      </c>
      <c r="I43" s="16">
        <v>46274.0</v>
      </c>
      <c r="J43" s="6" t="s">
        <v>342</v>
      </c>
    </row>
    <row r="44">
      <c r="A44" s="6">
        <v>43.0</v>
      </c>
      <c r="B44" s="6" t="s">
        <v>41</v>
      </c>
      <c r="C44" s="12" t="s">
        <v>42</v>
      </c>
      <c r="D44" s="6" t="s">
        <v>70</v>
      </c>
      <c r="E44" s="6" t="s">
        <v>346</v>
      </c>
      <c r="F44" s="15" t="s">
        <v>830</v>
      </c>
      <c r="G44" s="6" t="s">
        <v>840</v>
      </c>
      <c r="H44" s="6" t="s">
        <v>340</v>
      </c>
      <c r="I44" s="16">
        <v>46274.0</v>
      </c>
      <c r="J44" s="6" t="s">
        <v>362</v>
      </c>
    </row>
    <row r="45">
      <c r="A45" s="6">
        <v>44.0</v>
      </c>
      <c r="B45" s="6" t="s">
        <v>533</v>
      </c>
      <c r="C45" s="12" t="s">
        <v>42</v>
      </c>
      <c r="D45" s="6" t="s">
        <v>70</v>
      </c>
      <c r="E45" s="6" t="s">
        <v>537</v>
      </c>
      <c r="F45" s="15" t="s">
        <v>841</v>
      </c>
      <c r="G45" s="6" t="s">
        <v>862</v>
      </c>
      <c r="H45" s="6" t="s">
        <v>100</v>
      </c>
      <c r="I45" s="16">
        <v>46274.0</v>
      </c>
      <c r="J45" s="6" t="s">
        <v>218</v>
      </c>
    </row>
    <row r="46">
      <c r="A46" s="6">
        <v>45.0</v>
      </c>
      <c r="B46" s="6" t="s">
        <v>251</v>
      </c>
      <c r="C46" s="12" t="s">
        <v>42</v>
      </c>
      <c r="D46" s="6" t="s">
        <v>70</v>
      </c>
      <c r="E46" s="6" t="s">
        <v>863</v>
      </c>
      <c r="F46" s="15" t="s">
        <v>864</v>
      </c>
      <c r="G46" s="6" t="s">
        <v>874</v>
      </c>
      <c r="H46" s="6" t="s">
        <v>100</v>
      </c>
      <c r="I46" s="16">
        <v>46273.0</v>
      </c>
      <c r="J46" s="6" t="s">
        <v>876</v>
      </c>
    </row>
    <row r="47">
      <c r="A47" s="6">
        <v>46.0</v>
      </c>
      <c r="B47" s="6" t="s">
        <v>41</v>
      </c>
      <c r="C47" s="12" t="s">
        <v>42</v>
      </c>
      <c r="D47" s="6" t="s">
        <v>70</v>
      </c>
      <c r="E47" s="6" t="s">
        <v>346</v>
      </c>
      <c r="F47" s="15" t="s">
        <v>879</v>
      </c>
      <c r="G47" s="6" t="s">
        <v>890</v>
      </c>
      <c r="H47" s="6" t="s">
        <v>340</v>
      </c>
      <c r="I47" s="16">
        <v>46273.0</v>
      </c>
      <c r="J47" s="6" t="s">
        <v>572</v>
      </c>
    </row>
    <row r="48">
      <c r="A48" s="6">
        <v>47.0</v>
      </c>
      <c r="B48" s="6" t="s">
        <v>41</v>
      </c>
      <c r="C48" s="12" t="s">
        <v>42</v>
      </c>
      <c r="D48" s="6" t="s">
        <v>70</v>
      </c>
      <c r="E48" s="6" t="s">
        <v>892</v>
      </c>
      <c r="F48" s="15" t="s">
        <v>893</v>
      </c>
      <c r="G48" s="6" t="s">
        <v>902</v>
      </c>
      <c r="H48" s="6" t="s">
        <v>340</v>
      </c>
      <c r="I48" s="16">
        <v>46273.0</v>
      </c>
      <c r="J48" s="6" t="s">
        <v>572</v>
      </c>
    </row>
    <row r="49">
      <c r="A49" s="6">
        <v>48.0</v>
      </c>
      <c r="B49" s="6" t="s">
        <v>41</v>
      </c>
      <c r="C49" s="12" t="s">
        <v>42</v>
      </c>
      <c r="D49" s="6" t="s">
        <v>70</v>
      </c>
      <c r="E49" s="6" t="s">
        <v>346</v>
      </c>
      <c r="F49" s="15" t="s">
        <v>907</v>
      </c>
      <c r="G49" s="6" t="s">
        <v>922</v>
      </c>
      <c r="H49" s="6" t="s">
        <v>340</v>
      </c>
      <c r="I49" s="16">
        <v>46273.0</v>
      </c>
      <c r="J49" s="6" t="s">
        <v>572</v>
      </c>
    </row>
    <row r="50">
      <c r="A50" s="6">
        <v>49.0</v>
      </c>
      <c r="B50" s="6" t="s">
        <v>41</v>
      </c>
      <c r="C50" s="12" t="s">
        <v>42</v>
      </c>
      <c r="D50" s="6" t="s">
        <v>70</v>
      </c>
      <c r="E50" s="6" t="s">
        <v>892</v>
      </c>
      <c r="F50" s="15" t="s">
        <v>926</v>
      </c>
      <c r="G50" s="6" t="s">
        <v>938</v>
      </c>
      <c r="H50" s="6" t="s">
        <v>340</v>
      </c>
      <c r="I50" s="16">
        <v>46273.0</v>
      </c>
      <c r="J50" s="6" t="s">
        <v>572</v>
      </c>
    </row>
    <row r="51">
      <c r="A51" s="6">
        <v>50.0</v>
      </c>
      <c r="B51" s="6" t="s">
        <v>240</v>
      </c>
      <c r="C51" s="12" t="s">
        <v>42</v>
      </c>
      <c r="D51" s="6" t="s">
        <v>70</v>
      </c>
      <c r="E51" s="6" t="s">
        <v>940</v>
      </c>
      <c r="F51" s="15" t="s">
        <v>941</v>
      </c>
      <c r="G51" s="6" t="s">
        <v>952</v>
      </c>
      <c r="H51" s="6" t="s">
        <v>100</v>
      </c>
      <c r="I51" s="6" t="s">
        <v>953</v>
      </c>
      <c r="J51" s="6" t="s">
        <v>953</v>
      </c>
    </row>
    <row r="52">
      <c r="A52" s="6">
        <v>51.0</v>
      </c>
      <c r="B52" s="6" t="s">
        <v>107</v>
      </c>
      <c r="C52" s="12" t="s">
        <v>957</v>
      </c>
      <c r="D52" s="6" t="s">
        <v>70</v>
      </c>
      <c r="E52" s="6" t="s">
        <v>964</v>
      </c>
      <c r="F52" s="15" t="s">
        <v>965</v>
      </c>
      <c r="G52" s="6" t="s">
        <v>972</v>
      </c>
      <c r="H52" s="6" t="s">
        <v>175</v>
      </c>
      <c r="I52" s="16">
        <v>46269.0</v>
      </c>
      <c r="J52" s="6" t="s">
        <v>177</v>
      </c>
    </row>
    <row r="53">
      <c r="A53" s="6">
        <v>52.0</v>
      </c>
      <c r="B53" s="6" t="s">
        <v>110</v>
      </c>
      <c r="C53" s="12" t="s">
        <v>42</v>
      </c>
      <c r="D53" s="6" t="s">
        <v>70</v>
      </c>
      <c r="E53" s="6" t="s">
        <v>367</v>
      </c>
      <c r="F53" s="15" t="s">
        <v>976</v>
      </c>
      <c r="G53" s="6" t="s">
        <v>1004</v>
      </c>
      <c r="H53" s="6" t="s">
        <v>100</v>
      </c>
      <c r="I53" s="16">
        <v>46273.0</v>
      </c>
      <c r="J53" s="6" t="s">
        <v>1006</v>
      </c>
    </row>
    <row r="54">
      <c r="A54" s="6">
        <v>53.0</v>
      </c>
      <c r="B54" s="6" t="s">
        <v>143</v>
      </c>
      <c r="C54" s="12" t="s">
        <v>51</v>
      </c>
      <c r="D54" s="6" t="s">
        <v>70</v>
      </c>
      <c r="E54" s="6" t="s">
        <v>552</v>
      </c>
      <c r="F54" s="15" t="s">
        <v>1011</v>
      </c>
      <c r="G54" s="6" t="s">
        <v>1032</v>
      </c>
      <c r="H54" s="6" t="s">
        <v>175</v>
      </c>
      <c r="I54" s="16">
        <v>46269.0</v>
      </c>
      <c r="J54" s="6" t="s">
        <v>177</v>
      </c>
    </row>
    <row r="55">
      <c r="A55" s="6">
        <v>54.0</v>
      </c>
      <c r="B55" s="6" t="s">
        <v>533</v>
      </c>
      <c r="C55" s="12" t="s">
        <v>42</v>
      </c>
      <c r="D55" s="6" t="s">
        <v>70</v>
      </c>
      <c r="E55" s="6" t="s">
        <v>537</v>
      </c>
      <c r="F55" s="15" t="s">
        <v>1040</v>
      </c>
      <c r="G55" s="6" t="s">
        <v>1057</v>
      </c>
      <c r="H55" s="6" t="s">
        <v>100</v>
      </c>
      <c r="I55" s="16">
        <v>46273.0</v>
      </c>
      <c r="J55" s="6" t="s">
        <v>1006</v>
      </c>
    </row>
    <row r="56">
      <c r="A56" s="6">
        <v>55.0</v>
      </c>
      <c r="B56" s="6" t="s">
        <v>41</v>
      </c>
      <c r="C56" s="12" t="s">
        <v>42</v>
      </c>
      <c r="D56" s="6" t="s">
        <v>70</v>
      </c>
      <c r="E56" s="6" t="s">
        <v>346</v>
      </c>
      <c r="F56" s="15" t="s">
        <v>1062</v>
      </c>
      <c r="G56" s="6" t="s">
        <v>1081</v>
      </c>
      <c r="H56" s="6" t="s">
        <v>340</v>
      </c>
      <c r="I56" s="16">
        <v>46273.0</v>
      </c>
      <c r="J56" s="6" t="s">
        <v>1083</v>
      </c>
    </row>
    <row r="57">
      <c r="A57" s="6">
        <v>56.0</v>
      </c>
      <c r="B57" s="6" t="s">
        <v>41</v>
      </c>
      <c r="C57" s="12" t="s">
        <v>42</v>
      </c>
      <c r="D57" s="6" t="s">
        <v>70</v>
      </c>
      <c r="E57" s="6" t="s">
        <v>892</v>
      </c>
      <c r="F57" s="15" t="s">
        <v>1087</v>
      </c>
      <c r="G57" s="6" t="s">
        <v>1111</v>
      </c>
      <c r="H57" s="6" t="s">
        <v>340</v>
      </c>
      <c r="I57" s="6" t="s">
        <v>953</v>
      </c>
      <c r="J57" s="6" t="s">
        <v>953</v>
      </c>
    </row>
    <row r="58">
      <c r="A58" s="6">
        <v>57.0</v>
      </c>
      <c r="B58" s="6" t="s">
        <v>41</v>
      </c>
      <c r="C58" s="12" t="s">
        <v>42</v>
      </c>
      <c r="D58" s="6" t="s">
        <v>70</v>
      </c>
      <c r="E58" s="6" t="s">
        <v>346</v>
      </c>
      <c r="F58" s="15" t="s">
        <v>1115</v>
      </c>
      <c r="G58" s="6" t="s">
        <v>1125</v>
      </c>
      <c r="H58" s="6" t="s">
        <v>340</v>
      </c>
      <c r="I58" s="6" t="s">
        <v>953</v>
      </c>
      <c r="J58" s="6" t="s">
        <v>953</v>
      </c>
    </row>
    <row r="59">
      <c r="A59" s="6">
        <v>58.0</v>
      </c>
      <c r="B59" s="6" t="s">
        <v>41</v>
      </c>
      <c r="C59" s="12" t="s">
        <v>42</v>
      </c>
      <c r="D59" s="6" t="s">
        <v>70</v>
      </c>
      <c r="E59" s="6" t="s">
        <v>346</v>
      </c>
      <c r="F59" s="15" t="s">
        <v>1130</v>
      </c>
      <c r="G59" s="6" t="s">
        <v>1147</v>
      </c>
      <c r="H59" s="6" t="s">
        <v>340</v>
      </c>
      <c r="I59" s="6" t="s">
        <v>953</v>
      </c>
      <c r="J59" s="6" t="s">
        <v>953</v>
      </c>
    </row>
    <row r="60">
      <c r="A60" s="6">
        <v>59.0</v>
      </c>
      <c r="B60" s="6" t="s">
        <v>41</v>
      </c>
      <c r="C60" s="12" t="s">
        <v>42</v>
      </c>
      <c r="D60" s="6" t="s">
        <v>70</v>
      </c>
      <c r="E60" s="6" t="s">
        <v>892</v>
      </c>
      <c r="F60" s="15" t="s">
        <v>1152</v>
      </c>
      <c r="G60" s="6" t="s">
        <v>1171</v>
      </c>
      <c r="H60" s="6" t="s">
        <v>340</v>
      </c>
      <c r="I60" s="6" t="s">
        <v>953</v>
      </c>
      <c r="J60" s="6" t="s">
        <v>953</v>
      </c>
    </row>
    <row r="61">
      <c r="A61" s="6">
        <v>60.0</v>
      </c>
      <c r="B61" s="6" t="s">
        <v>240</v>
      </c>
      <c r="C61" s="12" t="s">
        <v>42</v>
      </c>
      <c r="D61" s="6" t="s">
        <v>70</v>
      </c>
      <c r="E61" s="6" t="s">
        <v>940</v>
      </c>
      <c r="F61" s="15" t="s">
        <v>1175</v>
      </c>
      <c r="G61" s="6" t="s">
        <v>1190</v>
      </c>
      <c r="H61" s="6" t="s">
        <v>100</v>
      </c>
      <c r="I61" s="6" t="s">
        <v>953</v>
      </c>
      <c r="J61" s="6" t="s">
        <v>953</v>
      </c>
    </row>
    <row r="62">
      <c r="A62" s="6">
        <v>61.0</v>
      </c>
      <c r="B62" s="6" t="s">
        <v>251</v>
      </c>
      <c r="C62" s="12" t="s">
        <v>42</v>
      </c>
      <c r="D62" s="6" t="s">
        <v>70</v>
      </c>
      <c r="E62" s="6" t="s">
        <v>363</v>
      </c>
      <c r="F62" s="15" t="s">
        <v>1197</v>
      </c>
      <c r="G62" s="6" t="s">
        <v>1218</v>
      </c>
      <c r="H62" s="6" t="s">
        <v>100</v>
      </c>
      <c r="I62" s="6" t="s">
        <v>953</v>
      </c>
      <c r="J62" s="6" t="s">
        <v>953</v>
      </c>
    </row>
    <row r="63">
      <c r="A63" s="6">
        <v>62.0</v>
      </c>
      <c r="B63" s="6" t="s">
        <v>110</v>
      </c>
      <c r="C63" s="12" t="s">
        <v>42</v>
      </c>
      <c r="D63" s="6" t="s">
        <v>70</v>
      </c>
      <c r="E63" s="6" t="s">
        <v>367</v>
      </c>
      <c r="F63" s="15" t="s">
        <v>1222</v>
      </c>
      <c r="G63" s="6" t="s">
        <v>1237</v>
      </c>
      <c r="H63" s="6" t="s">
        <v>100</v>
      </c>
      <c r="I63" s="6" t="s">
        <v>953</v>
      </c>
      <c r="J63" s="6" t="s">
        <v>953</v>
      </c>
    </row>
    <row r="64">
      <c r="A64" s="6">
        <v>63.0</v>
      </c>
      <c r="B64" s="6" t="s">
        <v>178</v>
      </c>
      <c r="C64" s="12" t="s">
        <v>179</v>
      </c>
      <c r="D64" s="6" t="s">
        <v>70</v>
      </c>
      <c r="E64" s="6" t="s">
        <v>382</v>
      </c>
      <c r="F64" s="15" t="s">
        <v>1238</v>
      </c>
      <c r="G64" s="6" t="s">
        <v>1254</v>
      </c>
      <c r="H64" s="6" t="s">
        <v>100</v>
      </c>
      <c r="I64" s="6" t="s">
        <v>953</v>
      </c>
      <c r="J64" s="6" t="s">
        <v>953</v>
      </c>
    </row>
    <row r="65">
      <c r="A65" s="6">
        <v>64.0</v>
      </c>
      <c r="B65" s="6" t="s">
        <v>533</v>
      </c>
      <c r="C65" s="12" t="s">
        <v>42</v>
      </c>
      <c r="D65" s="6" t="s">
        <v>70</v>
      </c>
      <c r="E65" s="6" t="s">
        <v>537</v>
      </c>
      <c r="F65" s="15" t="s">
        <v>1258</v>
      </c>
      <c r="G65" s="6" t="s">
        <v>1271</v>
      </c>
      <c r="H65" s="6" t="s">
        <v>100</v>
      </c>
      <c r="I65" s="6" t="s">
        <v>953</v>
      </c>
      <c r="J65" s="6" t="s">
        <v>953</v>
      </c>
    </row>
    <row r="66">
      <c r="A66" s="6">
        <v>65.0</v>
      </c>
      <c r="B66" s="6" t="s">
        <v>251</v>
      </c>
      <c r="C66" s="12" t="s">
        <v>42</v>
      </c>
      <c r="D66" s="6" t="s">
        <v>70</v>
      </c>
      <c r="E66" s="6" t="s">
        <v>863</v>
      </c>
      <c r="F66" s="15" t="s">
        <v>1275</v>
      </c>
      <c r="G66" s="6" t="s">
        <v>1296</v>
      </c>
      <c r="H66" s="6" t="s">
        <v>100</v>
      </c>
      <c r="I66" s="6" t="s">
        <v>953</v>
      </c>
      <c r="J66" s="6" t="s">
        <v>953</v>
      </c>
    </row>
    <row r="67">
      <c r="A67" s="6">
        <v>66.0</v>
      </c>
      <c r="B67" s="6" t="s">
        <v>41</v>
      </c>
      <c r="C67" s="12" t="s">
        <v>42</v>
      </c>
      <c r="D67" s="6" t="s">
        <v>70</v>
      </c>
      <c r="E67" s="6" t="s">
        <v>892</v>
      </c>
      <c r="F67" s="15" t="s">
        <v>1299</v>
      </c>
      <c r="G67" s="6" t="s">
        <v>1317</v>
      </c>
      <c r="H67" s="6" t="s">
        <v>340</v>
      </c>
      <c r="I67" s="6" t="s">
        <v>953</v>
      </c>
      <c r="J67" s="6" t="s">
        <v>953</v>
      </c>
    </row>
    <row r="68">
      <c r="A68" s="6">
        <v>67.0</v>
      </c>
      <c r="B68" s="6" t="s">
        <v>426</v>
      </c>
      <c r="C68" s="12" t="s">
        <v>42</v>
      </c>
      <c r="D68" s="6" t="s">
        <v>70</v>
      </c>
      <c r="E68" s="6" t="s">
        <v>428</v>
      </c>
      <c r="F68" s="15" t="s">
        <v>1320</v>
      </c>
      <c r="G68" s="6" t="s">
        <v>1333</v>
      </c>
      <c r="H68" s="6" t="s">
        <v>100</v>
      </c>
      <c r="I68" s="6" t="s">
        <v>953</v>
      </c>
      <c r="J68" s="6" t="s">
        <v>953</v>
      </c>
    </row>
    <row r="69">
      <c r="A69" s="6">
        <v>68.0</v>
      </c>
      <c r="B69" s="6" t="s">
        <v>240</v>
      </c>
      <c r="C69" s="12" t="s">
        <v>42</v>
      </c>
      <c r="D69" s="6" t="s">
        <v>70</v>
      </c>
      <c r="E69" s="6" t="s">
        <v>756</v>
      </c>
      <c r="F69" s="15" t="s">
        <v>1338</v>
      </c>
      <c r="G69" s="6" t="s">
        <v>1356</v>
      </c>
      <c r="H69" s="6" t="s">
        <v>100</v>
      </c>
      <c r="I69" s="6" t="s">
        <v>953</v>
      </c>
      <c r="J69" s="6" t="s">
        <v>953</v>
      </c>
    </row>
    <row r="70">
      <c r="A70" s="6">
        <v>69.0</v>
      </c>
      <c r="B70" s="6" t="s">
        <v>41</v>
      </c>
      <c r="C70" s="12" t="s">
        <v>42</v>
      </c>
      <c r="D70" s="6" t="s">
        <v>70</v>
      </c>
      <c r="E70" s="6" t="s">
        <v>763</v>
      </c>
      <c r="F70" s="15" t="s">
        <v>1360</v>
      </c>
      <c r="G70" s="6" t="s">
        <v>1370</v>
      </c>
      <c r="H70" s="6" t="s">
        <v>100</v>
      </c>
      <c r="I70" s="6" t="s">
        <v>953</v>
      </c>
      <c r="J70" s="6" t="s">
        <v>953</v>
      </c>
    </row>
    <row r="71">
      <c r="A71" s="6">
        <v>70.0</v>
      </c>
      <c r="B71" s="6" t="s">
        <v>240</v>
      </c>
      <c r="C71" s="12" t="s">
        <v>42</v>
      </c>
      <c r="D71" s="6" t="s">
        <v>70</v>
      </c>
      <c r="E71" s="6" t="s">
        <v>940</v>
      </c>
      <c r="F71" s="15" t="s">
        <v>1376</v>
      </c>
      <c r="G71" s="6" t="s">
        <v>1393</v>
      </c>
      <c r="H71" s="6" t="s">
        <v>100</v>
      </c>
      <c r="I71" s="6" t="s">
        <v>953</v>
      </c>
      <c r="J71" s="6" t="s">
        <v>953</v>
      </c>
    </row>
    <row r="72">
      <c r="A72" s="6">
        <v>71.0</v>
      </c>
      <c r="B72" s="6" t="s">
        <v>41</v>
      </c>
      <c r="C72" s="12" t="s">
        <v>42</v>
      </c>
      <c r="D72" s="6" t="s">
        <v>70</v>
      </c>
      <c r="E72" s="6" t="s">
        <v>346</v>
      </c>
      <c r="F72" s="15" t="s">
        <v>1400</v>
      </c>
      <c r="G72" s="6" t="s">
        <v>1414</v>
      </c>
      <c r="H72" s="6" t="s">
        <v>340</v>
      </c>
      <c r="I72" s="6" t="s">
        <v>953</v>
      </c>
      <c r="J72" s="6" t="s">
        <v>953</v>
      </c>
    </row>
    <row r="73">
      <c r="A73" s="6">
        <v>72.0</v>
      </c>
      <c r="B73" s="6" t="s">
        <v>110</v>
      </c>
      <c r="C73" s="12" t="s">
        <v>42</v>
      </c>
      <c r="D73" s="6" t="s">
        <v>70</v>
      </c>
      <c r="E73" s="6" t="s">
        <v>367</v>
      </c>
      <c r="F73" s="15" t="s">
        <v>1420</v>
      </c>
      <c r="G73" s="6" t="s">
        <v>1432</v>
      </c>
      <c r="H73" s="6" t="s">
        <v>100</v>
      </c>
      <c r="I73" s="6" t="s">
        <v>953</v>
      </c>
      <c r="J73" s="6" t="s">
        <v>953</v>
      </c>
    </row>
    <row r="74">
      <c r="A74" s="6">
        <v>73.0</v>
      </c>
      <c r="B74" s="6" t="s">
        <v>41</v>
      </c>
      <c r="C74" s="12" t="s">
        <v>42</v>
      </c>
      <c r="D74" s="6" t="s">
        <v>70</v>
      </c>
      <c r="E74" s="6" t="s">
        <v>346</v>
      </c>
      <c r="F74" s="15" t="s">
        <v>1434</v>
      </c>
      <c r="G74" s="6" t="s">
        <v>1444</v>
      </c>
      <c r="H74" s="6" t="s">
        <v>340</v>
      </c>
      <c r="I74" s="6" t="s">
        <v>953</v>
      </c>
      <c r="J74" s="6" t="s">
        <v>953</v>
      </c>
    </row>
    <row r="75">
      <c r="A75" s="6">
        <v>74.0</v>
      </c>
      <c r="B75" s="6" t="s">
        <v>533</v>
      </c>
      <c r="C75" s="12" t="s">
        <v>42</v>
      </c>
      <c r="D75" s="6" t="s">
        <v>70</v>
      </c>
      <c r="E75" s="6" t="s">
        <v>537</v>
      </c>
      <c r="F75" s="15" t="s">
        <v>1447</v>
      </c>
      <c r="G75" s="6" t="s">
        <v>1456</v>
      </c>
      <c r="H75" s="6" t="s">
        <v>100</v>
      </c>
      <c r="I75" s="6" t="s">
        <v>953</v>
      </c>
      <c r="J75" s="6" t="s">
        <v>953</v>
      </c>
    </row>
    <row r="76">
      <c r="A76" s="6">
        <v>75.0</v>
      </c>
      <c r="B76" s="6" t="s">
        <v>41</v>
      </c>
      <c r="C76" s="12" t="s">
        <v>42</v>
      </c>
      <c r="D76" s="6" t="s">
        <v>70</v>
      </c>
      <c r="E76" s="6" t="s">
        <v>346</v>
      </c>
      <c r="F76" s="15" t="s">
        <v>1458</v>
      </c>
      <c r="G76" s="6" t="s">
        <v>1472</v>
      </c>
      <c r="H76" s="6" t="s">
        <v>340</v>
      </c>
      <c r="I76" s="6" t="s">
        <v>953</v>
      </c>
      <c r="J76" s="6" t="s">
        <v>953</v>
      </c>
    </row>
    <row r="77">
      <c r="A77" s="6">
        <v>76.0</v>
      </c>
      <c r="B77" s="6" t="s">
        <v>251</v>
      </c>
      <c r="C77" s="12" t="s">
        <v>42</v>
      </c>
      <c r="D77" s="6" t="s">
        <v>70</v>
      </c>
      <c r="E77" s="6" t="s">
        <v>1473</v>
      </c>
      <c r="F77" s="15" t="s">
        <v>1474</v>
      </c>
      <c r="G77" s="6" t="s">
        <v>1488</v>
      </c>
      <c r="H77" s="6" t="s">
        <v>100</v>
      </c>
      <c r="I77" s="6" t="s">
        <v>953</v>
      </c>
      <c r="J77" s="6" t="s">
        <v>953</v>
      </c>
    </row>
    <row r="78">
      <c r="A78" s="6">
        <v>77.0</v>
      </c>
      <c r="B78" s="6" t="s">
        <v>426</v>
      </c>
      <c r="C78" s="12" t="s">
        <v>42</v>
      </c>
      <c r="D78" s="6" t="s">
        <v>70</v>
      </c>
      <c r="E78" s="6" t="s">
        <v>428</v>
      </c>
      <c r="F78" s="15" t="s">
        <v>1491</v>
      </c>
      <c r="G78" s="6" t="s">
        <v>1508</v>
      </c>
      <c r="H78" s="6" t="s">
        <v>100</v>
      </c>
      <c r="I78" s="6" t="s">
        <v>953</v>
      </c>
      <c r="J78" s="6" t="s">
        <v>953</v>
      </c>
    </row>
    <row r="79">
      <c r="A79" s="6">
        <v>78.0</v>
      </c>
      <c r="B79" s="6" t="s">
        <v>41</v>
      </c>
      <c r="C79" s="12" t="s">
        <v>42</v>
      </c>
      <c r="D79" s="6" t="s">
        <v>70</v>
      </c>
      <c r="E79" s="6" t="s">
        <v>346</v>
      </c>
      <c r="F79" s="15" t="s">
        <v>1510</v>
      </c>
      <c r="G79" s="6" t="s">
        <v>1525</v>
      </c>
      <c r="H79" s="6" t="s">
        <v>340</v>
      </c>
      <c r="I79" s="6" t="s">
        <v>953</v>
      </c>
      <c r="J79" s="6" t="s">
        <v>953</v>
      </c>
    </row>
    <row r="80">
      <c r="A80" s="6">
        <v>79.0</v>
      </c>
      <c r="B80" s="6" t="s">
        <v>41</v>
      </c>
      <c r="C80" s="12" t="s">
        <v>42</v>
      </c>
      <c r="D80" s="6" t="s">
        <v>70</v>
      </c>
      <c r="E80" s="6" t="s">
        <v>763</v>
      </c>
      <c r="F80" s="15" t="s">
        <v>1529</v>
      </c>
      <c r="G80" s="6" t="s">
        <v>1538</v>
      </c>
      <c r="H80" s="6" t="s">
        <v>100</v>
      </c>
      <c r="I80" s="6" t="s">
        <v>953</v>
      </c>
      <c r="J80" s="6" t="s">
        <v>953</v>
      </c>
    </row>
    <row r="81">
      <c r="A81" s="6">
        <v>80.0</v>
      </c>
      <c r="B81" s="6" t="s">
        <v>240</v>
      </c>
      <c r="C81" s="12" t="s">
        <v>42</v>
      </c>
      <c r="D81" s="6" t="s">
        <v>70</v>
      </c>
      <c r="E81" s="6" t="s">
        <v>940</v>
      </c>
      <c r="F81" s="15" t="s">
        <v>1546</v>
      </c>
      <c r="G81" s="6" t="s">
        <v>1567</v>
      </c>
      <c r="H81" s="6" t="s">
        <v>100</v>
      </c>
      <c r="I81" s="6" t="s">
        <v>953</v>
      </c>
      <c r="J81" s="6" t="s">
        <v>953</v>
      </c>
    </row>
    <row r="82">
      <c r="A82" s="6">
        <v>81.0</v>
      </c>
      <c r="B82" s="6" t="s">
        <v>41</v>
      </c>
      <c r="C82" s="12" t="s">
        <v>42</v>
      </c>
      <c r="D82" s="6" t="s">
        <v>70</v>
      </c>
      <c r="E82" s="6" t="s">
        <v>346</v>
      </c>
      <c r="F82" s="15" t="s">
        <v>1571</v>
      </c>
      <c r="G82" s="6" t="s">
        <v>1580</v>
      </c>
      <c r="H82" s="6" t="s">
        <v>340</v>
      </c>
      <c r="I82" s="6" t="s">
        <v>953</v>
      </c>
      <c r="J82" s="6" t="s">
        <v>953</v>
      </c>
    </row>
    <row r="83">
      <c r="A83" s="6">
        <v>82.0</v>
      </c>
      <c r="B83" s="6" t="s">
        <v>107</v>
      </c>
      <c r="C83" s="12" t="s">
        <v>957</v>
      </c>
      <c r="D83" s="6" t="s">
        <v>70</v>
      </c>
      <c r="E83" s="6" t="s">
        <v>964</v>
      </c>
      <c r="F83" s="15" t="s">
        <v>1586</v>
      </c>
      <c r="G83" s="6" t="s">
        <v>1602</v>
      </c>
      <c r="H83" s="6" t="s">
        <v>175</v>
      </c>
      <c r="I83" s="6" t="s">
        <v>953</v>
      </c>
      <c r="J83" s="6" t="s">
        <v>953</v>
      </c>
    </row>
    <row r="84">
      <c r="A84" s="6">
        <v>83.0</v>
      </c>
      <c r="B84" s="6" t="s">
        <v>178</v>
      </c>
      <c r="C84" s="12" t="s">
        <v>179</v>
      </c>
      <c r="D84" s="6" t="s">
        <v>70</v>
      </c>
      <c r="E84" s="6" t="s">
        <v>382</v>
      </c>
      <c r="F84" s="15" t="s">
        <v>1605</v>
      </c>
      <c r="G84" s="6" t="s">
        <v>1618</v>
      </c>
      <c r="H84" s="6" t="s">
        <v>100</v>
      </c>
      <c r="I84" s="6" t="s">
        <v>953</v>
      </c>
      <c r="J84" s="6" t="s">
        <v>953</v>
      </c>
    </row>
    <row r="85">
      <c r="A85" s="6">
        <v>84.0</v>
      </c>
      <c r="B85" s="6" t="s">
        <v>41</v>
      </c>
      <c r="C85" s="12" t="s">
        <v>42</v>
      </c>
      <c r="D85" s="6" t="s">
        <v>70</v>
      </c>
      <c r="E85" s="6" t="s">
        <v>346</v>
      </c>
      <c r="F85" s="15" t="s">
        <v>1621</v>
      </c>
      <c r="G85" s="6" t="s">
        <v>1632</v>
      </c>
      <c r="H85" s="6" t="s">
        <v>340</v>
      </c>
      <c r="I85" s="6" t="s">
        <v>953</v>
      </c>
      <c r="J85" s="6" t="s">
        <v>953</v>
      </c>
    </row>
    <row r="86">
      <c r="A86" s="6">
        <v>85.0</v>
      </c>
      <c r="B86" s="6" t="s">
        <v>41</v>
      </c>
      <c r="C86" s="12" t="s">
        <v>42</v>
      </c>
      <c r="D86" s="6" t="s">
        <v>70</v>
      </c>
      <c r="E86" s="6" t="s">
        <v>346</v>
      </c>
      <c r="F86" s="15" t="s">
        <v>1633</v>
      </c>
      <c r="G86" s="6" t="s">
        <v>1642</v>
      </c>
      <c r="H86" s="6" t="s">
        <v>340</v>
      </c>
      <c r="I86" s="6" t="s">
        <v>953</v>
      </c>
      <c r="J86" s="6" t="s">
        <v>953</v>
      </c>
    </row>
    <row r="87">
      <c r="A87" s="6">
        <v>86.0</v>
      </c>
      <c r="B87" s="6" t="s">
        <v>251</v>
      </c>
      <c r="C87" s="12" t="s">
        <v>42</v>
      </c>
      <c r="D87" s="6" t="s">
        <v>70</v>
      </c>
      <c r="E87" s="6" t="s">
        <v>1473</v>
      </c>
      <c r="F87" s="15" t="s">
        <v>1643</v>
      </c>
      <c r="G87" s="6" t="s">
        <v>1654</v>
      </c>
      <c r="H87" s="6" t="s">
        <v>100</v>
      </c>
      <c r="I87" s="6" t="s">
        <v>953</v>
      </c>
      <c r="J87" s="6" t="s">
        <v>953</v>
      </c>
    </row>
    <row r="88">
      <c r="A88" s="6">
        <v>87.0</v>
      </c>
      <c r="B88" s="6" t="s">
        <v>426</v>
      </c>
      <c r="C88" s="12" t="s">
        <v>42</v>
      </c>
      <c r="D88" s="6" t="s">
        <v>70</v>
      </c>
      <c r="E88" s="6" t="s">
        <v>428</v>
      </c>
      <c r="F88" s="15" t="s">
        <v>1656</v>
      </c>
      <c r="G88" s="6" t="s">
        <v>1664</v>
      </c>
      <c r="H88" s="6" t="s">
        <v>100</v>
      </c>
      <c r="I88" s="6" t="s">
        <v>953</v>
      </c>
      <c r="J88" s="6" t="s">
        <v>953</v>
      </c>
    </row>
    <row r="89">
      <c r="A89" s="6">
        <v>88.0</v>
      </c>
      <c r="B89" s="6" t="s">
        <v>41</v>
      </c>
      <c r="C89" s="12" t="s">
        <v>42</v>
      </c>
      <c r="D89" s="6" t="s">
        <v>70</v>
      </c>
      <c r="E89" s="6" t="s">
        <v>346</v>
      </c>
      <c r="F89" s="15" t="s">
        <v>1668</v>
      </c>
      <c r="G89" s="6" t="s">
        <v>1677</v>
      </c>
      <c r="H89" s="6" t="s">
        <v>340</v>
      </c>
      <c r="I89" s="6" t="s">
        <v>953</v>
      </c>
      <c r="J89" s="6" t="s">
        <v>953</v>
      </c>
    </row>
    <row r="90">
      <c r="A90" s="6">
        <v>89.0</v>
      </c>
      <c r="B90" s="6" t="s">
        <v>41</v>
      </c>
      <c r="C90" s="12" t="s">
        <v>42</v>
      </c>
      <c r="D90" s="6" t="s">
        <v>70</v>
      </c>
      <c r="E90" s="6" t="s">
        <v>763</v>
      </c>
      <c r="F90" s="15" t="s">
        <v>1681</v>
      </c>
      <c r="G90" s="6" t="s">
        <v>1690</v>
      </c>
      <c r="H90" s="6" t="s">
        <v>100</v>
      </c>
      <c r="I90" s="6" t="s">
        <v>953</v>
      </c>
      <c r="J90" s="6" t="s">
        <v>953</v>
      </c>
    </row>
    <row r="91">
      <c r="A91" s="6">
        <v>90.0</v>
      </c>
      <c r="B91" s="6" t="s">
        <v>240</v>
      </c>
      <c r="C91" s="12" t="s">
        <v>42</v>
      </c>
      <c r="D91" s="6" t="s">
        <v>70</v>
      </c>
      <c r="E91" s="6" t="s">
        <v>940</v>
      </c>
      <c r="F91" s="15" t="s">
        <v>1691</v>
      </c>
      <c r="G91" s="6" t="s">
        <v>1700</v>
      </c>
      <c r="H91" s="6" t="s">
        <v>100</v>
      </c>
      <c r="I91" s="6" t="s">
        <v>953</v>
      </c>
      <c r="J91" s="6" t="s">
        <v>953</v>
      </c>
    </row>
    <row r="92">
      <c r="A92" s="6">
        <v>91.0</v>
      </c>
      <c r="B92" s="6" t="s">
        <v>251</v>
      </c>
      <c r="C92" s="12" t="s">
        <v>42</v>
      </c>
      <c r="D92" s="6" t="s">
        <v>70</v>
      </c>
      <c r="E92" s="6" t="s">
        <v>363</v>
      </c>
      <c r="F92" s="15" t="s">
        <v>1702</v>
      </c>
      <c r="G92" s="6" t="s">
        <v>1711</v>
      </c>
      <c r="H92" s="6" t="s">
        <v>100</v>
      </c>
      <c r="I92" s="6" t="s">
        <v>953</v>
      </c>
      <c r="J92" s="6" t="s">
        <v>953</v>
      </c>
    </row>
    <row r="93">
      <c r="A93" s="6">
        <v>92.0</v>
      </c>
      <c r="B93" s="6" t="s">
        <v>41</v>
      </c>
      <c r="C93" s="12" t="s">
        <v>42</v>
      </c>
      <c r="D93" s="6" t="s">
        <v>70</v>
      </c>
      <c r="E93" s="6" t="s">
        <v>346</v>
      </c>
      <c r="F93" s="15" t="s">
        <v>1714</v>
      </c>
      <c r="G93" s="6" t="s">
        <v>1721</v>
      </c>
      <c r="H93" s="6" t="s">
        <v>340</v>
      </c>
      <c r="I93" s="6" t="s">
        <v>953</v>
      </c>
      <c r="J93" s="6" t="s">
        <v>953</v>
      </c>
    </row>
    <row r="94">
      <c r="A94" s="6">
        <v>93.0</v>
      </c>
      <c r="B94" s="6" t="s">
        <v>41</v>
      </c>
      <c r="C94" s="12" t="s">
        <v>42</v>
      </c>
      <c r="D94" s="6" t="s">
        <v>70</v>
      </c>
      <c r="E94" s="6" t="s">
        <v>346</v>
      </c>
      <c r="F94" s="15" t="s">
        <v>1725</v>
      </c>
      <c r="G94" s="6" t="s">
        <v>1730</v>
      </c>
      <c r="H94" s="6" t="s">
        <v>340</v>
      </c>
      <c r="I94" s="6" t="s">
        <v>953</v>
      </c>
      <c r="J94" s="6" t="s">
        <v>953</v>
      </c>
    </row>
    <row r="95">
      <c r="A95" s="6">
        <v>94.0</v>
      </c>
      <c r="B95" s="6" t="s">
        <v>41</v>
      </c>
      <c r="C95" s="12" t="s">
        <v>42</v>
      </c>
      <c r="D95" s="6" t="s">
        <v>70</v>
      </c>
      <c r="E95" s="6" t="s">
        <v>346</v>
      </c>
      <c r="F95" s="15" t="s">
        <v>1731</v>
      </c>
      <c r="G95" s="6" t="s">
        <v>1739</v>
      </c>
      <c r="H95" s="6" t="s">
        <v>340</v>
      </c>
      <c r="I95" s="6" t="s">
        <v>953</v>
      </c>
      <c r="J95" s="6" t="s">
        <v>953</v>
      </c>
    </row>
    <row r="96">
      <c r="A96" s="6">
        <v>95.0</v>
      </c>
      <c r="B96" s="6" t="s">
        <v>41</v>
      </c>
      <c r="C96" s="12" t="s">
        <v>42</v>
      </c>
      <c r="D96" s="6" t="s">
        <v>70</v>
      </c>
      <c r="E96" s="6" t="s">
        <v>346</v>
      </c>
      <c r="F96" s="15" t="s">
        <v>1744</v>
      </c>
      <c r="G96" s="6" t="s">
        <v>1749</v>
      </c>
      <c r="H96" s="6" t="s">
        <v>340</v>
      </c>
      <c r="I96" s="6" t="s">
        <v>953</v>
      </c>
      <c r="J96" s="6" t="s">
        <v>953</v>
      </c>
    </row>
    <row r="97">
      <c r="A97" s="6">
        <v>96.0</v>
      </c>
      <c r="B97" s="6" t="s">
        <v>251</v>
      </c>
      <c r="C97" s="12" t="s">
        <v>42</v>
      </c>
      <c r="D97" s="6" t="s">
        <v>70</v>
      </c>
      <c r="E97" s="6" t="s">
        <v>1473</v>
      </c>
      <c r="F97" s="15" t="s">
        <v>1750</v>
      </c>
      <c r="G97" s="6" t="s">
        <v>1755</v>
      </c>
      <c r="H97" s="6" t="s">
        <v>100</v>
      </c>
      <c r="I97" s="6" t="s">
        <v>953</v>
      </c>
      <c r="J97" s="6" t="s">
        <v>953</v>
      </c>
    </row>
    <row r="98">
      <c r="A98" s="6">
        <v>97.0</v>
      </c>
      <c r="B98" s="6" t="s">
        <v>426</v>
      </c>
      <c r="C98" s="12" t="s">
        <v>42</v>
      </c>
      <c r="D98" s="6" t="s">
        <v>70</v>
      </c>
      <c r="E98" s="6" t="s">
        <v>428</v>
      </c>
      <c r="F98" s="15" t="s">
        <v>1762</v>
      </c>
      <c r="G98" s="6" t="s">
        <v>1769</v>
      </c>
      <c r="H98" s="6" t="s">
        <v>100</v>
      </c>
      <c r="I98" s="6" t="s">
        <v>953</v>
      </c>
      <c r="J98" s="6" t="s">
        <v>953</v>
      </c>
    </row>
    <row r="99">
      <c r="A99" s="6">
        <v>98.0</v>
      </c>
      <c r="B99" s="6" t="s">
        <v>41</v>
      </c>
      <c r="C99" s="12" t="s">
        <v>42</v>
      </c>
      <c r="D99" s="6" t="s">
        <v>70</v>
      </c>
      <c r="E99" s="6" t="s">
        <v>346</v>
      </c>
      <c r="F99" s="15" t="s">
        <v>1771</v>
      </c>
      <c r="G99" s="6" t="s">
        <v>1782</v>
      </c>
      <c r="H99" s="6" t="s">
        <v>340</v>
      </c>
      <c r="I99" s="6" t="s">
        <v>953</v>
      </c>
      <c r="J99" s="6" t="s">
        <v>953</v>
      </c>
    </row>
    <row r="100">
      <c r="A100" s="6">
        <v>99.0</v>
      </c>
      <c r="B100" s="6" t="s">
        <v>41</v>
      </c>
      <c r="C100" s="12" t="s">
        <v>42</v>
      </c>
      <c r="D100" s="6" t="s">
        <v>70</v>
      </c>
      <c r="E100" s="6" t="s">
        <v>346</v>
      </c>
      <c r="F100" s="15" t="s">
        <v>1787</v>
      </c>
      <c r="G100" s="6" t="s">
        <v>1793</v>
      </c>
      <c r="H100" s="6" t="s">
        <v>340</v>
      </c>
      <c r="I100" s="6" t="s">
        <v>953</v>
      </c>
      <c r="J100" s="6" t="s">
        <v>953</v>
      </c>
    </row>
    <row r="101">
      <c r="A101" s="6">
        <v>100.0</v>
      </c>
      <c r="B101" s="6" t="s">
        <v>41</v>
      </c>
      <c r="C101" s="12" t="s">
        <v>42</v>
      </c>
      <c r="D101" s="6" t="s">
        <v>70</v>
      </c>
      <c r="E101" s="6" t="s">
        <v>346</v>
      </c>
      <c r="F101" s="15" t="s">
        <v>1797</v>
      </c>
      <c r="G101" s="6" t="s">
        <v>1803</v>
      </c>
      <c r="H101" s="6" t="s">
        <v>340</v>
      </c>
      <c r="I101" s="6" t="s">
        <v>953</v>
      </c>
      <c r="J101" s="6" t="s">
        <v>953</v>
      </c>
    </row>
    <row r="102">
      <c r="A102" s="6">
        <v>101.0</v>
      </c>
      <c r="B102" s="6" t="s">
        <v>41</v>
      </c>
      <c r="C102" s="12" t="s">
        <v>42</v>
      </c>
      <c r="D102" s="6" t="s">
        <v>70</v>
      </c>
      <c r="E102" s="6" t="s">
        <v>346</v>
      </c>
      <c r="F102" s="15" t="s">
        <v>1804</v>
      </c>
      <c r="G102" s="6" t="s">
        <v>1815</v>
      </c>
      <c r="H102" s="6" t="s">
        <v>340</v>
      </c>
      <c r="I102" s="6" t="s">
        <v>953</v>
      </c>
      <c r="J102" s="6" t="s">
        <v>953</v>
      </c>
    </row>
    <row r="103">
      <c r="A103" s="6">
        <v>102.0</v>
      </c>
      <c r="B103" s="6" t="s">
        <v>110</v>
      </c>
      <c r="C103" s="12" t="s">
        <v>42</v>
      </c>
      <c r="D103" s="6" t="s">
        <v>70</v>
      </c>
      <c r="E103" s="6" t="s">
        <v>367</v>
      </c>
      <c r="F103" s="15" t="s">
        <v>1816</v>
      </c>
      <c r="G103" s="6" t="s">
        <v>1826</v>
      </c>
      <c r="H103" s="6" t="s">
        <v>100</v>
      </c>
      <c r="I103" s="6" t="s">
        <v>953</v>
      </c>
      <c r="J103" s="6" t="s">
        <v>953</v>
      </c>
    </row>
    <row r="104">
      <c r="A104" s="6">
        <v>103.0</v>
      </c>
      <c r="B104" s="6" t="s">
        <v>41</v>
      </c>
      <c r="C104" s="12" t="s">
        <v>42</v>
      </c>
      <c r="D104" s="6" t="s">
        <v>70</v>
      </c>
      <c r="E104" s="6" t="s">
        <v>346</v>
      </c>
      <c r="F104" s="15" t="s">
        <v>1830</v>
      </c>
      <c r="G104" s="6" t="s">
        <v>1838</v>
      </c>
      <c r="H104" s="6" t="s">
        <v>340</v>
      </c>
      <c r="I104" s="6" t="s">
        <v>953</v>
      </c>
      <c r="J104" s="6" t="s">
        <v>953</v>
      </c>
    </row>
    <row r="105">
      <c r="A105" s="6">
        <v>104.0</v>
      </c>
      <c r="B105" s="6" t="s">
        <v>533</v>
      </c>
      <c r="C105" s="12" t="s">
        <v>42</v>
      </c>
      <c r="D105" s="6" t="s">
        <v>70</v>
      </c>
      <c r="E105" s="6" t="s">
        <v>537</v>
      </c>
      <c r="F105" s="15" t="s">
        <v>1843</v>
      </c>
      <c r="G105" s="6" t="s">
        <v>1851</v>
      </c>
      <c r="H105" s="6" t="s">
        <v>100</v>
      </c>
      <c r="I105" s="6" t="s">
        <v>953</v>
      </c>
      <c r="J105" s="6" t="s">
        <v>953</v>
      </c>
    </row>
    <row r="106">
      <c r="A106" s="6">
        <v>105.0</v>
      </c>
      <c r="B106" s="6" t="s">
        <v>251</v>
      </c>
      <c r="C106" s="12" t="s">
        <v>42</v>
      </c>
      <c r="D106" s="6" t="s">
        <v>70</v>
      </c>
      <c r="E106" s="6" t="s">
        <v>863</v>
      </c>
      <c r="F106" s="15" t="s">
        <v>1855</v>
      </c>
      <c r="G106" s="6" t="s">
        <v>1864</v>
      </c>
      <c r="H106" s="6" t="s">
        <v>100</v>
      </c>
      <c r="I106" s="6" t="s">
        <v>953</v>
      </c>
      <c r="J106" s="6" t="s">
        <v>953</v>
      </c>
    </row>
    <row r="107">
      <c r="A107" s="6">
        <v>106.0</v>
      </c>
      <c r="B107" s="6" t="s">
        <v>41</v>
      </c>
      <c r="C107" s="12" t="s">
        <v>42</v>
      </c>
      <c r="D107" s="6" t="s">
        <v>70</v>
      </c>
      <c r="E107" s="6" t="s">
        <v>892</v>
      </c>
      <c r="F107" s="15" t="s">
        <v>1866</v>
      </c>
      <c r="G107" s="6" t="s">
        <v>1877</v>
      </c>
      <c r="H107" s="6" t="s">
        <v>340</v>
      </c>
      <c r="I107" s="6" t="s">
        <v>953</v>
      </c>
      <c r="J107" s="6" t="s">
        <v>953</v>
      </c>
    </row>
    <row r="108">
      <c r="A108" s="6">
        <v>107.0</v>
      </c>
      <c r="B108" s="6" t="s">
        <v>41</v>
      </c>
      <c r="C108" s="12" t="s">
        <v>42</v>
      </c>
      <c r="D108" s="6" t="s">
        <v>70</v>
      </c>
      <c r="E108" s="6" t="s">
        <v>892</v>
      </c>
      <c r="F108" s="15" t="s">
        <v>1878</v>
      </c>
      <c r="G108" s="6" t="s">
        <v>1888</v>
      </c>
      <c r="H108" s="6" t="s">
        <v>340</v>
      </c>
      <c r="I108" s="6" t="s">
        <v>953</v>
      </c>
      <c r="J108" s="6" t="s">
        <v>953</v>
      </c>
    </row>
    <row r="109">
      <c r="A109" s="6">
        <v>108.0</v>
      </c>
      <c r="B109" s="6" t="s">
        <v>240</v>
      </c>
      <c r="C109" s="12" t="s">
        <v>42</v>
      </c>
      <c r="D109" s="6" t="s">
        <v>70</v>
      </c>
      <c r="E109" s="6" t="s">
        <v>756</v>
      </c>
      <c r="F109" s="15" t="s">
        <v>1889</v>
      </c>
      <c r="G109" s="6" t="s">
        <v>1898</v>
      </c>
      <c r="H109" s="6" t="s">
        <v>100</v>
      </c>
      <c r="I109" s="6" t="s">
        <v>953</v>
      </c>
      <c r="J109" s="6" t="s">
        <v>953</v>
      </c>
    </row>
    <row r="110">
      <c r="A110" s="6">
        <v>109.0</v>
      </c>
      <c r="B110" s="6" t="s">
        <v>41</v>
      </c>
      <c r="C110" s="12" t="s">
        <v>42</v>
      </c>
      <c r="D110" s="6" t="s">
        <v>70</v>
      </c>
      <c r="E110" s="6" t="s">
        <v>763</v>
      </c>
      <c r="F110" s="15" t="s">
        <v>1902</v>
      </c>
      <c r="G110" s="6" t="s">
        <v>1909</v>
      </c>
      <c r="H110" s="6" t="s">
        <v>100</v>
      </c>
      <c r="I110" s="6" t="s">
        <v>953</v>
      </c>
      <c r="J110" s="6" t="s">
        <v>953</v>
      </c>
    </row>
    <row r="111">
      <c r="A111" s="6">
        <v>110.0</v>
      </c>
      <c r="B111" s="6" t="s">
        <v>41</v>
      </c>
      <c r="C111" s="12" t="s">
        <v>42</v>
      </c>
      <c r="D111" s="6" t="s">
        <v>70</v>
      </c>
      <c r="E111" s="6" t="s">
        <v>346</v>
      </c>
      <c r="F111" s="15" t="s">
        <v>1910</v>
      </c>
      <c r="G111" s="6" t="s">
        <v>1916</v>
      </c>
      <c r="H111" s="6" t="s">
        <v>340</v>
      </c>
      <c r="I111" s="6" t="s">
        <v>953</v>
      </c>
      <c r="J111" s="6" t="s">
        <v>953</v>
      </c>
    </row>
    <row r="112">
      <c r="A112" s="6">
        <v>111.0</v>
      </c>
      <c r="B112" s="6" t="s">
        <v>41</v>
      </c>
      <c r="C112" s="12" t="s">
        <v>42</v>
      </c>
      <c r="D112" s="6" t="s">
        <v>70</v>
      </c>
      <c r="E112" s="6" t="s">
        <v>346</v>
      </c>
      <c r="F112" s="15" t="s">
        <v>1917</v>
      </c>
      <c r="G112" s="6" t="s">
        <v>1928</v>
      </c>
      <c r="H112" s="6" t="s">
        <v>340</v>
      </c>
      <c r="I112" s="6" t="s">
        <v>953</v>
      </c>
      <c r="J112" s="6" t="s">
        <v>953</v>
      </c>
    </row>
    <row r="113">
      <c r="A113" s="6">
        <v>112.0</v>
      </c>
      <c r="B113" s="6" t="s">
        <v>41</v>
      </c>
      <c r="C113" s="12" t="s">
        <v>42</v>
      </c>
      <c r="D113" s="6" t="s">
        <v>70</v>
      </c>
      <c r="E113" s="6" t="s">
        <v>346</v>
      </c>
      <c r="F113" s="15" t="s">
        <v>1930</v>
      </c>
      <c r="G113" s="6" t="s">
        <v>1939</v>
      </c>
      <c r="H113" s="6" t="s">
        <v>340</v>
      </c>
      <c r="I113" s="6" t="s">
        <v>953</v>
      </c>
      <c r="J113" s="6" t="s">
        <v>953</v>
      </c>
    </row>
    <row r="114">
      <c r="A114" s="6">
        <v>113.0</v>
      </c>
      <c r="B114" s="6" t="s">
        <v>41</v>
      </c>
      <c r="C114" s="12" t="s">
        <v>42</v>
      </c>
      <c r="D114" s="6" t="s">
        <v>70</v>
      </c>
      <c r="E114" s="6" t="s">
        <v>346</v>
      </c>
      <c r="F114" s="15" t="s">
        <v>1941</v>
      </c>
      <c r="G114" s="6" t="s">
        <v>1953</v>
      </c>
      <c r="H114" s="6" t="s">
        <v>340</v>
      </c>
      <c r="I114" s="6" t="s">
        <v>953</v>
      </c>
      <c r="J114" s="6" t="s">
        <v>953</v>
      </c>
    </row>
    <row r="115">
      <c r="A115" s="6">
        <v>114.0</v>
      </c>
      <c r="B115" s="6" t="s">
        <v>41</v>
      </c>
      <c r="C115" s="12" t="s">
        <v>42</v>
      </c>
      <c r="D115" s="6" t="s">
        <v>70</v>
      </c>
      <c r="E115" s="6" t="s">
        <v>892</v>
      </c>
      <c r="F115" s="15" t="s">
        <v>1954</v>
      </c>
      <c r="G115" s="6" t="s">
        <v>1963</v>
      </c>
      <c r="H115" s="6" t="s">
        <v>340</v>
      </c>
      <c r="I115" s="6" t="s">
        <v>953</v>
      </c>
      <c r="J115" s="6" t="s">
        <v>953</v>
      </c>
    </row>
    <row r="116">
      <c r="A116" s="6">
        <v>115.0</v>
      </c>
      <c r="B116" s="6" t="s">
        <v>41</v>
      </c>
      <c r="C116" s="12" t="s">
        <v>42</v>
      </c>
      <c r="D116" s="6" t="s">
        <v>70</v>
      </c>
      <c r="E116" s="6" t="s">
        <v>892</v>
      </c>
      <c r="F116" s="15" t="s">
        <v>1965</v>
      </c>
      <c r="G116" s="6" t="s">
        <v>1970</v>
      </c>
      <c r="H116" s="6" t="s">
        <v>340</v>
      </c>
      <c r="I116" s="6" t="s">
        <v>953</v>
      </c>
      <c r="J116" s="6" t="s">
        <v>953</v>
      </c>
    </row>
    <row r="117">
      <c r="A117" s="6">
        <v>116.0</v>
      </c>
      <c r="B117" s="6" t="s">
        <v>251</v>
      </c>
      <c r="C117" s="12" t="s">
        <v>42</v>
      </c>
      <c r="D117" s="6" t="s">
        <v>70</v>
      </c>
      <c r="E117" s="6" t="s">
        <v>1473</v>
      </c>
      <c r="F117" s="15" t="s">
        <v>1971</v>
      </c>
      <c r="G117" s="6" t="s">
        <v>1981</v>
      </c>
      <c r="H117" s="6" t="s">
        <v>100</v>
      </c>
      <c r="I117" s="6" t="s">
        <v>953</v>
      </c>
      <c r="J117" s="6" t="s">
        <v>953</v>
      </c>
    </row>
    <row r="118">
      <c r="A118" s="6">
        <v>117.0</v>
      </c>
      <c r="B118" s="6" t="s">
        <v>426</v>
      </c>
      <c r="C118" s="12" t="s">
        <v>42</v>
      </c>
      <c r="D118" s="6" t="s">
        <v>70</v>
      </c>
      <c r="E118" s="6" t="s">
        <v>428</v>
      </c>
      <c r="F118" s="15" t="s">
        <v>1982</v>
      </c>
      <c r="G118" s="6" t="s">
        <v>1989</v>
      </c>
      <c r="H118" s="6" t="s">
        <v>100</v>
      </c>
      <c r="I118" s="6" t="s">
        <v>953</v>
      </c>
      <c r="J118" s="6" t="s">
        <v>953</v>
      </c>
    </row>
    <row r="119">
      <c r="A119" s="6">
        <v>118.0</v>
      </c>
      <c r="B119" s="6" t="s">
        <v>240</v>
      </c>
      <c r="C119" s="12" t="s">
        <v>42</v>
      </c>
      <c r="D119" s="6" t="s">
        <v>70</v>
      </c>
      <c r="E119" s="6" t="s">
        <v>756</v>
      </c>
      <c r="F119" s="15" t="s">
        <v>1993</v>
      </c>
      <c r="G119" s="6" t="s">
        <v>1999</v>
      </c>
      <c r="H119" s="6" t="s">
        <v>100</v>
      </c>
      <c r="I119" s="6" t="s">
        <v>953</v>
      </c>
      <c r="J119" s="6" t="s">
        <v>953</v>
      </c>
    </row>
    <row r="120">
      <c r="A120" s="6">
        <v>119.0</v>
      </c>
      <c r="B120" s="6" t="s">
        <v>41</v>
      </c>
      <c r="C120" s="12" t="s">
        <v>42</v>
      </c>
      <c r="D120" s="6" t="s">
        <v>70</v>
      </c>
      <c r="E120" s="6" t="s">
        <v>763</v>
      </c>
      <c r="F120" s="15" t="s">
        <v>2000</v>
      </c>
      <c r="G120" s="6" t="s">
        <v>2006</v>
      </c>
      <c r="H120" s="6" t="s">
        <v>100</v>
      </c>
      <c r="I120" s="6" t="s">
        <v>953</v>
      </c>
      <c r="J120" s="6" t="s">
        <v>953</v>
      </c>
    </row>
    <row r="121">
      <c r="A121" s="6">
        <v>120.0</v>
      </c>
      <c r="B121" s="6" t="s">
        <v>240</v>
      </c>
      <c r="C121" s="12" t="s">
        <v>42</v>
      </c>
      <c r="D121" s="6" t="s">
        <v>70</v>
      </c>
      <c r="E121" s="6" t="s">
        <v>940</v>
      </c>
      <c r="F121" s="15" t="s">
        <v>2010</v>
      </c>
      <c r="G121" s="6" t="s">
        <v>2018</v>
      </c>
      <c r="H121" s="6" t="s">
        <v>100</v>
      </c>
      <c r="I121" s="6" t="s">
        <v>953</v>
      </c>
      <c r="J121" s="6" t="s">
        <v>953</v>
      </c>
    </row>
    <row r="122">
      <c r="A122" s="6">
        <v>121.0</v>
      </c>
      <c r="B122" s="6" t="s">
        <v>251</v>
      </c>
      <c r="C122" s="12" t="s">
        <v>42</v>
      </c>
      <c r="D122" s="6" t="s">
        <v>70</v>
      </c>
      <c r="E122" s="6" t="s">
        <v>363</v>
      </c>
      <c r="F122" s="15" t="s">
        <v>2021</v>
      </c>
      <c r="G122" s="6" t="s">
        <v>2030</v>
      </c>
      <c r="H122" s="6" t="s">
        <v>100</v>
      </c>
      <c r="I122" s="6" t="s">
        <v>953</v>
      </c>
      <c r="J122" s="6" t="s">
        <v>953</v>
      </c>
    </row>
    <row r="123">
      <c r="A123" s="6">
        <v>122.0</v>
      </c>
      <c r="B123" s="6" t="s">
        <v>110</v>
      </c>
      <c r="C123" s="12" t="s">
        <v>42</v>
      </c>
      <c r="D123" s="6" t="s">
        <v>70</v>
      </c>
      <c r="E123" s="6" t="s">
        <v>367</v>
      </c>
      <c r="F123" s="15" t="s">
        <v>2031</v>
      </c>
      <c r="G123" s="6" t="s">
        <v>2038</v>
      </c>
      <c r="H123" s="6" t="s">
        <v>100</v>
      </c>
      <c r="I123" s="6" t="s">
        <v>953</v>
      </c>
      <c r="J123" s="6" t="s">
        <v>953</v>
      </c>
    </row>
    <row r="124">
      <c r="A124" s="6">
        <v>123.0</v>
      </c>
      <c r="B124" s="6" t="s">
        <v>178</v>
      </c>
      <c r="C124" s="12" t="s">
        <v>179</v>
      </c>
      <c r="D124" s="6" t="s">
        <v>70</v>
      </c>
      <c r="E124" s="6" t="s">
        <v>382</v>
      </c>
      <c r="F124" s="15" t="s">
        <v>2040</v>
      </c>
      <c r="G124" s="6" t="s">
        <v>2047</v>
      </c>
      <c r="H124" s="6" t="s">
        <v>100</v>
      </c>
      <c r="I124" s="6" t="s">
        <v>953</v>
      </c>
      <c r="J124" s="6" t="s">
        <v>953</v>
      </c>
    </row>
    <row r="125">
      <c r="A125" s="6">
        <v>124.0</v>
      </c>
      <c r="B125" s="6" t="s">
        <v>533</v>
      </c>
      <c r="C125" s="12" t="s">
        <v>42</v>
      </c>
      <c r="D125" s="6" t="s">
        <v>70</v>
      </c>
      <c r="E125" s="6" t="s">
        <v>537</v>
      </c>
      <c r="F125" s="15" t="s">
        <v>2048</v>
      </c>
      <c r="G125" s="6" t="s">
        <v>2060</v>
      </c>
      <c r="H125" s="6" t="s">
        <v>100</v>
      </c>
      <c r="I125" s="6" t="s">
        <v>953</v>
      </c>
      <c r="J125" s="6" t="s">
        <v>953</v>
      </c>
    </row>
    <row r="126">
      <c r="A126" s="6">
        <v>125.0</v>
      </c>
      <c r="B126" s="6" t="s">
        <v>251</v>
      </c>
      <c r="C126" s="12" t="s">
        <v>42</v>
      </c>
      <c r="D126" s="6" t="s">
        <v>70</v>
      </c>
      <c r="E126" s="6" t="s">
        <v>863</v>
      </c>
      <c r="F126" s="15" t="s">
        <v>2063</v>
      </c>
      <c r="G126" s="6" t="s">
        <v>2073</v>
      </c>
      <c r="H126" s="6" t="s">
        <v>100</v>
      </c>
      <c r="I126" s="6" t="s">
        <v>953</v>
      </c>
      <c r="J126" s="6" t="s">
        <v>953</v>
      </c>
    </row>
    <row r="127">
      <c r="A127" s="6">
        <v>126.0</v>
      </c>
      <c r="B127" s="6" t="s">
        <v>251</v>
      </c>
      <c r="C127" s="12" t="s">
        <v>42</v>
      </c>
      <c r="D127" s="6" t="s">
        <v>70</v>
      </c>
      <c r="E127" s="6" t="s">
        <v>1473</v>
      </c>
      <c r="F127" s="15" t="s">
        <v>2074</v>
      </c>
      <c r="G127" s="6" t="s">
        <v>2084</v>
      </c>
      <c r="H127" s="6" t="s">
        <v>100</v>
      </c>
      <c r="I127" s="6" t="s">
        <v>953</v>
      </c>
      <c r="J127" s="6" t="s">
        <v>953</v>
      </c>
    </row>
    <row r="128">
      <c r="A128" s="6">
        <v>127.0</v>
      </c>
      <c r="B128" s="6" t="s">
        <v>426</v>
      </c>
      <c r="C128" s="12" t="s">
        <v>42</v>
      </c>
      <c r="D128" s="6" t="s">
        <v>70</v>
      </c>
      <c r="E128" s="6" t="s">
        <v>428</v>
      </c>
      <c r="F128" s="15" t="s">
        <v>2086</v>
      </c>
      <c r="G128" s="6" t="s">
        <v>2098</v>
      </c>
      <c r="H128" s="6" t="s">
        <v>100</v>
      </c>
      <c r="I128" s="6" t="s">
        <v>953</v>
      </c>
      <c r="J128" s="6" t="s">
        <v>953</v>
      </c>
    </row>
    <row r="129">
      <c r="A129" s="6">
        <v>128.0</v>
      </c>
      <c r="B129" s="6" t="s">
        <v>240</v>
      </c>
      <c r="C129" s="12" t="s">
        <v>42</v>
      </c>
      <c r="D129" s="6" t="s">
        <v>70</v>
      </c>
      <c r="E129" s="6" t="s">
        <v>756</v>
      </c>
      <c r="F129" s="15" t="s">
        <v>2099</v>
      </c>
      <c r="G129" s="6" t="s">
        <v>2109</v>
      </c>
      <c r="H129" s="6" t="s">
        <v>100</v>
      </c>
      <c r="I129" s="6" t="s">
        <v>953</v>
      </c>
      <c r="J129" s="6" t="s">
        <v>953</v>
      </c>
    </row>
    <row r="130">
      <c r="A130" s="6">
        <v>129.0</v>
      </c>
      <c r="B130" s="6" t="s">
        <v>41</v>
      </c>
      <c r="C130" s="12" t="s">
        <v>42</v>
      </c>
      <c r="D130" s="6" t="s">
        <v>70</v>
      </c>
      <c r="E130" s="6" t="s">
        <v>763</v>
      </c>
      <c r="F130" s="15" t="s">
        <v>2110</v>
      </c>
      <c r="G130" s="6" t="s">
        <v>2116</v>
      </c>
      <c r="H130" s="6" t="s">
        <v>100</v>
      </c>
      <c r="I130" s="6" t="s">
        <v>953</v>
      </c>
      <c r="J130" s="6" t="s">
        <v>953</v>
      </c>
    </row>
    <row r="131">
      <c r="A131" s="6">
        <v>130.0</v>
      </c>
      <c r="B131" s="6" t="s">
        <v>240</v>
      </c>
      <c r="C131" s="12" t="s">
        <v>42</v>
      </c>
      <c r="D131" s="6" t="s">
        <v>70</v>
      </c>
      <c r="E131" s="6" t="s">
        <v>940</v>
      </c>
      <c r="F131" s="15" t="s">
        <v>2119</v>
      </c>
      <c r="G131" s="6" t="s">
        <v>2126</v>
      </c>
      <c r="H131" s="6" t="s">
        <v>100</v>
      </c>
      <c r="I131" s="6" t="s">
        <v>953</v>
      </c>
      <c r="J131" s="6" t="s">
        <v>953</v>
      </c>
    </row>
    <row r="132">
      <c r="A132" s="6">
        <v>131.0</v>
      </c>
      <c r="B132" s="6" t="s">
        <v>41</v>
      </c>
      <c r="C132" s="12" t="s">
        <v>42</v>
      </c>
      <c r="D132" s="6" t="s">
        <v>70</v>
      </c>
      <c r="E132" s="6" t="s">
        <v>892</v>
      </c>
      <c r="F132" s="15" t="s">
        <v>2127</v>
      </c>
      <c r="G132" s="6" t="s">
        <v>2134</v>
      </c>
      <c r="H132" s="6" t="s">
        <v>340</v>
      </c>
      <c r="I132" s="6" t="s">
        <v>953</v>
      </c>
      <c r="J132" s="6" t="s">
        <v>953</v>
      </c>
    </row>
    <row r="133">
      <c r="A133" s="6">
        <v>132.0</v>
      </c>
      <c r="B133" s="6" t="s">
        <v>110</v>
      </c>
      <c r="C133" s="12" t="s">
        <v>42</v>
      </c>
      <c r="D133" s="6" t="s">
        <v>70</v>
      </c>
      <c r="E133" s="6" t="s">
        <v>367</v>
      </c>
      <c r="F133" s="15" t="s">
        <v>2135</v>
      </c>
      <c r="G133" s="6" t="s">
        <v>2142</v>
      </c>
      <c r="H133" s="6" t="s">
        <v>100</v>
      </c>
      <c r="I133" s="6" t="s">
        <v>953</v>
      </c>
      <c r="J133" s="6" t="s">
        <v>953</v>
      </c>
    </row>
    <row r="134">
      <c r="A134" s="6">
        <v>133.0</v>
      </c>
      <c r="B134" s="6" t="s">
        <v>178</v>
      </c>
      <c r="C134" s="12" t="s">
        <v>179</v>
      </c>
      <c r="D134" s="6" t="s">
        <v>70</v>
      </c>
      <c r="E134" s="6" t="s">
        <v>382</v>
      </c>
      <c r="F134" s="15" t="s">
        <v>2147</v>
      </c>
      <c r="G134" s="6" t="s">
        <v>2154</v>
      </c>
      <c r="H134" s="6" t="s">
        <v>100</v>
      </c>
      <c r="I134" s="6" t="s">
        <v>953</v>
      </c>
      <c r="J134" s="6" t="s">
        <v>953</v>
      </c>
    </row>
    <row r="135">
      <c r="A135" s="6">
        <v>134.0</v>
      </c>
      <c r="B135" s="6" t="s">
        <v>533</v>
      </c>
      <c r="C135" s="12" t="s">
        <v>42</v>
      </c>
      <c r="D135" s="6" t="s">
        <v>70</v>
      </c>
      <c r="E135" s="6" t="s">
        <v>537</v>
      </c>
      <c r="F135" s="15" t="s">
        <v>2157</v>
      </c>
      <c r="G135" s="6" t="s">
        <v>2170</v>
      </c>
      <c r="H135" s="6" t="s">
        <v>100</v>
      </c>
      <c r="I135" s="6" t="s">
        <v>953</v>
      </c>
      <c r="J135" s="6" t="s">
        <v>953</v>
      </c>
    </row>
    <row r="136">
      <c r="A136" s="6">
        <v>135.0</v>
      </c>
      <c r="B136" s="6" t="s">
        <v>251</v>
      </c>
      <c r="C136" s="12" t="s">
        <v>42</v>
      </c>
      <c r="D136" s="6" t="s">
        <v>70</v>
      </c>
      <c r="E136" s="6" t="s">
        <v>863</v>
      </c>
      <c r="F136" s="15" t="s">
        <v>2174</v>
      </c>
      <c r="G136" s="6" t="s">
        <v>2181</v>
      </c>
      <c r="H136" s="6" t="s">
        <v>100</v>
      </c>
      <c r="I136" s="6" t="s">
        <v>953</v>
      </c>
      <c r="J136" s="6" t="s">
        <v>953</v>
      </c>
    </row>
    <row r="137">
      <c r="A137" s="6">
        <v>136.0</v>
      </c>
      <c r="B137" s="6" t="s">
        <v>251</v>
      </c>
      <c r="C137" s="12" t="s">
        <v>42</v>
      </c>
      <c r="D137" s="6" t="s">
        <v>70</v>
      </c>
      <c r="E137" s="6" t="s">
        <v>1473</v>
      </c>
      <c r="F137" s="15" t="s">
        <v>2182</v>
      </c>
      <c r="G137" s="6" t="s">
        <v>2190</v>
      </c>
      <c r="H137" s="6" t="s">
        <v>100</v>
      </c>
      <c r="I137" s="6" t="s">
        <v>953</v>
      </c>
      <c r="J137" s="6" t="s">
        <v>953</v>
      </c>
    </row>
    <row r="138">
      <c r="A138" s="6">
        <v>137.0</v>
      </c>
      <c r="B138" s="6" t="s">
        <v>426</v>
      </c>
      <c r="C138" s="12" t="s">
        <v>42</v>
      </c>
      <c r="D138" s="6" t="s">
        <v>70</v>
      </c>
      <c r="E138" s="6" t="s">
        <v>428</v>
      </c>
      <c r="F138" s="15" t="s">
        <v>2194</v>
      </c>
      <c r="G138" s="6" t="s">
        <v>2199</v>
      </c>
      <c r="H138" s="6" t="s">
        <v>100</v>
      </c>
      <c r="I138" s="6" t="s">
        <v>953</v>
      </c>
      <c r="J138" s="6" t="s">
        <v>953</v>
      </c>
    </row>
    <row r="139">
      <c r="A139" s="6">
        <v>138.0</v>
      </c>
      <c r="B139" s="6" t="s">
        <v>240</v>
      </c>
      <c r="C139" s="12" t="s">
        <v>42</v>
      </c>
      <c r="D139" s="6" t="s">
        <v>70</v>
      </c>
      <c r="E139" s="6" t="s">
        <v>756</v>
      </c>
      <c r="F139" s="15" t="s">
        <v>2200</v>
      </c>
      <c r="G139" s="6" t="s">
        <v>2206</v>
      </c>
      <c r="H139" s="6" t="s">
        <v>100</v>
      </c>
      <c r="I139" s="6" t="s">
        <v>953</v>
      </c>
      <c r="J139" s="6" t="s">
        <v>953</v>
      </c>
    </row>
    <row r="140">
      <c r="A140" s="6">
        <v>139.0</v>
      </c>
      <c r="B140" s="6" t="s">
        <v>41</v>
      </c>
      <c r="C140" s="12" t="s">
        <v>42</v>
      </c>
      <c r="D140" s="6" t="s">
        <v>70</v>
      </c>
      <c r="E140" s="6" t="s">
        <v>763</v>
      </c>
      <c r="F140" s="15" t="s">
        <v>2211</v>
      </c>
      <c r="G140" s="6" t="s">
        <v>2217</v>
      </c>
      <c r="H140" s="6" t="s">
        <v>100</v>
      </c>
      <c r="I140" s="6" t="s">
        <v>953</v>
      </c>
      <c r="J140" s="6" t="s">
        <v>953</v>
      </c>
    </row>
    <row r="141">
      <c r="A141" s="6">
        <v>140.0</v>
      </c>
      <c r="B141" s="6" t="s">
        <v>240</v>
      </c>
      <c r="C141" s="12" t="s">
        <v>42</v>
      </c>
      <c r="D141" s="6" t="s">
        <v>70</v>
      </c>
      <c r="E141" s="6" t="s">
        <v>940</v>
      </c>
      <c r="F141" s="15" t="s">
        <v>2218</v>
      </c>
      <c r="G141" s="6" t="s">
        <v>2224</v>
      </c>
      <c r="H141" s="6" t="s">
        <v>100</v>
      </c>
      <c r="I141" s="6" t="s">
        <v>953</v>
      </c>
      <c r="J141" s="6" t="s">
        <v>953</v>
      </c>
    </row>
    <row r="142">
      <c r="A142" s="6">
        <v>141.0</v>
      </c>
      <c r="B142" s="6" t="s">
        <v>251</v>
      </c>
      <c r="C142" s="12" t="s">
        <v>42</v>
      </c>
      <c r="D142" s="6" t="s">
        <v>70</v>
      </c>
      <c r="E142" s="6" t="s">
        <v>363</v>
      </c>
      <c r="F142" s="15" t="s">
        <v>2226</v>
      </c>
      <c r="G142" s="6" t="s">
        <v>2232</v>
      </c>
      <c r="H142" s="6" t="s">
        <v>100</v>
      </c>
      <c r="I142" s="6" t="s">
        <v>953</v>
      </c>
      <c r="J142" s="6" t="s">
        <v>953</v>
      </c>
    </row>
    <row r="143">
      <c r="A143" s="6">
        <v>142.0</v>
      </c>
      <c r="B143" s="6" t="s">
        <v>110</v>
      </c>
      <c r="C143" s="12" t="s">
        <v>42</v>
      </c>
      <c r="D143" s="6" t="s">
        <v>70</v>
      </c>
      <c r="E143" s="6" t="s">
        <v>367</v>
      </c>
      <c r="F143" s="15" t="s">
        <v>2233</v>
      </c>
      <c r="G143" s="6" t="s">
        <v>2239</v>
      </c>
      <c r="H143" s="6" t="s">
        <v>100</v>
      </c>
      <c r="I143" s="6" t="s">
        <v>953</v>
      </c>
      <c r="J143" s="6" t="s">
        <v>953</v>
      </c>
    </row>
    <row r="144">
      <c r="A144" s="6">
        <v>143.0</v>
      </c>
      <c r="B144" s="6" t="s">
        <v>178</v>
      </c>
      <c r="C144" s="12" t="s">
        <v>179</v>
      </c>
      <c r="D144" s="6" t="s">
        <v>70</v>
      </c>
      <c r="E144" s="6" t="s">
        <v>382</v>
      </c>
      <c r="F144" s="15" t="s">
        <v>2244</v>
      </c>
      <c r="G144" s="6" t="s">
        <v>2249</v>
      </c>
      <c r="H144" s="6" t="s">
        <v>100</v>
      </c>
      <c r="I144" s="6" t="s">
        <v>953</v>
      </c>
      <c r="J144" s="6" t="s">
        <v>953</v>
      </c>
    </row>
    <row r="145">
      <c r="A145" s="6">
        <v>144.0</v>
      </c>
      <c r="B145" s="6" t="s">
        <v>533</v>
      </c>
      <c r="C145" s="12" t="s">
        <v>42</v>
      </c>
      <c r="D145" s="6" t="s">
        <v>70</v>
      </c>
      <c r="E145" s="6" t="s">
        <v>537</v>
      </c>
      <c r="F145" s="15" t="s">
        <v>2250</v>
      </c>
      <c r="G145" s="6" t="s">
        <v>2261</v>
      </c>
      <c r="H145" s="6" t="s">
        <v>100</v>
      </c>
      <c r="I145" s="6" t="s">
        <v>953</v>
      </c>
      <c r="J145" s="6" t="s">
        <v>953</v>
      </c>
    </row>
    <row r="146">
      <c r="A146" s="6">
        <v>145.0</v>
      </c>
      <c r="B146" s="6" t="s">
        <v>41</v>
      </c>
      <c r="C146" s="12" t="s">
        <v>42</v>
      </c>
      <c r="D146" s="6" t="s">
        <v>70</v>
      </c>
      <c r="E146" s="6" t="s">
        <v>892</v>
      </c>
      <c r="F146" s="15" t="s">
        <v>2262</v>
      </c>
      <c r="G146" s="6" t="s">
        <v>2271</v>
      </c>
      <c r="H146" s="6" t="s">
        <v>340</v>
      </c>
      <c r="I146" s="6" t="s">
        <v>953</v>
      </c>
      <c r="J146" s="6" t="s">
        <v>953</v>
      </c>
    </row>
    <row r="147">
      <c r="A147" s="6">
        <v>146.0</v>
      </c>
      <c r="B147" s="6" t="s">
        <v>41</v>
      </c>
      <c r="C147" s="12" t="s">
        <v>42</v>
      </c>
      <c r="D147" s="6" t="s">
        <v>70</v>
      </c>
      <c r="E147" s="6" t="s">
        <v>892</v>
      </c>
      <c r="F147" s="15" t="s">
        <v>2272</v>
      </c>
      <c r="G147" s="6" t="s">
        <v>2283</v>
      </c>
      <c r="H147" s="6" t="s">
        <v>340</v>
      </c>
      <c r="I147" s="6" t="s">
        <v>953</v>
      </c>
      <c r="J147" s="6" t="s">
        <v>953</v>
      </c>
    </row>
    <row r="148">
      <c r="A148" s="6">
        <v>147.0</v>
      </c>
      <c r="B148" s="6" t="s">
        <v>41</v>
      </c>
      <c r="C148" s="12" t="s">
        <v>42</v>
      </c>
      <c r="D148" s="6" t="s">
        <v>70</v>
      </c>
      <c r="E148" s="6" t="s">
        <v>892</v>
      </c>
      <c r="F148" s="15" t="s">
        <v>2284</v>
      </c>
      <c r="G148" s="6" t="s">
        <v>2293</v>
      </c>
      <c r="H148" s="6" t="s">
        <v>340</v>
      </c>
      <c r="I148" s="6" t="s">
        <v>953</v>
      </c>
      <c r="J148" s="6" t="s">
        <v>953</v>
      </c>
    </row>
    <row r="149">
      <c r="A149" s="6">
        <v>148.0</v>
      </c>
      <c r="B149" s="6" t="s">
        <v>41</v>
      </c>
      <c r="C149" s="12" t="s">
        <v>42</v>
      </c>
      <c r="D149" s="6" t="s">
        <v>70</v>
      </c>
      <c r="E149" s="6" t="s">
        <v>892</v>
      </c>
      <c r="F149" s="15" t="s">
        <v>2294</v>
      </c>
      <c r="G149" s="6" t="s">
        <v>2303</v>
      </c>
      <c r="H149" s="6" t="s">
        <v>340</v>
      </c>
      <c r="I149" s="6" t="s">
        <v>953</v>
      </c>
      <c r="J149" s="6" t="s">
        <v>953</v>
      </c>
    </row>
    <row r="150">
      <c r="A150" s="6">
        <v>149.0</v>
      </c>
      <c r="B150" s="6" t="s">
        <v>41</v>
      </c>
      <c r="C150" s="12" t="s">
        <v>42</v>
      </c>
      <c r="D150" s="6" t="s">
        <v>70</v>
      </c>
      <c r="E150" s="6" t="s">
        <v>892</v>
      </c>
      <c r="F150" s="15" t="s">
        <v>2305</v>
      </c>
      <c r="G150" s="6" t="s">
        <v>2309</v>
      </c>
      <c r="H150" s="6" t="s">
        <v>340</v>
      </c>
      <c r="I150" s="6" t="s">
        <v>953</v>
      </c>
      <c r="J150" s="6" t="s">
        <v>953</v>
      </c>
    </row>
    <row r="151">
      <c r="A151" s="6">
        <v>150.0</v>
      </c>
      <c r="B151" s="6" t="s">
        <v>41</v>
      </c>
      <c r="C151" s="12" t="s">
        <v>42</v>
      </c>
      <c r="D151" s="6" t="s">
        <v>70</v>
      </c>
      <c r="E151" s="6" t="s">
        <v>892</v>
      </c>
      <c r="F151" s="15" t="s">
        <v>2315</v>
      </c>
      <c r="G151" s="6" t="s">
        <v>2324</v>
      </c>
      <c r="H151" s="6" t="s">
        <v>340</v>
      </c>
      <c r="I151" s="6" t="s">
        <v>953</v>
      </c>
      <c r="J151" s="6" t="s">
        <v>953</v>
      </c>
    </row>
    <row r="152">
      <c r="A152" s="6">
        <v>151.0</v>
      </c>
      <c r="B152" s="6" t="s">
        <v>41</v>
      </c>
      <c r="C152" s="12" t="s">
        <v>42</v>
      </c>
      <c r="D152" s="6" t="s">
        <v>70</v>
      </c>
      <c r="E152" s="6" t="s">
        <v>892</v>
      </c>
      <c r="F152" s="15" t="s">
        <v>2325</v>
      </c>
      <c r="G152" s="6" t="s">
        <v>2336</v>
      </c>
      <c r="H152" s="6" t="s">
        <v>340</v>
      </c>
      <c r="I152" s="6" t="s">
        <v>953</v>
      </c>
      <c r="J152" s="6" t="s">
        <v>953</v>
      </c>
    </row>
    <row r="153">
      <c r="A153" s="6">
        <v>152.0</v>
      </c>
      <c r="B153" s="6" t="s">
        <v>41</v>
      </c>
      <c r="C153" s="12" t="s">
        <v>42</v>
      </c>
      <c r="D153" s="6" t="s">
        <v>70</v>
      </c>
      <c r="E153" s="6" t="s">
        <v>892</v>
      </c>
      <c r="F153" s="15" t="s">
        <v>2338</v>
      </c>
      <c r="G153" s="6" t="s">
        <v>2344</v>
      </c>
      <c r="H153" s="6" t="s">
        <v>340</v>
      </c>
      <c r="I153" s="6" t="s">
        <v>953</v>
      </c>
      <c r="J153" s="6" t="s">
        <v>953</v>
      </c>
    </row>
    <row r="154">
      <c r="A154" s="6">
        <v>153.0</v>
      </c>
      <c r="B154" s="6" t="s">
        <v>41</v>
      </c>
      <c r="C154" s="12" t="s">
        <v>42</v>
      </c>
      <c r="D154" s="6" t="s">
        <v>70</v>
      </c>
      <c r="E154" s="6" t="s">
        <v>892</v>
      </c>
      <c r="F154" s="15" t="s">
        <v>2347</v>
      </c>
      <c r="G154" s="6" t="s">
        <v>2354</v>
      </c>
      <c r="H154" s="6" t="s">
        <v>340</v>
      </c>
      <c r="I154" s="6" t="s">
        <v>953</v>
      </c>
      <c r="J154" s="6" t="s">
        <v>953</v>
      </c>
    </row>
    <row r="155">
      <c r="A155" s="6">
        <v>154.0</v>
      </c>
      <c r="B155" s="6" t="s">
        <v>41</v>
      </c>
      <c r="C155" s="12" t="s">
        <v>42</v>
      </c>
      <c r="D155" s="6" t="s">
        <v>70</v>
      </c>
      <c r="E155" s="6" t="s">
        <v>892</v>
      </c>
      <c r="F155" s="15" t="s">
        <v>2355</v>
      </c>
      <c r="G155" s="6" t="s">
        <v>2364</v>
      </c>
      <c r="H155" s="6" t="s">
        <v>340</v>
      </c>
      <c r="I155" s="6" t="s">
        <v>953</v>
      </c>
      <c r="J155" s="6" t="s">
        <v>953</v>
      </c>
    </row>
    <row r="156">
      <c r="A156" s="6">
        <v>155.0</v>
      </c>
      <c r="B156" s="6" t="s">
        <v>41</v>
      </c>
      <c r="C156" s="12" t="s">
        <v>42</v>
      </c>
      <c r="D156" s="6" t="s">
        <v>70</v>
      </c>
      <c r="E156" s="6" t="s">
        <v>892</v>
      </c>
      <c r="F156" s="15" t="s">
        <v>2369</v>
      </c>
      <c r="G156" s="6" t="s">
        <v>2376</v>
      </c>
      <c r="H156" s="6" t="s">
        <v>340</v>
      </c>
      <c r="I156" s="6" t="s">
        <v>953</v>
      </c>
      <c r="J156" s="6" t="s">
        <v>953</v>
      </c>
    </row>
    <row r="157">
      <c r="A157" s="6">
        <v>156.0</v>
      </c>
      <c r="B157" s="6" t="s">
        <v>41</v>
      </c>
      <c r="C157" s="12" t="s">
        <v>42</v>
      </c>
      <c r="D157" s="6" t="s">
        <v>70</v>
      </c>
      <c r="E157" s="6" t="s">
        <v>892</v>
      </c>
      <c r="F157" s="15" t="s">
        <v>2380</v>
      </c>
      <c r="G157" s="6" t="s">
        <v>2392</v>
      </c>
      <c r="H157" s="6" t="s">
        <v>340</v>
      </c>
      <c r="I157" s="6" t="s">
        <v>953</v>
      </c>
      <c r="J157" s="6" t="s">
        <v>953</v>
      </c>
    </row>
    <row r="158">
      <c r="A158" s="6">
        <v>157.0</v>
      </c>
      <c r="B158" s="6" t="s">
        <v>41</v>
      </c>
      <c r="C158" s="12" t="s">
        <v>42</v>
      </c>
      <c r="D158" s="6" t="s">
        <v>70</v>
      </c>
      <c r="E158" s="6" t="s">
        <v>892</v>
      </c>
      <c r="F158" s="15" t="s">
        <v>2395</v>
      </c>
      <c r="G158" s="6" t="s">
        <v>2401</v>
      </c>
      <c r="H158" s="6" t="s">
        <v>340</v>
      </c>
      <c r="I158" s="6" t="s">
        <v>953</v>
      </c>
      <c r="J158" s="6" t="s">
        <v>953</v>
      </c>
    </row>
    <row r="159">
      <c r="A159" s="6">
        <v>158.0</v>
      </c>
      <c r="B159" s="6" t="s">
        <v>240</v>
      </c>
      <c r="C159" s="12" t="s">
        <v>42</v>
      </c>
      <c r="D159" s="6" t="s">
        <v>70</v>
      </c>
      <c r="E159" s="6" t="s">
        <v>756</v>
      </c>
      <c r="F159" s="15" t="s">
        <v>2406</v>
      </c>
      <c r="G159" s="6" t="s">
        <v>2416</v>
      </c>
      <c r="H159" s="6" t="s">
        <v>100</v>
      </c>
      <c r="I159" s="6" t="s">
        <v>953</v>
      </c>
      <c r="J159" s="6" t="s">
        <v>953</v>
      </c>
    </row>
    <row r="160">
      <c r="A160" s="6">
        <v>159.0</v>
      </c>
      <c r="B160" s="6" t="s">
        <v>41</v>
      </c>
      <c r="C160" s="12" t="s">
        <v>42</v>
      </c>
      <c r="D160" s="6" t="s">
        <v>70</v>
      </c>
      <c r="E160" s="6" t="s">
        <v>763</v>
      </c>
      <c r="F160" s="15" t="s">
        <v>2421</v>
      </c>
      <c r="G160" s="6" t="s">
        <v>2429</v>
      </c>
      <c r="H160" s="6" t="s">
        <v>100</v>
      </c>
      <c r="I160" s="6" t="s">
        <v>953</v>
      </c>
      <c r="J160" s="6" t="s">
        <v>953</v>
      </c>
    </row>
    <row r="161">
      <c r="A161" s="6">
        <v>160.0</v>
      </c>
      <c r="B161" s="6" t="s">
        <v>240</v>
      </c>
      <c r="C161" s="12" t="s">
        <v>42</v>
      </c>
      <c r="D161" s="6" t="s">
        <v>70</v>
      </c>
      <c r="E161" s="6" t="s">
        <v>940</v>
      </c>
      <c r="F161" s="15" t="s">
        <v>2434</v>
      </c>
      <c r="G161" s="6" t="s">
        <v>2443</v>
      </c>
      <c r="H161" s="6" t="s">
        <v>100</v>
      </c>
      <c r="I161" s="6" t="s">
        <v>953</v>
      </c>
      <c r="J161" s="6" t="s">
        <v>953</v>
      </c>
    </row>
    <row r="162">
      <c r="A162" s="6">
        <v>161.0</v>
      </c>
      <c r="B162" s="6" t="s">
        <v>251</v>
      </c>
      <c r="C162" s="12" t="s">
        <v>42</v>
      </c>
      <c r="D162" s="6" t="s">
        <v>70</v>
      </c>
      <c r="E162" s="6" t="s">
        <v>363</v>
      </c>
      <c r="F162" s="15" t="s">
        <v>2446</v>
      </c>
      <c r="G162" s="6" t="s">
        <v>2454</v>
      </c>
      <c r="H162" s="6" t="s">
        <v>100</v>
      </c>
      <c r="I162" s="6" t="s">
        <v>953</v>
      </c>
      <c r="J162" s="6" t="s">
        <v>953</v>
      </c>
    </row>
    <row r="163">
      <c r="A163" s="6">
        <v>162.0</v>
      </c>
      <c r="B163" s="6" t="s">
        <v>110</v>
      </c>
      <c r="C163" s="12" t="s">
        <v>42</v>
      </c>
      <c r="D163" s="6" t="s">
        <v>70</v>
      </c>
      <c r="E163" s="6" t="s">
        <v>367</v>
      </c>
      <c r="F163" s="15" t="s">
        <v>2459</v>
      </c>
      <c r="G163" s="6" t="s">
        <v>2466</v>
      </c>
      <c r="H163" s="6" t="s">
        <v>100</v>
      </c>
      <c r="I163" s="6" t="s">
        <v>953</v>
      </c>
      <c r="J163" s="6" t="s">
        <v>953</v>
      </c>
    </row>
    <row r="164">
      <c r="A164" s="6">
        <v>163.0</v>
      </c>
      <c r="B164" s="6" t="s">
        <v>178</v>
      </c>
      <c r="C164" s="12" t="s">
        <v>179</v>
      </c>
      <c r="D164" s="6" t="s">
        <v>70</v>
      </c>
      <c r="E164" s="6" t="s">
        <v>382</v>
      </c>
      <c r="F164" s="15" t="s">
        <v>2471</v>
      </c>
      <c r="G164" s="6" t="s">
        <v>2478</v>
      </c>
      <c r="H164" s="6" t="s">
        <v>100</v>
      </c>
      <c r="I164" s="6" t="s">
        <v>953</v>
      </c>
      <c r="J164" s="6" t="s">
        <v>953</v>
      </c>
    </row>
    <row r="165">
      <c r="A165" s="6">
        <v>164.0</v>
      </c>
      <c r="B165" s="6" t="s">
        <v>533</v>
      </c>
      <c r="C165" s="12" t="s">
        <v>42</v>
      </c>
      <c r="D165" s="6" t="s">
        <v>70</v>
      </c>
      <c r="E165" s="6" t="s">
        <v>537</v>
      </c>
      <c r="F165" s="15" t="s">
        <v>2483</v>
      </c>
      <c r="G165" s="6" t="s">
        <v>2492</v>
      </c>
      <c r="H165" s="6" t="s">
        <v>100</v>
      </c>
      <c r="I165" s="6" t="s">
        <v>953</v>
      </c>
      <c r="J165" s="6" t="s">
        <v>953</v>
      </c>
    </row>
    <row r="166">
      <c r="A166" s="6">
        <v>165.0</v>
      </c>
      <c r="B166" s="6" t="s">
        <v>41</v>
      </c>
      <c r="C166" s="12" t="s">
        <v>42</v>
      </c>
      <c r="D166" s="6" t="s">
        <v>70</v>
      </c>
      <c r="E166" s="6" t="s">
        <v>346</v>
      </c>
      <c r="F166" s="15" t="s">
        <v>2496</v>
      </c>
      <c r="G166" s="6" t="s">
        <v>2504</v>
      </c>
      <c r="H166" s="6" t="s">
        <v>340</v>
      </c>
      <c r="I166" s="6" t="s">
        <v>953</v>
      </c>
      <c r="J166" s="6" t="s">
        <v>953</v>
      </c>
    </row>
    <row r="167">
      <c r="A167" s="6">
        <v>166.0</v>
      </c>
      <c r="B167" s="6" t="s">
        <v>41</v>
      </c>
      <c r="C167" s="12" t="s">
        <v>42</v>
      </c>
      <c r="D167" s="6" t="s">
        <v>70</v>
      </c>
      <c r="E167" s="6" t="s">
        <v>346</v>
      </c>
      <c r="F167" s="15" t="s">
        <v>2505</v>
      </c>
      <c r="G167" s="6" t="s">
        <v>2514</v>
      </c>
      <c r="H167" s="6" t="s">
        <v>340</v>
      </c>
      <c r="I167" s="6" t="s">
        <v>953</v>
      </c>
      <c r="J167" s="6" t="s">
        <v>953</v>
      </c>
    </row>
    <row r="168">
      <c r="A168" s="6">
        <v>167.0</v>
      </c>
      <c r="B168" s="6" t="s">
        <v>41</v>
      </c>
      <c r="C168" s="12" t="s">
        <v>42</v>
      </c>
      <c r="D168" s="6" t="s">
        <v>70</v>
      </c>
      <c r="E168" s="6" t="s">
        <v>346</v>
      </c>
      <c r="F168" s="15" t="s">
        <v>2515</v>
      </c>
      <c r="G168" s="6" t="s">
        <v>2524</v>
      </c>
      <c r="H168" s="6" t="s">
        <v>340</v>
      </c>
      <c r="I168" s="6" t="s">
        <v>953</v>
      </c>
      <c r="J168" s="6" t="s">
        <v>953</v>
      </c>
    </row>
    <row r="169">
      <c r="A169" s="6">
        <v>168.0</v>
      </c>
      <c r="B169" s="6" t="s">
        <v>41</v>
      </c>
      <c r="C169" s="12" t="s">
        <v>42</v>
      </c>
      <c r="D169" s="6" t="s">
        <v>70</v>
      </c>
      <c r="E169" s="6" t="s">
        <v>346</v>
      </c>
      <c r="F169" s="15" t="s">
        <v>2525</v>
      </c>
      <c r="G169" s="6" t="s">
        <v>2533</v>
      </c>
      <c r="H169" s="6" t="s">
        <v>340</v>
      </c>
      <c r="I169" s="6" t="s">
        <v>953</v>
      </c>
      <c r="J169" s="6" t="s">
        <v>953</v>
      </c>
    </row>
    <row r="170">
      <c r="A170" s="6">
        <v>169.0</v>
      </c>
      <c r="B170" s="6" t="s">
        <v>41</v>
      </c>
      <c r="C170" s="12" t="s">
        <v>42</v>
      </c>
      <c r="D170" s="6" t="s">
        <v>70</v>
      </c>
      <c r="E170" s="6" t="s">
        <v>763</v>
      </c>
      <c r="F170" s="15" t="s">
        <v>2535</v>
      </c>
      <c r="G170" s="6" t="s">
        <v>2542</v>
      </c>
      <c r="H170" s="6" t="s">
        <v>100</v>
      </c>
      <c r="I170" s="6" t="s">
        <v>953</v>
      </c>
      <c r="J170" s="6" t="s">
        <v>953</v>
      </c>
    </row>
    <row r="171">
      <c r="A171" s="6">
        <v>170.0</v>
      </c>
      <c r="B171" s="6" t="s">
        <v>240</v>
      </c>
      <c r="C171" s="12" t="s">
        <v>42</v>
      </c>
      <c r="D171" s="6" t="s">
        <v>70</v>
      </c>
      <c r="E171" s="6" t="s">
        <v>940</v>
      </c>
      <c r="F171" s="15" t="s">
        <v>2546</v>
      </c>
      <c r="G171" s="6" t="s">
        <v>2551</v>
      </c>
      <c r="H171" s="6" t="s">
        <v>100</v>
      </c>
      <c r="I171" s="6" t="s">
        <v>953</v>
      </c>
      <c r="J171" s="6" t="s">
        <v>953</v>
      </c>
    </row>
    <row r="172">
      <c r="A172" s="6">
        <v>171.0</v>
      </c>
      <c r="B172" s="6" t="s">
        <v>41</v>
      </c>
      <c r="C172" s="12" t="s">
        <v>42</v>
      </c>
      <c r="D172" s="6" t="s">
        <v>70</v>
      </c>
      <c r="E172" s="6" t="s">
        <v>346</v>
      </c>
      <c r="F172" s="15" t="s">
        <v>2555</v>
      </c>
      <c r="G172" s="6" t="s">
        <v>2562</v>
      </c>
      <c r="H172" s="6" t="s">
        <v>340</v>
      </c>
      <c r="I172" s="6" t="s">
        <v>953</v>
      </c>
      <c r="J172" s="6" t="s">
        <v>953</v>
      </c>
    </row>
    <row r="173">
      <c r="A173" s="6">
        <v>172.0</v>
      </c>
      <c r="B173" s="6" t="s">
        <v>41</v>
      </c>
      <c r="C173" s="12" t="s">
        <v>42</v>
      </c>
      <c r="D173" s="6" t="s">
        <v>70</v>
      </c>
      <c r="E173" s="6" t="s">
        <v>346</v>
      </c>
      <c r="F173" s="15" t="s">
        <v>2563</v>
      </c>
      <c r="G173" s="6" t="s">
        <v>2574</v>
      </c>
      <c r="H173" s="6" t="s">
        <v>340</v>
      </c>
      <c r="I173" s="6" t="s">
        <v>953</v>
      </c>
      <c r="J173" s="6" t="s">
        <v>953</v>
      </c>
    </row>
    <row r="174">
      <c r="A174" s="6">
        <v>173.0</v>
      </c>
      <c r="B174" s="6" t="s">
        <v>178</v>
      </c>
      <c r="C174" s="12" t="s">
        <v>179</v>
      </c>
      <c r="D174" s="6" t="s">
        <v>70</v>
      </c>
      <c r="E174" s="6" t="s">
        <v>382</v>
      </c>
      <c r="F174" s="15" t="s">
        <v>2576</v>
      </c>
      <c r="G174" s="6" t="s">
        <v>2585</v>
      </c>
      <c r="H174" s="6" t="s">
        <v>100</v>
      </c>
      <c r="I174" s="6" t="s">
        <v>953</v>
      </c>
      <c r="J174" s="6" t="s">
        <v>953</v>
      </c>
    </row>
    <row r="175">
      <c r="A175" s="6">
        <v>174.0</v>
      </c>
      <c r="B175" s="6" t="s">
        <v>533</v>
      </c>
      <c r="C175" s="12" t="s">
        <v>42</v>
      </c>
      <c r="D175" s="6" t="s">
        <v>70</v>
      </c>
      <c r="E175" s="6" t="s">
        <v>537</v>
      </c>
      <c r="F175" s="15" t="s">
        <v>2590</v>
      </c>
      <c r="G175" s="6" t="s">
        <v>2599</v>
      </c>
      <c r="H175" s="6" t="s">
        <v>100</v>
      </c>
      <c r="I175" s="6" t="s">
        <v>953</v>
      </c>
      <c r="J175" s="6" t="s">
        <v>953</v>
      </c>
    </row>
    <row r="176">
      <c r="A176" s="6">
        <v>175.0</v>
      </c>
      <c r="B176" s="6" t="s">
        <v>251</v>
      </c>
      <c r="C176" s="12" t="s">
        <v>42</v>
      </c>
      <c r="D176" s="6" t="s">
        <v>70</v>
      </c>
      <c r="E176" s="6" t="s">
        <v>863</v>
      </c>
      <c r="F176" s="15" t="s">
        <v>2601</v>
      </c>
      <c r="G176" s="6" t="s">
        <v>2608</v>
      </c>
      <c r="H176" s="6" t="s">
        <v>100</v>
      </c>
      <c r="I176" s="6" t="s">
        <v>953</v>
      </c>
      <c r="J176" s="6" t="s">
        <v>953</v>
      </c>
    </row>
    <row r="177">
      <c r="A177" s="6">
        <v>176.0</v>
      </c>
      <c r="B177" s="6" t="s">
        <v>251</v>
      </c>
      <c r="C177" s="12" t="s">
        <v>42</v>
      </c>
      <c r="D177" s="6" t="s">
        <v>70</v>
      </c>
      <c r="E177" s="6" t="s">
        <v>1473</v>
      </c>
      <c r="F177" s="15" t="s">
        <v>2612</v>
      </c>
      <c r="G177" s="6" t="s">
        <v>2620</v>
      </c>
      <c r="H177" s="6" t="s">
        <v>100</v>
      </c>
      <c r="I177" s="6" t="s">
        <v>953</v>
      </c>
      <c r="J177" s="6" t="s">
        <v>953</v>
      </c>
    </row>
    <row r="178">
      <c r="A178" s="6">
        <v>177.0</v>
      </c>
      <c r="B178" s="6" t="s">
        <v>426</v>
      </c>
      <c r="C178" s="12" t="s">
        <v>42</v>
      </c>
      <c r="D178" s="6" t="s">
        <v>70</v>
      </c>
      <c r="E178" s="6" t="s">
        <v>428</v>
      </c>
      <c r="F178" s="15" t="s">
        <v>2623</v>
      </c>
      <c r="G178" s="6" t="s">
        <v>2633</v>
      </c>
      <c r="H178" s="6" t="s">
        <v>100</v>
      </c>
      <c r="I178" s="6" t="s">
        <v>953</v>
      </c>
      <c r="J178" s="6" t="s">
        <v>953</v>
      </c>
    </row>
    <row r="179">
      <c r="A179" s="6">
        <v>178.0</v>
      </c>
      <c r="B179" s="6" t="s">
        <v>240</v>
      </c>
      <c r="C179" s="12" t="s">
        <v>42</v>
      </c>
      <c r="D179" s="6" t="s">
        <v>70</v>
      </c>
      <c r="E179" s="6" t="s">
        <v>756</v>
      </c>
      <c r="F179" s="15" t="s">
        <v>2634</v>
      </c>
      <c r="G179" s="6" t="s">
        <v>2642</v>
      </c>
      <c r="H179" s="6" t="s">
        <v>100</v>
      </c>
      <c r="I179" s="6" t="s">
        <v>953</v>
      </c>
      <c r="J179" s="6" t="s">
        <v>953</v>
      </c>
    </row>
    <row r="180">
      <c r="A180" s="6">
        <v>179.0</v>
      </c>
      <c r="B180" s="6" t="s">
        <v>41</v>
      </c>
      <c r="C180" s="12" t="s">
        <v>42</v>
      </c>
      <c r="D180" s="6" t="s">
        <v>70</v>
      </c>
      <c r="E180" s="6" t="s">
        <v>763</v>
      </c>
      <c r="F180" s="15" t="s">
        <v>2643</v>
      </c>
      <c r="G180" s="6" t="s">
        <v>2652</v>
      </c>
      <c r="H180" s="6" t="s">
        <v>100</v>
      </c>
      <c r="I180" s="6" t="s">
        <v>953</v>
      </c>
      <c r="J180" s="6" t="s">
        <v>953</v>
      </c>
    </row>
    <row r="181">
      <c r="A181" s="6">
        <v>180.0</v>
      </c>
      <c r="B181" s="6" t="s">
        <v>41</v>
      </c>
      <c r="C181" s="12" t="s">
        <v>42</v>
      </c>
      <c r="D181" s="6" t="s">
        <v>70</v>
      </c>
      <c r="E181" s="6" t="s">
        <v>346</v>
      </c>
      <c r="F181" s="15" t="s">
        <v>2653</v>
      </c>
      <c r="G181" s="6" t="s">
        <v>2662</v>
      </c>
      <c r="H181" s="6" t="s">
        <v>340</v>
      </c>
      <c r="I181" s="6" t="s">
        <v>953</v>
      </c>
      <c r="J181" s="6" t="s">
        <v>953</v>
      </c>
    </row>
    <row r="182">
      <c r="A182" s="6">
        <v>181.0</v>
      </c>
      <c r="B182" s="6" t="s">
        <v>41</v>
      </c>
      <c r="C182" s="12" t="s">
        <v>42</v>
      </c>
      <c r="D182" s="6" t="s">
        <v>70</v>
      </c>
      <c r="E182" s="6" t="s">
        <v>346</v>
      </c>
      <c r="F182" s="15" t="s">
        <v>2664</v>
      </c>
      <c r="G182" s="6" t="s">
        <v>2672</v>
      </c>
      <c r="H182" s="6" t="s">
        <v>340</v>
      </c>
      <c r="I182" s="6" t="s">
        <v>953</v>
      </c>
      <c r="J182" s="6" t="s">
        <v>953</v>
      </c>
    </row>
    <row r="183">
      <c r="A183" s="6">
        <v>182.0</v>
      </c>
      <c r="B183" s="6" t="s">
        <v>2673</v>
      </c>
      <c r="C183" s="12" t="s">
        <v>296</v>
      </c>
      <c r="D183" s="6" t="s">
        <v>70</v>
      </c>
      <c r="E183" s="6" t="s">
        <v>2674</v>
      </c>
      <c r="F183" s="15" t="s">
        <v>309</v>
      </c>
      <c r="G183" s="6" t="s">
        <v>319</v>
      </c>
      <c r="H183" s="6" t="s">
        <v>175</v>
      </c>
      <c r="I183" s="17">
        <v>46006.0</v>
      </c>
      <c r="J183" s="6" t="s">
        <v>325</v>
      </c>
    </row>
    <row r="184">
      <c r="A184" s="6">
        <v>183.0</v>
      </c>
      <c r="B184" s="6" t="s">
        <v>2673</v>
      </c>
      <c r="C184" s="12" t="s">
        <v>296</v>
      </c>
      <c r="D184" s="6" t="s">
        <v>70</v>
      </c>
      <c r="E184" s="6" t="s">
        <v>2674</v>
      </c>
      <c r="F184" s="15" t="s">
        <v>2680</v>
      </c>
      <c r="G184" s="6" t="s">
        <v>2686</v>
      </c>
      <c r="H184" s="6" t="s">
        <v>175</v>
      </c>
      <c r="I184" s="6" t="s">
        <v>953</v>
      </c>
      <c r="J184" s="6" t="s">
        <v>953</v>
      </c>
    </row>
    <row r="185">
      <c r="A185" s="6">
        <v>184.0</v>
      </c>
      <c r="B185" s="6" t="s">
        <v>533</v>
      </c>
      <c r="C185" s="12" t="s">
        <v>42</v>
      </c>
      <c r="D185" s="6" t="s">
        <v>70</v>
      </c>
      <c r="E185" s="6" t="s">
        <v>537</v>
      </c>
      <c r="F185" s="15" t="s">
        <v>2687</v>
      </c>
      <c r="G185" s="6" t="s">
        <v>2693</v>
      </c>
      <c r="H185" s="6" t="s">
        <v>100</v>
      </c>
      <c r="I185" s="6" t="s">
        <v>953</v>
      </c>
      <c r="J185" s="6" t="s">
        <v>953</v>
      </c>
    </row>
    <row r="186">
      <c r="A186" s="6">
        <v>185.0</v>
      </c>
      <c r="B186" s="6" t="s">
        <v>251</v>
      </c>
      <c r="C186" s="12" t="s">
        <v>42</v>
      </c>
      <c r="D186" s="6" t="s">
        <v>70</v>
      </c>
      <c r="E186" s="6" t="s">
        <v>863</v>
      </c>
      <c r="F186" s="15" t="s">
        <v>2699</v>
      </c>
      <c r="G186" s="6" t="s">
        <v>2706</v>
      </c>
      <c r="H186" s="6" t="s">
        <v>100</v>
      </c>
      <c r="I186" s="6" t="s">
        <v>953</v>
      </c>
      <c r="J186" s="6" t="s">
        <v>953</v>
      </c>
    </row>
    <row r="187">
      <c r="A187" s="6">
        <v>186.0</v>
      </c>
      <c r="B187" s="6" t="s">
        <v>251</v>
      </c>
      <c r="C187" s="12" t="s">
        <v>42</v>
      </c>
      <c r="D187" s="6" t="s">
        <v>70</v>
      </c>
      <c r="E187" s="6" t="s">
        <v>1473</v>
      </c>
      <c r="F187" s="15" t="s">
        <v>2710</v>
      </c>
      <c r="G187" s="6" t="s">
        <v>2716</v>
      </c>
      <c r="H187" s="6" t="s">
        <v>100</v>
      </c>
      <c r="I187" s="6" t="s">
        <v>953</v>
      </c>
      <c r="J187" s="6" t="s">
        <v>953</v>
      </c>
    </row>
    <row r="188">
      <c r="A188" s="6">
        <v>187.0</v>
      </c>
      <c r="B188" s="6" t="s">
        <v>426</v>
      </c>
      <c r="C188" s="12" t="s">
        <v>42</v>
      </c>
      <c r="D188" s="6" t="s">
        <v>70</v>
      </c>
      <c r="E188" s="6" t="s">
        <v>428</v>
      </c>
      <c r="F188" s="15" t="s">
        <v>2717</v>
      </c>
      <c r="G188" s="6" t="s">
        <v>2726</v>
      </c>
      <c r="H188" s="6" t="s">
        <v>100</v>
      </c>
      <c r="I188" s="6" t="s">
        <v>953</v>
      </c>
      <c r="J188" s="6" t="s">
        <v>953</v>
      </c>
    </row>
    <row r="189">
      <c r="A189" s="6">
        <v>188.0</v>
      </c>
      <c r="B189" s="6" t="s">
        <v>240</v>
      </c>
      <c r="C189" s="12" t="s">
        <v>42</v>
      </c>
      <c r="D189" s="6" t="s">
        <v>70</v>
      </c>
      <c r="E189" s="6" t="s">
        <v>756</v>
      </c>
      <c r="F189" s="15" t="s">
        <v>2727</v>
      </c>
      <c r="G189" s="6" t="s">
        <v>2738</v>
      </c>
      <c r="H189" s="6" t="s">
        <v>100</v>
      </c>
      <c r="I189" s="6" t="s">
        <v>953</v>
      </c>
      <c r="J189" s="6" t="s">
        <v>953</v>
      </c>
    </row>
    <row r="190">
      <c r="A190" s="6">
        <v>189.0</v>
      </c>
      <c r="B190" s="6" t="s">
        <v>41</v>
      </c>
      <c r="C190" s="12" t="s">
        <v>42</v>
      </c>
      <c r="D190" s="6" t="s">
        <v>70</v>
      </c>
      <c r="E190" s="6" t="s">
        <v>763</v>
      </c>
      <c r="F190" s="15" t="s">
        <v>2739</v>
      </c>
      <c r="G190" s="6" t="s">
        <v>2749</v>
      </c>
      <c r="H190" s="6" t="s">
        <v>100</v>
      </c>
      <c r="I190" s="6" t="s">
        <v>953</v>
      </c>
      <c r="J190" s="6" t="s">
        <v>953</v>
      </c>
    </row>
    <row r="191">
      <c r="A191" s="6">
        <v>190.0</v>
      </c>
      <c r="B191" s="6" t="s">
        <v>240</v>
      </c>
      <c r="C191" s="12" t="s">
        <v>42</v>
      </c>
      <c r="D191" s="6" t="s">
        <v>70</v>
      </c>
      <c r="E191" s="6" t="s">
        <v>940</v>
      </c>
      <c r="F191" s="15" t="s">
        <v>2750</v>
      </c>
      <c r="G191" s="6" t="s">
        <v>2761</v>
      </c>
      <c r="H191" s="6" t="s">
        <v>100</v>
      </c>
      <c r="I191" s="6" t="s">
        <v>953</v>
      </c>
      <c r="J191" s="6" t="s">
        <v>953</v>
      </c>
    </row>
    <row r="192">
      <c r="A192" s="6">
        <v>191.0</v>
      </c>
      <c r="B192" s="6" t="s">
        <v>251</v>
      </c>
      <c r="C192" s="12" t="s">
        <v>42</v>
      </c>
      <c r="D192" s="6" t="s">
        <v>70</v>
      </c>
      <c r="E192" s="6" t="s">
        <v>363</v>
      </c>
      <c r="F192" s="15" t="s">
        <v>2764</v>
      </c>
      <c r="G192" s="6" t="s">
        <v>2774</v>
      </c>
      <c r="H192" s="6" t="s">
        <v>100</v>
      </c>
      <c r="I192" s="6" t="s">
        <v>953</v>
      </c>
      <c r="J192" s="6" t="s">
        <v>953</v>
      </c>
    </row>
    <row r="193">
      <c r="A193" s="6">
        <v>192.0</v>
      </c>
      <c r="B193" s="6" t="s">
        <v>110</v>
      </c>
      <c r="C193" s="12" t="s">
        <v>42</v>
      </c>
      <c r="D193" s="6" t="s">
        <v>70</v>
      </c>
      <c r="E193" s="6" t="s">
        <v>367</v>
      </c>
      <c r="F193" s="15" t="s">
        <v>2776</v>
      </c>
      <c r="G193" s="6" t="s">
        <v>2790</v>
      </c>
      <c r="H193" s="6" t="s">
        <v>100</v>
      </c>
      <c r="I193" s="6" t="s">
        <v>953</v>
      </c>
      <c r="J193" s="6" t="s">
        <v>953</v>
      </c>
    </row>
    <row r="194">
      <c r="A194" s="6">
        <v>193.0</v>
      </c>
      <c r="B194" s="6" t="s">
        <v>178</v>
      </c>
      <c r="C194" s="12" t="s">
        <v>179</v>
      </c>
      <c r="D194" s="6" t="s">
        <v>70</v>
      </c>
      <c r="E194" s="6" t="s">
        <v>382</v>
      </c>
      <c r="F194" s="15" t="s">
        <v>2792</v>
      </c>
      <c r="G194" s="6" t="s">
        <v>2801</v>
      </c>
      <c r="H194" s="6" t="s">
        <v>100</v>
      </c>
      <c r="I194" s="6" t="s">
        <v>953</v>
      </c>
      <c r="J194" s="6" t="s">
        <v>953</v>
      </c>
    </row>
    <row r="195">
      <c r="A195" s="6">
        <v>194.0</v>
      </c>
      <c r="B195" s="6" t="s">
        <v>533</v>
      </c>
      <c r="C195" s="12" t="s">
        <v>42</v>
      </c>
      <c r="D195" s="6" t="s">
        <v>70</v>
      </c>
      <c r="E195" s="6" t="s">
        <v>537</v>
      </c>
      <c r="F195" s="15" t="s">
        <v>2802</v>
      </c>
      <c r="G195" s="6" t="s">
        <v>2810</v>
      </c>
      <c r="H195" s="6" t="s">
        <v>100</v>
      </c>
      <c r="I195" s="6" t="s">
        <v>953</v>
      </c>
      <c r="J195" s="6" t="s">
        <v>953</v>
      </c>
    </row>
    <row r="196">
      <c r="A196" s="6">
        <v>195.0</v>
      </c>
      <c r="B196" s="6" t="s">
        <v>251</v>
      </c>
      <c r="C196" s="12" t="s">
        <v>42</v>
      </c>
      <c r="D196" s="6" t="s">
        <v>70</v>
      </c>
      <c r="E196" s="6" t="s">
        <v>863</v>
      </c>
      <c r="F196" s="15" t="s">
        <v>2812</v>
      </c>
      <c r="G196" s="6" t="s">
        <v>2818</v>
      </c>
      <c r="H196" s="6" t="s">
        <v>100</v>
      </c>
      <c r="I196" s="6" t="s">
        <v>953</v>
      </c>
      <c r="J196" s="6" t="s">
        <v>953</v>
      </c>
    </row>
    <row r="197">
      <c r="A197" s="6">
        <v>196.0</v>
      </c>
      <c r="B197" s="6" t="s">
        <v>251</v>
      </c>
      <c r="C197" s="12" t="s">
        <v>42</v>
      </c>
      <c r="D197" s="6" t="s">
        <v>70</v>
      </c>
      <c r="E197" s="6" t="s">
        <v>1473</v>
      </c>
      <c r="F197" s="15" t="s">
        <v>2823</v>
      </c>
      <c r="G197" s="6" t="s">
        <v>2831</v>
      </c>
      <c r="H197" s="6" t="s">
        <v>100</v>
      </c>
      <c r="I197" s="6" t="s">
        <v>953</v>
      </c>
      <c r="J197" s="6" t="s">
        <v>953</v>
      </c>
    </row>
    <row r="198">
      <c r="A198" s="6">
        <v>197.0</v>
      </c>
      <c r="B198" s="6" t="s">
        <v>426</v>
      </c>
      <c r="C198" s="12" t="s">
        <v>42</v>
      </c>
      <c r="D198" s="6" t="s">
        <v>70</v>
      </c>
      <c r="E198" s="6" t="s">
        <v>428</v>
      </c>
      <c r="F198" s="15" t="s">
        <v>2832</v>
      </c>
      <c r="G198" s="6" t="s">
        <v>2842</v>
      </c>
      <c r="H198" s="6" t="s">
        <v>100</v>
      </c>
      <c r="I198" s="6" t="s">
        <v>953</v>
      </c>
      <c r="J198" s="6" t="s">
        <v>953</v>
      </c>
    </row>
    <row r="199">
      <c r="A199" s="6">
        <v>198.0</v>
      </c>
      <c r="B199" s="6" t="s">
        <v>240</v>
      </c>
      <c r="C199" s="12" t="s">
        <v>42</v>
      </c>
      <c r="D199" s="6" t="s">
        <v>70</v>
      </c>
      <c r="E199" s="6" t="s">
        <v>756</v>
      </c>
      <c r="F199" s="15" t="s">
        <v>2844</v>
      </c>
      <c r="G199" s="6" t="s">
        <v>2851</v>
      </c>
      <c r="H199" s="6" t="s">
        <v>100</v>
      </c>
      <c r="I199" s="6" t="s">
        <v>953</v>
      </c>
      <c r="J199" s="6" t="s">
        <v>953</v>
      </c>
    </row>
    <row r="200">
      <c r="A200" s="6">
        <v>199.0</v>
      </c>
      <c r="B200" s="6" t="s">
        <v>41</v>
      </c>
      <c r="C200" s="12" t="s">
        <v>42</v>
      </c>
      <c r="D200" s="6" t="s">
        <v>70</v>
      </c>
      <c r="E200" s="6" t="s">
        <v>763</v>
      </c>
      <c r="F200" s="15" t="s">
        <v>2855</v>
      </c>
      <c r="G200" s="6" t="s">
        <v>2861</v>
      </c>
      <c r="H200" s="6" t="s">
        <v>100</v>
      </c>
      <c r="I200" s="6" t="s">
        <v>953</v>
      </c>
      <c r="J200" s="6" t="s">
        <v>953</v>
      </c>
    </row>
    <row r="201">
      <c r="A201" s="26" t="s">
        <v>2862</v>
      </c>
      <c r="B201" s="26"/>
      <c r="C201" s="26"/>
      <c r="D201" s="26"/>
      <c r="E201" s="26"/>
      <c r="F201" s="27"/>
      <c r="G201" s="26"/>
      <c r="H201" s="26"/>
      <c r="I201" s="26"/>
      <c r="J201" s="28"/>
      <c r="K201" s="28"/>
      <c r="L201" s="28"/>
      <c r="M201" s="28"/>
      <c r="N201" s="28"/>
      <c r="O201" s="28"/>
      <c r="P201" s="28"/>
      <c r="Q201" s="28"/>
      <c r="R201" s="28"/>
      <c r="S201" s="28"/>
      <c r="T201" s="28"/>
      <c r="U201" s="28"/>
      <c r="V201" s="28"/>
      <c r="W201" s="28"/>
      <c r="X201" s="28"/>
      <c r="Y201" s="28"/>
      <c r="Z201" s="28"/>
    </row>
    <row r="202">
      <c r="A202" s="6">
        <v>200.0</v>
      </c>
      <c r="B202" s="6" t="s">
        <v>1001</v>
      </c>
      <c r="C202" s="12" t="s">
        <v>2877</v>
      </c>
      <c r="D202" s="6" t="s">
        <v>2884</v>
      </c>
      <c r="E202" s="6" t="s">
        <v>2885</v>
      </c>
      <c r="F202" s="15" t="s">
        <v>2886</v>
      </c>
      <c r="G202" s="6" t="s">
        <v>2891</v>
      </c>
      <c r="H202" s="6" t="s">
        <v>100</v>
      </c>
      <c r="I202" s="6" t="s">
        <v>953</v>
      </c>
      <c r="J202" s="6" t="s">
        <v>953</v>
      </c>
    </row>
    <row r="203">
      <c r="A203" s="6">
        <v>201.0</v>
      </c>
      <c r="B203" s="6" t="s">
        <v>41</v>
      </c>
      <c r="C203" s="12" t="s">
        <v>2877</v>
      </c>
      <c r="D203" s="6" t="s">
        <v>2884</v>
      </c>
      <c r="E203" s="6" t="s">
        <v>2896</v>
      </c>
      <c r="F203" s="15" t="s">
        <v>2897</v>
      </c>
      <c r="G203" s="6" t="s">
        <v>2903</v>
      </c>
      <c r="H203" s="6" t="s">
        <v>340</v>
      </c>
      <c r="I203" s="6" t="s">
        <v>953</v>
      </c>
      <c r="J203" s="6" t="s">
        <v>953</v>
      </c>
    </row>
    <row r="204">
      <c r="A204" s="6">
        <v>202.0</v>
      </c>
      <c r="B204" s="6" t="s">
        <v>41</v>
      </c>
      <c r="C204" s="12" t="s">
        <v>2877</v>
      </c>
      <c r="D204" s="6" t="s">
        <v>2884</v>
      </c>
      <c r="E204" s="6" t="s">
        <v>2896</v>
      </c>
      <c r="F204" s="15" t="s">
        <v>2908</v>
      </c>
      <c r="G204" s="6" t="s">
        <v>2914</v>
      </c>
      <c r="H204" s="6" t="s">
        <v>340</v>
      </c>
      <c r="I204" s="6" t="s">
        <v>953</v>
      </c>
      <c r="J204" s="6" t="s">
        <v>953</v>
      </c>
    </row>
    <row r="205">
      <c r="A205" s="6">
        <v>203.0</v>
      </c>
      <c r="B205" s="6" t="s">
        <v>240</v>
      </c>
      <c r="C205" s="12" t="s">
        <v>2917</v>
      </c>
      <c r="D205" s="6" t="s">
        <v>2884</v>
      </c>
      <c r="E205" s="6" t="s">
        <v>2920</v>
      </c>
      <c r="F205" s="15" t="s">
        <v>2921</v>
      </c>
      <c r="G205" s="6" t="s">
        <v>2927</v>
      </c>
      <c r="H205" s="6" t="s">
        <v>100</v>
      </c>
      <c r="I205" s="6" t="s">
        <v>953</v>
      </c>
      <c r="J205" s="6" t="s">
        <v>953</v>
      </c>
    </row>
    <row r="206">
      <c r="A206" s="6">
        <v>204.0</v>
      </c>
      <c r="B206" s="6" t="s">
        <v>110</v>
      </c>
      <c r="C206" s="12" t="s">
        <v>2930</v>
      </c>
      <c r="D206" s="6" t="s">
        <v>2884</v>
      </c>
      <c r="E206" s="6" t="s">
        <v>2933</v>
      </c>
      <c r="F206" s="15" t="s">
        <v>2934</v>
      </c>
      <c r="G206" s="6" t="s">
        <v>2940</v>
      </c>
      <c r="H206" s="6" t="s">
        <v>100</v>
      </c>
      <c r="I206" s="6" t="s">
        <v>953</v>
      </c>
      <c r="J206" s="6" t="s">
        <v>953</v>
      </c>
    </row>
    <row r="207">
      <c r="A207" s="6">
        <v>205.0</v>
      </c>
      <c r="B207" s="6" t="s">
        <v>41</v>
      </c>
      <c r="C207" s="12" t="s">
        <v>2877</v>
      </c>
      <c r="D207" s="6" t="s">
        <v>2884</v>
      </c>
      <c r="E207" s="6" t="s">
        <v>2946</v>
      </c>
      <c r="F207" s="15" t="s">
        <v>2947</v>
      </c>
      <c r="G207" s="6" t="s">
        <v>2951</v>
      </c>
      <c r="H207" s="6" t="s">
        <v>100</v>
      </c>
      <c r="I207" s="6" t="s">
        <v>953</v>
      </c>
      <c r="J207" s="6" t="s">
        <v>953</v>
      </c>
    </row>
    <row r="208">
      <c r="A208" s="6">
        <v>206.0</v>
      </c>
      <c r="B208" s="6" t="s">
        <v>41</v>
      </c>
      <c r="C208" s="12" t="s">
        <v>2877</v>
      </c>
      <c r="D208" s="6" t="s">
        <v>2884</v>
      </c>
      <c r="E208" s="6" t="s">
        <v>2952</v>
      </c>
      <c r="F208" s="15" t="s">
        <v>2953</v>
      </c>
      <c r="G208" s="6" t="s">
        <v>2963</v>
      </c>
      <c r="H208" s="6" t="s">
        <v>100</v>
      </c>
      <c r="I208" s="6" t="s">
        <v>953</v>
      </c>
      <c r="J208" s="6" t="s">
        <v>953</v>
      </c>
    </row>
    <row r="209">
      <c r="A209" s="6">
        <v>207.0</v>
      </c>
      <c r="B209" s="6" t="s">
        <v>41</v>
      </c>
      <c r="C209" s="12" t="s">
        <v>2877</v>
      </c>
      <c r="D209" s="6" t="s">
        <v>2884</v>
      </c>
      <c r="E209" s="6" t="s">
        <v>2896</v>
      </c>
      <c r="F209" s="15" t="s">
        <v>2964</v>
      </c>
      <c r="G209" s="6" t="s">
        <v>2973</v>
      </c>
      <c r="H209" s="6" t="s">
        <v>340</v>
      </c>
      <c r="I209" s="6" t="s">
        <v>953</v>
      </c>
      <c r="J209" s="6" t="s">
        <v>953</v>
      </c>
    </row>
    <row r="210">
      <c r="A210" s="6">
        <v>208.0</v>
      </c>
      <c r="B210" s="6" t="s">
        <v>41</v>
      </c>
      <c r="C210" s="12" t="s">
        <v>2877</v>
      </c>
      <c r="D210" s="6" t="s">
        <v>2884</v>
      </c>
      <c r="E210" s="6" t="s">
        <v>2896</v>
      </c>
      <c r="F210" s="15" t="s">
        <v>2975</v>
      </c>
      <c r="G210" s="6" t="s">
        <v>2981</v>
      </c>
      <c r="H210" s="6" t="s">
        <v>340</v>
      </c>
      <c r="I210" s="6" t="s">
        <v>953</v>
      </c>
      <c r="J210" s="6" t="s">
        <v>953</v>
      </c>
    </row>
    <row r="211">
      <c r="A211" s="6">
        <v>209.0</v>
      </c>
      <c r="B211" s="6" t="s">
        <v>41</v>
      </c>
      <c r="C211" s="12" t="s">
        <v>2982</v>
      </c>
      <c r="D211" s="6" t="s">
        <v>2884</v>
      </c>
      <c r="E211" s="6" t="s">
        <v>2987</v>
      </c>
      <c r="F211" s="15" t="s">
        <v>2988</v>
      </c>
      <c r="G211" s="6" t="s">
        <v>2993</v>
      </c>
      <c r="H211" s="6" t="s">
        <v>100</v>
      </c>
      <c r="I211" s="6" t="s">
        <v>953</v>
      </c>
      <c r="J211" s="6" t="s">
        <v>953</v>
      </c>
    </row>
    <row r="212">
      <c r="A212" s="6">
        <v>210.0</v>
      </c>
      <c r="B212" s="6" t="s">
        <v>240</v>
      </c>
      <c r="C212" s="12" t="s">
        <v>2917</v>
      </c>
      <c r="D212" s="6" t="s">
        <v>2884</v>
      </c>
      <c r="E212" s="6" t="s">
        <v>2995</v>
      </c>
      <c r="F212" s="15" t="s">
        <v>2996</v>
      </c>
      <c r="G212" s="6" t="s">
        <v>3001</v>
      </c>
      <c r="H212" s="6" t="s">
        <v>100</v>
      </c>
      <c r="I212" s="6" t="s">
        <v>953</v>
      </c>
      <c r="J212" s="6" t="s">
        <v>953</v>
      </c>
    </row>
    <row r="213">
      <c r="A213" s="6">
        <v>211.0</v>
      </c>
      <c r="B213" s="6" t="s">
        <v>41</v>
      </c>
      <c r="C213" s="12" t="s">
        <v>2877</v>
      </c>
      <c r="D213" s="6" t="s">
        <v>2884</v>
      </c>
      <c r="E213" s="6" t="s">
        <v>2896</v>
      </c>
      <c r="F213" s="15" t="s">
        <v>3007</v>
      </c>
      <c r="G213" s="6" t="s">
        <v>3013</v>
      </c>
      <c r="H213" s="6" t="s">
        <v>340</v>
      </c>
      <c r="I213" s="6" t="s">
        <v>953</v>
      </c>
      <c r="J213" s="6" t="s">
        <v>953</v>
      </c>
    </row>
    <row r="214">
      <c r="A214" s="6">
        <v>212.0</v>
      </c>
      <c r="B214" s="6" t="s">
        <v>1001</v>
      </c>
      <c r="C214" s="12" t="s">
        <v>2877</v>
      </c>
      <c r="D214" s="6" t="s">
        <v>2884</v>
      </c>
      <c r="E214" s="6" t="s">
        <v>2885</v>
      </c>
      <c r="F214" s="15" t="s">
        <v>3014</v>
      </c>
      <c r="G214" s="6" t="s">
        <v>3020</v>
      </c>
      <c r="H214" s="6" t="s">
        <v>100</v>
      </c>
      <c r="I214" s="6" t="s">
        <v>953</v>
      </c>
      <c r="J214" s="6" t="s">
        <v>953</v>
      </c>
    </row>
    <row r="215">
      <c r="A215" s="6">
        <v>213.0</v>
      </c>
      <c r="B215" s="6" t="s">
        <v>41</v>
      </c>
      <c r="C215" s="12" t="s">
        <v>2982</v>
      </c>
      <c r="D215" s="6" t="s">
        <v>2884</v>
      </c>
      <c r="E215" s="6" t="s">
        <v>3024</v>
      </c>
      <c r="F215" s="15" t="s">
        <v>3026</v>
      </c>
      <c r="G215" s="6" t="s">
        <v>3031</v>
      </c>
      <c r="H215" s="6" t="s">
        <v>100</v>
      </c>
      <c r="I215" s="6" t="s">
        <v>953</v>
      </c>
      <c r="J215" s="6" t="s">
        <v>953</v>
      </c>
    </row>
    <row r="216">
      <c r="A216" s="6">
        <v>214.0</v>
      </c>
      <c r="B216" s="6" t="s">
        <v>41</v>
      </c>
      <c r="C216" s="12" t="s">
        <v>2877</v>
      </c>
      <c r="D216" s="6" t="s">
        <v>2884</v>
      </c>
      <c r="E216" s="6" t="s">
        <v>2896</v>
      </c>
      <c r="F216" s="15" t="s">
        <v>3032</v>
      </c>
      <c r="G216" s="6" t="s">
        <v>3037</v>
      </c>
      <c r="H216" s="6" t="s">
        <v>340</v>
      </c>
      <c r="I216" s="6" t="s">
        <v>953</v>
      </c>
      <c r="J216" s="6" t="s">
        <v>953</v>
      </c>
    </row>
    <row r="217">
      <c r="A217" s="6">
        <v>215.0</v>
      </c>
      <c r="B217" s="6" t="s">
        <v>240</v>
      </c>
      <c r="C217" s="12" t="s">
        <v>2917</v>
      </c>
      <c r="D217" s="6" t="s">
        <v>2884</v>
      </c>
      <c r="E217" s="6" t="s">
        <v>2920</v>
      </c>
      <c r="F217" s="15" t="s">
        <v>3041</v>
      </c>
      <c r="G217" s="6" t="s">
        <v>3048</v>
      </c>
      <c r="H217" s="6" t="s">
        <v>100</v>
      </c>
      <c r="I217" s="6" t="s">
        <v>953</v>
      </c>
      <c r="J217" s="6" t="s">
        <v>953</v>
      </c>
    </row>
    <row r="218">
      <c r="A218" s="6">
        <v>216.0</v>
      </c>
      <c r="B218" s="6" t="s">
        <v>110</v>
      </c>
      <c r="C218" s="12" t="s">
        <v>2930</v>
      </c>
      <c r="D218" s="6" t="s">
        <v>2884</v>
      </c>
      <c r="E218" s="6" t="s">
        <v>2933</v>
      </c>
      <c r="F218" s="15" t="s">
        <v>3049</v>
      </c>
      <c r="G218" s="6" t="s">
        <v>3057</v>
      </c>
      <c r="H218" s="6" t="s">
        <v>100</v>
      </c>
      <c r="I218" s="6" t="s">
        <v>953</v>
      </c>
      <c r="J218" s="6" t="s">
        <v>953</v>
      </c>
    </row>
    <row r="219">
      <c r="A219" s="6">
        <v>217.0</v>
      </c>
      <c r="B219" s="6" t="s">
        <v>41</v>
      </c>
      <c r="C219" s="12" t="s">
        <v>2877</v>
      </c>
      <c r="D219" s="6" t="s">
        <v>2884</v>
      </c>
      <c r="E219" s="6" t="s">
        <v>2946</v>
      </c>
      <c r="F219" s="15" t="s">
        <v>3058</v>
      </c>
      <c r="G219" s="6" t="s">
        <v>3065</v>
      </c>
      <c r="H219" s="6" t="s">
        <v>100</v>
      </c>
      <c r="I219" s="6" t="s">
        <v>953</v>
      </c>
      <c r="J219" s="6" t="s">
        <v>953</v>
      </c>
    </row>
    <row r="220">
      <c r="A220" s="6">
        <v>218.0</v>
      </c>
      <c r="B220" s="6" t="s">
        <v>41</v>
      </c>
      <c r="C220" s="12" t="s">
        <v>2877</v>
      </c>
      <c r="D220" s="6" t="s">
        <v>2884</v>
      </c>
      <c r="E220" s="6" t="s">
        <v>2952</v>
      </c>
      <c r="F220" s="15" t="s">
        <v>3067</v>
      </c>
      <c r="G220" s="6" t="s">
        <v>3072</v>
      </c>
      <c r="H220" s="6" t="s">
        <v>100</v>
      </c>
      <c r="I220" s="6" t="s">
        <v>953</v>
      </c>
      <c r="J220" s="6" t="s">
        <v>953</v>
      </c>
    </row>
    <row r="221">
      <c r="A221" s="6">
        <v>219.0</v>
      </c>
      <c r="B221" s="6" t="s">
        <v>850</v>
      </c>
      <c r="C221" s="12" t="s">
        <v>3075</v>
      </c>
      <c r="D221" s="6" t="s">
        <v>2884</v>
      </c>
      <c r="E221" s="6" t="s">
        <v>3080</v>
      </c>
      <c r="F221" s="15" t="s">
        <v>3081</v>
      </c>
      <c r="G221" s="6" t="s">
        <v>3088</v>
      </c>
      <c r="H221" s="6" t="s">
        <v>100</v>
      </c>
      <c r="I221" s="6" t="s">
        <v>953</v>
      </c>
      <c r="J221" s="6" t="s">
        <v>953</v>
      </c>
    </row>
    <row r="222">
      <c r="A222" s="6">
        <v>220.0</v>
      </c>
      <c r="B222" s="6" t="s">
        <v>1001</v>
      </c>
      <c r="C222" s="12" t="s">
        <v>2877</v>
      </c>
      <c r="D222" s="6" t="s">
        <v>2884</v>
      </c>
      <c r="E222" s="6" t="s">
        <v>3089</v>
      </c>
      <c r="F222" s="15" t="s">
        <v>3090</v>
      </c>
      <c r="G222" s="6" t="s">
        <v>3096</v>
      </c>
      <c r="H222" s="6" t="s">
        <v>100</v>
      </c>
      <c r="I222" s="6" t="s">
        <v>953</v>
      </c>
      <c r="J222" s="6" t="s">
        <v>953</v>
      </c>
    </row>
    <row r="223">
      <c r="A223" s="6">
        <v>221.0</v>
      </c>
      <c r="B223" s="6" t="s">
        <v>41</v>
      </c>
      <c r="C223" s="12" t="s">
        <v>2982</v>
      </c>
      <c r="D223" s="6" t="s">
        <v>2884</v>
      </c>
      <c r="E223" s="6" t="s">
        <v>2987</v>
      </c>
      <c r="F223" s="15" t="s">
        <v>3103</v>
      </c>
      <c r="G223" s="6" t="s">
        <v>3110</v>
      </c>
      <c r="H223" s="6" t="s">
        <v>100</v>
      </c>
      <c r="I223" s="6" t="s">
        <v>953</v>
      </c>
      <c r="J223" s="6" t="s">
        <v>953</v>
      </c>
    </row>
    <row r="224">
      <c r="A224" s="6">
        <v>222.0</v>
      </c>
      <c r="B224" s="6" t="s">
        <v>41</v>
      </c>
      <c r="C224" s="12" t="s">
        <v>2877</v>
      </c>
      <c r="D224" s="6" t="s">
        <v>2884</v>
      </c>
      <c r="E224" s="6" t="s">
        <v>2896</v>
      </c>
      <c r="F224" s="15" t="s">
        <v>3112</v>
      </c>
      <c r="G224" s="6" t="s">
        <v>3121</v>
      </c>
      <c r="H224" s="6" t="s">
        <v>340</v>
      </c>
      <c r="I224" s="6" t="s">
        <v>953</v>
      </c>
      <c r="J224" s="6" t="s">
        <v>953</v>
      </c>
    </row>
    <row r="225">
      <c r="A225" s="6">
        <v>223.0</v>
      </c>
      <c r="B225" s="6" t="s">
        <v>251</v>
      </c>
      <c r="C225" s="12" t="s">
        <v>2877</v>
      </c>
      <c r="D225" s="6" t="s">
        <v>2884</v>
      </c>
      <c r="E225" s="6" t="s">
        <v>3123</v>
      </c>
      <c r="F225" s="15" t="s">
        <v>3124</v>
      </c>
      <c r="G225" s="6" t="s">
        <v>3132</v>
      </c>
      <c r="H225" s="6" t="s">
        <v>100</v>
      </c>
      <c r="I225" s="6" t="s">
        <v>953</v>
      </c>
      <c r="J225" s="6" t="s">
        <v>953</v>
      </c>
    </row>
    <row r="226">
      <c r="A226" s="6">
        <v>224.0</v>
      </c>
      <c r="B226" s="6" t="s">
        <v>1001</v>
      </c>
      <c r="C226" s="12" t="s">
        <v>2877</v>
      </c>
      <c r="D226" s="6" t="s">
        <v>2884</v>
      </c>
      <c r="E226" s="6" t="s">
        <v>2885</v>
      </c>
      <c r="F226" s="15" t="s">
        <v>3136</v>
      </c>
      <c r="G226" s="6" t="s">
        <v>3141</v>
      </c>
      <c r="H226" s="6" t="s">
        <v>100</v>
      </c>
      <c r="I226" s="6" t="s">
        <v>953</v>
      </c>
      <c r="J226" s="6" t="s">
        <v>953</v>
      </c>
    </row>
    <row r="227">
      <c r="A227" s="6">
        <v>225.0</v>
      </c>
      <c r="B227" s="6" t="s">
        <v>41</v>
      </c>
      <c r="C227" s="12" t="s">
        <v>2877</v>
      </c>
      <c r="D227" s="6" t="s">
        <v>2884</v>
      </c>
      <c r="E227" s="6" t="s">
        <v>2896</v>
      </c>
      <c r="F227" s="15" t="s">
        <v>3142</v>
      </c>
      <c r="G227" s="6" t="s">
        <v>3148</v>
      </c>
      <c r="H227" s="6" t="s">
        <v>340</v>
      </c>
      <c r="I227" s="6" t="s">
        <v>953</v>
      </c>
      <c r="J227" s="6" t="s">
        <v>953</v>
      </c>
    </row>
    <row r="228">
      <c r="A228" s="6">
        <v>226.0</v>
      </c>
      <c r="B228" s="6" t="s">
        <v>3149</v>
      </c>
      <c r="C228" s="12" t="s">
        <v>3151</v>
      </c>
      <c r="D228" s="6" t="s">
        <v>2884</v>
      </c>
      <c r="E228" s="6" t="s">
        <v>3155</v>
      </c>
      <c r="F228" s="15" t="s">
        <v>3156</v>
      </c>
      <c r="G228" s="6" t="s">
        <v>3161</v>
      </c>
      <c r="H228" s="6" t="s">
        <v>100</v>
      </c>
      <c r="I228" s="6" t="s">
        <v>953</v>
      </c>
      <c r="J228" s="6" t="s">
        <v>953</v>
      </c>
    </row>
    <row r="229">
      <c r="A229" s="6">
        <v>227.0</v>
      </c>
      <c r="B229" s="6" t="s">
        <v>240</v>
      </c>
      <c r="C229" s="12" t="s">
        <v>2917</v>
      </c>
      <c r="D229" s="6" t="s">
        <v>2884</v>
      </c>
      <c r="E229" s="6" t="s">
        <v>2920</v>
      </c>
      <c r="F229" s="15" t="s">
        <v>3162</v>
      </c>
      <c r="G229" s="6" t="s">
        <v>3169</v>
      </c>
      <c r="H229" s="6" t="s">
        <v>100</v>
      </c>
      <c r="I229" s="6" t="s">
        <v>953</v>
      </c>
      <c r="J229" s="6" t="s">
        <v>953</v>
      </c>
    </row>
    <row r="230">
      <c r="A230" s="6">
        <v>228.0</v>
      </c>
      <c r="B230" s="6" t="s">
        <v>110</v>
      </c>
      <c r="C230" s="12" t="s">
        <v>2930</v>
      </c>
      <c r="D230" s="6" t="s">
        <v>2884</v>
      </c>
      <c r="E230" s="6" t="s">
        <v>2933</v>
      </c>
      <c r="F230" s="15" t="s">
        <v>3172</v>
      </c>
      <c r="G230" s="6" t="s">
        <v>3180</v>
      </c>
      <c r="H230" s="6" t="s">
        <v>100</v>
      </c>
      <c r="I230" s="6" t="s">
        <v>953</v>
      </c>
      <c r="J230" s="6" t="s">
        <v>953</v>
      </c>
    </row>
    <row r="231">
      <c r="A231" s="6">
        <v>229.0</v>
      </c>
      <c r="B231" s="6" t="s">
        <v>240</v>
      </c>
      <c r="C231" s="12" t="s">
        <v>2917</v>
      </c>
      <c r="D231" s="6" t="s">
        <v>2884</v>
      </c>
      <c r="E231" s="6" t="s">
        <v>3181</v>
      </c>
      <c r="F231" s="15" t="s">
        <v>3182</v>
      </c>
      <c r="G231" s="6" t="s">
        <v>3189</v>
      </c>
      <c r="H231" s="6" t="s">
        <v>340</v>
      </c>
      <c r="I231" s="6" t="s">
        <v>953</v>
      </c>
      <c r="J231" s="6" t="s">
        <v>953</v>
      </c>
    </row>
    <row r="232">
      <c r="A232" s="6">
        <v>230.0</v>
      </c>
      <c r="B232" s="6" t="s">
        <v>41</v>
      </c>
      <c r="C232" s="12" t="s">
        <v>2877</v>
      </c>
      <c r="D232" s="6" t="s">
        <v>2884</v>
      </c>
      <c r="E232" s="6" t="s">
        <v>2952</v>
      </c>
      <c r="F232" s="15" t="s">
        <v>3190</v>
      </c>
      <c r="G232" s="6" t="s">
        <v>3196</v>
      </c>
      <c r="H232" s="6" t="s">
        <v>100</v>
      </c>
      <c r="I232" s="6" t="s">
        <v>953</v>
      </c>
      <c r="J232" s="6" t="s">
        <v>953</v>
      </c>
    </row>
    <row r="233">
      <c r="A233" s="6">
        <v>231.0</v>
      </c>
      <c r="B233" s="6" t="s">
        <v>850</v>
      </c>
      <c r="C233" s="12" t="s">
        <v>3075</v>
      </c>
      <c r="D233" s="6" t="s">
        <v>2884</v>
      </c>
      <c r="E233" s="6" t="s">
        <v>3080</v>
      </c>
      <c r="F233" s="15" t="s">
        <v>3199</v>
      </c>
      <c r="G233" s="6" t="s">
        <v>3204</v>
      </c>
      <c r="H233" s="6" t="s">
        <v>100</v>
      </c>
      <c r="I233" s="6" t="s">
        <v>953</v>
      </c>
      <c r="J233" s="6" t="s">
        <v>953</v>
      </c>
    </row>
    <row r="234">
      <c r="A234" s="6">
        <v>232.0</v>
      </c>
      <c r="B234" s="6" t="s">
        <v>1001</v>
      </c>
      <c r="C234" s="12" t="s">
        <v>2877</v>
      </c>
      <c r="D234" s="6" t="s">
        <v>2884</v>
      </c>
      <c r="E234" s="6" t="s">
        <v>3089</v>
      </c>
      <c r="F234" s="15" t="s">
        <v>3206</v>
      </c>
      <c r="G234" s="6" t="s">
        <v>3211</v>
      </c>
      <c r="H234" s="6" t="s">
        <v>100</v>
      </c>
      <c r="I234" s="6" t="s">
        <v>953</v>
      </c>
      <c r="J234" s="6" t="s">
        <v>953</v>
      </c>
    </row>
    <row r="235">
      <c r="A235" s="6">
        <v>233.0</v>
      </c>
      <c r="B235" s="6" t="s">
        <v>41</v>
      </c>
      <c r="C235" s="12" t="s">
        <v>2982</v>
      </c>
      <c r="D235" s="6" t="s">
        <v>2884</v>
      </c>
      <c r="E235" s="6" t="s">
        <v>2987</v>
      </c>
      <c r="F235" s="15" t="s">
        <v>3212</v>
      </c>
      <c r="G235" s="6" t="s">
        <v>3219</v>
      </c>
      <c r="H235" s="6" t="s">
        <v>100</v>
      </c>
      <c r="I235" s="6" t="s">
        <v>953</v>
      </c>
      <c r="J235" s="6" t="s">
        <v>953</v>
      </c>
    </row>
    <row r="236">
      <c r="A236" s="6">
        <v>234.0</v>
      </c>
      <c r="B236" s="6" t="s">
        <v>240</v>
      </c>
      <c r="C236" s="12" t="s">
        <v>2917</v>
      </c>
      <c r="D236" s="6" t="s">
        <v>2884</v>
      </c>
      <c r="E236" s="6" t="s">
        <v>2995</v>
      </c>
      <c r="F236" s="15" t="s">
        <v>3223</v>
      </c>
      <c r="G236" s="6" t="s">
        <v>3229</v>
      </c>
      <c r="H236" s="6" t="s">
        <v>100</v>
      </c>
      <c r="I236" s="6" t="s">
        <v>953</v>
      </c>
      <c r="J236" s="6" t="s">
        <v>953</v>
      </c>
    </row>
    <row r="237">
      <c r="A237" s="6">
        <v>235.0</v>
      </c>
      <c r="B237" s="6" t="s">
        <v>251</v>
      </c>
      <c r="C237" s="12" t="s">
        <v>2877</v>
      </c>
      <c r="D237" s="6" t="s">
        <v>2884</v>
      </c>
      <c r="E237" s="6" t="s">
        <v>3123</v>
      </c>
      <c r="F237" s="15" t="s">
        <v>3232</v>
      </c>
      <c r="G237" s="6" t="s">
        <v>3237</v>
      </c>
      <c r="H237" s="6" t="s">
        <v>100</v>
      </c>
      <c r="I237" s="6" t="s">
        <v>953</v>
      </c>
      <c r="J237" s="6" t="s">
        <v>953</v>
      </c>
    </row>
    <row r="238">
      <c r="A238" s="6">
        <v>236.0</v>
      </c>
      <c r="B238" s="6" t="s">
        <v>1001</v>
      </c>
      <c r="C238" s="12" t="s">
        <v>2877</v>
      </c>
      <c r="D238" s="6" t="s">
        <v>2884</v>
      </c>
      <c r="E238" s="6" t="s">
        <v>2885</v>
      </c>
      <c r="F238" s="15" t="s">
        <v>3238</v>
      </c>
      <c r="G238" s="6" t="s">
        <v>3244</v>
      </c>
      <c r="H238" s="6" t="s">
        <v>100</v>
      </c>
      <c r="I238" s="6" t="s">
        <v>953</v>
      </c>
      <c r="J238" s="6" t="s">
        <v>953</v>
      </c>
    </row>
    <row r="239">
      <c r="A239" s="6">
        <v>237.0</v>
      </c>
      <c r="B239" s="6" t="s">
        <v>41</v>
      </c>
      <c r="C239" s="12" t="s">
        <v>2982</v>
      </c>
      <c r="D239" s="6" t="s">
        <v>2884</v>
      </c>
      <c r="E239" s="6" t="s">
        <v>3024</v>
      </c>
      <c r="F239" s="15" t="s">
        <v>3245</v>
      </c>
      <c r="G239" s="6" t="s">
        <v>3254</v>
      </c>
      <c r="H239" s="6" t="s">
        <v>100</v>
      </c>
      <c r="I239" s="6" t="s">
        <v>953</v>
      </c>
      <c r="J239" s="6" t="s">
        <v>953</v>
      </c>
    </row>
    <row r="240">
      <c r="A240" s="6">
        <v>238.0</v>
      </c>
      <c r="B240" s="6" t="s">
        <v>3149</v>
      </c>
      <c r="C240" s="12" t="s">
        <v>3151</v>
      </c>
      <c r="D240" s="6" t="s">
        <v>2884</v>
      </c>
      <c r="E240" s="6" t="s">
        <v>3155</v>
      </c>
      <c r="F240" s="15" t="s">
        <v>3256</v>
      </c>
      <c r="G240" s="6" t="s">
        <v>3262</v>
      </c>
      <c r="H240" s="6" t="s">
        <v>100</v>
      </c>
      <c r="I240" s="6" t="s">
        <v>953</v>
      </c>
      <c r="J240" s="6" t="s">
        <v>953</v>
      </c>
    </row>
    <row r="241">
      <c r="A241" s="6">
        <v>239.0</v>
      </c>
      <c r="B241" s="6" t="s">
        <v>240</v>
      </c>
      <c r="C241" s="12" t="s">
        <v>2917</v>
      </c>
      <c r="D241" s="6" t="s">
        <v>2884</v>
      </c>
      <c r="E241" s="6" t="s">
        <v>2920</v>
      </c>
      <c r="F241" s="15" t="s">
        <v>3264</v>
      </c>
      <c r="G241" s="6" t="s">
        <v>3270</v>
      </c>
      <c r="H241" s="6" t="s">
        <v>100</v>
      </c>
      <c r="I241" s="6" t="s">
        <v>953</v>
      </c>
      <c r="J241" s="6" t="s">
        <v>953</v>
      </c>
    </row>
    <row r="242">
      <c r="A242" s="6">
        <v>240.0</v>
      </c>
      <c r="B242" s="6" t="s">
        <v>110</v>
      </c>
      <c r="C242" s="12" t="s">
        <v>2930</v>
      </c>
      <c r="D242" s="6" t="s">
        <v>2884</v>
      </c>
      <c r="E242" s="6" t="s">
        <v>2933</v>
      </c>
      <c r="F242" s="15" t="s">
        <v>3271</v>
      </c>
      <c r="G242" s="6" t="s">
        <v>3277</v>
      </c>
      <c r="H242" s="6" t="s">
        <v>100</v>
      </c>
      <c r="I242" s="6" t="s">
        <v>953</v>
      </c>
      <c r="J242" s="6" t="s">
        <v>953</v>
      </c>
    </row>
    <row r="243">
      <c r="A243" s="6">
        <v>241.0</v>
      </c>
      <c r="B243" s="6" t="s">
        <v>41</v>
      </c>
      <c r="C243" s="12" t="s">
        <v>2877</v>
      </c>
      <c r="D243" s="6" t="s">
        <v>2884</v>
      </c>
      <c r="E243" s="6" t="s">
        <v>2946</v>
      </c>
      <c r="F243" s="15" t="s">
        <v>3281</v>
      </c>
      <c r="G243" s="6" t="s">
        <v>3287</v>
      </c>
      <c r="H243" s="6" t="s">
        <v>100</v>
      </c>
      <c r="I243" s="6" t="s">
        <v>953</v>
      </c>
      <c r="J243" s="6" t="s">
        <v>953</v>
      </c>
    </row>
    <row r="244">
      <c r="A244" s="6">
        <v>242.0</v>
      </c>
      <c r="B244" s="6" t="s">
        <v>41</v>
      </c>
      <c r="C244" s="12" t="s">
        <v>2877</v>
      </c>
      <c r="D244" s="6" t="s">
        <v>2884</v>
      </c>
      <c r="E244" s="6" t="s">
        <v>2952</v>
      </c>
      <c r="F244" s="15" t="s">
        <v>3288</v>
      </c>
      <c r="G244" s="6" t="s">
        <v>3294</v>
      </c>
      <c r="H244" s="6" t="s">
        <v>100</v>
      </c>
      <c r="I244" s="6" t="s">
        <v>953</v>
      </c>
      <c r="J244" s="6" t="s">
        <v>953</v>
      </c>
    </row>
    <row r="245">
      <c r="A245" s="6">
        <v>243.0</v>
      </c>
      <c r="B245" s="6" t="s">
        <v>850</v>
      </c>
      <c r="C245" s="12" t="s">
        <v>3075</v>
      </c>
      <c r="D245" s="6" t="s">
        <v>2884</v>
      </c>
      <c r="E245" s="6" t="s">
        <v>3080</v>
      </c>
      <c r="F245" s="15" t="s">
        <v>3295</v>
      </c>
      <c r="G245" s="6" t="s">
        <v>3301</v>
      </c>
      <c r="H245" s="6" t="s">
        <v>100</v>
      </c>
      <c r="I245" s="6" t="s">
        <v>953</v>
      </c>
      <c r="J245" s="6" t="s">
        <v>953</v>
      </c>
    </row>
    <row r="246">
      <c r="A246" s="6">
        <v>244.0</v>
      </c>
      <c r="B246" s="6" t="s">
        <v>1001</v>
      </c>
      <c r="C246" s="12" t="s">
        <v>2877</v>
      </c>
      <c r="D246" s="6" t="s">
        <v>2884</v>
      </c>
      <c r="E246" s="6" t="s">
        <v>3089</v>
      </c>
      <c r="F246" s="15" t="s">
        <v>3304</v>
      </c>
      <c r="G246" s="6" t="s">
        <v>3307</v>
      </c>
      <c r="H246" s="6" t="s">
        <v>100</v>
      </c>
      <c r="I246" s="6" t="s">
        <v>953</v>
      </c>
      <c r="J246" s="6" t="s">
        <v>953</v>
      </c>
    </row>
    <row r="247">
      <c r="A247" s="6">
        <v>245.0</v>
      </c>
      <c r="B247" s="6" t="s">
        <v>41</v>
      </c>
      <c r="C247" s="12" t="s">
        <v>2877</v>
      </c>
      <c r="D247" s="6" t="s">
        <v>2884</v>
      </c>
      <c r="E247" s="6" t="s">
        <v>2896</v>
      </c>
      <c r="F247" s="15" t="s">
        <v>3308</v>
      </c>
      <c r="G247" s="6" t="s">
        <v>3314</v>
      </c>
      <c r="H247" s="6" t="s">
        <v>340</v>
      </c>
      <c r="I247" s="6" t="s">
        <v>953</v>
      </c>
      <c r="J247" s="6" t="s">
        <v>953</v>
      </c>
    </row>
    <row r="248">
      <c r="A248" s="6">
        <v>246.0</v>
      </c>
      <c r="B248" s="6" t="s">
        <v>240</v>
      </c>
      <c r="C248" s="12" t="s">
        <v>2917</v>
      </c>
      <c r="D248" s="6" t="s">
        <v>2884</v>
      </c>
      <c r="E248" s="6" t="s">
        <v>2995</v>
      </c>
      <c r="F248" s="15" t="s">
        <v>3315</v>
      </c>
      <c r="G248" s="6" t="s">
        <v>3324</v>
      </c>
      <c r="H248" s="6" t="s">
        <v>100</v>
      </c>
      <c r="I248" s="6" t="s">
        <v>953</v>
      </c>
      <c r="J248" s="6" t="s">
        <v>953</v>
      </c>
    </row>
    <row r="249">
      <c r="A249" s="6">
        <v>247.0</v>
      </c>
      <c r="B249" s="6" t="s">
        <v>251</v>
      </c>
      <c r="C249" s="12" t="s">
        <v>2877</v>
      </c>
      <c r="D249" s="6" t="s">
        <v>2884</v>
      </c>
      <c r="E249" s="6" t="s">
        <v>3123</v>
      </c>
      <c r="F249" s="15" t="s">
        <v>3327</v>
      </c>
      <c r="G249" s="6" t="s">
        <v>3336</v>
      </c>
      <c r="H249" s="6" t="s">
        <v>100</v>
      </c>
      <c r="I249" s="6" t="s">
        <v>953</v>
      </c>
      <c r="J249" s="6" t="s">
        <v>953</v>
      </c>
    </row>
    <row r="250">
      <c r="A250" s="6">
        <v>248.0</v>
      </c>
      <c r="B250" s="6" t="s">
        <v>1001</v>
      </c>
      <c r="C250" s="12" t="s">
        <v>2877</v>
      </c>
      <c r="D250" s="6" t="s">
        <v>2884</v>
      </c>
      <c r="E250" s="6" t="s">
        <v>2885</v>
      </c>
      <c r="F250" s="15" t="s">
        <v>3339</v>
      </c>
      <c r="G250" s="6" t="s">
        <v>3346</v>
      </c>
      <c r="H250" s="6" t="s">
        <v>100</v>
      </c>
      <c r="I250" s="6" t="s">
        <v>953</v>
      </c>
      <c r="J250" s="6" t="s">
        <v>953</v>
      </c>
    </row>
    <row r="251">
      <c r="A251" s="6">
        <v>249.0</v>
      </c>
      <c r="B251" s="6" t="s">
        <v>41</v>
      </c>
      <c r="C251" s="12" t="s">
        <v>2982</v>
      </c>
      <c r="D251" s="6" t="s">
        <v>2884</v>
      </c>
      <c r="E251" s="6" t="s">
        <v>3024</v>
      </c>
      <c r="F251" s="15" t="s">
        <v>3347</v>
      </c>
      <c r="G251" s="6" t="s">
        <v>3359</v>
      </c>
      <c r="H251" s="6" t="s">
        <v>100</v>
      </c>
      <c r="I251" s="6" t="s">
        <v>953</v>
      </c>
      <c r="J251" s="6" t="s">
        <v>953</v>
      </c>
    </row>
    <row r="252">
      <c r="A252" s="6">
        <v>250.0</v>
      </c>
      <c r="B252" s="6" t="s">
        <v>3149</v>
      </c>
      <c r="C252" s="12" t="s">
        <v>3151</v>
      </c>
      <c r="D252" s="6" t="s">
        <v>2884</v>
      </c>
      <c r="E252" s="6" t="s">
        <v>3155</v>
      </c>
      <c r="F252" s="15" t="s">
        <v>3363</v>
      </c>
      <c r="G252" s="6" t="s">
        <v>3371</v>
      </c>
      <c r="H252" s="6" t="s">
        <v>100</v>
      </c>
      <c r="I252" s="6" t="s">
        <v>953</v>
      </c>
      <c r="J252" s="6" t="s">
        <v>953</v>
      </c>
    </row>
    <row r="253">
      <c r="A253" s="6">
        <v>251.0</v>
      </c>
      <c r="B253" s="6" t="s">
        <v>240</v>
      </c>
      <c r="C253" s="12" t="s">
        <v>2917</v>
      </c>
      <c r="D253" s="6" t="s">
        <v>2884</v>
      </c>
      <c r="E253" s="6" t="s">
        <v>2920</v>
      </c>
      <c r="F253" s="15" t="s">
        <v>3375</v>
      </c>
      <c r="G253" s="6" t="s">
        <v>3382</v>
      </c>
      <c r="H253" s="6" t="s">
        <v>100</v>
      </c>
      <c r="I253" s="6" t="s">
        <v>953</v>
      </c>
      <c r="J253" s="6" t="s">
        <v>953</v>
      </c>
    </row>
    <row r="254">
      <c r="A254" s="6">
        <v>252.0</v>
      </c>
      <c r="B254" s="6" t="s">
        <v>110</v>
      </c>
      <c r="C254" s="12" t="s">
        <v>2930</v>
      </c>
      <c r="D254" s="6" t="s">
        <v>2884</v>
      </c>
      <c r="E254" s="6" t="s">
        <v>2933</v>
      </c>
      <c r="F254" s="15" t="s">
        <v>3387</v>
      </c>
      <c r="G254" s="6" t="s">
        <v>3394</v>
      </c>
      <c r="H254" s="6" t="s">
        <v>100</v>
      </c>
      <c r="I254" s="6" t="s">
        <v>953</v>
      </c>
      <c r="J254" s="6" t="s">
        <v>953</v>
      </c>
    </row>
    <row r="255">
      <c r="A255" s="6">
        <v>253.0</v>
      </c>
      <c r="B255" s="6" t="s">
        <v>41</v>
      </c>
      <c r="C255" s="12" t="s">
        <v>2877</v>
      </c>
      <c r="D255" s="6" t="s">
        <v>2884</v>
      </c>
      <c r="E255" s="6" t="s">
        <v>2946</v>
      </c>
      <c r="F255" s="15" t="s">
        <v>3396</v>
      </c>
      <c r="G255" s="6" t="s">
        <v>3405</v>
      </c>
      <c r="H255" s="6" t="s">
        <v>100</v>
      </c>
      <c r="I255" s="6" t="s">
        <v>953</v>
      </c>
      <c r="J255" s="6" t="s">
        <v>953</v>
      </c>
    </row>
    <row r="256">
      <c r="A256" s="6">
        <v>254.0</v>
      </c>
      <c r="B256" s="6" t="s">
        <v>41</v>
      </c>
      <c r="C256" s="12" t="s">
        <v>2877</v>
      </c>
      <c r="D256" s="6" t="s">
        <v>2884</v>
      </c>
      <c r="E256" s="6" t="s">
        <v>2952</v>
      </c>
      <c r="F256" s="15" t="s">
        <v>3408</v>
      </c>
      <c r="G256" s="6" t="s">
        <v>3416</v>
      </c>
      <c r="H256" s="6" t="s">
        <v>100</v>
      </c>
      <c r="I256" s="6" t="s">
        <v>953</v>
      </c>
      <c r="J256" s="6" t="s">
        <v>953</v>
      </c>
    </row>
    <row r="257">
      <c r="A257" s="6">
        <v>255.0</v>
      </c>
      <c r="B257" s="6" t="s">
        <v>850</v>
      </c>
      <c r="C257" s="12" t="s">
        <v>3075</v>
      </c>
      <c r="D257" s="6" t="s">
        <v>2884</v>
      </c>
      <c r="E257" s="6" t="s">
        <v>3080</v>
      </c>
      <c r="F257" s="15" t="s">
        <v>3417</v>
      </c>
      <c r="G257" s="6" t="s">
        <v>3419</v>
      </c>
      <c r="H257" s="6" t="s">
        <v>100</v>
      </c>
      <c r="I257" s="6" t="s">
        <v>953</v>
      </c>
      <c r="J257" s="6" t="s">
        <v>953</v>
      </c>
    </row>
    <row r="258">
      <c r="A258" s="6">
        <v>256.0</v>
      </c>
      <c r="B258" s="6" t="s">
        <v>41</v>
      </c>
      <c r="C258" s="12" t="s">
        <v>2877</v>
      </c>
      <c r="D258" s="6" t="s">
        <v>2884</v>
      </c>
      <c r="E258" s="6" t="s">
        <v>3423</v>
      </c>
      <c r="F258" s="15" t="s">
        <v>3424</v>
      </c>
      <c r="G258" s="6" t="s">
        <v>3431</v>
      </c>
      <c r="H258" s="6" t="s">
        <v>340</v>
      </c>
      <c r="I258" s="6" t="s">
        <v>953</v>
      </c>
      <c r="J258" s="6" t="s">
        <v>953</v>
      </c>
    </row>
    <row r="259">
      <c r="A259" s="6">
        <v>257.0</v>
      </c>
      <c r="B259" s="6" t="s">
        <v>41</v>
      </c>
      <c r="C259" s="12" t="s">
        <v>2982</v>
      </c>
      <c r="D259" s="6" t="s">
        <v>2884</v>
      </c>
      <c r="E259" s="6" t="s">
        <v>2987</v>
      </c>
      <c r="F259" s="15" t="s">
        <v>3435</v>
      </c>
      <c r="G259" s="6" t="s">
        <v>3443</v>
      </c>
      <c r="H259" s="6" t="s">
        <v>100</v>
      </c>
      <c r="I259" s="6" t="s">
        <v>953</v>
      </c>
      <c r="J259" s="6" t="s">
        <v>953</v>
      </c>
    </row>
    <row r="260">
      <c r="A260" s="6">
        <v>258.0</v>
      </c>
      <c r="B260" s="6" t="s">
        <v>240</v>
      </c>
      <c r="C260" s="12" t="s">
        <v>2917</v>
      </c>
      <c r="D260" s="6" t="s">
        <v>2884</v>
      </c>
      <c r="E260" s="6" t="s">
        <v>2995</v>
      </c>
      <c r="F260" s="15" t="s">
        <v>3444</v>
      </c>
      <c r="G260" s="6" t="s">
        <v>3452</v>
      </c>
      <c r="H260" s="6" t="s">
        <v>100</v>
      </c>
      <c r="I260" s="6" t="s">
        <v>953</v>
      </c>
      <c r="J260" s="6" t="s">
        <v>953</v>
      </c>
    </row>
    <row r="261">
      <c r="A261" s="6">
        <v>259.0</v>
      </c>
      <c r="B261" s="6" t="s">
        <v>251</v>
      </c>
      <c r="C261" s="12" t="s">
        <v>2877</v>
      </c>
      <c r="D261" s="6" t="s">
        <v>2884</v>
      </c>
      <c r="E261" s="6" t="s">
        <v>3123</v>
      </c>
      <c r="F261" s="15" t="s">
        <v>3456</v>
      </c>
      <c r="G261" s="6" t="s">
        <v>3461</v>
      </c>
      <c r="H261" s="6" t="s">
        <v>100</v>
      </c>
      <c r="I261" s="6" t="s">
        <v>953</v>
      </c>
      <c r="J261" s="6" t="s">
        <v>953</v>
      </c>
    </row>
    <row r="262">
      <c r="A262" s="6">
        <v>260.0</v>
      </c>
      <c r="B262" s="6" t="s">
        <v>1001</v>
      </c>
      <c r="C262" s="12" t="s">
        <v>2877</v>
      </c>
      <c r="D262" s="6" t="s">
        <v>2884</v>
      </c>
      <c r="E262" s="6" t="s">
        <v>2885</v>
      </c>
      <c r="F262" s="15" t="s">
        <v>3464</v>
      </c>
      <c r="G262" s="6" t="s">
        <v>3471</v>
      </c>
      <c r="H262" s="6" t="s">
        <v>100</v>
      </c>
      <c r="I262" s="6" t="s">
        <v>953</v>
      </c>
      <c r="J262" s="6" t="s">
        <v>953</v>
      </c>
    </row>
    <row r="263">
      <c r="A263" s="6">
        <v>261.0</v>
      </c>
      <c r="B263" s="6" t="s">
        <v>41</v>
      </c>
      <c r="C263" s="12" t="s">
        <v>2982</v>
      </c>
      <c r="D263" s="6" t="s">
        <v>2884</v>
      </c>
      <c r="E263" s="6" t="s">
        <v>3024</v>
      </c>
      <c r="F263" s="15" t="s">
        <v>3474</v>
      </c>
      <c r="G263" s="6" t="s">
        <v>3486</v>
      </c>
      <c r="H263" s="6" t="s">
        <v>100</v>
      </c>
      <c r="I263" s="6" t="s">
        <v>953</v>
      </c>
      <c r="J263" s="6" t="s">
        <v>953</v>
      </c>
    </row>
    <row r="264">
      <c r="A264" s="6">
        <v>262.0</v>
      </c>
      <c r="B264" s="6" t="s">
        <v>3149</v>
      </c>
      <c r="C264" s="12" t="s">
        <v>3151</v>
      </c>
      <c r="D264" s="6" t="s">
        <v>2884</v>
      </c>
      <c r="E264" s="6" t="s">
        <v>3155</v>
      </c>
      <c r="F264" s="15" t="s">
        <v>3487</v>
      </c>
      <c r="G264" s="6" t="s">
        <v>3500</v>
      </c>
      <c r="H264" s="6" t="s">
        <v>100</v>
      </c>
      <c r="I264" s="6" t="s">
        <v>953</v>
      </c>
      <c r="J264" s="6" t="s">
        <v>953</v>
      </c>
    </row>
    <row r="265">
      <c r="A265" s="6">
        <v>263.0</v>
      </c>
      <c r="B265" s="6" t="s">
        <v>240</v>
      </c>
      <c r="C265" s="12" t="s">
        <v>2917</v>
      </c>
      <c r="D265" s="6" t="s">
        <v>2884</v>
      </c>
      <c r="E265" s="6" t="s">
        <v>2920</v>
      </c>
      <c r="F265" s="15" t="s">
        <v>3502</v>
      </c>
      <c r="G265" s="6" t="s">
        <v>3512</v>
      </c>
      <c r="H265" s="6" t="s">
        <v>100</v>
      </c>
      <c r="I265" s="6" t="s">
        <v>953</v>
      </c>
      <c r="J265" s="6" t="s">
        <v>953</v>
      </c>
    </row>
    <row r="266">
      <c r="A266" s="6">
        <v>264.0</v>
      </c>
      <c r="B266" s="6" t="s">
        <v>110</v>
      </c>
      <c r="C266" s="12" t="s">
        <v>2930</v>
      </c>
      <c r="D266" s="6" t="s">
        <v>2884</v>
      </c>
      <c r="E266" s="6" t="s">
        <v>2933</v>
      </c>
      <c r="F266" s="15" t="s">
        <v>3514</v>
      </c>
      <c r="G266" s="6" t="s">
        <v>3523</v>
      </c>
      <c r="H266" s="6" t="s">
        <v>100</v>
      </c>
      <c r="I266" s="6" t="s">
        <v>953</v>
      </c>
      <c r="J266" s="6" t="s">
        <v>953</v>
      </c>
    </row>
    <row r="267">
      <c r="A267" s="6">
        <v>265.0</v>
      </c>
      <c r="B267" s="6" t="s">
        <v>41</v>
      </c>
      <c r="C267" s="12" t="s">
        <v>2877</v>
      </c>
      <c r="D267" s="6" t="s">
        <v>2884</v>
      </c>
      <c r="E267" s="6" t="s">
        <v>2946</v>
      </c>
      <c r="F267" s="15" t="s">
        <v>3524</v>
      </c>
      <c r="G267" s="6" t="s">
        <v>3532</v>
      </c>
      <c r="H267" s="6" t="s">
        <v>100</v>
      </c>
      <c r="I267" s="6" t="s">
        <v>953</v>
      </c>
      <c r="J267" s="6" t="s">
        <v>953</v>
      </c>
    </row>
    <row r="268">
      <c r="A268" s="6">
        <v>266.0</v>
      </c>
      <c r="B268" s="6" t="s">
        <v>41</v>
      </c>
      <c r="C268" s="12" t="s">
        <v>2877</v>
      </c>
      <c r="D268" s="6" t="s">
        <v>2884</v>
      </c>
      <c r="E268" s="6" t="s">
        <v>2952</v>
      </c>
      <c r="F268" s="15" t="s">
        <v>3535</v>
      </c>
      <c r="G268" s="6" t="s">
        <v>3541</v>
      </c>
      <c r="H268" s="6" t="s">
        <v>100</v>
      </c>
      <c r="I268" s="6" t="s">
        <v>953</v>
      </c>
      <c r="J268" s="6" t="s">
        <v>953</v>
      </c>
    </row>
    <row r="269">
      <c r="A269" s="6">
        <v>267.0</v>
      </c>
      <c r="B269" s="6" t="s">
        <v>850</v>
      </c>
      <c r="C269" s="12" t="s">
        <v>3075</v>
      </c>
      <c r="D269" s="6" t="s">
        <v>2884</v>
      </c>
      <c r="E269" s="6" t="s">
        <v>3080</v>
      </c>
      <c r="F269" s="15" t="s">
        <v>3546</v>
      </c>
      <c r="G269" s="6" t="s">
        <v>3553</v>
      </c>
      <c r="H269" s="6" t="s">
        <v>100</v>
      </c>
      <c r="I269" s="6" t="s">
        <v>953</v>
      </c>
      <c r="J269" s="6" t="s">
        <v>953</v>
      </c>
    </row>
    <row r="270">
      <c r="A270" s="6">
        <v>268.0</v>
      </c>
      <c r="B270" s="6" t="s">
        <v>1001</v>
      </c>
      <c r="C270" s="12" t="s">
        <v>2877</v>
      </c>
      <c r="D270" s="6" t="s">
        <v>2884</v>
      </c>
      <c r="E270" s="6" t="s">
        <v>3089</v>
      </c>
      <c r="F270" s="15" t="s">
        <v>3554</v>
      </c>
      <c r="G270" s="6" t="s">
        <v>3560</v>
      </c>
      <c r="H270" s="6" t="s">
        <v>100</v>
      </c>
      <c r="I270" s="6" t="s">
        <v>953</v>
      </c>
      <c r="J270" s="6" t="s">
        <v>953</v>
      </c>
    </row>
    <row r="271">
      <c r="A271" s="6">
        <v>269.0</v>
      </c>
      <c r="B271" s="6" t="s">
        <v>41</v>
      </c>
      <c r="C271" s="12" t="s">
        <v>2982</v>
      </c>
      <c r="D271" s="6" t="s">
        <v>2884</v>
      </c>
      <c r="E271" s="6" t="s">
        <v>2987</v>
      </c>
      <c r="F271" s="15" t="s">
        <v>3565</v>
      </c>
      <c r="G271" s="6" t="s">
        <v>3570</v>
      </c>
      <c r="H271" s="6" t="s">
        <v>100</v>
      </c>
      <c r="I271" s="6" t="s">
        <v>953</v>
      </c>
      <c r="J271" s="6" t="s">
        <v>953</v>
      </c>
    </row>
    <row r="272">
      <c r="A272" s="6">
        <v>270.0</v>
      </c>
      <c r="B272" s="6" t="s">
        <v>240</v>
      </c>
      <c r="C272" s="12" t="s">
        <v>2917</v>
      </c>
      <c r="D272" s="6" t="s">
        <v>2884</v>
      </c>
      <c r="E272" s="6" t="s">
        <v>2995</v>
      </c>
      <c r="F272" s="15" t="s">
        <v>3574</v>
      </c>
      <c r="G272" s="6" t="s">
        <v>3579</v>
      </c>
      <c r="H272" s="6" t="s">
        <v>100</v>
      </c>
      <c r="I272" s="6" t="s">
        <v>953</v>
      </c>
      <c r="J272" s="6" t="s">
        <v>953</v>
      </c>
    </row>
    <row r="273">
      <c r="A273" s="6">
        <v>271.0</v>
      </c>
      <c r="B273" s="6" t="s">
        <v>251</v>
      </c>
      <c r="C273" s="12" t="s">
        <v>2877</v>
      </c>
      <c r="D273" s="6" t="s">
        <v>2884</v>
      </c>
      <c r="E273" s="6" t="s">
        <v>3123</v>
      </c>
      <c r="F273" s="15" t="s">
        <v>3583</v>
      </c>
      <c r="G273" s="6" t="s">
        <v>3589</v>
      </c>
      <c r="H273" s="6" t="s">
        <v>100</v>
      </c>
      <c r="I273" s="6" t="s">
        <v>953</v>
      </c>
      <c r="J273" s="6" t="s">
        <v>953</v>
      </c>
    </row>
    <row r="274">
      <c r="A274" s="6">
        <v>272.0</v>
      </c>
      <c r="B274" s="6" t="s">
        <v>1001</v>
      </c>
      <c r="C274" s="12" t="s">
        <v>2877</v>
      </c>
      <c r="D274" s="6" t="s">
        <v>2884</v>
      </c>
      <c r="E274" s="6" t="s">
        <v>2885</v>
      </c>
      <c r="F274" s="15" t="s">
        <v>3591</v>
      </c>
      <c r="G274" s="6" t="s">
        <v>3601</v>
      </c>
      <c r="H274" s="6" t="s">
        <v>100</v>
      </c>
      <c r="I274" s="6" t="s">
        <v>953</v>
      </c>
      <c r="J274" s="6" t="s">
        <v>953</v>
      </c>
    </row>
    <row r="275">
      <c r="A275" s="6">
        <v>273.0</v>
      </c>
      <c r="B275" s="6" t="s">
        <v>41</v>
      </c>
      <c r="C275" s="12" t="s">
        <v>2982</v>
      </c>
      <c r="D275" s="6" t="s">
        <v>2884</v>
      </c>
      <c r="E275" s="6" t="s">
        <v>3024</v>
      </c>
      <c r="F275" s="15" t="s">
        <v>3602</v>
      </c>
      <c r="G275" s="6" t="s">
        <v>3611</v>
      </c>
      <c r="H275" s="6" t="s">
        <v>100</v>
      </c>
      <c r="I275" s="6" t="s">
        <v>953</v>
      </c>
      <c r="J275" s="6" t="s">
        <v>953</v>
      </c>
    </row>
    <row r="276">
      <c r="A276" s="6">
        <v>274.0</v>
      </c>
      <c r="B276" s="6" t="s">
        <v>3149</v>
      </c>
      <c r="C276" s="12" t="s">
        <v>3151</v>
      </c>
      <c r="D276" s="6" t="s">
        <v>2884</v>
      </c>
      <c r="E276" s="6" t="s">
        <v>3155</v>
      </c>
      <c r="F276" s="15" t="s">
        <v>3612</v>
      </c>
      <c r="G276" s="6" t="s">
        <v>3623</v>
      </c>
      <c r="H276" s="6" t="s">
        <v>100</v>
      </c>
      <c r="I276" s="6" t="s">
        <v>953</v>
      </c>
      <c r="J276" s="6" t="s">
        <v>953</v>
      </c>
    </row>
    <row r="277">
      <c r="A277" s="6">
        <v>275.0</v>
      </c>
      <c r="B277" s="6" t="s">
        <v>240</v>
      </c>
      <c r="C277" s="12" t="s">
        <v>2917</v>
      </c>
      <c r="D277" s="6" t="s">
        <v>2884</v>
      </c>
      <c r="E277" s="6" t="s">
        <v>2920</v>
      </c>
      <c r="F277" s="15" t="s">
        <v>3625</v>
      </c>
      <c r="G277" s="6" t="s">
        <v>3636</v>
      </c>
      <c r="H277" s="6" t="s">
        <v>100</v>
      </c>
      <c r="I277" s="6" t="s">
        <v>953</v>
      </c>
      <c r="J277" s="6" t="s">
        <v>953</v>
      </c>
    </row>
    <row r="278">
      <c r="A278" s="6">
        <v>276.0</v>
      </c>
      <c r="B278" s="6" t="s">
        <v>110</v>
      </c>
      <c r="C278" s="12" t="s">
        <v>2930</v>
      </c>
      <c r="D278" s="6" t="s">
        <v>2884</v>
      </c>
      <c r="E278" s="6" t="s">
        <v>2933</v>
      </c>
      <c r="F278" s="15" t="s">
        <v>3637</v>
      </c>
      <c r="G278" s="6" t="s">
        <v>3643</v>
      </c>
      <c r="H278" s="6" t="s">
        <v>100</v>
      </c>
      <c r="I278" s="6" t="s">
        <v>953</v>
      </c>
      <c r="J278" s="6" t="s">
        <v>953</v>
      </c>
    </row>
    <row r="279">
      <c r="A279" s="6">
        <v>277.0</v>
      </c>
      <c r="B279" s="6" t="s">
        <v>41</v>
      </c>
      <c r="C279" s="12" t="s">
        <v>2877</v>
      </c>
      <c r="D279" s="6" t="s">
        <v>2884</v>
      </c>
      <c r="E279" s="6" t="s">
        <v>2946</v>
      </c>
      <c r="F279" s="15" t="s">
        <v>3648</v>
      </c>
      <c r="G279" s="6" t="s">
        <v>3653</v>
      </c>
      <c r="H279" s="6" t="s">
        <v>100</v>
      </c>
      <c r="I279" s="6" t="s">
        <v>953</v>
      </c>
      <c r="J279" s="6" t="s">
        <v>953</v>
      </c>
    </row>
    <row r="280">
      <c r="A280" s="6">
        <v>278.0</v>
      </c>
      <c r="B280" s="6" t="s">
        <v>41</v>
      </c>
      <c r="C280" s="12" t="s">
        <v>2877</v>
      </c>
      <c r="D280" s="6" t="s">
        <v>2884</v>
      </c>
      <c r="E280" s="6" t="s">
        <v>2952</v>
      </c>
      <c r="F280" s="15" t="s">
        <v>3658</v>
      </c>
      <c r="G280" s="6" t="s">
        <v>3666</v>
      </c>
      <c r="H280" s="6" t="s">
        <v>100</v>
      </c>
      <c r="I280" s="6" t="s">
        <v>953</v>
      </c>
      <c r="J280" s="6" t="s">
        <v>953</v>
      </c>
    </row>
    <row r="281">
      <c r="A281" s="6">
        <v>279.0</v>
      </c>
      <c r="B281" s="6" t="s">
        <v>41</v>
      </c>
      <c r="C281" s="12" t="s">
        <v>2982</v>
      </c>
      <c r="D281" s="6" t="s">
        <v>2884</v>
      </c>
      <c r="E281" s="6" t="s">
        <v>3671</v>
      </c>
      <c r="F281" s="15" t="s">
        <v>3673</v>
      </c>
      <c r="G281" s="6" t="s">
        <v>3680</v>
      </c>
      <c r="H281" s="6" t="s">
        <v>340</v>
      </c>
      <c r="I281" s="6" t="s">
        <v>953</v>
      </c>
      <c r="J281" s="6" t="s">
        <v>953</v>
      </c>
    </row>
    <row r="282">
      <c r="A282" s="6">
        <v>280.0</v>
      </c>
      <c r="B282" s="6" t="s">
        <v>1001</v>
      </c>
      <c r="C282" s="12" t="s">
        <v>2877</v>
      </c>
      <c r="D282" s="6" t="s">
        <v>2884</v>
      </c>
      <c r="E282" s="6" t="s">
        <v>3089</v>
      </c>
      <c r="F282" s="15" t="s">
        <v>3684</v>
      </c>
      <c r="G282" s="6" t="s">
        <v>3690</v>
      </c>
      <c r="H282" s="6" t="s">
        <v>100</v>
      </c>
      <c r="I282" s="6" t="s">
        <v>953</v>
      </c>
      <c r="J282" s="6" t="s">
        <v>953</v>
      </c>
    </row>
    <row r="283">
      <c r="A283" s="6">
        <v>281.0</v>
      </c>
      <c r="B283" s="6" t="s">
        <v>41</v>
      </c>
      <c r="C283" s="12" t="s">
        <v>2982</v>
      </c>
      <c r="D283" s="6" t="s">
        <v>2884</v>
      </c>
      <c r="E283" s="6" t="s">
        <v>2987</v>
      </c>
      <c r="F283" s="15" t="s">
        <v>3695</v>
      </c>
      <c r="G283" s="6" t="s">
        <v>3702</v>
      </c>
      <c r="H283" s="6" t="s">
        <v>100</v>
      </c>
      <c r="I283" s="6" t="s">
        <v>953</v>
      </c>
      <c r="J283" s="6" t="s">
        <v>953</v>
      </c>
    </row>
    <row r="284">
      <c r="A284" s="6">
        <v>282.0</v>
      </c>
      <c r="B284" s="6" t="s">
        <v>240</v>
      </c>
      <c r="C284" s="12" t="s">
        <v>2917</v>
      </c>
      <c r="D284" s="6" t="s">
        <v>2884</v>
      </c>
      <c r="E284" s="6" t="s">
        <v>2995</v>
      </c>
      <c r="F284" s="15" t="s">
        <v>3709</v>
      </c>
      <c r="G284" s="6" t="s">
        <v>3716</v>
      </c>
      <c r="H284" s="6" t="s">
        <v>100</v>
      </c>
      <c r="I284" s="6" t="s">
        <v>953</v>
      </c>
      <c r="J284" s="6" t="s">
        <v>953</v>
      </c>
    </row>
    <row r="285">
      <c r="A285" s="6">
        <v>283.0</v>
      </c>
      <c r="B285" s="6" t="s">
        <v>251</v>
      </c>
      <c r="C285" s="12" t="s">
        <v>2877</v>
      </c>
      <c r="D285" s="6" t="s">
        <v>2884</v>
      </c>
      <c r="E285" s="6" t="s">
        <v>3123</v>
      </c>
      <c r="F285" s="15" t="s">
        <v>3720</v>
      </c>
      <c r="G285" s="6" t="s">
        <v>3726</v>
      </c>
      <c r="H285" s="6" t="s">
        <v>100</v>
      </c>
      <c r="I285" s="6" t="s">
        <v>953</v>
      </c>
      <c r="J285" s="6" t="s">
        <v>953</v>
      </c>
    </row>
    <row r="286">
      <c r="A286" s="6">
        <v>284.0</v>
      </c>
      <c r="B286" s="6" t="s">
        <v>1001</v>
      </c>
      <c r="C286" s="12" t="s">
        <v>2877</v>
      </c>
      <c r="D286" s="6" t="s">
        <v>2884</v>
      </c>
      <c r="E286" s="6" t="s">
        <v>2885</v>
      </c>
      <c r="F286" s="15" t="s">
        <v>3731</v>
      </c>
      <c r="G286" s="6" t="s">
        <v>3737</v>
      </c>
      <c r="H286" s="6" t="s">
        <v>100</v>
      </c>
      <c r="I286" s="6" t="s">
        <v>953</v>
      </c>
      <c r="J286" s="6" t="s">
        <v>953</v>
      </c>
    </row>
    <row r="287">
      <c r="A287" s="6">
        <v>285.0</v>
      </c>
      <c r="B287" s="6" t="s">
        <v>41</v>
      </c>
      <c r="C287" s="12" t="s">
        <v>2982</v>
      </c>
      <c r="D287" s="6" t="s">
        <v>2884</v>
      </c>
      <c r="E287" s="6" t="s">
        <v>3024</v>
      </c>
      <c r="F287" s="15" t="s">
        <v>3740</v>
      </c>
      <c r="G287" s="6" t="s">
        <v>3748</v>
      </c>
      <c r="H287" s="6" t="s">
        <v>100</v>
      </c>
      <c r="I287" s="6" t="s">
        <v>953</v>
      </c>
      <c r="J287" s="6" t="s">
        <v>953</v>
      </c>
    </row>
    <row r="288">
      <c r="A288" s="6">
        <v>286.0</v>
      </c>
      <c r="B288" s="6" t="s">
        <v>3149</v>
      </c>
      <c r="C288" s="12" t="s">
        <v>3151</v>
      </c>
      <c r="D288" s="6" t="s">
        <v>2884</v>
      </c>
      <c r="E288" s="6" t="s">
        <v>3155</v>
      </c>
      <c r="F288" s="15" t="s">
        <v>3751</v>
      </c>
      <c r="G288" s="6" t="s">
        <v>3757</v>
      </c>
      <c r="H288" s="6" t="s">
        <v>100</v>
      </c>
      <c r="I288" s="6" t="s">
        <v>953</v>
      </c>
      <c r="J288" s="6" t="s">
        <v>953</v>
      </c>
    </row>
    <row r="289">
      <c r="A289" s="6">
        <v>287.0</v>
      </c>
      <c r="B289" s="6" t="s">
        <v>240</v>
      </c>
      <c r="C289" s="12" t="s">
        <v>2917</v>
      </c>
      <c r="D289" s="6" t="s">
        <v>2884</v>
      </c>
      <c r="E289" s="6" t="s">
        <v>2920</v>
      </c>
      <c r="F289" s="15" t="s">
        <v>3762</v>
      </c>
      <c r="G289" s="6" t="s">
        <v>3771</v>
      </c>
      <c r="H289" s="6" t="s">
        <v>100</v>
      </c>
      <c r="I289" s="6" t="s">
        <v>953</v>
      </c>
      <c r="J289" s="6" t="s">
        <v>953</v>
      </c>
    </row>
    <row r="290">
      <c r="A290" s="6">
        <v>288.0</v>
      </c>
      <c r="B290" s="6" t="s">
        <v>110</v>
      </c>
      <c r="C290" s="12" t="s">
        <v>2930</v>
      </c>
      <c r="D290" s="6" t="s">
        <v>2884</v>
      </c>
      <c r="E290" s="6" t="s">
        <v>2933</v>
      </c>
      <c r="F290" s="15" t="s">
        <v>3772</v>
      </c>
      <c r="G290" s="6" t="s">
        <v>3780</v>
      </c>
      <c r="H290" s="6" t="s">
        <v>100</v>
      </c>
      <c r="I290" s="6" t="s">
        <v>953</v>
      </c>
      <c r="J290" s="6" t="s">
        <v>953</v>
      </c>
    </row>
    <row r="291">
      <c r="A291" s="6">
        <v>289.0</v>
      </c>
      <c r="B291" s="6" t="s">
        <v>41</v>
      </c>
      <c r="C291" s="12" t="s">
        <v>2877</v>
      </c>
      <c r="D291" s="6" t="s">
        <v>2884</v>
      </c>
      <c r="E291" s="6" t="s">
        <v>2946</v>
      </c>
      <c r="F291" s="15" t="s">
        <v>3781</v>
      </c>
      <c r="G291" s="6" t="s">
        <v>3791</v>
      </c>
      <c r="H291" s="6" t="s">
        <v>100</v>
      </c>
      <c r="I291" s="6" t="s">
        <v>953</v>
      </c>
      <c r="J291" s="6" t="s">
        <v>953</v>
      </c>
    </row>
    <row r="292">
      <c r="A292" s="6">
        <v>290.0</v>
      </c>
      <c r="B292" s="6" t="s">
        <v>41</v>
      </c>
      <c r="C292" s="12" t="s">
        <v>2877</v>
      </c>
      <c r="D292" s="6" t="s">
        <v>2884</v>
      </c>
      <c r="E292" s="6" t="s">
        <v>2952</v>
      </c>
      <c r="F292" s="15" t="s">
        <v>3792</v>
      </c>
      <c r="G292" s="6" t="s">
        <v>3799</v>
      </c>
      <c r="H292" s="6" t="s">
        <v>100</v>
      </c>
      <c r="I292" s="6" t="s">
        <v>953</v>
      </c>
      <c r="J292" s="6" t="s">
        <v>953</v>
      </c>
    </row>
    <row r="293">
      <c r="A293" s="6">
        <v>291.0</v>
      </c>
      <c r="B293" s="6" t="s">
        <v>850</v>
      </c>
      <c r="C293" s="12" t="s">
        <v>3075</v>
      </c>
      <c r="D293" s="6" t="s">
        <v>2884</v>
      </c>
      <c r="E293" s="6" t="s">
        <v>3080</v>
      </c>
      <c r="F293" s="15" t="s">
        <v>3802</v>
      </c>
      <c r="G293" s="6" t="s">
        <v>3809</v>
      </c>
      <c r="H293" s="6" t="s">
        <v>100</v>
      </c>
      <c r="I293" s="6" t="s">
        <v>953</v>
      </c>
      <c r="J293" s="6" t="s">
        <v>953</v>
      </c>
    </row>
    <row r="294">
      <c r="A294" s="6">
        <v>292.0</v>
      </c>
      <c r="B294" s="6" t="s">
        <v>1001</v>
      </c>
      <c r="C294" s="12" t="s">
        <v>2877</v>
      </c>
      <c r="D294" s="6" t="s">
        <v>2884</v>
      </c>
      <c r="E294" s="6" t="s">
        <v>3089</v>
      </c>
      <c r="F294" s="15" t="s">
        <v>3813</v>
      </c>
      <c r="G294" s="6" t="s">
        <v>3818</v>
      </c>
      <c r="H294" s="6" t="s">
        <v>100</v>
      </c>
      <c r="I294" s="6" t="s">
        <v>953</v>
      </c>
      <c r="J294" s="6" t="s">
        <v>953</v>
      </c>
    </row>
    <row r="295">
      <c r="A295" s="6">
        <v>293.0</v>
      </c>
      <c r="B295" s="6" t="s">
        <v>41</v>
      </c>
      <c r="C295" s="12" t="s">
        <v>2982</v>
      </c>
      <c r="D295" s="6" t="s">
        <v>2884</v>
      </c>
      <c r="E295" s="6" t="s">
        <v>2987</v>
      </c>
      <c r="F295" s="15" t="s">
        <v>3823</v>
      </c>
      <c r="G295" s="6" t="s">
        <v>3829</v>
      </c>
      <c r="H295" s="6" t="s">
        <v>100</v>
      </c>
      <c r="I295" s="6" t="s">
        <v>953</v>
      </c>
      <c r="J295" s="6" t="s">
        <v>953</v>
      </c>
    </row>
    <row r="296">
      <c r="A296" s="6">
        <v>294.0</v>
      </c>
      <c r="B296" s="6" t="s">
        <v>240</v>
      </c>
      <c r="C296" s="12" t="s">
        <v>2917</v>
      </c>
      <c r="D296" s="6" t="s">
        <v>2884</v>
      </c>
      <c r="E296" s="6" t="s">
        <v>2995</v>
      </c>
      <c r="F296" s="15" t="s">
        <v>3831</v>
      </c>
      <c r="G296" s="6" t="s">
        <v>3840</v>
      </c>
      <c r="H296" s="6" t="s">
        <v>100</v>
      </c>
      <c r="I296" s="6" t="s">
        <v>953</v>
      </c>
      <c r="J296" s="6" t="s">
        <v>953</v>
      </c>
    </row>
    <row r="297">
      <c r="A297" s="6">
        <v>295.0</v>
      </c>
      <c r="B297" s="6" t="s">
        <v>251</v>
      </c>
      <c r="C297" s="12" t="s">
        <v>2877</v>
      </c>
      <c r="D297" s="6" t="s">
        <v>2884</v>
      </c>
      <c r="E297" s="6" t="s">
        <v>3123</v>
      </c>
      <c r="F297" s="15" t="s">
        <v>3843</v>
      </c>
      <c r="G297" s="6" t="s">
        <v>3852</v>
      </c>
      <c r="H297" s="6" t="s">
        <v>100</v>
      </c>
      <c r="I297" s="6" t="s">
        <v>953</v>
      </c>
      <c r="J297" s="6" t="s">
        <v>953</v>
      </c>
    </row>
    <row r="298">
      <c r="A298" s="6">
        <v>296.0</v>
      </c>
      <c r="B298" s="6" t="s">
        <v>1001</v>
      </c>
      <c r="C298" s="12" t="s">
        <v>2877</v>
      </c>
      <c r="D298" s="6" t="s">
        <v>2884</v>
      </c>
      <c r="E298" s="6" t="s">
        <v>3853</v>
      </c>
      <c r="F298" s="15" t="s">
        <v>3854</v>
      </c>
      <c r="G298" s="6" t="s">
        <v>3863</v>
      </c>
      <c r="H298" s="6" t="s">
        <v>340</v>
      </c>
      <c r="I298" s="6" t="s">
        <v>953</v>
      </c>
      <c r="J298" s="6" t="s">
        <v>953</v>
      </c>
    </row>
    <row r="299">
      <c r="A299" s="6">
        <v>297.0</v>
      </c>
      <c r="B299" s="6" t="s">
        <v>41</v>
      </c>
      <c r="C299" s="12" t="s">
        <v>2982</v>
      </c>
      <c r="D299" s="6" t="s">
        <v>2884</v>
      </c>
      <c r="E299" s="6" t="s">
        <v>3671</v>
      </c>
      <c r="F299" s="15" t="s">
        <v>3864</v>
      </c>
      <c r="G299" s="6" t="s">
        <v>3879</v>
      </c>
      <c r="H299" s="6" t="s">
        <v>340</v>
      </c>
      <c r="I299" s="6" t="s">
        <v>953</v>
      </c>
      <c r="J299" s="6" t="s">
        <v>953</v>
      </c>
    </row>
    <row r="300">
      <c r="A300" s="6">
        <v>298.0</v>
      </c>
      <c r="B300" s="6" t="s">
        <v>3149</v>
      </c>
      <c r="C300" s="12" t="s">
        <v>3151</v>
      </c>
      <c r="D300" s="6" t="s">
        <v>2884</v>
      </c>
      <c r="E300" s="6" t="s">
        <v>3155</v>
      </c>
      <c r="F300" s="15" t="s">
        <v>3880</v>
      </c>
      <c r="G300" s="6" t="s">
        <v>3889</v>
      </c>
      <c r="H300" s="6" t="s">
        <v>100</v>
      </c>
      <c r="I300" s="6" t="s">
        <v>953</v>
      </c>
      <c r="J300" s="6" t="s">
        <v>953</v>
      </c>
    </row>
    <row r="301">
      <c r="A301" s="6">
        <v>299.0</v>
      </c>
      <c r="B301" s="6" t="s">
        <v>240</v>
      </c>
      <c r="C301" s="12" t="s">
        <v>2917</v>
      </c>
      <c r="D301" s="6" t="s">
        <v>2884</v>
      </c>
      <c r="E301" s="6" t="s">
        <v>2920</v>
      </c>
      <c r="F301" s="15" t="s">
        <v>3891</v>
      </c>
      <c r="G301" s="6" t="s">
        <v>3899</v>
      </c>
      <c r="H301" s="6" t="s">
        <v>100</v>
      </c>
      <c r="I301" s="6" t="s">
        <v>953</v>
      </c>
      <c r="J301" s="6" t="s">
        <v>953</v>
      </c>
    </row>
    <row r="302">
      <c r="A302" s="6">
        <v>300.0</v>
      </c>
      <c r="B302" s="6" t="s">
        <v>110</v>
      </c>
      <c r="C302" s="12" t="s">
        <v>2930</v>
      </c>
      <c r="D302" s="6" t="s">
        <v>2884</v>
      </c>
      <c r="E302" s="6" t="s">
        <v>2933</v>
      </c>
      <c r="F302" s="15" t="s">
        <v>3902</v>
      </c>
      <c r="G302" s="6" t="s">
        <v>3911</v>
      </c>
      <c r="H302" s="6" t="s">
        <v>100</v>
      </c>
      <c r="I302" s="6" t="s">
        <v>953</v>
      </c>
      <c r="J302" s="6" t="s">
        <v>953</v>
      </c>
    </row>
    <row r="303">
      <c r="A303" s="6">
        <v>301.0</v>
      </c>
      <c r="B303" s="6" t="s">
        <v>41</v>
      </c>
      <c r="C303" s="12" t="s">
        <v>2877</v>
      </c>
      <c r="D303" s="6" t="s">
        <v>2884</v>
      </c>
      <c r="E303" s="6" t="s">
        <v>2896</v>
      </c>
      <c r="F303" s="15" t="s">
        <v>3913</v>
      </c>
      <c r="G303" s="6" t="s">
        <v>3922</v>
      </c>
      <c r="H303" s="6" t="s">
        <v>340</v>
      </c>
      <c r="I303" s="6" t="s">
        <v>953</v>
      </c>
      <c r="J303" s="6" t="s">
        <v>953</v>
      </c>
    </row>
    <row r="304">
      <c r="A304" s="6">
        <v>302.0</v>
      </c>
      <c r="B304" s="6" t="s">
        <v>41</v>
      </c>
      <c r="C304" s="12" t="s">
        <v>2877</v>
      </c>
      <c r="D304" s="6" t="s">
        <v>2884</v>
      </c>
      <c r="E304" s="6" t="s">
        <v>2952</v>
      </c>
      <c r="F304" s="15" t="s">
        <v>3925</v>
      </c>
      <c r="G304" s="6" t="s">
        <v>3932</v>
      </c>
      <c r="H304" s="6" t="s">
        <v>100</v>
      </c>
      <c r="I304" s="6" t="s">
        <v>953</v>
      </c>
      <c r="J304" s="6" t="s">
        <v>953</v>
      </c>
    </row>
    <row r="305">
      <c r="A305" s="6">
        <v>303.0</v>
      </c>
      <c r="B305" s="6" t="s">
        <v>850</v>
      </c>
      <c r="C305" s="12" t="s">
        <v>3075</v>
      </c>
      <c r="D305" s="6" t="s">
        <v>2884</v>
      </c>
      <c r="E305" s="6" t="s">
        <v>3080</v>
      </c>
      <c r="F305" s="15" t="s">
        <v>3936</v>
      </c>
      <c r="G305" s="6" t="s">
        <v>3942</v>
      </c>
      <c r="H305" s="6" t="s">
        <v>100</v>
      </c>
      <c r="I305" s="6" t="s">
        <v>953</v>
      </c>
      <c r="J305" s="6" t="s">
        <v>953</v>
      </c>
    </row>
    <row r="306">
      <c r="A306" s="6">
        <v>304.0</v>
      </c>
      <c r="B306" s="6" t="s">
        <v>41</v>
      </c>
      <c r="C306" s="12" t="s">
        <v>2877</v>
      </c>
      <c r="D306" s="6" t="s">
        <v>2884</v>
      </c>
      <c r="E306" s="6" t="s">
        <v>2896</v>
      </c>
      <c r="F306" s="15" t="s">
        <v>3947</v>
      </c>
      <c r="G306" s="6" t="s">
        <v>3952</v>
      </c>
      <c r="H306" s="6" t="s">
        <v>340</v>
      </c>
      <c r="I306" s="6" t="s">
        <v>953</v>
      </c>
      <c r="J306" s="6" t="s">
        <v>953</v>
      </c>
    </row>
    <row r="307">
      <c r="A307" s="6">
        <v>305.0</v>
      </c>
      <c r="B307" s="6" t="s">
        <v>41</v>
      </c>
      <c r="C307" s="12" t="s">
        <v>2982</v>
      </c>
      <c r="D307" s="6" t="s">
        <v>2884</v>
      </c>
      <c r="E307" s="6" t="s">
        <v>2987</v>
      </c>
      <c r="F307" s="15" t="s">
        <v>3957</v>
      </c>
      <c r="G307" s="6" t="s">
        <v>3962</v>
      </c>
      <c r="H307" s="6" t="s">
        <v>100</v>
      </c>
      <c r="I307" s="6" t="s">
        <v>953</v>
      </c>
      <c r="J307" s="6" t="s">
        <v>953</v>
      </c>
    </row>
    <row r="308">
      <c r="A308" s="6">
        <v>306.0</v>
      </c>
      <c r="B308" s="6" t="s">
        <v>240</v>
      </c>
      <c r="C308" s="12" t="s">
        <v>2917</v>
      </c>
      <c r="D308" s="6" t="s">
        <v>2884</v>
      </c>
      <c r="E308" s="6" t="s">
        <v>2995</v>
      </c>
      <c r="F308" s="15" t="s">
        <v>3965</v>
      </c>
      <c r="G308" s="6" t="s">
        <v>3976</v>
      </c>
      <c r="H308" s="6" t="s">
        <v>100</v>
      </c>
      <c r="I308" s="6" t="s">
        <v>953</v>
      </c>
      <c r="J308" s="6" t="s">
        <v>953</v>
      </c>
    </row>
    <row r="309">
      <c r="A309" s="6">
        <v>307.0</v>
      </c>
      <c r="B309" s="6" t="s">
        <v>251</v>
      </c>
      <c r="C309" s="12" t="s">
        <v>2877</v>
      </c>
      <c r="D309" s="6" t="s">
        <v>2884</v>
      </c>
      <c r="E309" s="6" t="s">
        <v>3123</v>
      </c>
      <c r="F309" s="15" t="s">
        <v>3978</v>
      </c>
      <c r="G309" s="6" t="s">
        <v>3988</v>
      </c>
      <c r="H309" s="6" t="s">
        <v>100</v>
      </c>
      <c r="I309" s="6" t="s">
        <v>953</v>
      </c>
      <c r="J309" s="6" t="s">
        <v>953</v>
      </c>
    </row>
    <row r="310">
      <c r="A310" s="6">
        <v>308.0</v>
      </c>
      <c r="B310" s="6" t="s">
        <v>1001</v>
      </c>
      <c r="C310" s="12" t="s">
        <v>2877</v>
      </c>
      <c r="D310" s="6" t="s">
        <v>2884</v>
      </c>
      <c r="E310" s="6" t="s">
        <v>2885</v>
      </c>
      <c r="F310" s="15" t="s">
        <v>3989</v>
      </c>
      <c r="G310" s="6" t="s">
        <v>4000</v>
      </c>
      <c r="H310" s="6" t="s">
        <v>100</v>
      </c>
      <c r="I310" s="6" t="s">
        <v>953</v>
      </c>
      <c r="J310" s="6" t="s">
        <v>953</v>
      </c>
    </row>
    <row r="311">
      <c r="A311" s="6">
        <v>309.0</v>
      </c>
      <c r="B311" s="6" t="s">
        <v>41</v>
      </c>
      <c r="C311" s="12" t="s">
        <v>2982</v>
      </c>
      <c r="D311" s="6" t="s">
        <v>2884</v>
      </c>
      <c r="E311" s="6" t="s">
        <v>3024</v>
      </c>
      <c r="F311" s="15" t="s">
        <v>4001</v>
      </c>
      <c r="G311" s="6" t="s">
        <v>4011</v>
      </c>
      <c r="H311" s="6" t="s">
        <v>100</v>
      </c>
      <c r="I311" s="6" t="s">
        <v>953</v>
      </c>
      <c r="J311" s="6" t="s">
        <v>953</v>
      </c>
    </row>
    <row r="312">
      <c r="A312" s="6">
        <v>310.0</v>
      </c>
      <c r="B312" s="6" t="s">
        <v>3149</v>
      </c>
      <c r="C312" s="12" t="s">
        <v>3151</v>
      </c>
      <c r="D312" s="6" t="s">
        <v>2884</v>
      </c>
      <c r="E312" s="6" t="s">
        <v>3155</v>
      </c>
      <c r="F312" s="15" t="s">
        <v>4012</v>
      </c>
      <c r="G312" s="6" t="s">
        <v>4022</v>
      </c>
      <c r="H312" s="6" t="s">
        <v>100</v>
      </c>
      <c r="I312" s="6" t="s">
        <v>953</v>
      </c>
      <c r="J312" s="6" t="s">
        <v>953</v>
      </c>
    </row>
    <row r="313">
      <c r="A313" s="6">
        <v>311.0</v>
      </c>
      <c r="B313" s="6" t="s">
        <v>240</v>
      </c>
      <c r="C313" s="12" t="s">
        <v>2917</v>
      </c>
      <c r="D313" s="6" t="s">
        <v>2884</v>
      </c>
      <c r="E313" s="6" t="s">
        <v>2920</v>
      </c>
      <c r="F313" s="15" t="s">
        <v>4025</v>
      </c>
      <c r="G313" s="6" t="s">
        <v>4032</v>
      </c>
      <c r="H313" s="6" t="s">
        <v>100</v>
      </c>
      <c r="I313" s="6" t="s">
        <v>953</v>
      </c>
      <c r="J313" s="6" t="s">
        <v>953</v>
      </c>
    </row>
    <row r="314">
      <c r="A314" s="6">
        <v>312.0</v>
      </c>
      <c r="B314" s="6" t="s">
        <v>110</v>
      </c>
      <c r="C314" s="12" t="s">
        <v>2930</v>
      </c>
      <c r="D314" s="6" t="s">
        <v>2884</v>
      </c>
      <c r="E314" s="6" t="s">
        <v>2933</v>
      </c>
      <c r="F314" s="15" t="s">
        <v>4036</v>
      </c>
      <c r="G314" s="6" t="s">
        <v>4043</v>
      </c>
      <c r="H314" s="6" t="s">
        <v>100</v>
      </c>
      <c r="I314" s="6" t="s">
        <v>953</v>
      </c>
      <c r="J314" s="6" t="s">
        <v>953</v>
      </c>
    </row>
    <row r="315">
      <c r="A315" s="6">
        <v>313.0</v>
      </c>
      <c r="B315" s="6" t="s">
        <v>41</v>
      </c>
      <c r="C315" s="12" t="s">
        <v>2877</v>
      </c>
      <c r="D315" s="6" t="s">
        <v>2884</v>
      </c>
      <c r="E315" s="6" t="s">
        <v>2946</v>
      </c>
      <c r="F315" s="15" t="s">
        <v>4045</v>
      </c>
      <c r="G315" s="6" t="s">
        <v>4054</v>
      </c>
      <c r="H315" s="6" t="s">
        <v>100</v>
      </c>
      <c r="I315" s="6" t="s">
        <v>953</v>
      </c>
      <c r="J315" s="6" t="s">
        <v>953</v>
      </c>
    </row>
    <row r="316">
      <c r="A316" s="6">
        <v>314.0</v>
      </c>
      <c r="B316" s="6" t="s">
        <v>41</v>
      </c>
      <c r="C316" s="12" t="s">
        <v>2877</v>
      </c>
      <c r="D316" s="6" t="s">
        <v>2884</v>
      </c>
      <c r="E316" s="6" t="s">
        <v>2952</v>
      </c>
      <c r="F316" s="15" t="s">
        <v>4056</v>
      </c>
      <c r="G316" s="6" t="s">
        <v>4068</v>
      </c>
      <c r="H316" s="6" t="s">
        <v>100</v>
      </c>
      <c r="I316" s="6" t="s">
        <v>953</v>
      </c>
      <c r="J316" s="6" t="s">
        <v>953</v>
      </c>
    </row>
    <row r="317">
      <c r="A317" s="6">
        <v>315.0</v>
      </c>
      <c r="B317" s="6" t="s">
        <v>850</v>
      </c>
      <c r="C317" s="12" t="s">
        <v>3075</v>
      </c>
      <c r="D317" s="6" t="s">
        <v>2884</v>
      </c>
      <c r="E317" s="6" t="s">
        <v>3080</v>
      </c>
      <c r="F317" s="15" t="s">
        <v>4069</v>
      </c>
      <c r="G317" s="6" t="s">
        <v>4079</v>
      </c>
      <c r="H317" s="6" t="s">
        <v>100</v>
      </c>
      <c r="I317" s="6" t="s">
        <v>953</v>
      </c>
      <c r="J317" s="6" t="s">
        <v>953</v>
      </c>
    </row>
    <row r="318">
      <c r="A318" s="6">
        <v>316.0</v>
      </c>
      <c r="B318" s="6" t="s">
        <v>1001</v>
      </c>
      <c r="C318" s="12" t="s">
        <v>2877</v>
      </c>
      <c r="D318" s="6" t="s">
        <v>2884</v>
      </c>
      <c r="E318" s="6" t="s">
        <v>3089</v>
      </c>
      <c r="F318" s="15" t="s">
        <v>4080</v>
      </c>
      <c r="G318" s="6" t="s">
        <v>4087</v>
      </c>
      <c r="H318" s="6" t="s">
        <v>100</v>
      </c>
      <c r="I318" s="6" t="s">
        <v>953</v>
      </c>
      <c r="J318" s="6" t="s">
        <v>953</v>
      </c>
    </row>
    <row r="319">
      <c r="A319" s="6">
        <v>317.0</v>
      </c>
      <c r="B319" s="6" t="s">
        <v>41</v>
      </c>
      <c r="C319" s="12" t="s">
        <v>2982</v>
      </c>
      <c r="D319" s="6" t="s">
        <v>2884</v>
      </c>
      <c r="E319" s="6" t="s">
        <v>2987</v>
      </c>
      <c r="F319" s="15" t="s">
        <v>4091</v>
      </c>
      <c r="G319" s="6" t="s">
        <v>4097</v>
      </c>
      <c r="H319" s="6" t="s">
        <v>100</v>
      </c>
      <c r="I319" s="6" t="s">
        <v>953</v>
      </c>
      <c r="J319" s="6" t="s">
        <v>953</v>
      </c>
    </row>
    <row r="320">
      <c r="A320" s="6">
        <v>318.0</v>
      </c>
      <c r="B320" s="6" t="s">
        <v>240</v>
      </c>
      <c r="C320" s="12" t="s">
        <v>2917</v>
      </c>
      <c r="D320" s="6" t="s">
        <v>2884</v>
      </c>
      <c r="E320" s="6" t="s">
        <v>2995</v>
      </c>
      <c r="F320" s="15" t="s">
        <v>4102</v>
      </c>
      <c r="G320" s="6" t="s">
        <v>4109</v>
      </c>
      <c r="H320" s="6" t="s">
        <v>100</v>
      </c>
      <c r="I320" s="6" t="s">
        <v>953</v>
      </c>
      <c r="J320" s="6" t="s">
        <v>953</v>
      </c>
    </row>
    <row r="321">
      <c r="A321" s="6">
        <v>319.0</v>
      </c>
      <c r="B321" s="6" t="s">
        <v>251</v>
      </c>
      <c r="C321" s="12" t="s">
        <v>2877</v>
      </c>
      <c r="D321" s="6" t="s">
        <v>2884</v>
      </c>
      <c r="E321" s="6" t="s">
        <v>3123</v>
      </c>
      <c r="F321" s="15" t="s">
        <v>4113</v>
      </c>
      <c r="G321" s="6" t="s">
        <v>4122</v>
      </c>
      <c r="H321" s="6" t="s">
        <v>100</v>
      </c>
      <c r="I321" s="6" t="s">
        <v>953</v>
      </c>
      <c r="J321" s="6" t="s">
        <v>953</v>
      </c>
    </row>
    <row r="322">
      <c r="A322" s="6">
        <v>320.0</v>
      </c>
      <c r="B322" s="6" t="s">
        <v>1001</v>
      </c>
      <c r="C322" s="12" t="s">
        <v>2877</v>
      </c>
      <c r="D322" s="6" t="s">
        <v>2884</v>
      </c>
      <c r="E322" s="6" t="s">
        <v>2885</v>
      </c>
      <c r="F322" s="15" t="s">
        <v>4125</v>
      </c>
      <c r="G322" s="6" t="s">
        <v>4132</v>
      </c>
      <c r="H322" s="6" t="s">
        <v>100</v>
      </c>
      <c r="I322" s="6" t="s">
        <v>953</v>
      </c>
      <c r="J322" s="6" t="s">
        <v>953</v>
      </c>
    </row>
    <row r="323">
      <c r="A323" s="6">
        <v>321.0</v>
      </c>
      <c r="B323" s="6" t="s">
        <v>41</v>
      </c>
      <c r="C323" s="12" t="s">
        <v>2982</v>
      </c>
      <c r="D323" s="6" t="s">
        <v>2884</v>
      </c>
      <c r="E323" s="6" t="s">
        <v>3024</v>
      </c>
      <c r="F323" s="15" t="s">
        <v>4137</v>
      </c>
      <c r="G323" s="6" t="s">
        <v>4143</v>
      </c>
      <c r="H323" s="6" t="s">
        <v>100</v>
      </c>
      <c r="I323" s="6" t="s">
        <v>953</v>
      </c>
      <c r="J323" s="6" t="s">
        <v>953</v>
      </c>
    </row>
    <row r="324">
      <c r="A324" s="6">
        <v>322.0</v>
      </c>
      <c r="B324" s="6" t="s">
        <v>3149</v>
      </c>
      <c r="C324" s="12" t="s">
        <v>3151</v>
      </c>
      <c r="D324" s="6" t="s">
        <v>2884</v>
      </c>
      <c r="E324" s="6" t="s">
        <v>3155</v>
      </c>
      <c r="F324" s="15" t="s">
        <v>4148</v>
      </c>
      <c r="G324" s="6" t="s">
        <v>4153</v>
      </c>
      <c r="H324" s="6" t="s">
        <v>100</v>
      </c>
      <c r="I324" s="6" t="s">
        <v>953</v>
      </c>
      <c r="J324" s="6" t="s">
        <v>953</v>
      </c>
    </row>
    <row r="325">
      <c r="A325" s="6">
        <v>323.0</v>
      </c>
      <c r="B325" s="6" t="s">
        <v>240</v>
      </c>
      <c r="C325" s="12" t="s">
        <v>2917</v>
      </c>
      <c r="D325" s="6" t="s">
        <v>2884</v>
      </c>
      <c r="E325" s="6" t="s">
        <v>2920</v>
      </c>
      <c r="F325" s="15" t="s">
        <v>4156</v>
      </c>
      <c r="G325" s="6" t="s">
        <v>4166</v>
      </c>
      <c r="H325" s="6" t="s">
        <v>100</v>
      </c>
      <c r="I325" s="6" t="s">
        <v>953</v>
      </c>
      <c r="J325" s="6" t="s">
        <v>953</v>
      </c>
    </row>
    <row r="326">
      <c r="A326" s="6">
        <v>324.0</v>
      </c>
      <c r="B326" s="6" t="s">
        <v>110</v>
      </c>
      <c r="C326" s="12" t="s">
        <v>2930</v>
      </c>
      <c r="D326" s="6" t="s">
        <v>2884</v>
      </c>
      <c r="E326" s="6" t="s">
        <v>2933</v>
      </c>
      <c r="F326" s="15" t="s">
        <v>4167</v>
      </c>
      <c r="G326" s="6" t="s">
        <v>4177</v>
      </c>
      <c r="H326" s="6" t="s">
        <v>100</v>
      </c>
      <c r="I326" s="6" t="s">
        <v>953</v>
      </c>
      <c r="J326" s="6" t="s">
        <v>953</v>
      </c>
    </row>
    <row r="327">
      <c r="A327" s="6">
        <v>325.0</v>
      </c>
      <c r="B327" s="6" t="s">
        <v>41</v>
      </c>
      <c r="C327" s="12" t="s">
        <v>2877</v>
      </c>
      <c r="D327" s="6" t="s">
        <v>2884</v>
      </c>
      <c r="E327" s="6" t="s">
        <v>2946</v>
      </c>
      <c r="F327" s="15" t="s">
        <v>4178</v>
      </c>
      <c r="G327" s="6" t="s">
        <v>4188</v>
      </c>
      <c r="H327" s="6" t="s">
        <v>100</v>
      </c>
      <c r="I327" s="6" t="s">
        <v>953</v>
      </c>
      <c r="J327" s="6" t="s">
        <v>953</v>
      </c>
    </row>
    <row r="328">
      <c r="A328" s="6">
        <v>326.0</v>
      </c>
      <c r="B328" s="6" t="s">
        <v>41</v>
      </c>
      <c r="C328" s="12" t="s">
        <v>2877</v>
      </c>
      <c r="D328" s="6" t="s">
        <v>2884</v>
      </c>
      <c r="E328" s="6" t="s">
        <v>2952</v>
      </c>
      <c r="F328" s="15" t="s">
        <v>4190</v>
      </c>
      <c r="G328" s="6" t="s">
        <v>4199</v>
      </c>
      <c r="H328" s="6" t="s">
        <v>100</v>
      </c>
      <c r="I328" s="6" t="s">
        <v>953</v>
      </c>
      <c r="J328" s="6" t="s">
        <v>953</v>
      </c>
    </row>
    <row r="329">
      <c r="A329" s="6">
        <v>327.0</v>
      </c>
      <c r="B329" s="6" t="s">
        <v>850</v>
      </c>
      <c r="C329" s="12" t="s">
        <v>3075</v>
      </c>
      <c r="D329" s="6" t="s">
        <v>2884</v>
      </c>
      <c r="E329" s="6" t="s">
        <v>3080</v>
      </c>
      <c r="F329" s="15" t="s">
        <v>4201</v>
      </c>
      <c r="G329" s="6" t="s">
        <v>4209</v>
      </c>
      <c r="H329" s="6" t="s">
        <v>100</v>
      </c>
      <c r="I329" s="6" t="s">
        <v>953</v>
      </c>
      <c r="J329" s="6" t="s">
        <v>953</v>
      </c>
    </row>
    <row r="330">
      <c r="A330" s="6">
        <v>328.0</v>
      </c>
      <c r="B330" s="6" t="s">
        <v>1001</v>
      </c>
      <c r="C330" s="12" t="s">
        <v>2877</v>
      </c>
      <c r="D330" s="6" t="s">
        <v>2884</v>
      </c>
      <c r="E330" s="6" t="s">
        <v>3089</v>
      </c>
      <c r="F330" s="15" t="s">
        <v>4210</v>
      </c>
      <c r="G330" s="6" t="s">
        <v>4220</v>
      </c>
      <c r="H330" s="6" t="s">
        <v>100</v>
      </c>
      <c r="I330" s="6" t="s">
        <v>953</v>
      </c>
      <c r="J330" s="6" t="s">
        <v>953</v>
      </c>
    </row>
    <row r="331">
      <c r="A331" s="6">
        <v>329.0</v>
      </c>
      <c r="B331" s="6" t="s">
        <v>41</v>
      </c>
      <c r="C331" s="12" t="s">
        <v>2982</v>
      </c>
      <c r="D331" s="6" t="s">
        <v>2884</v>
      </c>
      <c r="E331" s="6" t="s">
        <v>2987</v>
      </c>
      <c r="F331" s="15" t="s">
        <v>4221</v>
      </c>
      <c r="G331" s="6" t="s">
        <v>4228</v>
      </c>
      <c r="H331" s="6" t="s">
        <v>100</v>
      </c>
      <c r="I331" s="6" t="s">
        <v>953</v>
      </c>
      <c r="J331" s="6" t="s">
        <v>953</v>
      </c>
    </row>
    <row r="332">
      <c r="A332" s="6">
        <v>330.0</v>
      </c>
      <c r="B332" s="6" t="s">
        <v>240</v>
      </c>
      <c r="C332" s="12" t="s">
        <v>2917</v>
      </c>
      <c r="D332" s="6" t="s">
        <v>2884</v>
      </c>
      <c r="E332" s="6" t="s">
        <v>2995</v>
      </c>
      <c r="F332" s="15" t="s">
        <v>4231</v>
      </c>
      <c r="G332" s="6" t="s">
        <v>4238</v>
      </c>
      <c r="H332" s="6" t="s">
        <v>100</v>
      </c>
      <c r="I332" s="6" t="s">
        <v>953</v>
      </c>
      <c r="J332" s="6" t="s">
        <v>953</v>
      </c>
    </row>
    <row r="333">
      <c r="A333" s="6">
        <v>331.0</v>
      </c>
      <c r="B333" s="6" t="s">
        <v>251</v>
      </c>
      <c r="C333" s="12" t="s">
        <v>2877</v>
      </c>
      <c r="D333" s="6" t="s">
        <v>2884</v>
      </c>
      <c r="E333" s="6" t="s">
        <v>3123</v>
      </c>
      <c r="F333" s="15" t="s">
        <v>4241</v>
      </c>
      <c r="G333" s="6" t="s">
        <v>4247</v>
      </c>
      <c r="H333" s="6" t="s">
        <v>100</v>
      </c>
      <c r="I333" s="6" t="s">
        <v>953</v>
      </c>
      <c r="J333" s="6" t="s">
        <v>953</v>
      </c>
    </row>
    <row r="334">
      <c r="A334" s="6">
        <v>332.0</v>
      </c>
      <c r="B334" s="6" t="s">
        <v>1001</v>
      </c>
      <c r="C334" s="12" t="s">
        <v>2877</v>
      </c>
      <c r="D334" s="6" t="s">
        <v>2884</v>
      </c>
      <c r="E334" s="6" t="s">
        <v>2885</v>
      </c>
      <c r="F334" s="15" t="s">
        <v>4252</v>
      </c>
      <c r="G334" s="6" t="s">
        <v>4258</v>
      </c>
      <c r="H334" s="6" t="s">
        <v>100</v>
      </c>
      <c r="I334" s="6" t="s">
        <v>953</v>
      </c>
      <c r="J334" s="6" t="s">
        <v>953</v>
      </c>
    </row>
    <row r="335">
      <c r="A335" s="6">
        <v>333.0</v>
      </c>
      <c r="B335" s="6" t="s">
        <v>41</v>
      </c>
      <c r="C335" s="12" t="s">
        <v>2982</v>
      </c>
      <c r="D335" s="6" t="s">
        <v>2884</v>
      </c>
      <c r="E335" s="6" t="s">
        <v>3024</v>
      </c>
      <c r="F335" s="15" t="s">
        <v>4263</v>
      </c>
      <c r="G335" s="6" t="s">
        <v>4268</v>
      </c>
      <c r="H335" s="6" t="s">
        <v>100</v>
      </c>
      <c r="I335" s="6" t="s">
        <v>953</v>
      </c>
      <c r="J335" s="6" t="s">
        <v>953</v>
      </c>
    </row>
    <row r="336">
      <c r="A336" s="6">
        <v>334.0</v>
      </c>
      <c r="B336" s="6" t="s">
        <v>3149</v>
      </c>
      <c r="C336" s="12" t="s">
        <v>3151</v>
      </c>
      <c r="D336" s="6" t="s">
        <v>2884</v>
      </c>
      <c r="E336" s="6" t="s">
        <v>3155</v>
      </c>
      <c r="F336" s="15" t="s">
        <v>4273</v>
      </c>
      <c r="G336" s="6" t="s">
        <v>4278</v>
      </c>
      <c r="H336" s="6" t="s">
        <v>100</v>
      </c>
      <c r="I336" s="6" t="s">
        <v>953</v>
      </c>
      <c r="J336" s="6" t="s">
        <v>953</v>
      </c>
    </row>
    <row r="337">
      <c r="A337" s="6">
        <v>335.0</v>
      </c>
      <c r="B337" s="6" t="s">
        <v>240</v>
      </c>
      <c r="C337" s="12" t="s">
        <v>2917</v>
      </c>
      <c r="D337" s="6" t="s">
        <v>2884</v>
      </c>
      <c r="E337" s="6" t="s">
        <v>2920</v>
      </c>
      <c r="F337" s="15" t="s">
        <v>4279</v>
      </c>
      <c r="G337" s="6" t="s">
        <v>4285</v>
      </c>
      <c r="H337" s="6" t="s">
        <v>100</v>
      </c>
      <c r="I337" s="6" t="s">
        <v>953</v>
      </c>
      <c r="J337" s="6" t="s">
        <v>953</v>
      </c>
    </row>
    <row r="338">
      <c r="A338" s="6">
        <v>336.0</v>
      </c>
      <c r="B338" s="6" t="s">
        <v>110</v>
      </c>
      <c r="C338" s="12" t="s">
        <v>2930</v>
      </c>
      <c r="D338" s="6" t="s">
        <v>2884</v>
      </c>
      <c r="E338" s="6" t="s">
        <v>2933</v>
      </c>
      <c r="F338" s="15" t="s">
        <v>4290</v>
      </c>
      <c r="G338" s="6" t="s">
        <v>4296</v>
      </c>
      <c r="H338" s="6" t="s">
        <v>100</v>
      </c>
      <c r="I338" s="6" t="s">
        <v>953</v>
      </c>
      <c r="J338" s="6" t="s">
        <v>953</v>
      </c>
    </row>
    <row r="339">
      <c r="A339" s="6">
        <v>337.0</v>
      </c>
      <c r="B339" s="6" t="s">
        <v>41</v>
      </c>
      <c r="C339" s="12" t="s">
        <v>2877</v>
      </c>
      <c r="D339" s="6" t="s">
        <v>2884</v>
      </c>
      <c r="E339" s="6" t="s">
        <v>2946</v>
      </c>
      <c r="F339" s="15" t="s">
        <v>4297</v>
      </c>
      <c r="G339" s="6" t="s">
        <v>4302</v>
      </c>
      <c r="H339" s="6" t="s">
        <v>100</v>
      </c>
      <c r="I339" s="6" t="s">
        <v>953</v>
      </c>
      <c r="J339" s="6" t="s">
        <v>953</v>
      </c>
    </row>
    <row r="340">
      <c r="A340" s="6">
        <v>338.0</v>
      </c>
      <c r="B340" s="6" t="s">
        <v>41</v>
      </c>
      <c r="C340" s="12" t="s">
        <v>2877</v>
      </c>
      <c r="D340" s="6" t="s">
        <v>2884</v>
      </c>
      <c r="E340" s="6" t="s">
        <v>2952</v>
      </c>
      <c r="F340" s="15" t="s">
        <v>4303</v>
      </c>
      <c r="G340" s="6" t="s">
        <v>4313</v>
      </c>
      <c r="H340" s="6" t="s">
        <v>100</v>
      </c>
      <c r="I340" s="6" t="s">
        <v>953</v>
      </c>
      <c r="J340" s="6" t="s">
        <v>953</v>
      </c>
    </row>
    <row r="341">
      <c r="A341" s="6">
        <v>339.0</v>
      </c>
      <c r="B341" s="6" t="s">
        <v>850</v>
      </c>
      <c r="C341" s="12" t="s">
        <v>3075</v>
      </c>
      <c r="D341" s="6" t="s">
        <v>2884</v>
      </c>
      <c r="E341" s="6" t="s">
        <v>3080</v>
      </c>
      <c r="F341" s="15" t="s">
        <v>4318</v>
      </c>
      <c r="G341" s="6" t="s">
        <v>4324</v>
      </c>
      <c r="H341" s="6" t="s">
        <v>100</v>
      </c>
      <c r="I341" s="6" t="s">
        <v>953</v>
      </c>
      <c r="J341" s="6" t="s">
        <v>953</v>
      </c>
    </row>
    <row r="342">
      <c r="A342" s="6">
        <v>340.0</v>
      </c>
      <c r="B342" s="6" t="s">
        <v>1001</v>
      </c>
      <c r="C342" s="12" t="s">
        <v>2877</v>
      </c>
      <c r="D342" s="6" t="s">
        <v>2884</v>
      </c>
      <c r="E342" s="6" t="s">
        <v>3089</v>
      </c>
      <c r="F342" s="15" t="s">
        <v>4325</v>
      </c>
      <c r="G342" s="6" t="s">
        <v>4329</v>
      </c>
      <c r="H342" s="6" t="s">
        <v>100</v>
      </c>
      <c r="I342" s="6" t="s">
        <v>953</v>
      </c>
      <c r="J342" s="6" t="s">
        <v>953</v>
      </c>
    </row>
    <row r="343">
      <c r="A343" s="6">
        <v>341.0</v>
      </c>
      <c r="B343" s="6" t="s">
        <v>41</v>
      </c>
      <c r="C343" s="12" t="s">
        <v>2982</v>
      </c>
      <c r="D343" s="6" t="s">
        <v>2884</v>
      </c>
      <c r="E343" s="6" t="s">
        <v>2987</v>
      </c>
      <c r="F343" s="15" t="s">
        <v>4333</v>
      </c>
      <c r="G343" s="6" t="s">
        <v>4341</v>
      </c>
      <c r="H343" s="6" t="s">
        <v>100</v>
      </c>
      <c r="I343" s="6" t="s">
        <v>953</v>
      </c>
      <c r="J343" s="6" t="s">
        <v>953</v>
      </c>
    </row>
    <row r="344">
      <c r="A344" s="6">
        <v>342.0</v>
      </c>
      <c r="B344" s="6" t="s">
        <v>240</v>
      </c>
      <c r="C344" s="12" t="s">
        <v>2917</v>
      </c>
      <c r="D344" s="6" t="s">
        <v>2884</v>
      </c>
      <c r="E344" s="6" t="s">
        <v>2995</v>
      </c>
      <c r="F344" s="15" t="s">
        <v>4342</v>
      </c>
      <c r="G344" s="6" t="s">
        <v>4350</v>
      </c>
      <c r="H344" s="6" t="s">
        <v>100</v>
      </c>
      <c r="I344" s="6" t="s">
        <v>953</v>
      </c>
      <c r="J344" s="6" t="s">
        <v>953</v>
      </c>
    </row>
    <row r="345">
      <c r="A345" s="6">
        <v>343.0</v>
      </c>
      <c r="B345" s="6" t="s">
        <v>251</v>
      </c>
      <c r="C345" s="12" t="s">
        <v>2877</v>
      </c>
      <c r="D345" s="6" t="s">
        <v>2884</v>
      </c>
      <c r="E345" s="6" t="s">
        <v>3123</v>
      </c>
      <c r="F345" s="15" t="s">
        <v>4352</v>
      </c>
      <c r="G345" s="6" t="s">
        <v>4363</v>
      </c>
      <c r="H345" s="6" t="s">
        <v>100</v>
      </c>
      <c r="I345" s="6" t="s">
        <v>953</v>
      </c>
      <c r="J345" s="6" t="s">
        <v>953</v>
      </c>
    </row>
    <row r="346">
      <c r="A346" s="6">
        <v>344.0</v>
      </c>
      <c r="B346" s="6" t="s">
        <v>1001</v>
      </c>
      <c r="C346" s="12" t="s">
        <v>2877</v>
      </c>
      <c r="D346" s="6" t="s">
        <v>2884</v>
      </c>
      <c r="E346" s="6" t="s">
        <v>2885</v>
      </c>
      <c r="F346" s="15" t="s">
        <v>4365</v>
      </c>
      <c r="G346" s="6" t="s">
        <v>4370</v>
      </c>
      <c r="H346" s="6" t="s">
        <v>100</v>
      </c>
      <c r="I346" s="6" t="s">
        <v>953</v>
      </c>
      <c r="J346" s="6" t="s">
        <v>953</v>
      </c>
    </row>
    <row r="347">
      <c r="A347" s="6">
        <v>345.0</v>
      </c>
      <c r="B347" s="6" t="s">
        <v>41</v>
      </c>
      <c r="C347" s="12" t="s">
        <v>2982</v>
      </c>
      <c r="D347" s="6" t="s">
        <v>2884</v>
      </c>
      <c r="E347" s="6" t="s">
        <v>3671</v>
      </c>
      <c r="F347" s="15" t="s">
        <v>4372</v>
      </c>
      <c r="G347" s="6" t="s">
        <v>4386</v>
      </c>
      <c r="H347" s="6" t="s">
        <v>340</v>
      </c>
      <c r="I347" s="6" t="s">
        <v>953</v>
      </c>
      <c r="J347" s="6" t="s">
        <v>953</v>
      </c>
    </row>
    <row r="348">
      <c r="A348" s="6">
        <v>346.0</v>
      </c>
      <c r="B348" s="6" t="s">
        <v>41</v>
      </c>
      <c r="C348" s="12" t="s">
        <v>2877</v>
      </c>
      <c r="D348" s="6" t="s">
        <v>2884</v>
      </c>
      <c r="E348" s="6" t="s">
        <v>3423</v>
      </c>
      <c r="F348" s="15" t="s">
        <v>4387</v>
      </c>
      <c r="G348" s="6" t="s">
        <v>4394</v>
      </c>
      <c r="H348" s="6" t="s">
        <v>340</v>
      </c>
      <c r="I348" s="6" t="s">
        <v>953</v>
      </c>
      <c r="J348" s="6" t="s">
        <v>953</v>
      </c>
    </row>
    <row r="349">
      <c r="A349" s="6">
        <v>347.0</v>
      </c>
      <c r="B349" s="6" t="s">
        <v>240</v>
      </c>
      <c r="C349" s="12" t="s">
        <v>2917</v>
      </c>
      <c r="D349" s="6" t="s">
        <v>2884</v>
      </c>
      <c r="E349" s="6" t="s">
        <v>2920</v>
      </c>
      <c r="F349" s="15" t="s">
        <v>4397</v>
      </c>
      <c r="G349" s="6" t="s">
        <v>4403</v>
      </c>
      <c r="H349" s="6" t="s">
        <v>100</v>
      </c>
      <c r="I349" s="6" t="s">
        <v>953</v>
      </c>
      <c r="J349" s="6" t="s">
        <v>953</v>
      </c>
    </row>
    <row r="350">
      <c r="A350" s="6">
        <v>348.0</v>
      </c>
      <c r="B350" s="6" t="s">
        <v>110</v>
      </c>
      <c r="C350" s="12" t="s">
        <v>2930</v>
      </c>
      <c r="D350" s="6" t="s">
        <v>2884</v>
      </c>
      <c r="E350" s="6" t="s">
        <v>2933</v>
      </c>
      <c r="F350" s="15" t="s">
        <v>4408</v>
      </c>
      <c r="G350" s="6" t="s">
        <v>4414</v>
      </c>
      <c r="H350" s="6" t="s">
        <v>100</v>
      </c>
      <c r="I350" s="6" t="s">
        <v>953</v>
      </c>
      <c r="J350" s="6" t="s">
        <v>953</v>
      </c>
    </row>
    <row r="351">
      <c r="A351" s="6">
        <v>349.0</v>
      </c>
      <c r="B351" s="6" t="s">
        <v>41</v>
      </c>
      <c r="C351" s="12" t="s">
        <v>2877</v>
      </c>
      <c r="D351" s="6" t="s">
        <v>2884</v>
      </c>
      <c r="E351" s="6" t="s">
        <v>2946</v>
      </c>
      <c r="F351" s="15" t="s">
        <v>4419</v>
      </c>
      <c r="G351" s="6" t="s">
        <v>4425</v>
      </c>
      <c r="H351" s="6" t="s">
        <v>100</v>
      </c>
      <c r="I351" s="6" t="s">
        <v>953</v>
      </c>
      <c r="J351" s="6" t="s">
        <v>953</v>
      </c>
    </row>
    <row r="352">
      <c r="A352" s="6">
        <v>350.0</v>
      </c>
      <c r="B352" s="6" t="s">
        <v>41</v>
      </c>
      <c r="C352" s="12" t="s">
        <v>2877</v>
      </c>
      <c r="D352" s="6" t="s">
        <v>2884</v>
      </c>
      <c r="E352" s="6" t="s">
        <v>2952</v>
      </c>
      <c r="F352" s="15" t="s">
        <v>4430</v>
      </c>
      <c r="G352" s="6" t="s">
        <v>4437</v>
      </c>
      <c r="H352" s="6" t="s">
        <v>100</v>
      </c>
      <c r="I352" s="6" t="s">
        <v>953</v>
      </c>
      <c r="J352" s="6" t="s">
        <v>953</v>
      </c>
    </row>
    <row r="353">
      <c r="A353" s="6">
        <v>351.0</v>
      </c>
      <c r="B353" s="6" t="s">
        <v>850</v>
      </c>
      <c r="C353" s="12" t="s">
        <v>3075</v>
      </c>
      <c r="D353" s="6" t="s">
        <v>2884</v>
      </c>
      <c r="E353" s="6" t="s">
        <v>3080</v>
      </c>
      <c r="F353" s="15" t="s">
        <v>4438</v>
      </c>
      <c r="G353" s="6" t="s">
        <v>4449</v>
      </c>
      <c r="H353" s="6" t="s">
        <v>100</v>
      </c>
      <c r="I353" s="6" t="s">
        <v>953</v>
      </c>
      <c r="J353" s="6" t="s">
        <v>953</v>
      </c>
    </row>
    <row r="354">
      <c r="A354" s="6">
        <v>352.0</v>
      </c>
      <c r="B354" s="6" t="s">
        <v>1001</v>
      </c>
      <c r="C354" s="12" t="s">
        <v>2877</v>
      </c>
      <c r="D354" s="6" t="s">
        <v>2884</v>
      </c>
      <c r="E354" s="6" t="s">
        <v>3089</v>
      </c>
      <c r="F354" s="15" t="s">
        <v>4451</v>
      </c>
      <c r="G354" s="6" t="s">
        <v>4456</v>
      </c>
      <c r="H354" s="6" t="s">
        <v>100</v>
      </c>
      <c r="I354" s="6" t="s">
        <v>953</v>
      </c>
      <c r="J354" s="6" t="s">
        <v>953</v>
      </c>
    </row>
    <row r="355">
      <c r="A355" s="6">
        <v>353.0</v>
      </c>
      <c r="B355" s="6" t="s">
        <v>41</v>
      </c>
      <c r="C355" s="12" t="s">
        <v>2982</v>
      </c>
      <c r="D355" s="6" t="s">
        <v>2884</v>
      </c>
      <c r="E355" s="6" t="s">
        <v>2987</v>
      </c>
      <c r="F355" s="15" t="s">
        <v>4462</v>
      </c>
      <c r="G355" s="6" t="s">
        <v>4466</v>
      </c>
      <c r="H355" s="6" t="s">
        <v>100</v>
      </c>
      <c r="I355" s="6" t="s">
        <v>953</v>
      </c>
      <c r="J355" s="6" t="s">
        <v>953</v>
      </c>
    </row>
    <row r="356">
      <c r="A356" s="6">
        <v>354.0</v>
      </c>
      <c r="B356" s="6" t="s">
        <v>240</v>
      </c>
      <c r="C356" s="12" t="s">
        <v>2917</v>
      </c>
      <c r="D356" s="6" t="s">
        <v>2884</v>
      </c>
      <c r="E356" s="6" t="s">
        <v>2995</v>
      </c>
      <c r="F356" s="15" t="s">
        <v>4467</v>
      </c>
      <c r="G356" s="6" t="s">
        <v>4473</v>
      </c>
      <c r="H356" s="6" t="s">
        <v>100</v>
      </c>
      <c r="I356" s="6" t="s">
        <v>953</v>
      </c>
      <c r="J356" s="6" t="s">
        <v>953</v>
      </c>
    </row>
    <row r="357">
      <c r="A357" s="6">
        <v>355.0</v>
      </c>
      <c r="B357" s="6" t="s">
        <v>251</v>
      </c>
      <c r="C357" s="12" t="s">
        <v>2877</v>
      </c>
      <c r="D357" s="6" t="s">
        <v>2884</v>
      </c>
      <c r="E357" s="6" t="s">
        <v>3123</v>
      </c>
      <c r="F357" s="15" t="s">
        <v>4477</v>
      </c>
      <c r="G357" s="6" t="s">
        <v>4482</v>
      </c>
      <c r="H357" s="6" t="s">
        <v>100</v>
      </c>
      <c r="I357" s="6" t="s">
        <v>953</v>
      </c>
      <c r="J357" s="6" t="s">
        <v>953</v>
      </c>
    </row>
    <row r="358">
      <c r="A358" s="6">
        <v>356.0</v>
      </c>
      <c r="B358" s="6" t="s">
        <v>1001</v>
      </c>
      <c r="C358" s="12" t="s">
        <v>2877</v>
      </c>
      <c r="D358" s="6" t="s">
        <v>2884</v>
      </c>
      <c r="E358" s="6" t="s">
        <v>2885</v>
      </c>
      <c r="F358" s="15" t="s">
        <v>4486</v>
      </c>
      <c r="G358" s="6" t="s">
        <v>4491</v>
      </c>
      <c r="H358" s="6" t="s">
        <v>100</v>
      </c>
      <c r="I358" s="6" t="s">
        <v>953</v>
      </c>
      <c r="J358" s="6" t="s">
        <v>953</v>
      </c>
    </row>
    <row r="359">
      <c r="A359" s="6">
        <v>357.0</v>
      </c>
      <c r="B359" s="6" t="s">
        <v>41</v>
      </c>
      <c r="C359" s="12" t="s">
        <v>2982</v>
      </c>
      <c r="D359" s="6" t="s">
        <v>2884</v>
      </c>
      <c r="E359" s="6" t="s">
        <v>3024</v>
      </c>
      <c r="F359" s="15" t="s">
        <v>4494</v>
      </c>
      <c r="G359" s="6" t="s">
        <v>4503</v>
      </c>
      <c r="H359" s="6" t="s">
        <v>100</v>
      </c>
      <c r="I359" s="6" t="s">
        <v>953</v>
      </c>
      <c r="J359" s="6" t="s">
        <v>953</v>
      </c>
    </row>
    <row r="360">
      <c r="A360" s="6">
        <v>358.0</v>
      </c>
      <c r="B360" s="6" t="s">
        <v>3149</v>
      </c>
      <c r="C360" s="12" t="s">
        <v>3151</v>
      </c>
      <c r="D360" s="6" t="s">
        <v>2884</v>
      </c>
      <c r="E360" s="6" t="s">
        <v>3155</v>
      </c>
      <c r="F360" s="15" t="s">
        <v>4505</v>
      </c>
      <c r="G360" s="6" t="s">
        <v>4514</v>
      </c>
      <c r="H360" s="6" t="s">
        <v>100</v>
      </c>
      <c r="I360" s="6" t="s">
        <v>953</v>
      </c>
      <c r="J360" s="6" t="s">
        <v>953</v>
      </c>
    </row>
    <row r="361">
      <c r="A361" s="6">
        <v>359.0</v>
      </c>
      <c r="B361" s="6" t="s">
        <v>240</v>
      </c>
      <c r="C361" s="12" t="s">
        <v>2917</v>
      </c>
      <c r="D361" s="6" t="s">
        <v>2884</v>
      </c>
      <c r="E361" s="6" t="s">
        <v>2920</v>
      </c>
      <c r="F361" s="15" t="s">
        <v>4515</v>
      </c>
      <c r="G361" s="6" t="s">
        <v>4525</v>
      </c>
      <c r="H361" s="6" t="s">
        <v>100</v>
      </c>
      <c r="I361" s="6" t="s">
        <v>953</v>
      </c>
      <c r="J361" s="6" t="s">
        <v>953</v>
      </c>
    </row>
    <row r="362">
      <c r="A362" s="6">
        <v>360.0</v>
      </c>
      <c r="B362" s="6" t="s">
        <v>110</v>
      </c>
      <c r="C362" s="12" t="s">
        <v>2930</v>
      </c>
      <c r="D362" s="6" t="s">
        <v>2884</v>
      </c>
      <c r="E362" s="6" t="s">
        <v>2933</v>
      </c>
      <c r="F362" s="15" t="s">
        <v>4527</v>
      </c>
      <c r="G362" s="6" t="s">
        <v>4536</v>
      </c>
      <c r="H362" s="6" t="s">
        <v>100</v>
      </c>
      <c r="I362" s="6" t="s">
        <v>953</v>
      </c>
      <c r="J362" s="6" t="s">
        <v>953</v>
      </c>
    </row>
    <row r="363">
      <c r="A363" s="6">
        <v>361.0</v>
      </c>
      <c r="B363" s="6" t="s">
        <v>41</v>
      </c>
      <c r="C363" s="12" t="s">
        <v>2877</v>
      </c>
      <c r="D363" s="6" t="s">
        <v>2884</v>
      </c>
      <c r="E363" s="6" t="s">
        <v>2946</v>
      </c>
      <c r="F363" s="15" t="s">
        <v>4537</v>
      </c>
      <c r="G363" s="6" t="s">
        <v>4542</v>
      </c>
      <c r="H363" s="6" t="s">
        <v>100</v>
      </c>
      <c r="I363" s="6" t="s">
        <v>953</v>
      </c>
      <c r="J363" s="6" t="s">
        <v>953</v>
      </c>
    </row>
    <row r="364">
      <c r="A364" s="6">
        <v>362.0</v>
      </c>
      <c r="B364" s="6" t="s">
        <v>41</v>
      </c>
      <c r="C364" s="12" t="s">
        <v>2877</v>
      </c>
      <c r="D364" s="6" t="s">
        <v>2884</v>
      </c>
      <c r="E364" s="6" t="s">
        <v>2952</v>
      </c>
      <c r="F364" s="15" t="s">
        <v>4547</v>
      </c>
      <c r="G364" s="6" t="s">
        <v>4553</v>
      </c>
      <c r="H364" s="6" t="s">
        <v>100</v>
      </c>
      <c r="I364" s="6" t="s">
        <v>953</v>
      </c>
      <c r="J364" s="6" t="s">
        <v>953</v>
      </c>
    </row>
    <row r="365">
      <c r="A365" s="6">
        <v>363.0</v>
      </c>
      <c r="B365" s="6" t="s">
        <v>850</v>
      </c>
      <c r="C365" s="12" t="s">
        <v>3075</v>
      </c>
      <c r="D365" s="6" t="s">
        <v>2884</v>
      </c>
      <c r="E365" s="6" t="s">
        <v>3080</v>
      </c>
      <c r="F365" s="15" t="s">
        <v>4554</v>
      </c>
      <c r="G365" s="6" t="s">
        <v>4565</v>
      </c>
      <c r="H365" s="6" t="s">
        <v>100</v>
      </c>
      <c r="I365" s="6" t="s">
        <v>953</v>
      </c>
      <c r="J365" s="6" t="s">
        <v>953</v>
      </c>
    </row>
    <row r="366">
      <c r="A366" s="6">
        <v>364.0</v>
      </c>
      <c r="B366" s="6" t="s">
        <v>1001</v>
      </c>
      <c r="C366" s="12" t="s">
        <v>2877</v>
      </c>
      <c r="D366" s="6" t="s">
        <v>2884</v>
      </c>
      <c r="E366" s="6" t="s">
        <v>3089</v>
      </c>
      <c r="F366" s="15" t="s">
        <v>4567</v>
      </c>
      <c r="G366" s="6" t="s">
        <v>4576</v>
      </c>
      <c r="H366" s="6" t="s">
        <v>100</v>
      </c>
      <c r="I366" s="6" t="s">
        <v>953</v>
      </c>
      <c r="J366" s="6" t="s">
        <v>953</v>
      </c>
    </row>
    <row r="367">
      <c r="A367" s="6">
        <v>365.0</v>
      </c>
      <c r="B367" s="6" t="s">
        <v>41</v>
      </c>
      <c r="C367" s="12" t="s">
        <v>2982</v>
      </c>
      <c r="D367" s="6" t="s">
        <v>2884</v>
      </c>
      <c r="E367" s="6" t="s">
        <v>2987</v>
      </c>
      <c r="F367" s="15" t="s">
        <v>4579</v>
      </c>
      <c r="G367" s="6" t="s">
        <v>4584</v>
      </c>
      <c r="H367" s="6" t="s">
        <v>100</v>
      </c>
      <c r="I367" s="6" t="s">
        <v>953</v>
      </c>
      <c r="J367" s="6" t="s">
        <v>953</v>
      </c>
    </row>
    <row r="368">
      <c r="A368" s="6">
        <v>366.0</v>
      </c>
      <c r="B368" s="6" t="s">
        <v>240</v>
      </c>
      <c r="C368" s="12" t="s">
        <v>2917</v>
      </c>
      <c r="D368" s="6" t="s">
        <v>2884</v>
      </c>
      <c r="E368" s="6" t="s">
        <v>2995</v>
      </c>
      <c r="F368" s="15" t="s">
        <v>4585</v>
      </c>
      <c r="G368" s="6" t="s">
        <v>4591</v>
      </c>
      <c r="H368" s="6" t="s">
        <v>100</v>
      </c>
      <c r="I368" s="6" t="s">
        <v>953</v>
      </c>
      <c r="J368" s="6" t="s">
        <v>953</v>
      </c>
    </row>
    <row r="369">
      <c r="A369" s="6">
        <v>367.0</v>
      </c>
      <c r="B369" s="6" t="s">
        <v>251</v>
      </c>
      <c r="C369" s="12" t="s">
        <v>2877</v>
      </c>
      <c r="D369" s="6" t="s">
        <v>2884</v>
      </c>
      <c r="E369" s="6" t="s">
        <v>3123</v>
      </c>
      <c r="F369" s="15" t="s">
        <v>4592</v>
      </c>
      <c r="G369" s="6" t="s">
        <v>4597</v>
      </c>
      <c r="H369" s="6" t="s">
        <v>100</v>
      </c>
      <c r="I369" s="6" t="s">
        <v>953</v>
      </c>
      <c r="J369" s="6" t="s">
        <v>953</v>
      </c>
    </row>
    <row r="370">
      <c r="A370" s="6">
        <v>368.0</v>
      </c>
      <c r="B370" s="6" t="s">
        <v>1001</v>
      </c>
      <c r="C370" s="12" t="s">
        <v>2877</v>
      </c>
      <c r="D370" s="6" t="s">
        <v>2884</v>
      </c>
      <c r="E370" s="6" t="s">
        <v>2885</v>
      </c>
      <c r="F370" s="15" t="s">
        <v>4602</v>
      </c>
      <c r="G370" s="6" t="s">
        <v>4608</v>
      </c>
      <c r="H370" s="6" t="s">
        <v>100</v>
      </c>
      <c r="I370" s="6" t="s">
        <v>953</v>
      </c>
      <c r="J370" s="6" t="s">
        <v>953</v>
      </c>
    </row>
    <row r="371">
      <c r="A371" s="6">
        <v>369.0</v>
      </c>
      <c r="B371" s="6" t="s">
        <v>41</v>
      </c>
      <c r="C371" s="12" t="s">
        <v>2982</v>
      </c>
      <c r="D371" s="6" t="s">
        <v>2884</v>
      </c>
      <c r="E371" s="6" t="s">
        <v>3024</v>
      </c>
      <c r="F371" s="15" t="s">
        <v>4609</v>
      </c>
      <c r="G371" s="6" t="s">
        <v>4614</v>
      </c>
      <c r="H371" s="6" t="s">
        <v>100</v>
      </c>
      <c r="I371" s="6" t="s">
        <v>953</v>
      </c>
      <c r="J371" s="6" t="s">
        <v>953</v>
      </c>
    </row>
    <row r="372">
      <c r="A372" s="6">
        <v>370.0</v>
      </c>
      <c r="B372" s="6" t="s">
        <v>3149</v>
      </c>
      <c r="C372" s="12" t="s">
        <v>3151</v>
      </c>
      <c r="D372" s="6" t="s">
        <v>2884</v>
      </c>
      <c r="E372" s="6" t="s">
        <v>3155</v>
      </c>
      <c r="F372" s="15" t="s">
        <v>4615</v>
      </c>
      <c r="G372" s="6" t="s">
        <v>4624</v>
      </c>
      <c r="H372" s="6" t="s">
        <v>100</v>
      </c>
      <c r="I372" s="6" t="s">
        <v>953</v>
      </c>
      <c r="J372" s="6" t="s">
        <v>953</v>
      </c>
    </row>
    <row r="373">
      <c r="A373" s="6">
        <v>371.0</v>
      </c>
      <c r="B373" s="6" t="s">
        <v>240</v>
      </c>
      <c r="C373" s="12" t="s">
        <v>2917</v>
      </c>
      <c r="D373" s="6" t="s">
        <v>2884</v>
      </c>
      <c r="E373" s="6" t="s">
        <v>2920</v>
      </c>
      <c r="F373" s="15" t="s">
        <v>4626</v>
      </c>
      <c r="G373" s="6" t="s">
        <v>4631</v>
      </c>
      <c r="H373" s="6" t="s">
        <v>100</v>
      </c>
      <c r="I373" s="6" t="s">
        <v>953</v>
      </c>
      <c r="J373" s="6" t="s">
        <v>953</v>
      </c>
    </row>
    <row r="374">
      <c r="A374" s="6">
        <v>372.0</v>
      </c>
      <c r="B374" s="6" t="s">
        <v>110</v>
      </c>
      <c r="C374" s="12" t="s">
        <v>2930</v>
      </c>
      <c r="D374" s="6" t="s">
        <v>2884</v>
      </c>
      <c r="E374" s="6" t="s">
        <v>2933</v>
      </c>
      <c r="F374" s="15" t="s">
        <v>4633</v>
      </c>
      <c r="G374" s="6" t="s">
        <v>4641</v>
      </c>
      <c r="H374" s="6" t="s">
        <v>100</v>
      </c>
      <c r="I374" s="6" t="s">
        <v>953</v>
      </c>
      <c r="J374" s="6" t="s">
        <v>953</v>
      </c>
    </row>
    <row r="375">
      <c r="A375" s="6">
        <v>373.0</v>
      </c>
      <c r="B375" s="6" t="s">
        <v>41</v>
      </c>
      <c r="C375" s="12" t="s">
        <v>2877</v>
      </c>
      <c r="D375" s="6" t="s">
        <v>2884</v>
      </c>
      <c r="E375" s="6" t="s">
        <v>2946</v>
      </c>
      <c r="F375" s="15" t="s">
        <v>4645</v>
      </c>
      <c r="G375" s="6" t="s">
        <v>4652</v>
      </c>
      <c r="H375" s="6" t="s">
        <v>100</v>
      </c>
      <c r="I375" s="6" t="s">
        <v>953</v>
      </c>
      <c r="J375" s="6" t="s">
        <v>953</v>
      </c>
    </row>
    <row r="376">
      <c r="A376" s="6">
        <v>374.0</v>
      </c>
      <c r="B376" s="6" t="s">
        <v>41</v>
      </c>
      <c r="C376" s="12" t="s">
        <v>2877</v>
      </c>
      <c r="D376" s="6" t="s">
        <v>2884</v>
      </c>
      <c r="E376" s="6" t="s">
        <v>2952</v>
      </c>
      <c r="F376" s="15" t="s">
        <v>4654</v>
      </c>
      <c r="G376" s="6" t="s">
        <v>4665</v>
      </c>
      <c r="H376" s="6" t="s">
        <v>100</v>
      </c>
      <c r="I376" s="6" t="s">
        <v>953</v>
      </c>
      <c r="J376" s="6" t="s">
        <v>953</v>
      </c>
    </row>
    <row r="377">
      <c r="A377" s="6">
        <v>375.0</v>
      </c>
      <c r="B377" s="6" t="s">
        <v>850</v>
      </c>
      <c r="C377" s="12" t="s">
        <v>3075</v>
      </c>
      <c r="D377" s="6" t="s">
        <v>2884</v>
      </c>
      <c r="E377" s="6" t="s">
        <v>3080</v>
      </c>
      <c r="F377" s="15" t="s">
        <v>4666</v>
      </c>
      <c r="G377" s="6" t="s">
        <v>4675</v>
      </c>
      <c r="H377" s="6" t="s">
        <v>100</v>
      </c>
      <c r="I377" s="6" t="s">
        <v>953</v>
      </c>
      <c r="J377" s="6" t="s">
        <v>953</v>
      </c>
    </row>
    <row r="378">
      <c r="A378" s="6">
        <v>376.0</v>
      </c>
      <c r="B378" s="6" t="s">
        <v>1001</v>
      </c>
      <c r="C378" s="12" t="s">
        <v>2877</v>
      </c>
      <c r="D378" s="6" t="s">
        <v>2884</v>
      </c>
      <c r="E378" s="6" t="s">
        <v>3089</v>
      </c>
      <c r="F378" s="15" t="s">
        <v>4677</v>
      </c>
      <c r="G378" s="6" t="s">
        <v>4683</v>
      </c>
      <c r="H378" s="6" t="s">
        <v>100</v>
      </c>
      <c r="I378" s="6" t="s">
        <v>953</v>
      </c>
      <c r="J378" s="6" t="s">
        <v>953</v>
      </c>
    </row>
    <row r="379">
      <c r="A379" s="6">
        <v>377.0</v>
      </c>
      <c r="B379" s="6" t="s">
        <v>41</v>
      </c>
      <c r="C379" s="12" t="s">
        <v>2982</v>
      </c>
      <c r="D379" s="6" t="s">
        <v>2884</v>
      </c>
      <c r="E379" s="6" t="s">
        <v>2987</v>
      </c>
      <c r="F379" s="15" t="s">
        <v>4684</v>
      </c>
      <c r="G379" s="6" t="s">
        <v>4694</v>
      </c>
      <c r="H379" s="6" t="s">
        <v>100</v>
      </c>
      <c r="I379" s="6" t="s">
        <v>953</v>
      </c>
      <c r="J379" s="6" t="s">
        <v>953</v>
      </c>
    </row>
    <row r="380">
      <c r="A380" s="6">
        <v>378.0</v>
      </c>
      <c r="B380" s="6" t="s">
        <v>240</v>
      </c>
      <c r="C380" s="12" t="s">
        <v>2917</v>
      </c>
      <c r="D380" s="6" t="s">
        <v>2884</v>
      </c>
      <c r="E380" s="6" t="s">
        <v>2995</v>
      </c>
      <c r="F380" s="15" t="s">
        <v>4697</v>
      </c>
      <c r="G380" s="6" t="s">
        <v>4707</v>
      </c>
      <c r="H380" s="6" t="s">
        <v>100</v>
      </c>
      <c r="I380" s="6" t="s">
        <v>953</v>
      </c>
      <c r="J380" s="6" t="s">
        <v>953</v>
      </c>
    </row>
    <row r="381">
      <c r="A381" s="6">
        <v>379.0</v>
      </c>
      <c r="B381" s="6" t="s">
        <v>251</v>
      </c>
      <c r="C381" s="12" t="s">
        <v>2877</v>
      </c>
      <c r="D381" s="6" t="s">
        <v>2884</v>
      </c>
      <c r="E381" s="6" t="s">
        <v>3123</v>
      </c>
      <c r="F381" s="15" t="s">
        <v>4708</v>
      </c>
      <c r="G381" s="6" t="s">
        <v>4716</v>
      </c>
      <c r="H381" s="6" t="s">
        <v>100</v>
      </c>
      <c r="I381" s="6" t="s">
        <v>953</v>
      </c>
      <c r="J381" s="6" t="s">
        <v>953</v>
      </c>
    </row>
    <row r="382">
      <c r="A382" s="6">
        <v>380.0</v>
      </c>
      <c r="B382" s="6" t="s">
        <v>1001</v>
      </c>
      <c r="C382" s="12" t="s">
        <v>2877</v>
      </c>
      <c r="D382" s="6" t="s">
        <v>2884</v>
      </c>
      <c r="E382" s="6" t="s">
        <v>2885</v>
      </c>
      <c r="F382" s="15" t="s">
        <v>4720</v>
      </c>
      <c r="G382" s="6" t="s">
        <v>4727</v>
      </c>
      <c r="H382" s="6" t="s">
        <v>100</v>
      </c>
      <c r="I382" s="6" t="s">
        <v>953</v>
      </c>
      <c r="J382" s="6" t="s">
        <v>953</v>
      </c>
    </row>
    <row r="383">
      <c r="A383" s="6">
        <v>381.0</v>
      </c>
      <c r="B383" s="6" t="s">
        <v>41</v>
      </c>
      <c r="C383" s="12" t="s">
        <v>2982</v>
      </c>
      <c r="D383" s="6" t="s">
        <v>2884</v>
      </c>
      <c r="E383" s="6" t="s">
        <v>3024</v>
      </c>
      <c r="F383" s="15" t="s">
        <v>4729</v>
      </c>
      <c r="G383" s="6" t="s">
        <v>4739</v>
      </c>
      <c r="H383" s="6" t="s">
        <v>100</v>
      </c>
      <c r="I383" s="6" t="s">
        <v>953</v>
      </c>
      <c r="J383" s="6" t="s">
        <v>953</v>
      </c>
    </row>
    <row r="384">
      <c r="A384" s="6">
        <v>382.0</v>
      </c>
      <c r="B384" s="6" t="s">
        <v>3149</v>
      </c>
      <c r="C384" s="12" t="s">
        <v>3151</v>
      </c>
      <c r="D384" s="6" t="s">
        <v>2884</v>
      </c>
      <c r="E384" s="6" t="s">
        <v>3155</v>
      </c>
      <c r="F384" s="15" t="s">
        <v>4741</v>
      </c>
      <c r="G384" s="6" t="s">
        <v>4748</v>
      </c>
      <c r="H384" s="6" t="s">
        <v>100</v>
      </c>
      <c r="I384" s="6" t="s">
        <v>953</v>
      </c>
      <c r="J384" s="6" t="s">
        <v>953</v>
      </c>
    </row>
    <row r="385">
      <c r="A385" s="6">
        <v>383.0</v>
      </c>
      <c r="B385" s="6" t="s">
        <v>240</v>
      </c>
      <c r="C385" s="12" t="s">
        <v>2917</v>
      </c>
      <c r="D385" s="6" t="s">
        <v>2884</v>
      </c>
      <c r="E385" s="6" t="s">
        <v>2920</v>
      </c>
      <c r="F385" s="15" t="s">
        <v>4749</v>
      </c>
      <c r="G385" s="6" t="s">
        <v>4755</v>
      </c>
      <c r="H385" s="6" t="s">
        <v>100</v>
      </c>
      <c r="I385" s="6" t="s">
        <v>953</v>
      </c>
      <c r="J385" s="6" t="s">
        <v>953</v>
      </c>
    </row>
    <row r="386">
      <c r="A386" s="6">
        <v>384.0</v>
      </c>
      <c r="B386" s="6" t="s">
        <v>110</v>
      </c>
      <c r="C386" s="12" t="s">
        <v>2930</v>
      </c>
      <c r="D386" s="6" t="s">
        <v>2884</v>
      </c>
      <c r="E386" s="6" t="s">
        <v>2933</v>
      </c>
      <c r="F386" s="15" t="s">
        <v>4759</v>
      </c>
      <c r="G386" s="6" t="s">
        <v>4767</v>
      </c>
      <c r="H386" s="6" t="s">
        <v>100</v>
      </c>
      <c r="I386" s="6" t="s">
        <v>953</v>
      </c>
      <c r="J386" s="6" t="s">
        <v>953</v>
      </c>
    </row>
    <row r="387">
      <c r="A387" s="6">
        <v>385.0</v>
      </c>
      <c r="B387" s="6" t="s">
        <v>41</v>
      </c>
      <c r="C387" s="12" t="s">
        <v>2877</v>
      </c>
      <c r="D387" s="6" t="s">
        <v>2884</v>
      </c>
      <c r="E387" s="6" t="s">
        <v>2946</v>
      </c>
      <c r="F387" s="15" t="s">
        <v>4769</v>
      </c>
      <c r="G387" s="6" t="s">
        <v>4774</v>
      </c>
      <c r="H387" s="6" t="s">
        <v>100</v>
      </c>
      <c r="I387" s="6" t="s">
        <v>953</v>
      </c>
      <c r="J387" s="6" t="s">
        <v>953</v>
      </c>
    </row>
    <row r="388">
      <c r="A388" s="6">
        <v>386.0</v>
      </c>
      <c r="B388" s="6" t="s">
        <v>41</v>
      </c>
      <c r="C388" s="12" t="s">
        <v>2877</v>
      </c>
      <c r="D388" s="6" t="s">
        <v>2884</v>
      </c>
      <c r="E388" s="6" t="s">
        <v>2952</v>
      </c>
      <c r="F388" s="15" t="s">
        <v>4780</v>
      </c>
      <c r="G388" s="6" t="s">
        <v>4784</v>
      </c>
      <c r="H388" s="6" t="s">
        <v>100</v>
      </c>
      <c r="I388" s="6" t="s">
        <v>953</v>
      </c>
      <c r="J388" s="6" t="s">
        <v>953</v>
      </c>
    </row>
    <row r="389">
      <c r="A389" s="6">
        <v>387.0</v>
      </c>
      <c r="B389" s="6" t="s">
        <v>850</v>
      </c>
      <c r="C389" s="12" t="s">
        <v>3075</v>
      </c>
      <c r="D389" s="6" t="s">
        <v>2884</v>
      </c>
      <c r="E389" s="6" t="s">
        <v>3080</v>
      </c>
      <c r="F389" s="15" t="s">
        <v>4785</v>
      </c>
      <c r="G389" s="6" t="s">
        <v>4792</v>
      </c>
      <c r="H389" s="6" t="s">
        <v>100</v>
      </c>
      <c r="I389" s="6" t="s">
        <v>953</v>
      </c>
      <c r="J389" s="6" t="s">
        <v>953</v>
      </c>
    </row>
    <row r="390">
      <c r="A390" s="6">
        <v>388.0</v>
      </c>
      <c r="B390" s="6" t="s">
        <v>1001</v>
      </c>
      <c r="C390" s="12" t="s">
        <v>2877</v>
      </c>
      <c r="D390" s="6" t="s">
        <v>2884</v>
      </c>
      <c r="E390" s="6" t="s">
        <v>3089</v>
      </c>
      <c r="F390" s="15" t="s">
        <v>4796</v>
      </c>
      <c r="G390" s="6" t="s">
        <v>4801</v>
      </c>
      <c r="H390" s="6" t="s">
        <v>100</v>
      </c>
      <c r="I390" s="6" t="s">
        <v>953</v>
      </c>
      <c r="J390" s="6" t="s">
        <v>953</v>
      </c>
    </row>
    <row r="391">
      <c r="A391" s="6">
        <v>389.0</v>
      </c>
      <c r="B391" s="6" t="s">
        <v>41</v>
      </c>
      <c r="C391" s="12" t="s">
        <v>2982</v>
      </c>
      <c r="D391" s="6" t="s">
        <v>2884</v>
      </c>
      <c r="E391" s="6" t="s">
        <v>2987</v>
      </c>
      <c r="F391" s="15" t="s">
        <v>4802</v>
      </c>
      <c r="G391" s="6" t="s">
        <v>4811</v>
      </c>
      <c r="H391" s="6" t="s">
        <v>100</v>
      </c>
      <c r="I391" s="6" t="s">
        <v>953</v>
      </c>
      <c r="J391" s="6" t="s">
        <v>953</v>
      </c>
    </row>
    <row r="392">
      <c r="A392" s="6">
        <v>390.0</v>
      </c>
      <c r="B392" s="6" t="s">
        <v>240</v>
      </c>
      <c r="C392" s="12" t="s">
        <v>2917</v>
      </c>
      <c r="D392" s="6" t="s">
        <v>2884</v>
      </c>
      <c r="E392" s="6" t="s">
        <v>2995</v>
      </c>
      <c r="F392" s="15" t="s">
        <v>4813</v>
      </c>
      <c r="G392" s="6" t="s">
        <v>4821</v>
      </c>
      <c r="H392" s="6" t="s">
        <v>100</v>
      </c>
      <c r="I392" s="6" t="s">
        <v>953</v>
      </c>
      <c r="J392" s="6" t="s">
        <v>953</v>
      </c>
    </row>
    <row r="393">
      <c r="A393" s="6">
        <v>391.0</v>
      </c>
      <c r="B393" s="6" t="s">
        <v>251</v>
      </c>
      <c r="C393" s="12" t="s">
        <v>2877</v>
      </c>
      <c r="D393" s="6" t="s">
        <v>2884</v>
      </c>
      <c r="E393" s="6" t="s">
        <v>3123</v>
      </c>
      <c r="F393" s="15" t="s">
        <v>4823</v>
      </c>
      <c r="G393" s="6" t="s">
        <v>4829</v>
      </c>
      <c r="H393" s="6" t="s">
        <v>100</v>
      </c>
      <c r="I393" s="6" t="s">
        <v>953</v>
      </c>
      <c r="J393" s="6" t="s">
        <v>953</v>
      </c>
    </row>
    <row r="394">
      <c r="A394" s="6">
        <v>392.0</v>
      </c>
      <c r="B394" s="6" t="s">
        <v>1001</v>
      </c>
      <c r="C394" s="12" t="s">
        <v>2877</v>
      </c>
      <c r="D394" s="6" t="s">
        <v>2884</v>
      </c>
      <c r="E394" s="6" t="s">
        <v>2885</v>
      </c>
      <c r="F394" s="15" t="s">
        <v>4834</v>
      </c>
      <c r="G394" s="6" t="s">
        <v>4840</v>
      </c>
      <c r="H394" s="6" t="s">
        <v>100</v>
      </c>
      <c r="I394" s="6" t="s">
        <v>953</v>
      </c>
      <c r="J394" s="6" t="s">
        <v>953</v>
      </c>
    </row>
    <row r="395">
      <c r="A395" s="6">
        <v>393.0</v>
      </c>
      <c r="B395" s="6" t="s">
        <v>41</v>
      </c>
      <c r="C395" s="12" t="s">
        <v>2982</v>
      </c>
      <c r="D395" s="6" t="s">
        <v>2884</v>
      </c>
      <c r="E395" s="6" t="s">
        <v>3024</v>
      </c>
      <c r="F395" s="15" t="s">
        <v>4841</v>
      </c>
      <c r="G395" s="6" t="s">
        <v>4851</v>
      </c>
      <c r="H395" s="6" t="s">
        <v>100</v>
      </c>
      <c r="I395" s="6" t="s">
        <v>953</v>
      </c>
      <c r="J395" s="6" t="s">
        <v>953</v>
      </c>
    </row>
    <row r="396">
      <c r="A396" s="6">
        <v>394.0</v>
      </c>
      <c r="B396" s="6" t="s">
        <v>41</v>
      </c>
      <c r="C396" s="12" t="s">
        <v>2877</v>
      </c>
      <c r="D396" s="6" t="s">
        <v>2884</v>
      </c>
      <c r="E396" s="6" t="s">
        <v>3423</v>
      </c>
      <c r="F396" s="15" t="s">
        <v>4852</v>
      </c>
      <c r="G396" s="6" t="s">
        <v>4863</v>
      </c>
      <c r="H396" s="6" t="s">
        <v>340</v>
      </c>
      <c r="I396" s="6" t="s">
        <v>953</v>
      </c>
      <c r="J396" s="6" t="s">
        <v>953</v>
      </c>
    </row>
    <row r="397">
      <c r="A397" s="6">
        <v>395.0</v>
      </c>
      <c r="B397" s="6" t="s">
        <v>41</v>
      </c>
      <c r="C397" s="12" t="s">
        <v>2982</v>
      </c>
      <c r="D397" s="6" t="s">
        <v>2884</v>
      </c>
      <c r="E397" s="6" t="s">
        <v>4864</v>
      </c>
      <c r="F397" s="15" t="s">
        <v>4865</v>
      </c>
      <c r="G397" s="6" t="s">
        <v>4876</v>
      </c>
      <c r="H397" s="6" t="s">
        <v>340</v>
      </c>
      <c r="I397" s="6" t="s">
        <v>953</v>
      </c>
      <c r="J397" s="6" t="s">
        <v>953</v>
      </c>
    </row>
    <row r="398">
      <c r="A398" s="6">
        <v>396.0</v>
      </c>
      <c r="B398" s="6" t="s">
        <v>110</v>
      </c>
      <c r="C398" s="12" t="s">
        <v>2930</v>
      </c>
      <c r="D398" s="6" t="s">
        <v>2884</v>
      </c>
      <c r="E398" s="6" t="s">
        <v>2933</v>
      </c>
      <c r="F398" s="15" t="s">
        <v>4877</v>
      </c>
      <c r="G398" s="6" t="s">
        <v>4888</v>
      </c>
      <c r="H398" s="6" t="s">
        <v>100</v>
      </c>
      <c r="I398" s="6" t="s">
        <v>953</v>
      </c>
      <c r="J398" s="6" t="s">
        <v>953</v>
      </c>
    </row>
    <row r="399">
      <c r="A399" s="6">
        <v>397.0</v>
      </c>
      <c r="B399" s="6" t="s">
        <v>240</v>
      </c>
      <c r="C399" s="12" t="s">
        <v>2917</v>
      </c>
      <c r="D399" s="6" t="s">
        <v>2884</v>
      </c>
      <c r="E399" s="6" t="s">
        <v>3181</v>
      </c>
      <c r="F399" s="15" t="s">
        <v>4892</v>
      </c>
      <c r="G399" s="6" t="s">
        <v>4899</v>
      </c>
      <c r="H399" s="6" t="s">
        <v>340</v>
      </c>
      <c r="I399" s="6" t="s">
        <v>953</v>
      </c>
      <c r="J399" s="6" t="s">
        <v>953</v>
      </c>
    </row>
    <row r="400">
      <c r="A400" s="6">
        <v>398.0</v>
      </c>
      <c r="B400" s="6" t="s">
        <v>41</v>
      </c>
      <c r="C400" s="12" t="s">
        <v>2877</v>
      </c>
      <c r="D400" s="6" t="s">
        <v>2884</v>
      </c>
      <c r="E400" s="6" t="s">
        <v>2896</v>
      </c>
      <c r="F400" s="15" t="s">
        <v>4901</v>
      </c>
      <c r="G400" s="6" t="s">
        <v>4910</v>
      </c>
      <c r="H400" s="6" t="s">
        <v>340</v>
      </c>
      <c r="I400" s="6" t="s">
        <v>953</v>
      </c>
      <c r="J400" s="6" t="s">
        <v>953</v>
      </c>
    </row>
    <row r="401">
      <c r="A401" s="6">
        <v>399.0</v>
      </c>
      <c r="B401" s="6" t="s">
        <v>850</v>
      </c>
      <c r="C401" s="12" t="s">
        <v>3075</v>
      </c>
      <c r="D401" s="6" t="s">
        <v>2884</v>
      </c>
      <c r="E401" s="6" t="s">
        <v>3080</v>
      </c>
      <c r="F401" s="15" t="s">
        <v>4912</v>
      </c>
      <c r="G401" s="6" t="s">
        <v>4922</v>
      </c>
      <c r="H401" s="6" t="s">
        <v>100</v>
      </c>
      <c r="I401" s="6" t="s">
        <v>953</v>
      </c>
      <c r="J401" s="6" t="s">
        <v>953</v>
      </c>
    </row>
    <row r="402">
      <c r="A402" s="6">
        <v>400.0</v>
      </c>
      <c r="B402" s="6" t="s">
        <v>41</v>
      </c>
      <c r="C402" s="12" t="s">
        <v>2877</v>
      </c>
      <c r="D402" s="6" t="s">
        <v>2884</v>
      </c>
      <c r="E402" s="6" t="s">
        <v>3423</v>
      </c>
      <c r="F402" s="15" t="s">
        <v>4923</v>
      </c>
      <c r="G402" s="6" t="s">
        <v>4933</v>
      </c>
      <c r="H402" s="6" t="s">
        <v>340</v>
      </c>
      <c r="I402" s="6" t="s">
        <v>953</v>
      </c>
      <c r="J402" s="6" t="s">
        <v>953</v>
      </c>
    </row>
    <row r="403">
      <c r="A403" s="6">
        <v>401.0</v>
      </c>
      <c r="B403" s="6" t="s">
        <v>41</v>
      </c>
      <c r="C403" s="12" t="s">
        <v>2982</v>
      </c>
      <c r="D403" s="6" t="s">
        <v>2884</v>
      </c>
      <c r="E403" s="6" t="s">
        <v>2987</v>
      </c>
      <c r="F403" s="15" t="s">
        <v>4934</v>
      </c>
      <c r="G403" s="6" t="s">
        <v>4949</v>
      </c>
      <c r="H403" s="6" t="s">
        <v>100</v>
      </c>
      <c r="I403" s="6" t="s">
        <v>953</v>
      </c>
      <c r="J403" s="6" t="s">
        <v>953</v>
      </c>
    </row>
    <row r="404">
      <c r="A404" s="6">
        <v>402.0</v>
      </c>
      <c r="B404" s="6" t="s">
        <v>240</v>
      </c>
      <c r="C404" s="12" t="s">
        <v>2917</v>
      </c>
      <c r="D404" s="6" t="s">
        <v>2884</v>
      </c>
      <c r="E404" s="6" t="s">
        <v>2995</v>
      </c>
      <c r="F404" s="15" t="s">
        <v>4950</v>
      </c>
      <c r="G404" s="6" t="s">
        <v>4957</v>
      </c>
      <c r="H404" s="6" t="s">
        <v>100</v>
      </c>
      <c r="I404" s="6" t="s">
        <v>953</v>
      </c>
      <c r="J404" s="6" t="s">
        <v>953</v>
      </c>
    </row>
    <row r="405">
      <c r="A405" s="6">
        <v>403.0</v>
      </c>
      <c r="B405" s="6" t="s">
        <v>240</v>
      </c>
      <c r="C405" s="12" t="s">
        <v>2917</v>
      </c>
      <c r="D405" s="6" t="s">
        <v>2884</v>
      </c>
      <c r="E405" s="6" t="s">
        <v>3181</v>
      </c>
      <c r="F405" s="15" t="s">
        <v>4962</v>
      </c>
      <c r="G405" s="6" t="s">
        <v>4969</v>
      </c>
      <c r="H405" s="6" t="s">
        <v>340</v>
      </c>
      <c r="I405" s="6" t="s">
        <v>953</v>
      </c>
      <c r="J405" s="6" t="s">
        <v>953</v>
      </c>
    </row>
    <row r="406">
      <c r="A406" s="6">
        <v>404.0</v>
      </c>
      <c r="B406" s="6" t="s">
        <v>1001</v>
      </c>
      <c r="C406" s="12" t="s">
        <v>2877</v>
      </c>
      <c r="D406" s="6" t="s">
        <v>2884</v>
      </c>
      <c r="E406" s="6" t="s">
        <v>2885</v>
      </c>
      <c r="F406" s="15" t="s">
        <v>4974</v>
      </c>
      <c r="G406" s="6" t="s">
        <v>4981</v>
      </c>
      <c r="H406" s="6" t="s">
        <v>100</v>
      </c>
      <c r="I406" s="6" t="s">
        <v>953</v>
      </c>
      <c r="J406" s="6" t="s">
        <v>953</v>
      </c>
    </row>
    <row r="407">
      <c r="A407" s="6">
        <v>405.0</v>
      </c>
      <c r="B407" s="6" t="s">
        <v>41</v>
      </c>
      <c r="C407" s="12" t="s">
        <v>2982</v>
      </c>
      <c r="D407" s="6" t="s">
        <v>2884</v>
      </c>
      <c r="E407" s="6" t="s">
        <v>3024</v>
      </c>
      <c r="F407" s="15" t="s">
        <v>4982</v>
      </c>
      <c r="G407" s="6" t="s">
        <v>4992</v>
      </c>
      <c r="H407" s="6" t="s">
        <v>100</v>
      </c>
      <c r="I407" s="6" t="s">
        <v>953</v>
      </c>
      <c r="J407" s="6" t="s">
        <v>953</v>
      </c>
    </row>
    <row r="408">
      <c r="A408" s="6">
        <v>406.0</v>
      </c>
      <c r="B408" s="6" t="s">
        <v>3149</v>
      </c>
      <c r="C408" s="12" t="s">
        <v>3151</v>
      </c>
      <c r="D408" s="6" t="s">
        <v>2884</v>
      </c>
      <c r="E408" s="6" t="s">
        <v>3155</v>
      </c>
      <c r="F408" s="15" t="s">
        <v>4993</v>
      </c>
      <c r="G408" s="6" t="s">
        <v>4999</v>
      </c>
      <c r="H408" s="6" t="s">
        <v>100</v>
      </c>
      <c r="I408" s="6" t="s">
        <v>953</v>
      </c>
      <c r="J408" s="6" t="s">
        <v>953</v>
      </c>
    </row>
    <row r="409">
      <c r="A409" s="6">
        <v>407.0</v>
      </c>
      <c r="B409" s="6" t="s">
        <v>240</v>
      </c>
      <c r="C409" s="12" t="s">
        <v>2917</v>
      </c>
      <c r="D409" s="6" t="s">
        <v>2884</v>
      </c>
      <c r="E409" s="6" t="s">
        <v>2920</v>
      </c>
      <c r="F409" s="15" t="s">
        <v>5004</v>
      </c>
      <c r="G409" s="6" t="s">
        <v>5009</v>
      </c>
      <c r="H409" s="6" t="s">
        <v>100</v>
      </c>
      <c r="I409" s="6" t="s">
        <v>953</v>
      </c>
      <c r="J409" s="6" t="s">
        <v>953</v>
      </c>
    </row>
    <row r="410">
      <c r="A410" s="6">
        <v>408.0</v>
      </c>
      <c r="B410" s="6" t="s">
        <v>41</v>
      </c>
      <c r="C410" s="12" t="s">
        <v>2877</v>
      </c>
      <c r="D410" s="6" t="s">
        <v>2884</v>
      </c>
      <c r="E410" s="6" t="s">
        <v>2896</v>
      </c>
      <c r="F410" s="15" t="s">
        <v>5010</v>
      </c>
      <c r="G410" s="6" t="s">
        <v>5017</v>
      </c>
      <c r="H410" s="6" t="s">
        <v>340</v>
      </c>
      <c r="I410" s="6" t="s">
        <v>953</v>
      </c>
      <c r="J410" s="6" t="s">
        <v>953</v>
      </c>
    </row>
    <row r="411">
      <c r="A411" s="6">
        <v>409.0</v>
      </c>
      <c r="B411" s="6" t="s">
        <v>41</v>
      </c>
      <c r="C411" s="12" t="s">
        <v>2877</v>
      </c>
      <c r="D411" s="6" t="s">
        <v>2884</v>
      </c>
      <c r="E411" s="6" t="s">
        <v>2946</v>
      </c>
      <c r="F411" s="15" t="s">
        <v>5021</v>
      </c>
      <c r="G411" s="6" t="s">
        <v>5026</v>
      </c>
      <c r="H411" s="6" t="s">
        <v>100</v>
      </c>
      <c r="I411" s="6" t="s">
        <v>953</v>
      </c>
      <c r="J411" s="6" t="s">
        <v>953</v>
      </c>
    </row>
    <row r="412">
      <c r="A412" s="6">
        <v>410.0</v>
      </c>
      <c r="B412" s="6" t="s">
        <v>41</v>
      </c>
      <c r="C412" s="12" t="s">
        <v>2877</v>
      </c>
      <c r="D412" s="6" t="s">
        <v>2884</v>
      </c>
      <c r="E412" s="6" t="s">
        <v>2952</v>
      </c>
      <c r="F412" s="15" t="s">
        <v>5027</v>
      </c>
      <c r="G412" s="6" t="s">
        <v>5034</v>
      </c>
      <c r="H412" s="6" t="s">
        <v>100</v>
      </c>
      <c r="I412" s="6" t="s">
        <v>953</v>
      </c>
      <c r="J412" s="6" t="s">
        <v>953</v>
      </c>
    </row>
    <row r="413">
      <c r="A413" s="6">
        <v>411.0</v>
      </c>
      <c r="B413" s="6" t="s">
        <v>850</v>
      </c>
      <c r="C413" s="12" t="s">
        <v>3075</v>
      </c>
      <c r="D413" s="6" t="s">
        <v>2884</v>
      </c>
      <c r="E413" s="6" t="s">
        <v>3080</v>
      </c>
      <c r="F413" s="15" t="s">
        <v>5036</v>
      </c>
      <c r="G413" s="6" t="s">
        <v>5042</v>
      </c>
      <c r="H413" s="6" t="s">
        <v>100</v>
      </c>
      <c r="I413" s="6" t="s">
        <v>953</v>
      </c>
      <c r="J413" s="6" t="s">
        <v>953</v>
      </c>
    </row>
    <row r="414">
      <c r="A414" s="6">
        <v>412.0</v>
      </c>
      <c r="B414" s="6" t="s">
        <v>1001</v>
      </c>
      <c r="C414" s="12" t="s">
        <v>2877</v>
      </c>
      <c r="D414" s="6" t="s">
        <v>2884</v>
      </c>
      <c r="E414" s="6" t="s">
        <v>3089</v>
      </c>
      <c r="F414" s="15" t="s">
        <v>5046</v>
      </c>
      <c r="G414" s="6" t="s">
        <v>5050</v>
      </c>
      <c r="H414" s="6" t="s">
        <v>100</v>
      </c>
      <c r="I414" s="6" t="s">
        <v>953</v>
      </c>
      <c r="J414" s="6" t="s">
        <v>953</v>
      </c>
    </row>
    <row r="415">
      <c r="A415" s="6">
        <v>413.0</v>
      </c>
      <c r="B415" s="6" t="s">
        <v>41</v>
      </c>
      <c r="C415" s="12" t="s">
        <v>2877</v>
      </c>
      <c r="D415" s="6" t="s">
        <v>2884</v>
      </c>
      <c r="E415" s="6" t="s">
        <v>2896</v>
      </c>
      <c r="F415" s="15" t="s">
        <v>5051</v>
      </c>
      <c r="G415" s="6" t="s">
        <v>5057</v>
      </c>
      <c r="H415" s="6" t="s">
        <v>340</v>
      </c>
      <c r="I415" s="6" t="s">
        <v>953</v>
      </c>
      <c r="J415" s="6" t="s">
        <v>953</v>
      </c>
    </row>
    <row r="416">
      <c r="A416" s="6">
        <v>414.0</v>
      </c>
      <c r="B416" s="6" t="s">
        <v>240</v>
      </c>
      <c r="C416" s="12" t="s">
        <v>2917</v>
      </c>
      <c r="D416" s="6" t="s">
        <v>2884</v>
      </c>
      <c r="E416" s="6" t="s">
        <v>2995</v>
      </c>
      <c r="F416" s="15" t="s">
        <v>5058</v>
      </c>
      <c r="G416" s="6" t="s">
        <v>5064</v>
      </c>
      <c r="H416" s="6" t="s">
        <v>100</v>
      </c>
      <c r="I416" s="6" t="s">
        <v>953</v>
      </c>
      <c r="J416" s="6" t="s">
        <v>953</v>
      </c>
    </row>
    <row r="417">
      <c r="A417" s="6">
        <v>415.0</v>
      </c>
      <c r="B417" s="6" t="s">
        <v>251</v>
      </c>
      <c r="C417" s="12" t="s">
        <v>2877</v>
      </c>
      <c r="D417" s="6" t="s">
        <v>2884</v>
      </c>
      <c r="E417" s="6" t="s">
        <v>3123</v>
      </c>
      <c r="F417" s="15" t="s">
        <v>5068</v>
      </c>
      <c r="G417" s="6" t="s">
        <v>5075</v>
      </c>
      <c r="H417" s="6" t="s">
        <v>100</v>
      </c>
      <c r="I417" s="6" t="s">
        <v>953</v>
      </c>
      <c r="J417" s="6" t="s">
        <v>953</v>
      </c>
    </row>
    <row r="418">
      <c r="A418" s="6">
        <v>416.0</v>
      </c>
      <c r="B418" s="6" t="s">
        <v>1001</v>
      </c>
      <c r="C418" s="12" t="s">
        <v>2877</v>
      </c>
      <c r="D418" s="6" t="s">
        <v>2884</v>
      </c>
      <c r="E418" s="6" t="s">
        <v>2885</v>
      </c>
      <c r="F418" s="15" t="s">
        <v>5076</v>
      </c>
      <c r="G418" s="6" t="s">
        <v>5079</v>
      </c>
      <c r="H418" s="6" t="s">
        <v>100</v>
      </c>
      <c r="I418" s="6" t="s">
        <v>953</v>
      </c>
      <c r="J418" s="6" t="s">
        <v>953</v>
      </c>
    </row>
    <row r="419">
      <c r="A419" s="6">
        <v>417.0</v>
      </c>
      <c r="B419" s="6" t="s">
        <v>41</v>
      </c>
      <c r="C419" s="12" t="s">
        <v>2982</v>
      </c>
      <c r="D419" s="6" t="s">
        <v>2884</v>
      </c>
      <c r="E419" s="6" t="s">
        <v>3024</v>
      </c>
      <c r="F419" s="15" t="s">
        <v>5080</v>
      </c>
      <c r="G419" s="6" t="s">
        <v>5088</v>
      </c>
      <c r="H419" s="6" t="s">
        <v>100</v>
      </c>
      <c r="I419" s="6" t="s">
        <v>953</v>
      </c>
      <c r="J419" s="6" t="s">
        <v>953</v>
      </c>
    </row>
    <row r="420">
      <c r="A420" s="6">
        <v>418.0</v>
      </c>
      <c r="B420" s="6" t="s">
        <v>3149</v>
      </c>
      <c r="C420" s="12" t="s">
        <v>3151</v>
      </c>
      <c r="D420" s="6" t="s">
        <v>2884</v>
      </c>
      <c r="E420" s="6" t="s">
        <v>3155</v>
      </c>
      <c r="F420" s="15" t="s">
        <v>5092</v>
      </c>
      <c r="G420" s="6" t="s">
        <v>5097</v>
      </c>
      <c r="H420" s="6" t="s">
        <v>100</v>
      </c>
      <c r="I420" s="6" t="s">
        <v>953</v>
      </c>
      <c r="J420" s="6" t="s">
        <v>953</v>
      </c>
    </row>
    <row r="421">
      <c r="A421" s="6">
        <v>419.0</v>
      </c>
      <c r="B421" s="6" t="s">
        <v>240</v>
      </c>
      <c r="C421" s="12" t="s">
        <v>2917</v>
      </c>
      <c r="D421" s="6" t="s">
        <v>2884</v>
      </c>
      <c r="E421" s="6" t="s">
        <v>2920</v>
      </c>
      <c r="F421" s="15" t="s">
        <v>5100</v>
      </c>
      <c r="G421" s="6" t="s">
        <v>5106</v>
      </c>
      <c r="H421" s="6" t="s">
        <v>100</v>
      </c>
      <c r="I421" s="6" t="s">
        <v>953</v>
      </c>
      <c r="J421" s="6" t="s">
        <v>953</v>
      </c>
    </row>
    <row r="422">
      <c r="A422" s="6">
        <v>420.0</v>
      </c>
      <c r="B422" s="6" t="s">
        <v>850</v>
      </c>
      <c r="C422" s="12" t="s">
        <v>3075</v>
      </c>
      <c r="D422" s="6" t="s">
        <v>2884</v>
      </c>
      <c r="E422" s="6" t="s">
        <v>5108</v>
      </c>
      <c r="F422" s="15" t="s">
        <v>5110</v>
      </c>
      <c r="G422" s="6" t="s">
        <v>5116</v>
      </c>
      <c r="H422" s="6" t="s">
        <v>340</v>
      </c>
      <c r="I422" s="6" t="s">
        <v>953</v>
      </c>
      <c r="J422" s="6" t="s">
        <v>953</v>
      </c>
    </row>
    <row r="423">
      <c r="A423" s="6">
        <v>421.0</v>
      </c>
      <c r="B423" s="6" t="s">
        <v>240</v>
      </c>
      <c r="C423" s="12" t="s">
        <v>2917</v>
      </c>
      <c r="D423" s="6" t="s">
        <v>2884</v>
      </c>
      <c r="E423" s="6" t="s">
        <v>3181</v>
      </c>
      <c r="F423" s="15" t="s">
        <v>5119</v>
      </c>
      <c r="G423" s="6" t="s">
        <v>5124</v>
      </c>
      <c r="H423" s="6" t="s">
        <v>340</v>
      </c>
      <c r="I423" s="6" t="s">
        <v>953</v>
      </c>
      <c r="J423" s="6" t="s">
        <v>953</v>
      </c>
    </row>
    <row r="424">
      <c r="A424" s="6">
        <v>422.0</v>
      </c>
      <c r="B424" s="6" t="s">
        <v>1001</v>
      </c>
      <c r="C424" s="12" t="s">
        <v>2877</v>
      </c>
      <c r="D424" s="6" t="s">
        <v>2884</v>
      </c>
      <c r="E424" s="6" t="s">
        <v>3853</v>
      </c>
      <c r="F424" s="15" t="s">
        <v>5125</v>
      </c>
      <c r="G424" s="6" t="s">
        <v>5130</v>
      </c>
      <c r="H424" s="6" t="s">
        <v>340</v>
      </c>
      <c r="I424" s="6" t="s">
        <v>953</v>
      </c>
      <c r="J424" s="6" t="s">
        <v>953</v>
      </c>
    </row>
    <row r="425">
      <c r="A425" s="6">
        <v>423.0</v>
      </c>
      <c r="B425" s="6" t="s">
        <v>41</v>
      </c>
      <c r="C425" s="12" t="s">
        <v>2982</v>
      </c>
      <c r="D425" s="6" t="s">
        <v>2884</v>
      </c>
      <c r="E425" s="6" t="s">
        <v>3671</v>
      </c>
      <c r="F425" s="15" t="s">
        <v>5133</v>
      </c>
      <c r="G425" s="6" t="s">
        <v>5138</v>
      </c>
      <c r="H425" s="6" t="s">
        <v>340</v>
      </c>
      <c r="I425" s="6" t="s">
        <v>953</v>
      </c>
      <c r="J425" s="6" t="s">
        <v>953</v>
      </c>
    </row>
    <row r="426">
      <c r="A426" s="6">
        <v>424.0</v>
      </c>
      <c r="B426" s="6" t="s">
        <v>41</v>
      </c>
      <c r="C426" s="12" t="s">
        <v>2877</v>
      </c>
      <c r="D426" s="6" t="s">
        <v>2884</v>
      </c>
      <c r="E426" s="6" t="s">
        <v>3423</v>
      </c>
      <c r="F426" s="15" t="s">
        <v>5141</v>
      </c>
      <c r="G426" s="6" t="s">
        <v>5143</v>
      </c>
      <c r="H426" s="6" t="s">
        <v>340</v>
      </c>
      <c r="I426" s="6" t="s">
        <v>953</v>
      </c>
      <c r="J426" s="6" t="s">
        <v>953</v>
      </c>
    </row>
    <row r="427">
      <c r="A427" s="6">
        <v>425.0</v>
      </c>
      <c r="B427" s="6" t="s">
        <v>41</v>
      </c>
      <c r="C427" s="12" t="s">
        <v>2982</v>
      </c>
      <c r="D427" s="6" t="s">
        <v>2884</v>
      </c>
      <c r="E427" s="6" t="s">
        <v>4864</v>
      </c>
      <c r="F427" s="15" t="s">
        <v>5145</v>
      </c>
      <c r="G427" s="6" t="s">
        <v>5151</v>
      </c>
      <c r="H427" s="6" t="s">
        <v>340</v>
      </c>
      <c r="I427" s="6" t="s">
        <v>953</v>
      </c>
      <c r="J427" s="6" t="s">
        <v>953</v>
      </c>
    </row>
    <row r="428">
      <c r="A428" s="6">
        <v>426.0</v>
      </c>
      <c r="B428" s="6" t="s">
        <v>850</v>
      </c>
      <c r="C428" s="12" t="s">
        <v>3075</v>
      </c>
      <c r="D428" s="6" t="s">
        <v>2884</v>
      </c>
      <c r="E428" s="6" t="s">
        <v>5108</v>
      </c>
      <c r="F428" s="15" t="s">
        <v>5152</v>
      </c>
      <c r="G428" s="6" t="s">
        <v>5156</v>
      </c>
      <c r="H428" s="6" t="s">
        <v>340</v>
      </c>
      <c r="I428" s="6" t="s">
        <v>953</v>
      </c>
      <c r="J428" s="6" t="s">
        <v>953</v>
      </c>
    </row>
    <row r="429">
      <c r="A429" s="6">
        <v>427.0</v>
      </c>
      <c r="B429" s="6" t="s">
        <v>240</v>
      </c>
      <c r="C429" s="12" t="s">
        <v>2917</v>
      </c>
      <c r="D429" s="6" t="s">
        <v>2884</v>
      </c>
      <c r="E429" s="6" t="s">
        <v>3181</v>
      </c>
      <c r="F429" s="15" t="s">
        <v>5158</v>
      </c>
      <c r="G429" s="6" t="s">
        <v>5166</v>
      </c>
      <c r="H429" s="6" t="s">
        <v>340</v>
      </c>
      <c r="I429" s="6" t="s">
        <v>953</v>
      </c>
      <c r="J429" s="6" t="s">
        <v>953</v>
      </c>
    </row>
    <row r="430">
      <c r="A430" s="6">
        <v>428.0</v>
      </c>
      <c r="B430" s="6" t="s">
        <v>1001</v>
      </c>
      <c r="C430" s="12" t="s">
        <v>2877</v>
      </c>
      <c r="D430" s="6" t="s">
        <v>2884</v>
      </c>
      <c r="E430" s="6" t="s">
        <v>3853</v>
      </c>
      <c r="F430" s="15" t="s">
        <v>5168</v>
      </c>
      <c r="G430" s="6" t="s">
        <v>5171</v>
      </c>
      <c r="H430" s="6" t="s">
        <v>340</v>
      </c>
      <c r="I430" s="6" t="s">
        <v>953</v>
      </c>
      <c r="J430" s="6" t="s">
        <v>953</v>
      </c>
    </row>
    <row r="431">
      <c r="A431" s="6">
        <v>429.0</v>
      </c>
      <c r="B431" s="6" t="s">
        <v>41</v>
      </c>
      <c r="C431" s="12" t="s">
        <v>2982</v>
      </c>
      <c r="D431" s="6" t="s">
        <v>2884</v>
      </c>
      <c r="E431" s="6" t="s">
        <v>3671</v>
      </c>
      <c r="F431" s="15" t="s">
        <v>5173</v>
      </c>
      <c r="G431" s="6" t="s">
        <v>5182</v>
      </c>
      <c r="H431" s="6" t="s">
        <v>340</v>
      </c>
      <c r="I431" s="6" t="s">
        <v>953</v>
      </c>
      <c r="J431" s="6" t="s">
        <v>953</v>
      </c>
    </row>
    <row r="432">
      <c r="A432" s="6">
        <v>430.0</v>
      </c>
      <c r="B432" s="6" t="s">
        <v>41</v>
      </c>
      <c r="C432" s="12" t="s">
        <v>2877</v>
      </c>
      <c r="D432" s="6" t="s">
        <v>2884</v>
      </c>
      <c r="E432" s="6" t="s">
        <v>3423</v>
      </c>
      <c r="F432" s="15" t="s">
        <v>5183</v>
      </c>
      <c r="G432" s="6" t="s">
        <v>5189</v>
      </c>
      <c r="H432" s="6" t="s">
        <v>340</v>
      </c>
      <c r="I432" s="6" t="s">
        <v>953</v>
      </c>
      <c r="J432" s="6" t="s">
        <v>953</v>
      </c>
    </row>
    <row r="433">
      <c r="A433" s="6">
        <v>431.0</v>
      </c>
      <c r="B433" s="6" t="s">
        <v>41</v>
      </c>
      <c r="C433" s="12" t="s">
        <v>2982</v>
      </c>
      <c r="D433" s="6" t="s">
        <v>2884</v>
      </c>
      <c r="E433" s="6" t="s">
        <v>4864</v>
      </c>
      <c r="F433" s="15" t="s">
        <v>5193</v>
      </c>
      <c r="G433" s="6" t="s">
        <v>5198</v>
      </c>
      <c r="H433" s="6" t="s">
        <v>340</v>
      </c>
      <c r="I433" s="6" t="s">
        <v>953</v>
      </c>
      <c r="J433" s="6" t="s">
        <v>953</v>
      </c>
    </row>
    <row r="434">
      <c r="A434" s="6">
        <v>432.0</v>
      </c>
      <c r="B434" s="6" t="s">
        <v>850</v>
      </c>
      <c r="C434" s="12" t="s">
        <v>3075</v>
      </c>
      <c r="D434" s="6" t="s">
        <v>2884</v>
      </c>
      <c r="E434" s="6" t="s">
        <v>5108</v>
      </c>
      <c r="F434" s="15" t="s">
        <v>5201</v>
      </c>
      <c r="G434" s="6" t="s">
        <v>5207</v>
      </c>
      <c r="H434" s="6" t="s">
        <v>340</v>
      </c>
      <c r="I434" s="6" t="s">
        <v>953</v>
      </c>
      <c r="J434" s="6" t="s">
        <v>953</v>
      </c>
    </row>
    <row r="435">
      <c r="A435" s="6">
        <v>433.0</v>
      </c>
      <c r="B435" s="6" t="s">
        <v>240</v>
      </c>
      <c r="C435" s="12" t="s">
        <v>2917</v>
      </c>
      <c r="D435" s="6" t="s">
        <v>2884</v>
      </c>
      <c r="E435" s="6" t="s">
        <v>3181</v>
      </c>
      <c r="F435" s="15" t="s">
        <v>5208</v>
      </c>
      <c r="G435" s="6" t="s">
        <v>5212</v>
      </c>
      <c r="H435" s="6" t="s">
        <v>340</v>
      </c>
      <c r="I435" s="6" t="s">
        <v>953</v>
      </c>
      <c r="J435" s="6" t="s">
        <v>953</v>
      </c>
    </row>
    <row r="436">
      <c r="A436" s="6">
        <v>434.0</v>
      </c>
      <c r="B436" s="6" t="s">
        <v>1001</v>
      </c>
      <c r="C436" s="12" t="s">
        <v>2877</v>
      </c>
      <c r="D436" s="6" t="s">
        <v>2884</v>
      </c>
      <c r="E436" s="6" t="s">
        <v>3853</v>
      </c>
      <c r="F436" s="15" t="s">
        <v>5213</v>
      </c>
      <c r="G436" s="6" t="s">
        <v>5217</v>
      </c>
      <c r="H436" s="6" t="s">
        <v>340</v>
      </c>
      <c r="I436" s="6" t="s">
        <v>953</v>
      </c>
      <c r="J436" s="6" t="s">
        <v>953</v>
      </c>
    </row>
    <row r="437">
      <c r="A437" s="6">
        <v>435.0</v>
      </c>
      <c r="B437" s="6" t="s">
        <v>41</v>
      </c>
      <c r="C437" s="12" t="s">
        <v>2982</v>
      </c>
      <c r="D437" s="6" t="s">
        <v>2884</v>
      </c>
      <c r="E437" s="6" t="s">
        <v>3671</v>
      </c>
      <c r="F437" s="15" t="s">
        <v>5219</v>
      </c>
      <c r="G437" s="6" t="s">
        <v>5224</v>
      </c>
      <c r="H437" s="6" t="s">
        <v>340</v>
      </c>
      <c r="I437" s="6" t="s">
        <v>953</v>
      </c>
      <c r="J437" s="6" t="s">
        <v>953</v>
      </c>
    </row>
    <row r="438">
      <c r="A438" s="6">
        <v>436.0</v>
      </c>
      <c r="B438" s="6" t="s">
        <v>41</v>
      </c>
      <c r="C438" s="12" t="s">
        <v>2877</v>
      </c>
      <c r="D438" s="6" t="s">
        <v>2884</v>
      </c>
      <c r="E438" s="6" t="s">
        <v>3423</v>
      </c>
      <c r="F438" s="15" t="s">
        <v>5227</v>
      </c>
      <c r="G438" s="6" t="s">
        <v>5233</v>
      </c>
      <c r="H438" s="6" t="s">
        <v>340</v>
      </c>
      <c r="I438" s="6" t="s">
        <v>953</v>
      </c>
      <c r="J438" s="6" t="s">
        <v>953</v>
      </c>
    </row>
    <row r="439">
      <c r="A439" s="6">
        <v>437.0</v>
      </c>
      <c r="B439" s="6" t="s">
        <v>41</v>
      </c>
      <c r="C439" s="12" t="s">
        <v>2982</v>
      </c>
      <c r="D439" s="6" t="s">
        <v>2884</v>
      </c>
      <c r="E439" s="6" t="s">
        <v>4864</v>
      </c>
      <c r="F439" s="15" t="s">
        <v>5237</v>
      </c>
      <c r="G439" s="6" t="s">
        <v>5244</v>
      </c>
      <c r="H439" s="6" t="s">
        <v>340</v>
      </c>
      <c r="I439" s="6" t="s">
        <v>953</v>
      </c>
      <c r="J439" s="6" t="s">
        <v>953</v>
      </c>
    </row>
    <row r="440">
      <c r="A440" s="6">
        <v>438.0</v>
      </c>
      <c r="B440" s="6" t="s">
        <v>850</v>
      </c>
      <c r="C440" s="12" t="s">
        <v>3075</v>
      </c>
      <c r="D440" s="6" t="s">
        <v>2884</v>
      </c>
      <c r="E440" s="6" t="s">
        <v>5108</v>
      </c>
      <c r="F440" s="15" t="s">
        <v>5245</v>
      </c>
      <c r="G440" s="6" t="s">
        <v>5252</v>
      </c>
      <c r="H440" s="6" t="s">
        <v>340</v>
      </c>
      <c r="I440" s="6" t="s">
        <v>953</v>
      </c>
      <c r="J440" s="6" t="s">
        <v>953</v>
      </c>
    </row>
    <row r="441">
      <c r="A441" s="6">
        <v>439.0</v>
      </c>
      <c r="B441" s="6" t="s">
        <v>240</v>
      </c>
      <c r="C441" s="12" t="s">
        <v>2917</v>
      </c>
      <c r="D441" s="6" t="s">
        <v>2884</v>
      </c>
      <c r="E441" s="6" t="s">
        <v>3181</v>
      </c>
      <c r="F441" s="15" t="s">
        <v>5253</v>
      </c>
      <c r="G441" s="6" t="s">
        <v>5259</v>
      </c>
      <c r="H441" s="6" t="s">
        <v>340</v>
      </c>
      <c r="I441" s="6" t="s">
        <v>953</v>
      </c>
      <c r="J441" s="6" t="s">
        <v>953</v>
      </c>
    </row>
    <row r="442">
      <c r="A442" s="6">
        <v>440.0</v>
      </c>
      <c r="B442" s="6" t="s">
        <v>1001</v>
      </c>
      <c r="C442" s="12" t="s">
        <v>2877</v>
      </c>
      <c r="D442" s="6" t="s">
        <v>2884</v>
      </c>
      <c r="E442" s="6" t="s">
        <v>3853</v>
      </c>
      <c r="F442" s="15" t="s">
        <v>5262</v>
      </c>
      <c r="G442" s="6" t="s">
        <v>5267</v>
      </c>
      <c r="H442" s="6" t="s">
        <v>340</v>
      </c>
      <c r="I442" s="6" t="s">
        <v>953</v>
      </c>
      <c r="J442" s="6" t="s">
        <v>953</v>
      </c>
    </row>
    <row r="443">
      <c r="A443" s="6">
        <v>441.0</v>
      </c>
      <c r="B443" s="6" t="s">
        <v>41</v>
      </c>
      <c r="C443" s="12" t="s">
        <v>2982</v>
      </c>
      <c r="D443" s="6" t="s">
        <v>2884</v>
      </c>
      <c r="E443" s="6" t="s">
        <v>3671</v>
      </c>
      <c r="F443" s="15" t="s">
        <v>5271</v>
      </c>
      <c r="G443" s="6" t="s">
        <v>5274</v>
      </c>
      <c r="H443" s="6" t="s">
        <v>340</v>
      </c>
      <c r="I443" s="6" t="s">
        <v>953</v>
      </c>
      <c r="J443" s="6" t="s">
        <v>953</v>
      </c>
    </row>
    <row r="444">
      <c r="A444" s="6">
        <v>442.0</v>
      </c>
      <c r="B444" s="6" t="s">
        <v>41</v>
      </c>
      <c r="C444" s="12" t="s">
        <v>2877</v>
      </c>
      <c r="D444" s="6" t="s">
        <v>2884</v>
      </c>
      <c r="E444" s="6" t="s">
        <v>3423</v>
      </c>
      <c r="F444" s="15" t="s">
        <v>5275</v>
      </c>
      <c r="G444" s="6" t="s">
        <v>5281</v>
      </c>
      <c r="H444" s="6" t="s">
        <v>340</v>
      </c>
      <c r="I444" s="6" t="s">
        <v>953</v>
      </c>
      <c r="J444" s="6" t="s">
        <v>953</v>
      </c>
    </row>
    <row r="445">
      <c r="A445" s="6">
        <v>443.0</v>
      </c>
      <c r="B445" s="6" t="s">
        <v>41</v>
      </c>
      <c r="C445" s="12" t="s">
        <v>2982</v>
      </c>
      <c r="D445" s="6" t="s">
        <v>2884</v>
      </c>
      <c r="E445" s="6" t="s">
        <v>4864</v>
      </c>
      <c r="F445" s="15" t="s">
        <v>5283</v>
      </c>
      <c r="G445" s="6" t="s">
        <v>5286</v>
      </c>
      <c r="H445" s="6" t="s">
        <v>340</v>
      </c>
      <c r="I445" s="6" t="s">
        <v>953</v>
      </c>
      <c r="J445" s="6" t="s">
        <v>953</v>
      </c>
    </row>
    <row r="446">
      <c r="A446" s="6">
        <v>444.0</v>
      </c>
      <c r="B446" s="6" t="s">
        <v>850</v>
      </c>
      <c r="C446" s="12" t="s">
        <v>3075</v>
      </c>
      <c r="D446" s="6" t="s">
        <v>2884</v>
      </c>
      <c r="E446" s="6" t="s">
        <v>5108</v>
      </c>
      <c r="F446" s="15" t="s">
        <v>5288</v>
      </c>
      <c r="G446" s="6" t="s">
        <v>5291</v>
      </c>
      <c r="H446" s="6" t="s">
        <v>340</v>
      </c>
      <c r="I446" s="6" t="s">
        <v>953</v>
      </c>
      <c r="J446" s="6" t="s">
        <v>953</v>
      </c>
    </row>
    <row r="447">
      <c r="A447" s="6">
        <v>445.0</v>
      </c>
      <c r="B447" s="6" t="s">
        <v>240</v>
      </c>
      <c r="C447" s="12" t="s">
        <v>2917</v>
      </c>
      <c r="D447" s="6" t="s">
        <v>2884</v>
      </c>
      <c r="E447" s="6" t="s">
        <v>3181</v>
      </c>
      <c r="F447" s="15" t="s">
        <v>5293</v>
      </c>
      <c r="G447" s="6" t="s">
        <v>5295</v>
      </c>
      <c r="H447" s="6" t="s">
        <v>340</v>
      </c>
      <c r="I447" s="6" t="s">
        <v>953</v>
      </c>
      <c r="J447" s="6" t="s">
        <v>953</v>
      </c>
    </row>
    <row r="448">
      <c r="A448" s="6">
        <v>446.0</v>
      </c>
      <c r="B448" s="6" t="s">
        <v>1001</v>
      </c>
      <c r="C448" s="12" t="s">
        <v>2877</v>
      </c>
      <c r="D448" s="6" t="s">
        <v>2884</v>
      </c>
      <c r="E448" s="6" t="s">
        <v>3853</v>
      </c>
      <c r="F448" s="15" t="s">
        <v>5296</v>
      </c>
      <c r="G448" s="6" t="s">
        <v>5298</v>
      </c>
      <c r="H448" s="6" t="s">
        <v>340</v>
      </c>
      <c r="I448" s="6" t="s">
        <v>953</v>
      </c>
      <c r="J448" s="6" t="s">
        <v>953</v>
      </c>
    </row>
    <row r="449">
      <c r="A449" s="6">
        <v>447.0</v>
      </c>
      <c r="B449" s="6" t="s">
        <v>41</v>
      </c>
      <c r="C449" s="12" t="s">
        <v>2982</v>
      </c>
      <c r="D449" s="6" t="s">
        <v>2884</v>
      </c>
      <c r="E449" s="6" t="s">
        <v>3671</v>
      </c>
      <c r="F449" s="15" t="s">
        <v>5299</v>
      </c>
      <c r="G449" s="6" t="s">
        <v>5301</v>
      </c>
      <c r="H449" s="6" t="s">
        <v>340</v>
      </c>
      <c r="I449" s="6" t="s">
        <v>953</v>
      </c>
      <c r="J449" s="6" t="s">
        <v>953</v>
      </c>
    </row>
    <row r="450">
      <c r="A450" s="6">
        <v>448.0</v>
      </c>
      <c r="B450" s="6" t="s">
        <v>41</v>
      </c>
      <c r="C450" s="12" t="s">
        <v>2877</v>
      </c>
      <c r="D450" s="6" t="s">
        <v>2884</v>
      </c>
      <c r="E450" s="6" t="s">
        <v>3423</v>
      </c>
      <c r="F450" s="15" t="s">
        <v>5302</v>
      </c>
      <c r="G450" s="6" t="s">
        <v>5305</v>
      </c>
      <c r="H450" s="6" t="s">
        <v>340</v>
      </c>
      <c r="I450" s="6" t="s">
        <v>953</v>
      </c>
      <c r="J450" s="6" t="s">
        <v>953</v>
      </c>
    </row>
    <row r="451">
      <c r="A451" s="6">
        <v>449.0</v>
      </c>
      <c r="B451" s="6" t="s">
        <v>41</v>
      </c>
      <c r="C451" s="12" t="s">
        <v>2982</v>
      </c>
      <c r="D451" s="6" t="s">
        <v>2884</v>
      </c>
      <c r="E451" s="6" t="s">
        <v>4864</v>
      </c>
      <c r="F451" s="15" t="s">
        <v>5306</v>
      </c>
      <c r="G451" s="6" t="s">
        <v>5308</v>
      </c>
      <c r="H451" s="6" t="s">
        <v>340</v>
      </c>
      <c r="I451" s="6" t="s">
        <v>953</v>
      </c>
      <c r="J451" s="6" t="s">
        <v>953</v>
      </c>
    </row>
    <row r="452">
      <c r="A452" s="6">
        <v>450.0</v>
      </c>
      <c r="B452" s="6" t="s">
        <v>850</v>
      </c>
      <c r="C452" s="12" t="s">
        <v>3075</v>
      </c>
      <c r="D452" s="6" t="s">
        <v>2884</v>
      </c>
      <c r="E452" s="6" t="s">
        <v>5108</v>
      </c>
      <c r="F452" s="15" t="s">
        <v>5309</v>
      </c>
      <c r="G452" s="6" t="s">
        <v>5311</v>
      </c>
      <c r="H452" s="6" t="s">
        <v>340</v>
      </c>
      <c r="I452" s="6" t="s">
        <v>953</v>
      </c>
      <c r="J452" s="6" t="s">
        <v>953</v>
      </c>
    </row>
    <row r="453">
      <c r="A453" s="6">
        <v>451.0</v>
      </c>
      <c r="B453" s="6" t="s">
        <v>240</v>
      </c>
      <c r="C453" s="12" t="s">
        <v>2917</v>
      </c>
      <c r="D453" s="6" t="s">
        <v>2884</v>
      </c>
      <c r="E453" s="6" t="s">
        <v>3181</v>
      </c>
      <c r="F453" s="15" t="s">
        <v>5312</v>
      </c>
      <c r="G453" s="6" t="s">
        <v>5314</v>
      </c>
      <c r="H453" s="6" t="s">
        <v>340</v>
      </c>
      <c r="I453" s="6" t="s">
        <v>953</v>
      </c>
      <c r="J453" s="6" t="s">
        <v>953</v>
      </c>
    </row>
    <row r="454">
      <c r="A454" s="6">
        <v>452.0</v>
      </c>
      <c r="B454" s="6" t="s">
        <v>1001</v>
      </c>
      <c r="C454" s="12" t="s">
        <v>2877</v>
      </c>
      <c r="D454" s="6" t="s">
        <v>2884</v>
      </c>
      <c r="E454" s="6" t="s">
        <v>3853</v>
      </c>
      <c r="F454" s="15" t="s">
        <v>5315</v>
      </c>
      <c r="G454" s="6" t="s">
        <v>5318</v>
      </c>
      <c r="H454" s="6" t="s">
        <v>340</v>
      </c>
      <c r="I454" s="6" t="s">
        <v>953</v>
      </c>
      <c r="J454" s="6" t="s">
        <v>953</v>
      </c>
    </row>
    <row r="455">
      <c r="A455" s="6">
        <v>453.0</v>
      </c>
      <c r="B455" s="6" t="s">
        <v>41</v>
      </c>
      <c r="C455" s="12" t="s">
        <v>2982</v>
      </c>
      <c r="D455" s="6" t="s">
        <v>2884</v>
      </c>
      <c r="E455" s="6" t="s">
        <v>3671</v>
      </c>
      <c r="F455" s="15" t="s">
        <v>5319</v>
      </c>
      <c r="G455" s="6" t="s">
        <v>5321</v>
      </c>
      <c r="H455" s="6" t="s">
        <v>340</v>
      </c>
      <c r="I455" s="6" t="s">
        <v>953</v>
      </c>
      <c r="J455" s="6" t="s">
        <v>953</v>
      </c>
    </row>
    <row r="456">
      <c r="A456" s="6">
        <v>454.0</v>
      </c>
      <c r="B456" s="6" t="s">
        <v>41</v>
      </c>
      <c r="C456" s="12" t="s">
        <v>2877</v>
      </c>
      <c r="D456" s="6" t="s">
        <v>2884</v>
      </c>
      <c r="E456" s="6" t="s">
        <v>3423</v>
      </c>
      <c r="F456" s="15" t="s">
        <v>5323</v>
      </c>
      <c r="G456" s="6" t="s">
        <v>5324</v>
      </c>
      <c r="H456" s="6" t="s">
        <v>340</v>
      </c>
      <c r="I456" s="6" t="s">
        <v>953</v>
      </c>
      <c r="J456" s="6" t="s">
        <v>953</v>
      </c>
    </row>
    <row r="457">
      <c r="A457" s="6">
        <v>455.0</v>
      </c>
      <c r="B457" s="6" t="s">
        <v>41</v>
      </c>
      <c r="C457" s="12" t="s">
        <v>2982</v>
      </c>
      <c r="D457" s="6" t="s">
        <v>2884</v>
      </c>
      <c r="E457" s="6" t="s">
        <v>4864</v>
      </c>
      <c r="F457" s="15" t="s">
        <v>5327</v>
      </c>
      <c r="G457" s="6" t="s">
        <v>5329</v>
      </c>
      <c r="H457" s="6" t="s">
        <v>340</v>
      </c>
      <c r="I457" s="6" t="s">
        <v>953</v>
      </c>
      <c r="J457" s="6" t="s">
        <v>953</v>
      </c>
    </row>
    <row r="458">
      <c r="A458" s="6">
        <v>456.0</v>
      </c>
      <c r="B458" s="6" t="s">
        <v>850</v>
      </c>
      <c r="C458" s="12" t="s">
        <v>3075</v>
      </c>
      <c r="D458" s="6" t="s">
        <v>2884</v>
      </c>
      <c r="E458" s="6" t="s">
        <v>5108</v>
      </c>
      <c r="F458" s="15" t="s">
        <v>5330</v>
      </c>
      <c r="G458" s="6" t="s">
        <v>5332</v>
      </c>
      <c r="H458" s="6" t="s">
        <v>340</v>
      </c>
      <c r="I458" s="6" t="s">
        <v>953</v>
      </c>
      <c r="J458" s="6" t="s">
        <v>953</v>
      </c>
    </row>
    <row r="459">
      <c r="A459" s="6">
        <v>457.0</v>
      </c>
      <c r="B459" s="6" t="s">
        <v>240</v>
      </c>
      <c r="C459" s="12" t="s">
        <v>2917</v>
      </c>
      <c r="D459" s="6" t="s">
        <v>2884</v>
      </c>
      <c r="E459" s="6" t="s">
        <v>3181</v>
      </c>
      <c r="F459" s="15" t="s">
        <v>5333</v>
      </c>
      <c r="G459" s="6" t="s">
        <v>5336</v>
      </c>
      <c r="H459" s="6" t="s">
        <v>340</v>
      </c>
      <c r="I459" s="6" t="s">
        <v>953</v>
      </c>
      <c r="J459" s="6" t="s">
        <v>953</v>
      </c>
    </row>
    <row r="460">
      <c r="A460" s="6">
        <v>458.0</v>
      </c>
      <c r="B460" s="6" t="s">
        <v>1001</v>
      </c>
      <c r="C460" s="12" t="s">
        <v>2877</v>
      </c>
      <c r="D460" s="6" t="s">
        <v>2884</v>
      </c>
      <c r="E460" s="6" t="s">
        <v>3853</v>
      </c>
      <c r="F460" s="15" t="s">
        <v>5337</v>
      </c>
      <c r="G460" s="6" t="s">
        <v>5339</v>
      </c>
      <c r="H460" s="6" t="s">
        <v>340</v>
      </c>
      <c r="I460" s="6" t="s">
        <v>953</v>
      </c>
      <c r="J460" s="6" t="s">
        <v>953</v>
      </c>
    </row>
    <row r="461">
      <c r="A461" s="6">
        <v>459.0</v>
      </c>
      <c r="B461" s="6" t="s">
        <v>41</v>
      </c>
      <c r="C461" s="12" t="s">
        <v>2982</v>
      </c>
      <c r="D461" s="6" t="s">
        <v>2884</v>
      </c>
      <c r="E461" s="6" t="s">
        <v>3671</v>
      </c>
      <c r="F461" s="15" t="s">
        <v>5340</v>
      </c>
      <c r="G461" s="6" t="s">
        <v>5342</v>
      </c>
      <c r="H461" s="6" t="s">
        <v>340</v>
      </c>
      <c r="I461" s="6" t="s">
        <v>953</v>
      </c>
      <c r="J461" s="6" t="s">
        <v>953</v>
      </c>
    </row>
    <row r="462">
      <c r="A462" s="6">
        <v>460.0</v>
      </c>
      <c r="B462" s="6" t="s">
        <v>41</v>
      </c>
      <c r="C462" s="12" t="s">
        <v>2877</v>
      </c>
      <c r="D462" s="6" t="s">
        <v>2884</v>
      </c>
      <c r="E462" s="6" t="s">
        <v>3423</v>
      </c>
      <c r="F462" s="15" t="s">
        <v>5343</v>
      </c>
      <c r="G462" s="6" t="s">
        <v>5345</v>
      </c>
      <c r="H462" s="6" t="s">
        <v>340</v>
      </c>
      <c r="I462" s="6" t="s">
        <v>953</v>
      </c>
      <c r="J462" s="6" t="s">
        <v>953</v>
      </c>
    </row>
    <row r="463">
      <c r="A463" s="6">
        <v>461.0</v>
      </c>
      <c r="B463" s="6" t="s">
        <v>41</v>
      </c>
      <c r="C463" s="12" t="s">
        <v>2982</v>
      </c>
      <c r="D463" s="6" t="s">
        <v>2884</v>
      </c>
      <c r="E463" s="6" t="s">
        <v>4864</v>
      </c>
      <c r="F463" s="15" t="s">
        <v>5346</v>
      </c>
      <c r="G463" s="6" t="s">
        <v>5348</v>
      </c>
      <c r="H463" s="6" t="s">
        <v>340</v>
      </c>
      <c r="I463" s="6" t="s">
        <v>953</v>
      </c>
      <c r="J463" s="6" t="s">
        <v>953</v>
      </c>
    </row>
    <row r="464">
      <c r="A464" s="6">
        <v>462.0</v>
      </c>
      <c r="B464" s="6" t="s">
        <v>850</v>
      </c>
      <c r="C464" s="12" t="s">
        <v>3075</v>
      </c>
      <c r="D464" s="6" t="s">
        <v>2884</v>
      </c>
      <c r="E464" s="6" t="s">
        <v>5108</v>
      </c>
      <c r="F464" s="15" t="s">
        <v>5349</v>
      </c>
      <c r="G464" s="6" t="s">
        <v>5351</v>
      </c>
      <c r="H464" s="6" t="s">
        <v>340</v>
      </c>
      <c r="I464" s="6" t="s">
        <v>953</v>
      </c>
      <c r="J464" s="6" t="s">
        <v>953</v>
      </c>
    </row>
    <row r="465">
      <c r="A465" s="6">
        <v>463.0</v>
      </c>
      <c r="B465" s="6" t="s">
        <v>240</v>
      </c>
      <c r="C465" s="12" t="s">
        <v>2917</v>
      </c>
      <c r="D465" s="6" t="s">
        <v>2884</v>
      </c>
      <c r="E465" s="6" t="s">
        <v>3181</v>
      </c>
      <c r="F465" s="15" t="s">
        <v>5352</v>
      </c>
      <c r="G465" s="6" t="s">
        <v>5354</v>
      </c>
      <c r="H465" s="6" t="s">
        <v>340</v>
      </c>
      <c r="I465" s="6" t="s">
        <v>953</v>
      </c>
      <c r="J465" s="6" t="s">
        <v>953</v>
      </c>
    </row>
    <row r="466">
      <c r="A466" s="6">
        <v>464.0</v>
      </c>
      <c r="B466" s="6" t="s">
        <v>1001</v>
      </c>
      <c r="C466" s="12" t="s">
        <v>2877</v>
      </c>
      <c r="D466" s="6" t="s">
        <v>2884</v>
      </c>
      <c r="E466" s="6" t="s">
        <v>3853</v>
      </c>
      <c r="F466" s="15" t="s">
        <v>5355</v>
      </c>
      <c r="G466" s="6" t="s">
        <v>5357</v>
      </c>
      <c r="H466" s="6" t="s">
        <v>340</v>
      </c>
      <c r="I466" s="6" t="s">
        <v>953</v>
      </c>
      <c r="J466" s="6" t="s">
        <v>953</v>
      </c>
    </row>
    <row r="467">
      <c r="A467" s="6">
        <v>465.0</v>
      </c>
      <c r="B467" s="6" t="s">
        <v>41</v>
      </c>
      <c r="C467" s="12" t="s">
        <v>2982</v>
      </c>
      <c r="D467" s="6" t="s">
        <v>2884</v>
      </c>
      <c r="E467" s="6" t="s">
        <v>3671</v>
      </c>
      <c r="F467" s="15" t="s">
        <v>5358</v>
      </c>
      <c r="G467" s="6" t="s">
        <v>5359</v>
      </c>
      <c r="H467" s="6" t="s">
        <v>340</v>
      </c>
      <c r="I467" s="6" t="s">
        <v>953</v>
      </c>
      <c r="J467" s="6" t="s">
        <v>953</v>
      </c>
    </row>
    <row r="468">
      <c r="A468" s="6">
        <v>466.0</v>
      </c>
      <c r="B468" s="6" t="s">
        <v>41</v>
      </c>
      <c r="C468" s="12" t="s">
        <v>2877</v>
      </c>
      <c r="D468" s="6" t="s">
        <v>2884</v>
      </c>
      <c r="E468" s="6" t="s">
        <v>3423</v>
      </c>
      <c r="F468" s="15" t="s">
        <v>5360</v>
      </c>
      <c r="G468" s="6" t="s">
        <v>5362</v>
      </c>
      <c r="H468" s="6" t="s">
        <v>340</v>
      </c>
      <c r="I468" s="6" t="s">
        <v>953</v>
      </c>
      <c r="J468" s="6" t="s">
        <v>953</v>
      </c>
    </row>
    <row r="469">
      <c r="A469" s="6">
        <v>467.0</v>
      </c>
      <c r="B469" s="6" t="s">
        <v>41</v>
      </c>
      <c r="C469" s="12" t="s">
        <v>2877</v>
      </c>
      <c r="D469" s="6" t="s">
        <v>2884</v>
      </c>
      <c r="E469" s="6" t="s">
        <v>2896</v>
      </c>
      <c r="F469" s="15" t="s">
        <v>5363</v>
      </c>
      <c r="G469" s="6" t="s">
        <v>5365</v>
      </c>
      <c r="H469" s="6" t="s">
        <v>340</v>
      </c>
      <c r="I469" s="6" t="s">
        <v>953</v>
      </c>
      <c r="J469" s="6" t="s">
        <v>953</v>
      </c>
    </row>
    <row r="470">
      <c r="A470" s="6">
        <v>468.0</v>
      </c>
      <c r="B470" s="6" t="s">
        <v>850</v>
      </c>
      <c r="C470" s="12" t="s">
        <v>3075</v>
      </c>
      <c r="D470" s="6" t="s">
        <v>2884</v>
      </c>
      <c r="E470" s="6" t="s">
        <v>5108</v>
      </c>
      <c r="F470" s="15" t="s">
        <v>5366</v>
      </c>
      <c r="G470" s="6" t="s">
        <v>5368</v>
      </c>
      <c r="H470" s="6" t="s">
        <v>340</v>
      </c>
      <c r="I470" s="6" t="s">
        <v>953</v>
      </c>
      <c r="J470" s="6" t="s">
        <v>953</v>
      </c>
    </row>
    <row r="471">
      <c r="A471" s="6">
        <v>469.0</v>
      </c>
      <c r="B471" s="6" t="s">
        <v>240</v>
      </c>
      <c r="C471" s="12" t="s">
        <v>2917</v>
      </c>
      <c r="D471" s="6" t="s">
        <v>2884</v>
      </c>
      <c r="E471" s="6" t="s">
        <v>3181</v>
      </c>
      <c r="F471" s="15" t="s">
        <v>5369</v>
      </c>
      <c r="G471" s="6" t="s">
        <v>5371</v>
      </c>
      <c r="H471" s="6" t="s">
        <v>340</v>
      </c>
      <c r="I471" s="6" t="s">
        <v>953</v>
      </c>
      <c r="J471" s="6" t="s">
        <v>953</v>
      </c>
    </row>
    <row r="472">
      <c r="A472" s="6">
        <v>470.0</v>
      </c>
      <c r="B472" s="6" t="s">
        <v>1001</v>
      </c>
      <c r="C472" s="12" t="s">
        <v>2877</v>
      </c>
      <c r="D472" s="6" t="s">
        <v>2884</v>
      </c>
      <c r="E472" s="6" t="s">
        <v>3853</v>
      </c>
      <c r="F472" s="15" t="s">
        <v>5372</v>
      </c>
      <c r="G472" s="6" t="s">
        <v>5374</v>
      </c>
      <c r="H472" s="6" t="s">
        <v>340</v>
      </c>
      <c r="I472" s="6" t="s">
        <v>953</v>
      </c>
      <c r="J472" s="6" t="s">
        <v>953</v>
      </c>
    </row>
    <row r="473">
      <c r="A473" s="6">
        <v>471.0</v>
      </c>
      <c r="B473" s="6" t="s">
        <v>41</v>
      </c>
      <c r="C473" s="12" t="s">
        <v>2982</v>
      </c>
      <c r="D473" s="6" t="s">
        <v>2884</v>
      </c>
      <c r="E473" s="6" t="s">
        <v>3671</v>
      </c>
      <c r="F473" s="15" t="s">
        <v>5375</v>
      </c>
      <c r="G473" s="6" t="s">
        <v>5377</v>
      </c>
      <c r="H473" s="6" t="s">
        <v>340</v>
      </c>
      <c r="I473" s="6" t="s">
        <v>953</v>
      </c>
      <c r="J473" s="6" t="s">
        <v>953</v>
      </c>
    </row>
    <row r="474">
      <c r="A474" s="6">
        <v>472.0</v>
      </c>
      <c r="B474" s="6" t="s">
        <v>41</v>
      </c>
      <c r="C474" s="12" t="s">
        <v>2877</v>
      </c>
      <c r="D474" s="6" t="s">
        <v>2884</v>
      </c>
      <c r="E474" s="6" t="s">
        <v>3423</v>
      </c>
      <c r="F474" s="15" t="s">
        <v>5378</v>
      </c>
      <c r="G474" s="6" t="s">
        <v>5379</v>
      </c>
      <c r="H474" s="6" t="s">
        <v>340</v>
      </c>
      <c r="I474" s="6" t="s">
        <v>953</v>
      </c>
      <c r="J474" s="6" t="s">
        <v>953</v>
      </c>
    </row>
    <row r="475">
      <c r="A475" s="6">
        <v>473.0</v>
      </c>
      <c r="B475" s="6" t="s">
        <v>41</v>
      </c>
      <c r="C475" s="12" t="s">
        <v>2982</v>
      </c>
      <c r="D475" s="6" t="s">
        <v>2884</v>
      </c>
      <c r="E475" s="6" t="s">
        <v>4864</v>
      </c>
      <c r="F475" s="15" t="s">
        <v>5381</v>
      </c>
      <c r="G475" s="6" t="s">
        <v>5382</v>
      </c>
      <c r="H475" s="6" t="s">
        <v>340</v>
      </c>
      <c r="I475" s="6" t="s">
        <v>953</v>
      </c>
      <c r="J475" s="6" t="s">
        <v>953</v>
      </c>
    </row>
    <row r="476">
      <c r="A476" s="6">
        <v>474.0</v>
      </c>
      <c r="B476" s="6" t="s">
        <v>850</v>
      </c>
      <c r="C476" s="12" t="s">
        <v>3075</v>
      </c>
      <c r="D476" s="6" t="s">
        <v>2884</v>
      </c>
      <c r="E476" s="6" t="s">
        <v>5108</v>
      </c>
      <c r="F476" s="15" t="s">
        <v>5383</v>
      </c>
      <c r="G476" s="6" t="s">
        <v>5385</v>
      </c>
      <c r="H476" s="6" t="s">
        <v>340</v>
      </c>
      <c r="I476" s="6" t="s">
        <v>953</v>
      </c>
      <c r="J476" s="6" t="s">
        <v>953</v>
      </c>
    </row>
    <row r="477">
      <c r="A477" s="6">
        <v>475.0</v>
      </c>
      <c r="B477" s="6" t="s">
        <v>240</v>
      </c>
      <c r="C477" s="12" t="s">
        <v>2917</v>
      </c>
      <c r="D477" s="6" t="s">
        <v>2884</v>
      </c>
      <c r="E477" s="6" t="s">
        <v>3181</v>
      </c>
      <c r="F477" s="15" t="s">
        <v>5386</v>
      </c>
      <c r="G477" s="6" t="s">
        <v>5388</v>
      </c>
      <c r="H477" s="6" t="s">
        <v>340</v>
      </c>
      <c r="I477" s="6" t="s">
        <v>953</v>
      </c>
      <c r="J477" s="6" t="s">
        <v>953</v>
      </c>
    </row>
    <row r="478">
      <c r="A478" s="6">
        <v>476.0</v>
      </c>
      <c r="B478" s="6" t="s">
        <v>1001</v>
      </c>
      <c r="C478" s="12" t="s">
        <v>2877</v>
      </c>
      <c r="D478" s="6" t="s">
        <v>2884</v>
      </c>
      <c r="E478" s="6" t="s">
        <v>3853</v>
      </c>
      <c r="F478" s="15" t="s">
        <v>5389</v>
      </c>
      <c r="G478" s="6" t="s">
        <v>5390</v>
      </c>
      <c r="H478" s="6" t="s">
        <v>340</v>
      </c>
      <c r="I478" s="6" t="s">
        <v>953</v>
      </c>
      <c r="J478" s="6" t="s">
        <v>953</v>
      </c>
    </row>
    <row r="479">
      <c r="A479" s="6">
        <v>477.0</v>
      </c>
      <c r="B479" s="6" t="s">
        <v>41</v>
      </c>
      <c r="C479" s="12" t="s">
        <v>2982</v>
      </c>
      <c r="D479" s="6" t="s">
        <v>2884</v>
      </c>
      <c r="E479" s="6" t="s">
        <v>3671</v>
      </c>
      <c r="F479" s="15" t="s">
        <v>5392</v>
      </c>
      <c r="G479" s="6" t="s">
        <v>5393</v>
      </c>
      <c r="H479" s="6" t="s">
        <v>340</v>
      </c>
      <c r="I479" s="6" t="s">
        <v>953</v>
      </c>
      <c r="J479" s="6" t="s">
        <v>953</v>
      </c>
    </row>
    <row r="480">
      <c r="A480" s="6">
        <v>478.0</v>
      </c>
      <c r="B480" s="6" t="s">
        <v>41</v>
      </c>
      <c r="C480" s="12" t="s">
        <v>2877</v>
      </c>
      <c r="D480" s="6" t="s">
        <v>2884</v>
      </c>
      <c r="E480" s="6" t="s">
        <v>3423</v>
      </c>
      <c r="F480" s="15" t="s">
        <v>5394</v>
      </c>
      <c r="G480" s="6" t="s">
        <v>5396</v>
      </c>
      <c r="H480" s="6" t="s">
        <v>340</v>
      </c>
      <c r="I480" s="6" t="s">
        <v>953</v>
      </c>
      <c r="J480" s="6" t="s">
        <v>953</v>
      </c>
    </row>
    <row r="481">
      <c r="A481" s="6">
        <v>479.0</v>
      </c>
      <c r="B481" s="6" t="s">
        <v>41</v>
      </c>
      <c r="C481" s="12" t="s">
        <v>2982</v>
      </c>
      <c r="D481" s="6" t="s">
        <v>2884</v>
      </c>
      <c r="E481" s="6" t="s">
        <v>4864</v>
      </c>
      <c r="F481" s="15" t="s">
        <v>5397</v>
      </c>
      <c r="G481" s="6" t="s">
        <v>5399</v>
      </c>
      <c r="H481" s="6" t="s">
        <v>340</v>
      </c>
      <c r="I481" s="6" t="s">
        <v>953</v>
      </c>
      <c r="J481" s="6" t="s">
        <v>953</v>
      </c>
    </row>
    <row r="482">
      <c r="A482" s="6">
        <v>480.0</v>
      </c>
      <c r="B482" s="6" t="s">
        <v>850</v>
      </c>
      <c r="C482" s="12" t="s">
        <v>3075</v>
      </c>
      <c r="D482" s="6" t="s">
        <v>2884</v>
      </c>
      <c r="E482" s="6" t="s">
        <v>5108</v>
      </c>
      <c r="F482" s="15" t="s">
        <v>5400</v>
      </c>
      <c r="G482" s="6" t="s">
        <v>5401</v>
      </c>
      <c r="H482" s="6" t="s">
        <v>340</v>
      </c>
      <c r="I482" s="6" t="s">
        <v>953</v>
      </c>
      <c r="J482" s="6" t="s">
        <v>953</v>
      </c>
    </row>
    <row r="483">
      <c r="A483" s="6">
        <v>481.0</v>
      </c>
      <c r="B483" s="6" t="s">
        <v>240</v>
      </c>
      <c r="C483" s="12" t="s">
        <v>2917</v>
      </c>
      <c r="D483" s="6" t="s">
        <v>2884</v>
      </c>
      <c r="E483" s="6" t="s">
        <v>3181</v>
      </c>
      <c r="F483" s="15" t="s">
        <v>5403</v>
      </c>
      <c r="G483" s="6" t="s">
        <v>5404</v>
      </c>
      <c r="H483" s="6" t="s">
        <v>340</v>
      </c>
      <c r="I483" s="6" t="s">
        <v>953</v>
      </c>
      <c r="J483" s="6" t="s">
        <v>953</v>
      </c>
    </row>
    <row r="484">
      <c r="A484" s="6">
        <v>482.0</v>
      </c>
      <c r="B484" s="6" t="s">
        <v>1001</v>
      </c>
      <c r="C484" s="12" t="s">
        <v>2877</v>
      </c>
      <c r="D484" s="6" t="s">
        <v>2884</v>
      </c>
      <c r="E484" s="6" t="s">
        <v>3853</v>
      </c>
      <c r="F484" s="15" t="s">
        <v>5406</v>
      </c>
      <c r="G484" s="6" t="s">
        <v>5407</v>
      </c>
      <c r="H484" s="6" t="s">
        <v>340</v>
      </c>
      <c r="I484" s="6" t="s">
        <v>953</v>
      </c>
      <c r="J484" s="6" t="s">
        <v>953</v>
      </c>
    </row>
    <row r="485">
      <c r="A485" s="6">
        <v>483.0</v>
      </c>
      <c r="B485" s="6" t="s">
        <v>41</v>
      </c>
      <c r="C485" s="12" t="s">
        <v>2982</v>
      </c>
      <c r="D485" s="6" t="s">
        <v>2884</v>
      </c>
      <c r="E485" s="6" t="s">
        <v>3671</v>
      </c>
      <c r="F485" s="15" t="s">
        <v>5408</v>
      </c>
      <c r="G485" s="6" t="s">
        <v>5410</v>
      </c>
      <c r="H485" s="6" t="s">
        <v>340</v>
      </c>
      <c r="I485" s="6" t="s">
        <v>953</v>
      </c>
      <c r="J485" s="6" t="s">
        <v>953</v>
      </c>
    </row>
    <row r="486">
      <c r="A486" s="6">
        <v>484.0</v>
      </c>
      <c r="B486" s="6" t="s">
        <v>41</v>
      </c>
      <c r="C486" s="12" t="s">
        <v>2877</v>
      </c>
      <c r="D486" s="6" t="s">
        <v>2884</v>
      </c>
      <c r="E486" s="6" t="s">
        <v>3423</v>
      </c>
      <c r="F486" s="15" t="s">
        <v>5411</v>
      </c>
      <c r="G486" s="6" t="s">
        <v>5413</v>
      </c>
      <c r="H486" s="6" t="s">
        <v>340</v>
      </c>
      <c r="I486" s="6" t="s">
        <v>953</v>
      </c>
      <c r="J486" s="6" t="s">
        <v>953</v>
      </c>
    </row>
    <row r="487">
      <c r="A487" s="6">
        <v>485.0</v>
      </c>
      <c r="B487" s="6" t="s">
        <v>41</v>
      </c>
      <c r="C487" s="12" t="s">
        <v>2982</v>
      </c>
      <c r="D487" s="6" t="s">
        <v>2884</v>
      </c>
      <c r="E487" s="6" t="s">
        <v>2987</v>
      </c>
      <c r="F487" s="15" t="s">
        <v>5414</v>
      </c>
      <c r="G487" s="6" t="s">
        <v>5415</v>
      </c>
      <c r="H487" s="6" t="s">
        <v>100</v>
      </c>
      <c r="I487" s="6" t="s">
        <v>953</v>
      </c>
      <c r="J487" s="6" t="s">
        <v>953</v>
      </c>
    </row>
    <row r="488">
      <c r="A488" s="6">
        <v>486.0</v>
      </c>
      <c r="B488" s="6" t="s">
        <v>850</v>
      </c>
      <c r="C488" s="12" t="s">
        <v>3075</v>
      </c>
      <c r="D488" s="6" t="s">
        <v>2884</v>
      </c>
      <c r="E488" s="6" t="s">
        <v>5108</v>
      </c>
      <c r="F488" s="15" t="s">
        <v>5417</v>
      </c>
      <c r="G488" s="6" t="s">
        <v>5418</v>
      </c>
      <c r="H488" s="6" t="s">
        <v>340</v>
      </c>
      <c r="I488" s="6" t="s">
        <v>953</v>
      </c>
      <c r="J488" s="6" t="s">
        <v>953</v>
      </c>
    </row>
    <row r="489">
      <c r="A489" s="6">
        <v>487.0</v>
      </c>
      <c r="B489" s="6" t="s">
        <v>240</v>
      </c>
      <c r="C489" s="12" t="s">
        <v>2917</v>
      </c>
      <c r="D489" s="6" t="s">
        <v>2884</v>
      </c>
      <c r="E489" s="6" t="s">
        <v>3181</v>
      </c>
      <c r="F489" s="15" t="s">
        <v>5419</v>
      </c>
      <c r="G489" s="6" t="s">
        <v>5421</v>
      </c>
      <c r="H489" s="6" t="s">
        <v>340</v>
      </c>
      <c r="I489" s="6" t="s">
        <v>953</v>
      </c>
      <c r="J489" s="6" t="s">
        <v>953</v>
      </c>
    </row>
    <row r="490">
      <c r="A490" s="6">
        <v>488.0</v>
      </c>
      <c r="B490" s="6" t="s">
        <v>1001</v>
      </c>
      <c r="C490" s="12" t="s">
        <v>2877</v>
      </c>
      <c r="D490" s="6" t="s">
        <v>2884</v>
      </c>
      <c r="E490" s="6" t="s">
        <v>3853</v>
      </c>
      <c r="F490" s="15" t="s">
        <v>5422</v>
      </c>
      <c r="G490" s="6" t="s">
        <v>5424</v>
      </c>
      <c r="H490" s="6" t="s">
        <v>340</v>
      </c>
      <c r="I490" s="6" t="s">
        <v>953</v>
      </c>
      <c r="J490" s="6" t="s">
        <v>953</v>
      </c>
    </row>
    <row r="491">
      <c r="A491" s="6">
        <v>489.0</v>
      </c>
      <c r="B491" s="6" t="s">
        <v>41</v>
      </c>
      <c r="C491" s="12" t="s">
        <v>2982</v>
      </c>
      <c r="D491" s="6" t="s">
        <v>2884</v>
      </c>
      <c r="E491" s="6" t="s">
        <v>3024</v>
      </c>
      <c r="F491" s="15" t="s">
        <v>5425</v>
      </c>
      <c r="G491" s="6" t="s">
        <v>5426</v>
      </c>
      <c r="H491" s="6" t="s">
        <v>100</v>
      </c>
      <c r="I491" s="6" t="s">
        <v>953</v>
      </c>
      <c r="J491" s="6" t="s">
        <v>953</v>
      </c>
    </row>
    <row r="492">
      <c r="A492" s="6">
        <v>490.0</v>
      </c>
      <c r="B492" s="6" t="s">
        <v>3149</v>
      </c>
      <c r="C492" s="12" t="s">
        <v>3151</v>
      </c>
      <c r="D492" s="6" t="s">
        <v>2884</v>
      </c>
      <c r="E492" s="6" t="s">
        <v>3155</v>
      </c>
      <c r="F492" s="15" t="s">
        <v>5427</v>
      </c>
      <c r="G492" s="6" t="s">
        <v>5429</v>
      </c>
      <c r="H492" s="6" t="s">
        <v>100</v>
      </c>
      <c r="I492" s="6" t="s">
        <v>953</v>
      </c>
      <c r="J492" s="6" t="s">
        <v>953</v>
      </c>
    </row>
    <row r="493">
      <c r="A493" s="6">
        <v>491.0</v>
      </c>
      <c r="B493" s="6" t="s">
        <v>41</v>
      </c>
      <c r="C493" s="12" t="s">
        <v>2982</v>
      </c>
      <c r="D493" s="6" t="s">
        <v>2884</v>
      </c>
      <c r="E493" s="6" t="s">
        <v>4864</v>
      </c>
      <c r="F493" s="15" t="s">
        <v>5430</v>
      </c>
      <c r="G493" s="6" t="s">
        <v>5432</v>
      </c>
      <c r="H493" s="6" t="s">
        <v>340</v>
      </c>
      <c r="I493" s="6" t="s">
        <v>953</v>
      </c>
      <c r="J493" s="6" t="s">
        <v>953</v>
      </c>
    </row>
    <row r="494">
      <c r="A494" s="6">
        <v>492.0</v>
      </c>
      <c r="B494" s="6" t="s">
        <v>850</v>
      </c>
      <c r="C494" s="12" t="s">
        <v>3075</v>
      </c>
      <c r="D494" s="6" t="s">
        <v>2884</v>
      </c>
      <c r="E494" s="6" t="s">
        <v>5108</v>
      </c>
      <c r="F494" s="15" t="s">
        <v>5433</v>
      </c>
      <c r="G494" s="6" t="s">
        <v>5435</v>
      </c>
      <c r="H494" s="6" t="s">
        <v>340</v>
      </c>
      <c r="I494" s="6" t="s">
        <v>953</v>
      </c>
      <c r="J494" s="6" t="s">
        <v>953</v>
      </c>
    </row>
    <row r="495">
      <c r="A495" s="6">
        <v>493.0</v>
      </c>
      <c r="B495" s="6" t="s">
        <v>240</v>
      </c>
      <c r="C495" s="12" t="s">
        <v>2917</v>
      </c>
      <c r="D495" s="6" t="s">
        <v>2884</v>
      </c>
      <c r="E495" s="6" t="s">
        <v>3181</v>
      </c>
      <c r="F495" s="15" t="s">
        <v>5436</v>
      </c>
      <c r="G495" s="6" t="s">
        <v>5437</v>
      </c>
      <c r="H495" s="6" t="s">
        <v>340</v>
      </c>
      <c r="I495" s="6" t="s">
        <v>953</v>
      </c>
      <c r="J495" s="6" t="s">
        <v>953</v>
      </c>
    </row>
    <row r="496">
      <c r="A496" s="6">
        <v>494.0</v>
      </c>
      <c r="B496" s="6" t="s">
        <v>1001</v>
      </c>
      <c r="C496" s="12" t="s">
        <v>2877</v>
      </c>
      <c r="D496" s="6" t="s">
        <v>2884</v>
      </c>
      <c r="E496" s="6" t="s">
        <v>3853</v>
      </c>
      <c r="F496" s="15" t="s">
        <v>5438</v>
      </c>
      <c r="G496" s="6" t="s">
        <v>5440</v>
      </c>
      <c r="H496" s="6" t="s">
        <v>340</v>
      </c>
      <c r="I496" s="6" t="s">
        <v>953</v>
      </c>
      <c r="J496" s="6" t="s">
        <v>953</v>
      </c>
    </row>
    <row r="497">
      <c r="A497" s="6">
        <v>495.0</v>
      </c>
      <c r="B497" s="6" t="s">
        <v>41</v>
      </c>
      <c r="C497" s="12" t="s">
        <v>2982</v>
      </c>
      <c r="D497" s="6" t="s">
        <v>2884</v>
      </c>
      <c r="E497" s="6" t="s">
        <v>3671</v>
      </c>
      <c r="F497" s="15" t="s">
        <v>5441</v>
      </c>
      <c r="G497" s="6" t="s">
        <v>5443</v>
      </c>
      <c r="H497" s="6" t="s">
        <v>340</v>
      </c>
      <c r="I497" s="6" t="s">
        <v>953</v>
      </c>
      <c r="J497" s="6" t="s">
        <v>953</v>
      </c>
    </row>
    <row r="498">
      <c r="A498" s="6">
        <v>496.0</v>
      </c>
      <c r="B498" s="6" t="s">
        <v>41</v>
      </c>
      <c r="C498" s="12" t="s">
        <v>2877</v>
      </c>
      <c r="D498" s="6" t="s">
        <v>2884</v>
      </c>
      <c r="E498" s="6" t="s">
        <v>3423</v>
      </c>
      <c r="F498" s="15" t="s">
        <v>5444</v>
      </c>
      <c r="G498" s="6" t="s">
        <v>5445</v>
      </c>
      <c r="H498" s="6" t="s">
        <v>340</v>
      </c>
      <c r="I498" s="6" t="s">
        <v>953</v>
      </c>
      <c r="J498" s="6" t="s">
        <v>953</v>
      </c>
    </row>
    <row r="499">
      <c r="A499" s="6">
        <v>497.0</v>
      </c>
      <c r="B499" s="6" t="s">
        <v>41</v>
      </c>
      <c r="C499" s="12" t="s">
        <v>2982</v>
      </c>
      <c r="D499" s="6" t="s">
        <v>2884</v>
      </c>
      <c r="E499" s="6" t="s">
        <v>4864</v>
      </c>
      <c r="F499" s="15" t="s">
        <v>5446</v>
      </c>
      <c r="G499" s="6" t="s">
        <v>5448</v>
      </c>
      <c r="H499" s="6" t="s">
        <v>340</v>
      </c>
      <c r="I499" s="6" t="s">
        <v>953</v>
      </c>
      <c r="J499" s="6" t="s">
        <v>953</v>
      </c>
    </row>
    <row r="500">
      <c r="A500" s="6">
        <v>498.0</v>
      </c>
      <c r="B500" s="6" t="s">
        <v>850</v>
      </c>
      <c r="C500" s="12" t="s">
        <v>3075</v>
      </c>
      <c r="D500" s="6" t="s">
        <v>2884</v>
      </c>
      <c r="E500" s="6" t="s">
        <v>5108</v>
      </c>
      <c r="F500" s="15" t="s">
        <v>5449</v>
      </c>
      <c r="G500" s="6" t="s">
        <v>5450</v>
      </c>
      <c r="H500" s="6" t="s">
        <v>340</v>
      </c>
      <c r="I500" s="6" t="s">
        <v>953</v>
      </c>
      <c r="J500" s="6" t="s">
        <v>953</v>
      </c>
    </row>
    <row r="501">
      <c r="A501" s="6">
        <v>499.0</v>
      </c>
      <c r="B501" s="6" t="s">
        <v>251</v>
      </c>
      <c r="C501" s="12" t="s">
        <v>2877</v>
      </c>
      <c r="D501" s="6" t="s">
        <v>2884</v>
      </c>
      <c r="E501" s="6" t="s">
        <v>3123</v>
      </c>
      <c r="F501" s="15" t="s">
        <v>5452</v>
      </c>
      <c r="G501" s="6" t="s">
        <v>5453</v>
      </c>
      <c r="H501" s="6" t="s">
        <v>100</v>
      </c>
      <c r="I501" s="6" t="s">
        <v>953</v>
      </c>
      <c r="J501" s="6" t="s">
        <v>953</v>
      </c>
    </row>
    <row r="502">
      <c r="A502" s="6">
        <v>500.0</v>
      </c>
      <c r="B502" s="6" t="s">
        <v>1001</v>
      </c>
      <c r="C502" s="12" t="s">
        <v>2877</v>
      </c>
      <c r="D502" s="6" t="s">
        <v>2884</v>
      </c>
      <c r="E502" s="6" t="s">
        <v>2885</v>
      </c>
      <c r="F502" s="15" t="s">
        <v>5454</v>
      </c>
      <c r="G502" s="6" t="s">
        <v>5456</v>
      </c>
      <c r="H502" s="6" t="s">
        <v>100</v>
      </c>
      <c r="I502" s="6" t="s">
        <v>953</v>
      </c>
      <c r="J502" s="6" t="s">
        <v>953</v>
      </c>
    </row>
    <row r="503">
      <c r="A503" s="6">
        <v>501.0</v>
      </c>
      <c r="B503" s="6" t="s">
        <v>41</v>
      </c>
      <c r="C503" s="12" t="s">
        <v>2982</v>
      </c>
      <c r="D503" s="6" t="s">
        <v>2884</v>
      </c>
      <c r="E503" s="6" t="s">
        <v>3024</v>
      </c>
      <c r="F503" s="15" t="s">
        <v>5457</v>
      </c>
      <c r="G503" s="6" t="s">
        <v>5459</v>
      </c>
      <c r="H503" s="6" t="s">
        <v>100</v>
      </c>
      <c r="I503" s="6" t="s">
        <v>953</v>
      </c>
      <c r="J503" s="6" t="s">
        <v>953</v>
      </c>
    </row>
    <row r="504">
      <c r="A504" s="6">
        <v>502.0</v>
      </c>
      <c r="B504" s="6" t="s">
        <v>3149</v>
      </c>
      <c r="C504" s="12" t="s">
        <v>3151</v>
      </c>
      <c r="D504" s="6" t="s">
        <v>2884</v>
      </c>
      <c r="E504" s="6" t="s">
        <v>3155</v>
      </c>
      <c r="F504" s="15" t="s">
        <v>5460</v>
      </c>
      <c r="G504" s="6" t="s">
        <v>5461</v>
      </c>
      <c r="H504" s="6" t="s">
        <v>100</v>
      </c>
      <c r="I504" s="6" t="s">
        <v>953</v>
      </c>
      <c r="J504" s="6" t="s">
        <v>953</v>
      </c>
    </row>
    <row r="505">
      <c r="A505" s="6">
        <v>503.0</v>
      </c>
      <c r="B505" s="6" t="s">
        <v>240</v>
      </c>
      <c r="C505" s="12" t="s">
        <v>2917</v>
      </c>
      <c r="D505" s="6" t="s">
        <v>2884</v>
      </c>
      <c r="E505" s="6" t="s">
        <v>2920</v>
      </c>
      <c r="F505" s="15" t="s">
        <v>5462</v>
      </c>
      <c r="G505" s="6" t="s">
        <v>5464</v>
      </c>
      <c r="H505" s="6" t="s">
        <v>100</v>
      </c>
      <c r="I505" s="6" t="s">
        <v>953</v>
      </c>
      <c r="J505" s="6" t="s">
        <v>953</v>
      </c>
    </row>
    <row r="506">
      <c r="A506" s="6">
        <v>504.0</v>
      </c>
      <c r="B506" s="6" t="s">
        <v>110</v>
      </c>
      <c r="C506" s="12" t="s">
        <v>2930</v>
      </c>
      <c r="D506" s="6" t="s">
        <v>2884</v>
      </c>
      <c r="E506" s="6" t="s">
        <v>2933</v>
      </c>
      <c r="F506" s="15" t="s">
        <v>5465</v>
      </c>
      <c r="G506" s="6" t="s">
        <v>5467</v>
      </c>
      <c r="H506" s="6" t="s">
        <v>100</v>
      </c>
      <c r="I506" s="6" t="s">
        <v>953</v>
      </c>
      <c r="J506" s="6" t="s">
        <v>953</v>
      </c>
    </row>
    <row r="507">
      <c r="A507" s="6">
        <v>505.0</v>
      </c>
      <c r="B507" s="6" t="s">
        <v>41</v>
      </c>
      <c r="C507" s="12" t="s">
        <v>2877</v>
      </c>
      <c r="D507" s="6" t="s">
        <v>2884</v>
      </c>
      <c r="E507" s="6" t="s">
        <v>2946</v>
      </c>
      <c r="F507" s="15" t="s">
        <v>5468</v>
      </c>
      <c r="G507" s="6" t="s">
        <v>5469</v>
      </c>
      <c r="H507" s="6" t="s">
        <v>100</v>
      </c>
      <c r="I507" s="6" t="s">
        <v>953</v>
      </c>
      <c r="J507" s="6" t="s">
        <v>953</v>
      </c>
    </row>
    <row r="508">
      <c r="A508" s="6">
        <v>506.0</v>
      </c>
      <c r="B508" s="6" t="s">
        <v>41</v>
      </c>
      <c r="C508" s="12" t="s">
        <v>2877</v>
      </c>
      <c r="D508" s="6" t="s">
        <v>2884</v>
      </c>
      <c r="E508" s="6" t="s">
        <v>2952</v>
      </c>
      <c r="F508" s="15" t="s">
        <v>5471</v>
      </c>
      <c r="G508" s="6" t="s">
        <v>5472</v>
      </c>
      <c r="H508" s="6" t="s">
        <v>100</v>
      </c>
      <c r="I508" s="6" t="s">
        <v>953</v>
      </c>
      <c r="J508" s="6" t="s">
        <v>953</v>
      </c>
    </row>
    <row r="509">
      <c r="A509" s="6">
        <v>507.0</v>
      </c>
      <c r="B509" s="6" t="s">
        <v>850</v>
      </c>
      <c r="C509" s="12" t="s">
        <v>3075</v>
      </c>
      <c r="D509" s="6" t="s">
        <v>2884</v>
      </c>
      <c r="E509" s="6" t="s">
        <v>3080</v>
      </c>
      <c r="F509" s="15" t="s">
        <v>5473</v>
      </c>
      <c r="G509" s="6" t="s">
        <v>5475</v>
      </c>
      <c r="H509" s="6" t="s">
        <v>100</v>
      </c>
      <c r="I509" s="6" t="s">
        <v>953</v>
      </c>
      <c r="J509" s="6" t="s">
        <v>953</v>
      </c>
    </row>
    <row r="510">
      <c r="A510" s="6">
        <v>508.0</v>
      </c>
      <c r="B510" s="6" t="s">
        <v>1001</v>
      </c>
      <c r="C510" s="12" t="s">
        <v>2877</v>
      </c>
      <c r="D510" s="6" t="s">
        <v>2884</v>
      </c>
      <c r="E510" s="6" t="s">
        <v>3089</v>
      </c>
      <c r="F510" s="15" t="s">
        <v>5476</v>
      </c>
      <c r="G510" s="6" t="s">
        <v>5477</v>
      </c>
      <c r="H510" s="6" t="s">
        <v>100</v>
      </c>
      <c r="I510" s="6" t="s">
        <v>953</v>
      </c>
      <c r="J510" s="6" t="s">
        <v>953</v>
      </c>
    </row>
    <row r="511">
      <c r="A511" s="6">
        <v>509.0</v>
      </c>
      <c r="B511" s="6" t="s">
        <v>41</v>
      </c>
      <c r="C511" s="12" t="s">
        <v>2982</v>
      </c>
      <c r="D511" s="6" t="s">
        <v>2884</v>
      </c>
      <c r="E511" s="6" t="s">
        <v>2987</v>
      </c>
      <c r="F511" s="15" t="s">
        <v>5479</v>
      </c>
      <c r="G511" s="6" t="s">
        <v>5480</v>
      </c>
      <c r="H511" s="6" t="s">
        <v>100</v>
      </c>
      <c r="I511" s="6" t="s">
        <v>953</v>
      </c>
      <c r="J511" s="6" t="s">
        <v>953</v>
      </c>
    </row>
    <row r="512">
      <c r="A512" s="6">
        <v>510.0</v>
      </c>
      <c r="B512" s="6" t="s">
        <v>240</v>
      </c>
      <c r="C512" s="12" t="s">
        <v>2917</v>
      </c>
      <c r="D512" s="6" t="s">
        <v>2884</v>
      </c>
      <c r="E512" s="6" t="s">
        <v>2995</v>
      </c>
      <c r="F512" s="15" t="s">
        <v>5481</v>
      </c>
      <c r="G512" s="6" t="s">
        <v>5483</v>
      </c>
      <c r="H512" s="6" t="s">
        <v>100</v>
      </c>
      <c r="I512" s="6" t="s">
        <v>953</v>
      </c>
      <c r="J512" s="6" t="s">
        <v>953</v>
      </c>
    </row>
    <row r="513">
      <c r="A513" s="6">
        <v>511.0</v>
      </c>
      <c r="B513" s="6" t="s">
        <v>251</v>
      </c>
      <c r="C513" s="12" t="s">
        <v>2877</v>
      </c>
      <c r="D513" s="6" t="s">
        <v>2884</v>
      </c>
      <c r="E513" s="6" t="s">
        <v>3123</v>
      </c>
      <c r="F513" s="15" t="s">
        <v>5484</v>
      </c>
      <c r="G513" s="6" t="s">
        <v>5485</v>
      </c>
      <c r="H513" s="6" t="s">
        <v>100</v>
      </c>
      <c r="I513" s="6" t="s">
        <v>953</v>
      </c>
      <c r="J513" s="6" t="s">
        <v>953</v>
      </c>
    </row>
    <row r="514">
      <c r="A514" s="6">
        <v>512.0</v>
      </c>
      <c r="B514" s="6" t="s">
        <v>1001</v>
      </c>
      <c r="C514" s="12" t="s">
        <v>2877</v>
      </c>
      <c r="D514" s="6" t="s">
        <v>2884</v>
      </c>
      <c r="E514" s="6" t="s">
        <v>2885</v>
      </c>
      <c r="F514" s="15" t="s">
        <v>5486</v>
      </c>
      <c r="G514" s="6" t="s">
        <v>5488</v>
      </c>
      <c r="H514" s="6" t="s">
        <v>100</v>
      </c>
      <c r="I514" s="6" t="s">
        <v>953</v>
      </c>
      <c r="J514" s="6" t="s">
        <v>953</v>
      </c>
    </row>
    <row r="515">
      <c r="A515" s="6">
        <v>513.0</v>
      </c>
      <c r="B515" s="6" t="s">
        <v>41</v>
      </c>
      <c r="C515" s="12" t="s">
        <v>2982</v>
      </c>
      <c r="D515" s="6" t="s">
        <v>2884</v>
      </c>
      <c r="E515" s="6" t="s">
        <v>3024</v>
      </c>
      <c r="F515" s="15" t="s">
        <v>5489</v>
      </c>
      <c r="G515" s="6" t="s">
        <v>5491</v>
      </c>
      <c r="H515" s="6" t="s">
        <v>100</v>
      </c>
      <c r="I515" s="6" t="s">
        <v>953</v>
      </c>
      <c r="J515" s="6" t="s">
        <v>953</v>
      </c>
    </row>
    <row r="516">
      <c r="A516" s="6">
        <v>514.0</v>
      </c>
      <c r="B516" s="6" t="s">
        <v>3149</v>
      </c>
      <c r="C516" s="12" t="s">
        <v>3151</v>
      </c>
      <c r="D516" s="6" t="s">
        <v>2884</v>
      </c>
      <c r="E516" s="6" t="s">
        <v>3155</v>
      </c>
      <c r="F516" s="15" t="s">
        <v>5492</v>
      </c>
      <c r="G516" s="6" t="s">
        <v>5493</v>
      </c>
      <c r="H516" s="6" t="s">
        <v>100</v>
      </c>
      <c r="I516" s="6" t="s">
        <v>953</v>
      </c>
      <c r="J516" s="6" t="s">
        <v>953</v>
      </c>
    </row>
    <row r="517">
      <c r="A517" s="6">
        <v>515.0</v>
      </c>
      <c r="B517" s="6" t="s">
        <v>240</v>
      </c>
      <c r="C517" s="12" t="s">
        <v>2917</v>
      </c>
      <c r="D517" s="6" t="s">
        <v>2884</v>
      </c>
      <c r="E517" s="6" t="s">
        <v>2920</v>
      </c>
      <c r="F517" s="15" t="s">
        <v>5494</v>
      </c>
      <c r="G517" s="6" t="s">
        <v>5496</v>
      </c>
      <c r="H517" s="6" t="s">
        <v>100</v>
      </c>
      <c r="I517" s="6" t="s">
        <v>953</v>
      </c>
      <c r="J517" s="6" t="s">
        <v>953</v>
      </c>
    </row>
    <row r="518">
      <c r="A518" s="6">
        <v>516.0</v>
      </c>
      <c r="B518" s="6" t="s">
        <v>110</v>
      </c>
      <c r="C518" s="12" t="s">
        <v>2930</v>
      </c>
      <c r="D518" s="6" t="s">
        <v>2884</v>
      </c>
      <c r="E518" s="6" t="s">
        <v>2933</v>
      </c>
      <c r="F518" s="15" t="s">
        <v>5497</v>
      </c>
      <c r="G518" s="6" t="s">
        <v>5498</v>
      </c>
      <c r="H518" s="6" t="s">
        <v>100</v>
      </c>
      <c r="I518" s="6" t="s">
        <v>953</v>
      </c>
      <c r="J518" s="6" t="s">
        <v>953</v>
      </c>
    </row>
    <row r="519">
      <c r="A519" s="6">
        <v>517.0</v>
      </c>
      <c r="B519" s="6" t="s">
        <v>240</v>
      </c>
      <c r="C519" s="12" t="s">
        <v>2917</v>
      </c>
      <c r="D519" s="6" t="s">
        <v>2884</v>
      </c>
      <c r="E519" s="6" t="s">
        <v>3181</v>
      </c>
      <c r="F519" s="15" t="s">
        <v>5499</v>
      </c>
      <c r="G519" s="6" t="s">
        <v>5501</v>
      </c>
      <c r="H519" s="6" t="s">
        <v>340</v>
      </c>
      <c r="I519" s="6" t="s">
        <v>953</v>
      </c>
      <c r="J519" s="6" t="s">
        <v>953</v>
      </c>
    </row>
    <row r="520">
      <c r="A520" s="6">
        <v>518.0</v>
      </c>
      <c r="B520" s="6" t="s">
        <v>1001</v>
      </c>
      <c r="C520" s="12" t="s">
        <v>2877</v>
      </c>
      <c r="D520" s="6" t="s">
        <v>2884</v>
      </c>
      <c r="E520" s="6" t="s">
        <v>3853</v>
      </c>
      <c r="F520" s="15" t="s">
        <v>5502</v>
      </c>
      <c r="G520" s="6" t="s">
        <v>5504</v>
      </c>
      <c r="H520" s="6" t="s">
        <v>340</v>
      </c>
      <c r="I520" s="6" t="s">
        <v>953</v>
      </c>
      <c r="J520" s="6" t="s">
        <v>953</v>
      </c>
    </row>
    <row r="521">
      <c r="A521" s="6">
        <v>519.0</v>
      </c>
      <c r="B521" s="6" t="s">
        <v>41</v>
      </c>
      <c r="C521" s="12" t="s">
        <v>2982</v>
      </c>
      <c r="D521" s="6" t="s">
        <v>2884</v>
      </c>
      <c r="E521" s="6" t="s">
        <v>3671</v>
      </c>
      <c r="F521" s="15" t="s">
        <v>5505</v>
      </c>
      <c r="G521" s="6" t="s">
        <v>5506</v>
      </c>
      <c r="H521" s="6" t="s">
        <v>340</v>
      </c>
      <c r="I521" s="6" t="s">
        <v>953</v>
      </c>
      <c r="J521" s="6" t="s">
        <v>953</v>
      </c>
    </row>
    <row r="522">
      <c r="A522" s="6">
        <v>520.0</v>
      </c>
      <c r="B522" s="6" t="s">
        <v>41</v>
      </c>
      <c r="C522" s="12" t="s">
        <v>2877</v>
      </c>
      <c r="D522" s="6" t="s">
        <v>2884</v>
      </c>
      <c r="E522" s="6" t="s">
        <v>3423</v>
      </c>
      <c r="F522" s="15" t="s">
        <v>5507</v>
      </c>
      <c r="G522" s="6" t="s">
        <v>5509</v>
      </c>
      <c r="H522" s="6" t="s">
        <v>340</v>
      </c>
      <c r="I522" s="6" t="s">
        <v>953</v>
      </c>
      <c r="J522" s="6" t="s">
        <v>953</v>
      </c>
    </row>
    <row r="523">
      <c r="A523" s="6">
        <v>521.0</v>
      </c>
      <c r="B523" s="6" t="s">
        <v>41</v>
      </c>
      <c r="C523" s="12" t="s">
        <v>2982</v>
      </c>
      <c r="D523" s="6" t="s">
        <v>2884</v>
      </c>
      <c r="E523" s="6" t="s">
        <v>4864</v>
      </c>
      <c r="F523" s="15" t="s">
        <v>5510</v>
      </c>
      <c r="G523" s="6" t="s">
        <v>5511</v>
      </c>
      <c r="H523" s="6" t="s">
        <v>340</v>
      </c>
      <c r="I523" s="6" t="s">
        <v>953</v>
      </c>
      <c r="J523" s="6" t="s">
        <v>953</v>
      </c>
    </row>
    <row r="524">
      <c r="A524" s="6">
        <v>522.0</v>
      </c>
      <c r="B524" s="6" t="s">
        <v>850</v>
      </c>
      <c r="C524" s="12" t="s">
        <v>3075</v>
      </c>
      <c r="D524" s="6" t="s">
        <v>2884</v>
      </c>
      <c r="E524" s="6" t="s">
        <v>5108</v>
      </c>
      <c r="F524" s="15" t="s">
        <v>5512</v>
      </c>
      <c r="G524" s="6" t="s">
        <v>5514</v>
      </c>
      <c r="H524" s="6" t="s">
        <v>340</v>
      </c>
      <c r="I524" s="6" t="s">
        <v>953</v>
      </c>
      <c r="J524" s="6" t="s">
        <v>953</v>
      </c>
    </row>
    <row r="525">
      <c r="A525" s="6">
        <v>523.0</v>
      </c>
      <c r="B525" s="6" t="s">
        <v>251</v>
      </c>
      <c r="C525" s="12" t="s">
        <v>2877</v>
      </c>
      <c r="D525" s="6" t="s">
        <v>2884</v>
      </c>
      <c r="E525" s="6" t="s">
        <v>3123</v>
      </c>
      <c r="F525" s="15" t="s">
        <v>5515</v>
      </c>
      <c r="G525" s="6" t="s">
        <v>5516</v>
      </c>
      <c r="H525" s="6" t="s">
        <v>100</v>
      </c>
      <c r="I525" s="6" t="s">
        <v>953</v>
      </c>
      <c r="J525" s="6" t="s">
        <v>953</v>
      </c>
    </row>
    <row r="526">
      <c r="A526" s="6">
        <v>524.0</v>
      </c>
      <c r="B526" s="6" t="s">
        <v>1001</v>
      </c>
      <c r="C526" s="12" t="s">
        <v>2877</v>
      </c>
      <c r="D526" s="6" t="s">
        <v>2884</v>
      </c>
      <c r="E526" s="6" t="s">
        <v>2885</v>
      </c>
      <c r="F526" s="15" t="s">
        <v>5517</v>
      </c>
      <c r="G526" s="6" t="s">
        <v>5519</v>
      </c>
      <c r="H526" s="6" t="s">
        <v>100</v>
      </c>
      <c r="I526" s="6" t="s">
        <v>953</v>
      </c>
      <c r="J526" s="6" t="s">
        <v>953</v>
      </c>
    </row>
    <row r="527">
      <c r="A527" s="6">
        <v>525.0</v>
      </c>
      <c r="B527" s="6" t="s">
        <v>41</v>
      </c>
      <c r="C527" s="12" t="s">
        <v>2982</v>
      </c>
      <c r="D527" s="6" t="s">
        <v>2884</v>
      </c>
      <c r="E527" s="6" t="s">
        <v>3024</v>
      </c>
      <c r="F527" s="15" t="s">
        <v>5520</v>
      </c>
      <c r="G527" s="6" t="s">
        <v>5522</v>
      </c>
      <c r="H527" s="6" t="s">
        <v>100</v>
      </c>
      <c r="I527" s="6" t="s">
        <v>953</v>
      </c>
      <c r="J527" s="6" t="s">
        <v>953</v>
      </c>
    </row>
    <row r="528">
      <c r="A528" s="6">
        <v>526.0</v>
      </c>
      <c r="B528" s="6" t="s">
        <v>3149</v>
      </c>
      <c r="C528" s="12" t="s">
        <v>3151</v>
      </c>
      <c r="D528" s="6" t="s">
        <v>2884</v>
      </c>
      <c r="E528" s="6" t="s">
        <v>3155</v>
      </c>
      <c r="F528" s="15" t="s">
        <v>5523</v>
      </c>
      <c r="G528" s="6" t="s">
        <v>5524</v>
      </c>
      <c r="H528" s="6" t="s">
        <v>100</v>
      </c>
      <c r="I528" s="6" t="s">
        <v>953</v>
      </c>
      <c r="J528" s="6" t="s">
        <v>953</v>
      </c>
    </row>
    <row r="529">
      <c r="A529" s="6">
        <v>527.0</v>
      </c>
      <c r="B529" s="6" t="s">
        <v>240</v>
      </c>
      <c r="C529" s="12" t="s">
        <v>2917</v>
      </c>
      <c r="D529" s="6" t="s">
        <v>2884</v>
      </c>
      <c r="E529" s="6" t="s">
        <v>2920</v>
      </c>
      <c r="F529" s="15" t="s">
        <v>5525</v>
      </c>
      <c r="G529" s="6" t="s">
        <v>5527</v>
      </c>
      <c r="H529" s="6" t="s">
        <v>100</v>
      </c>
      <c r="I529" s="6" t="s">
        <v>953</v>
      </c>
      <c r="J529" s="6" t="s">
        <v>953</v>
      </c>
    </row>
    <row r="530">
      <c r="A530" s="6">
        <v>528.0</v>
      </c>
      <c r="B530" s="6" t="s">
        <v>110</v>
      </c>
      <c r="C530" s="12" t="s">
        <v>2930</v>
      </c>
      <c r="D530" s="6" t="s">
        <v>2884</v>
      </c>
      <c r="E530" s="6" t="s">
        <v>2933</v>
      </c>
      <c r="F530" s="15" t="s">
        <v>5528</v>
      </c>
      <c r="G530" s="6" t="s">
        <v>5531</v>
      </c>
      <c r="H530" s="6" t="s">
        <v>100</v>
      </c>
      <c r="I530" s="6" t="s">
        <v>953</v>
      </c>
      <c r="J530" s="6" t="s">
        <v>953</v>
      </c>
    </row>
    <row r="531">
      <c r="A531" s="6">
        <v>529.0</v>
      </c>
      <c r="B531" s="6" t="s">
        <v>41</v>
      </c>
      <c r="C531" s="12" t="s">
        <v>2877</v>
      </c>
      <c r="D531" s="6" t="s">
        <v>2884</v>
      </c>
      <c r="E531" s="6" t="s">
        <v>2946</v>
      </c>
      <c r="F531" s="15" t="s">
        <v>5532</v>
      </c>
      <c r="G531" s="6" t="s">
        <v>5534</v>
      </c>
      <c r="H531" s="6" t="s">
        <v>100</v>
      </c>
      <c r="I531" s="6" t="s">
        <v>953</v>
      </c>
      <c r="J531" s="6" t="s">
        <v>953</v>
      </c>
    </row>
    <row r="532">
      <c r="A532" s="6">
        <v>530.0</v>
      </c>
      <c r="B532" s="6" t="s">
        <v>41</v>
      </c>
      <c r="C532" s="12" t="s">
        <v>2877</v>
      </c>
      <c r="D532" s="6" t="s">
        <v>2884</v>
      </c>
      <c r="E532" s="6" t="s">
        <v>2952</v>
      </c>
      <c r="F532" s="15" t="s">
        <v>5535</v>
      </c>
      <c r="G532" s="6" t="s">
        <v>5536</v>
      </c>
      <c r="H532" s="6" t="s">
        <v>100</v>
      </c>
      <c r="I532" s="6" t="s">
        <v>953</v>
      </c>
      <c r="J532" s="6" t="s">
        <v>953</v>
      </c>
    </row>
    <row r="533">
      <c r="A533" s="6">
        <v>531.0</v>
      </c>
      <c r="B533" s="6" t="s">
        <v>850</v>
      </c>
      <c r="C533" s="12" t="s">
        <v>3075</v>
      </c>
      <c r="D533" s="6" t="s">
        <v>2884</v>
      </c>
      <c r="E533" s="6" t="s">
        <v>3080</v>
      </c>
      <c r="F533" s="15" t="s">
        <v>5537</v>
      </c>
      <c r="G533" s="6" t="s">
        <v>5539</v>
      </c>
      <c r="H533" s="6" t="s">
        <v>100</v>
      </c>
      <c r="I533" s="6" t="s">
        <v>953</v>
      </c>
      <c r="J533" s="6" t="s">
        <v>953</v>
      </c>
    </row>
    <row r="534">
      <c r="A534" s="6">
        <v>532.0</v>
      </c>
      <c r="B534" s="6" t="s">
        <v>1001</v>
      </c>
      <c r="C534" s="12" t="s">
        <v>2877</v>
      </c>
      <c r="D534" s="6" t="s">
        <v>2884</v>
      </c>
      <c r="E534" s="6" t="s">
        <v>3089</v>
      </c>
      <c r="F534" s="15" t="s">
        <v>5540</v>
      </c>
      <c r="G534" s="6" t="s">
        <v>5542</v>
      </c>
      <c r="H534" s="6" t="s">
        <v>100</v>
      </c>
      <c r="I534" s="6" t="s">
        <v>953</v>
      </c>
      <c r="J534" s="6" t="s">
        <v>953</v>
      </c>
    </row>
    <row r="535">
      <c r="A535" s="6">
        <v>533.0</v>
      </c>
      <c r="B535" s="6" t="s">
        <v>41</v>
      </c>
      <c r="C535" s="12" t="s">
        <v>2982</v>
      </c>
      <c r="D535" s="6" t="s">
        <v>2884</v>
      </c>
      <c r="E535" s="6" t="s">
        <v>2987</v>
      </c>
      <c r="F535" s="15" t="s">
        <v>5543</v>
      </c>
      <c r="G535" s="6" t="s">
        <v>5545</v>
      </c>
      <c r="H535" s="6" t="s">
        <v>100</v>
      </c>
      <c r="I535" s="6" t="s">
        <v>953</v>
      </c>
      <c r="J535" s="6" t="s">
        <v>953</v>
      </c>
    </row>
    <row r="536">
      <c r="A536" s="6">
        <v>534.0</v>
      </c>
      <c r="B536" s="6" t="s">
        <v>240</v>
      </c>
      <c r="C536" s="12" t="s">
        <v>2917</v>
      </c>
      <c r="D536" s="6" t="s">
        <v>2884</v>
      </c>
      <c r="E536" s="6" t="s">
        <v>2995</v>
      </c>
      <c r="F536" s="15" t="s">
        <v>5546</v>
      </c>
      <c r="G536" s="6" t="s">
        <v>5547</v>
      </c>
      <c r="H536" s="6" t="s">
        <v>100</v>
      </c>
      <c r="I536" s="6" t="s">
        <v>953</v>
      </c>
      <c r="J536" s="6" t="s">
        <v>953</v>
      </c>
    </row>
    <row r="537">
      <c r="A537" s="6">
        <v>535.0</v>
      </c>
      <c r="B537" s="6" t="s">
        <v>251</v>
      </c>
      <c r="C537" s="12" t="s">
        <v>2877</v>
      </c>
      <c r="D537" s="6" t="s">
        <v>2884</v>
      </c>
      <c r="E537" s="6" t="s">
        <v>3123</v>
      </c>
      <c r="F537" s="15" t="s">
        <v>5549</v>
      </c>
      <c r="G537" s="6" t="s">
        <v>5550</v>
      </c>
      <c r="H537" s="6" t="s">
        <v>100</v>
      </c>
      <c r="I537" s="6" t="s">
        <v>953</v>
      </c>
      <c r="J537" s="6" t="s">
        <v>953</v>
      </c>
    </row>
    <row r="538">
      <c r="A538" s="6">
        <v>536.0</v>
      </c>
      <c r="B538" s="6" t="s">
        <v>1001</v>
      </c>
      <c r="C538" s="12" t="s">
        <v>2877</v>
      </c>
      <c r="D538" s="6" t="s">
        <v>2884</v>
      </c>
      <c r="E538" s="6" t="s">
        <v>2885</v>
      </c>
      <c r="F538" s="15" t="s">
        <v>5551</v>
      </c>
      <c r="G538" s="6" t="s">
        <v>5553</v>
      </c>
      <c r="H538" s="6" t="s">
        <v>100</v>
      </c>
      <c r="I538" s="6" t="s">
        <v>953</v>
      </c>
      <c r="J538" s="6" t="s">
        <v>953</v>
      </c>
    </row>
    <row r="539">
      <c r="A539" s="6">
        <v>537.0</v>
      </c>
      <c r="B539" s="6" t="s">
        <v>41</v>
      </c>
      <c r="C539" s="12" t="s">
        <v>2982</v>
      </c>
      <c r="D539" s="6" t="s">
        <v>2884</v>
      </c>
      <c r="E539" s="6" t="s">
        <v>3024</v>
      </c>
      <c r="F539" s="15" t="s">
        <v>5554</v>
      </c>
      <c r="G539" s="6" t="s">
        <v>5556</v>
      </c>
      <c r="H539" s="6" t="s">
        <v>100</v>
      </c>
      <c r="I539" s="6" t="s">
        <v>953</v>
      </c>
      <c r="J539" s="6" t="s">
        <v>953</v>
      </c>
    </row>
    <row r="540">
      <c r="A540" s="6">
        <v>538.0</v>
      </c>
      <c r="B540" s="6" t="s">
        <v>3149</v>
      </c>
      <c r="C540" s="12" t="s">
        <v>3151</v>
      </c>
      <c r="D540" s="6" t="s">
        <v>2884</v>
      </c>
      <c r="E540" s="6" t="s">
        <v>3155</v>
      </c>
      <c r="F540" s="15" t="s">
        <v>5557</v>
      </c>
      <c r="G540" s="6" t="s">
        <v>5559</v>
      </c>
      <c r="H540" s="6" t="s">
        <v>100</v>
      </c>
      <c r="I540" s="6" t="s">
        <v>953</v>
      </c>
      <c r="J540" s="6" t="s">
        <v>953</v>
      </c>
    </row>
    <row r="541">
      <c r="A541" s="6">
        <v>539.0</v>
      </c>
      <c r="B541" s="6" t="s">
        <v>240</v>
      </c>
      <c r="C541" s="12" t="s">
        <v>2917</v>
      </c>
      <c r="D541" s="6" t="s">
        <v>2884</v>
      </c>
      <c r="E541" s="6" t="s">
        <v>2920</v>
      </c>
      <c r="F541" s="15" t="s">
        <v>5560</v>
      </c>
      <c r="G541" s="6" t="s">
        <v>5562</v>
      </c>
      <c r="H541" s="6" t="s">
        <v>100</v>
      </c>
      <c r="I541" s="6" t="s">
        <v>953</v>
      </c>
      <c r="J541" s="6" t="s">
        <v>953</v>
      </c>
    </row>
    <row r="542">
      <c r="A542" s="6">
        <v>540.0</v>
      </c>
      <c r="B542" s="6" t="s">
        <v>110</v>
      </c>
      <c r="C542" s="12" t="s">
        <v>2930</v>
      </c>
      <c r="D542" s="6" t="s">
        <v>2884</v>
      </c>
      <c r="E542" s="6" t="s">
        <v>2933</v>
      </c>
      <c r="F542" s="15" t="s">
        <v>5563</v>
      </c>
      <c r="G542" s="6" t="s">
        <v>5565</v>
      </c>
      <c r="H542" s="6" t="s">
        <v>100</v>
      </c>
      <c r="I542" s="6" t="s">
        <v>953</v>
      </c>
      <c r="J542" s="6" t="s">
        <v>953</v>
      </c>
    </row>
    <row r="543">
      <c r="A543" s="6">
        <v>541.0</v>
      </c>
      <c r="B543" s="6" t="s">
        <v>41</v>
      </c>
      <c r="C543" s="12" t="s">
        <v>2877</v>
      </c>
      <c r="D543" s="6" t="s">
        <v>2884</v>
      </c>
      <c r="E543" s="6" t="s">
        <v>2946</v>
      </c>
      <c r="F543" s="15" t="s">
        <v>5566</v>
      </c>
      <c r="G543" s="6" t="s">
        <v>5567</v>
      </c>
      <c r="H543" s="6" t="s">
        <v>100</v>
      </c>
      <c r="I543" s="6" t="s">
        <v>953</v>
      </c>
      <c r="J543" s="6" t="s">
        <v>953</v>
      </c>
    </row>
    <row r="544">
      <c r="A544" s="6">
        <v>542.0</v>
      </c>
      <c r="B544" s="6" t="s">
        <v>41</v>
      </c>
      <c r="C544" s="12" t="s">
        <v>2877</v>
      </c>
      <c r="D544" s="6" t="s">
        <v>2884</v>
      </c>
      <c r="E544" s="6" t="s">
        <v>2952</v>
      </c>
      <c r="F544" s="15" t="s">
        <v>5569</v>
      </c>
      <c r="G544" s="6" t="s">
        <v>5570</v>
      </c>
      <c r="H544" s="6" t="s">
        <v>100</v>
      </c>
      <c r="I544" s="6" t="s">
        <v>953</v>
      </c>
      <c r="J544" s="6" t="s">
        <v>953</v>
      </c>
    </row>
    <row r="545">
      <c r="A545" s="6">
        <v>543.0</v>
      </c>
      <c r="B545" s="6" t="s">
        <v>850</v>
      </c>
      <c r="C545" s="12" t="s">
        <v>3075</v>
      </c>
      <c r="D545" s="6" t="s">
        <v>2884</v>
      </c>
      <c r="E545" s="6" t="s">
        <v>3080</v>
      </c>
      <c r="F545" s="15" t="s">
        <v>5571</v>
      </c>
      <c r="G545" s="6" t="s">
        <v>5573</v>
      </c>
      <c r="H545" s="6" t="s">
        <v>100</v>
      </c>
      <c r="I545" s="6" t="s">
        <v>953</v>
      </c>
      <c r="J545" s="6" t="s">
        <v>953</v>
      </c>
    </row>
    <row r="546">
      <c r="A546" s="6">
        <v>544.0</v>
      </c>
      <c r="B546" s="6" t="s">
        <v>1001</v>
      </c>
      <c r="C546" s="12" t="s">
        <v>2877</v>
      </c>
      <c r="D546" s="6" t="s">
        <v>2884</v>
      </c>
      <c r="E546" s="6" t="s">
        <v>3089</v>
      </c>
      <c r="F546" s="15" t="s">
        <v>5574</v>
      </c>
      <c r="G546" s="6" t="s">
        <v>5576</v>
      </c>
      <c r="H546" s="6" t="s">
        <v>100</v>
      </c>
      <c r="I546" s="6" t="s">
        <v>953</v>
      </c>
      <c r="J546" s="6" t="s">
        <v>953</v>
      </c>
    </row>
    <row r="547">
      <c r="A547" s="6">
        <v>545.0</v>
      </c>
      <c r="B547" s="6" t="s">
        <v>41</v>
      </c>
      <c r="C547" s="12" t="s">
        <v>2982</v>
      </c>
      <c r="D547" s="6" t="s">
        <v>2884</v>
      </c>
      <c r="E547" s="6" t="s">
        <v>2987</v>
      </c>
      <c r="F547" s="15" t="s">
        <v>5577</v>
      </c>
      <c r="G547" s="6" t="s">
        <v>5579</v>
      </c>
      <c r="H547" s="6" t="s">
        <v>100</v>
      </c>
      <c r="I547" s="6" t="s">
        <v>953</v>
      </c>
      <c r="J547" s="6" t="s">
        <v>953</v>
      </c>
    </row>
    <row r="548">
      <c r="A548" s="6">
        <v>546.0</v>
      </c>
      <c r="B548" s="6" t="s">
        <v>240</v>
      </c>
      <c r="C548" s="12" t="s">
        <v>2917</v>
      </c>
      <c r="D548" s="6" t="s">
        <v>2884</v>
      </c>
      <c r="E548" s="6" t="s">
        <v>2995</v>
      </c>
      <c r="F548" s="15" t="s">
        <v>5580</v>
      </c>
      <c r="G548" s="6" t="s">
        <v>5582</v>
      </c>
      <c r="H548" s="6" t="s">
        <v>100</v>
      </c>
      <c r="I548" s="6" t="s">
        <v>953</v>
      </c>
      <c r="J548" s="6" t="s">
        <v>953</v>
      </c>
    </row>
    <row r="549">
      <c r="A549" s="6">
        <v>547.0</v>
      </c>
      <c r="B549" s="6" t="s">
        <v>251</v>
      </c>
      <c r="C549" s="12" t="s">
        <v>2877</v>
      </c>
      <c r="D549" s="6" t="s">
        <v>2884</v>
      </c>
      <c r="E549" s="6" t="s">
        <v>3123</v>
      </c>
      <c r="F549" s="15" t="s">
        <v>5583</v>
      </c>
      <c r="G549" s="6" t="s">
        <v>5585</v>
      </c>
      <c r="H549" s="6" t="s">
        <v>100</v>
      </c>
      <c r="I549" s="6" t="s">
        <v>953</v>
      </c>
      <c r="J549" s="6" t="s">
        <v>953</v>
      </c>
    </row>
    <row r="550">
      <c r="A550" s="6">
        <v>548.0</v>
      </c>
      <c r="B550" s="6" t="s">
        <v>1001</v>
      </c>
      <c r="C550" s="12" t="s">
        <v>2877</v>
      </c>
      <c r="D550" s="6" t="s">
        <v>2884</v>
      </c>
      <c r="E550" s="6" t="s">
        <v>2885</v>
      </c>
      <c r="F550" s="15" t="s">
        <v>5586</v>
      </c>
      <c r="G550" s="6" t="s">
        <v>5588</v>
      </c>
      <c r="H550" s="6" t="s">
        <v>100</v>
      </c>
      <c r="I550" s="6" t="s">
        <v>953</v>
      </c>
      <c r="J550" s="6" t="s">
        <v>953</v>
      </c>
    </row>
    <row r="551">
      <c r="A551" s="6">
        <v>549.0</v>
      </c>
      <c r="B551" s="6" t="s">
        <v>41</v>
      </c>
      <c r="C551" s="12" t="s">
        <v>2982</v>
      </c>
      <c r="D551" s="6" t="s">
        <v>2884</v>
      </c>
      <c r="E551" s="6" t="s">
        <v>3024</v>
      </c>
      <c r="F551" s="15" t="s">
        <v>5589</v>
      </c>
      <c r="G551" s="6" t="s">
        <v>5590</v>
      </c>
      <c r="H551" s="6" t="s">
        <v>100</v>
      </c>
      <c r="I551" s="6" t="s">
        <v>953</v>
      </c>
      <c r="J551" s="6" t="s">
        <v>953</v>
      </c>
    </row>
    <row r="552">
      <c r="A552" s="6">
        <v>550.0</v>
      </c>
      <c r="B552" s="6" t="s">
        <v>3149</v>
      </c>
      <c r="C552" s="12" t="s">
        <v>3151</v>
      </c>
      <c r="D552" s="6" t="s">
        <v>2884</v>
      </c>
      <c r="E552" s="6" t="s">
        <v>3155</v>
      </c>
      <c r="F552" s="15" t="s">
        <v>5592</v>
      </c>
      <c r="G552" s="6" t="s">
        <v>5593</v>
      </c>
      <c r="H552" s="6" t="s">
        <v>100</v>
      </c>
      <c r="I552" s="6" t="s">
        <v>953</v>
      </c>
      <c r="J552" s="6" t="s">
        <v>953</v>
      </c>
    </row>
    <row r="553">
      <c r="A553" s="6">
        <v>551.0</v>
      </c>
      <c r="B553" s="6" t="s">
        <v>240</v>
      </c>
      <c r="C553" s="12" t="s">
        <v>2917</v>
      </c>
      <c r="D553" s="6" t="s">
        <v>2884</v>
      </c>
      <c r="E553" s="6" t="s">
        <v>2920</v>
      </c>
      <c r="F553" s="15" t="s">
        <v>5595</v>
      </c>
      <c r="G553" s="6" t="s">
        <v>5596</v>
      </c>
      <c r="H553" s="6" t="s">
        <v>100</v>
      </c>
      <c r="I553" s="6" t="s">
        <v>953</v>
      </c>
      <c r="J553" s="6" t="s">
        <v>953</v>
      </c>
    </row>
    <row r="554">
      <c r="A554" s="6">
        <v>552.0</v>
      </c>
      <c r="B554" s="6" t="s">
        <v>110</v>
      </c>
      <c r="C554" s="12" t="s">
        <v>2930</v>
      </c>
      <c r="D554" s="6" t="s">
        <v>2884</v>
      </c>
      <c r="E554" s="6" t="s">
        <v>2933</v>
      </c>
      <c r="F554" s="15" t="s">
        <v>5597</v>
      </c>
      <c r="G554" s="6" t="s">
        <v>5599</v>
      </c>
      <c r="H554" s="6" t="s">
        <v>100</v>
      </c>
      <c r="I554" s="6" t="s">
        <v>953</v>
      </c>
      <c r="J554" s="6" t="s">
        <v>953</v>
      </c>
    </row>
    <row r="555">
      <c r="A555" s="6">
        <v>553.0</v>
      </c>
      <c r="B555" s="6" t="s">
        <v>41</v>
      </c>
      <c r="C555" s="12" t="s">
        <v>2877</v>
      </c>
      <c r="D555" s="6" t="s">
        <v>2884</v>
      </c>
      <c r="E555" s="6" t="s">
        <v>2946</v>
      </c>
      <c r="F555" s="15" t="s">
        <v>5600</v>
      </c>
      <c r="G555" s="6" t="s">
        <v>5603</v>
      </c>
      <c r="H555" s="6" t="s">
        <v>100</v>
      </c>
      <c r="I555" s="6" t="s">
        <v>953</v>
      </c>
      <c r="J555" s="6" t="s">
        <v>953</v>
      </c>
    </row>
    <row r="556">
      <c r="A556" s="6">
        <v>554.0</v>
      </c>
      <c r="B556" s="6" t="s">
        <v>41</v>
      </c>
      <c r="C556" s="12" t="s">
        <v>2877</v>
      </c>
      <c r="D556" s="6" t="s">
        <v>2884</v>
      </c>
      <c r="E556" s="6" t="s">
        <v>2952</v>
      </c>
      <c r="F556" s="15" t="s">
        <v>5604</v>
      </c>
      <c r="G556" s="6" t="s">
        <v>5605</v>
      </c>
      <c r="H556" s="6" t="s">
        <v>100</v>
      </c>
      <c r="I556" s="6" t="s">
        <v>953</v>
      </c>
      <c r="J556" s="6" t="s">
        <v>953</v>
      </c>
    </row>
    <row r="557">
      <c r="A557" s="6">
        <v>555.0</v>
      </c>
      <c r="B557" s="6" t="s">
        <v>850</v>
      </c>
      <c r="C557" s="12" t="s">
        <v>3075</v>
      </c>
      <c r="D557" s="6" t="s">
        <v>2884</v>
      </c>
      <c r="E557" s="6" t="s">
        <v>3080</v>
      </c>
      <c r="F557" s="15" t="s">
        <v>5607</v>
      </c>
      <c r="G557" s="6" t="s">
        <v>5608</v>
      </c>
      <c r="H557" s="6" t="s">
        <v>100</v>
      </c>
      <c r="I557" s="6" t="s">
        <v>953</v>
      </c>
      <c r="J557" s="6" t="s">
        <v>953</v>
      </c>
    </row>
    <row r="558">
      <c r="A558" s="6">
        <v>556.0</v>
      </c>
      <c r="B558" s="6" t="s">
        <v>1001</v>
      </c>
      <c r="C558" s="12" t="s">
        <v>2877</v>
      </c>
      <c r="D558" s="6" t="s">
        <v>2884</v>
      </c>
      <c r="E558" s="6" t="s">
        <v>3089</v>
      </c>
      <c r="F558" s="15" t="s">
        <v>5609</v>
      </c>
      <c r="G558" s="6" t="s">
        <v>5611</v>
      </c>
      <c r="H558" s="6" t="s">
        <v>100</v>
      </c>
      <c r="I558" s="6" t="s">
        <v>953</v>
      </c>
      <c r="J558" s="6" t="s">
        <v>953</v>
      </c>
    </row>
    <row r="559">
      <c r="A559" s="6">
        <v>557.0</v>
      </c>
      <c r="B559" s="6" t="s">
        <v>41</v>
      </c>
      <c r="C559" s="12" t="s">
        <v>2982</v>
      </c>
      <c r="D559" s="6" t="s">
        <v>2884</v>
      </c>
      <c r="E559" s="6" t="s">
        <v>2987</v>
      </c>
      <c r="F559" s="15" t="s">
        <v>5612</v>
      </c>
      <c r="G559" s="6" t="s">
        <v>5613</v>
      </c>
      <c r="H559" s="6" t="s">
        <v>100</v>
      </c>
      <c r="I559" s="6" t="s">
        <v>953</v>
      </c>
      <c r="J559" s="6" t="s">
        <v>953</v>
      </c>
    </row>
    <row r="560">
      <c r="A560" s="6">
        <v>558.0</v>
      </c>
      <c r="B560" s="6" t="s">
        <v>240</v>
      </c>
      <c r="C560" s="12" t="s">
        <v>2917</v>
      </c>
      <c r="D560" s="6" t="s">
        <v>2884</v>
      </c>
      <c r="E560" s="6" t="s">
        <v>2995</v>
      </c>
      <c r="F560" s="15" t="s">
        <v>5614</v>
      </c>
      <c r="G560" s="6" t="s">
        <v>5616</v>
      </c>
      <c r="H560" s="6" t="s">
        <v>100</v>
      </c>
      <c r="I560" s="6" t="s">
        <v>953</v>
      </c>
      <c r="J560" s="6" t="s">
        <v>953</v>
      </c>
    </row>
    <row r="561">
      <c r="A561" s="6">
        <v>559.0</v>
      </c>
      <c r="B561" s="6" t="s">
        <v>251</v>
      </c>
      <c r="C561" s="12" t="s">
        <v>2877</v>
      </c>
      <c r="D561" s="6" t="s">
        <v>2884</v>
      </c>
      <c r="E561" s="6" t="s">
        <v>3123</v>
      </c>
      <c r="F561" s="15" t="s">
        <v>5617</v>
      </c>
      <c r="G561" s="6" t="s">
        <v>5619</v>
      </c>
      <c r="H561" s="6" t="s">
        <v>100</v>
      </c>
      <c r="I561" s="6" t="s">
        <v>953</v>
      </c>
      <c r="J561" s="6" t="s">
        <v>953</v>
      </c>
    </row>
    <row r="562">
      <c r="A562" s="6">
        <v>560.0</v>
      </c>
      <c r="B562" s="6" t="s">
        <v>1001</v>
      </c>
      <c r="C562" s="12" t="s">
        <v>2877</v>
      </c>
      <c r="D562" s="6" t="s">
        <v>2884</v>
      </c>
      <c r="E562" s="6" t="s">
        <v>2885</v>
      </c>
      <c r="F562" s="15" t="s">
        <v>5620</v>
      </c>
      <c r="G562" s="6" t="s">
        <v>5621</v>
      </c>
      <c r="H562" s="6" t="s">
        <v>100</v>
      </c>
      <c r="I562" s="6" t="s">
        <v>953</v>
      </c>
      <c r="J562" s="6" t="s">
        <v>953</v>
      </c>
    </row>
    <row r="563">
      <c r="A563" s="6" t="s">
        <v>772</v>
      </c>
      <c r="F563" s="29"/>
    </row>
    <row r="564">
      <c r="A564" s="6">
        <v>561.0</v>
      </c>
      <c r="B564" s="6" t="s">
        <v>811</v>
      </c>
      <c r="C564" s="12" t="s">
        <v>5623</v>
      </c>
      <c r="D564" s="6" t="s">
        <v>5625</v>
      </c>
      <c r="E564" s="6" t="s">
        <v>5626</v>
      </c>
      <c r="F564" s="15" t="s">
        <v>5627</v>
      </c>
      <c r="G564" s="6" t="s">
        <v>5629</v>
      </c>
      <c r="H564" s="6" t="s">
        <v>100</v>
      </c>
      <c r="I564" s="6" t="s">
        <v>953</v>
      </c>
      <c r="J564" s="6" t="s">
        <v>953</v>
      </c>
    </row>
    <row r="565">
      <c r="A565" s="6">
        <v>562.0</v>
      </c>
      <c r="B565" s="6" t="s">
        <v>811</v>
      </c>
      <c r="C565" s="12" t="s">
        <v>5630</v>
      </c>
      <c r="D565" s="6" t="s">
        <v>5625</v>
      </c>
      <c r="E565" s="6" t="s">
        <v>5631</v>
      </c>
      <c r="F565" s="15" t="s">
        <v>5632</v>
      </c>
      <c r="G565" s="6" t="s">
        <v>5634</v>
      </c>
      <c r="H565" s="6" t="s">
        <v>100</v>
      </c>
      <c r="I565" s="6" t="s">
        <v>953</v>
      </c>
      <c r="J565" s="6" t="s">
        <v>953</v>
      </c>
    </row>
    <row r="566">
      <c r="A566" s="6">
        <v>563.0</v>
      </c>
      <c r="B566" s="6" t="s">
        <v>811</v>
      </c>
      <c r="C566" s="12" t="s">
        <v>5630</v>
      </c>
      <c r="D566" s="6" t="s">
        <v>5635</v>
      </c>
      <c r="E566" s="6" t="s">
        <v>5636</v>
      </c>
      <c r="F566" s="15" t="s">
        <v>5637</v>
      </c>
      <c r="G566" s="6" t="s">
        <v>5639</v>
      </c>
      <c r="H566" s="6" t="s">
        <v>100</v>
      </c>
      <c r="I566" s="6" t="s">
        <v>953</v>
      </c>
      <c r="J566" s="6" t="s">
        <v>953</v>
      </c>
    </row>
    <row r="567">
      <c r="A567" s="6">
        <v>564.0</v>
      </c>
      <c r="B567" s="6" t="s">
        <v>811</v>
      </c>
      <c r="C567" s="12" t="s">
        <v>812</v>
      </c>
      <c r="D567" s="6" t="s">
        <v>5625</v>
      </c>
      <c r="E567" s="6" t="s">
        <v>5640</v>
      </c>
      <c r="F567" s="15" t="s">
        <v>5641</v>
      </c>
      <c r="G567" s="6" t="s">
        <v>5643</v>
      </c>
      <c r="H567" s="6" t="s">
        <v>100</v>
      </c>
      <c r="I567" s="6" t="s">
        <v>953</v>
      </c>
      <c r="J567" s="6" t="s">
        <v>953</v>
      </c>
    </row>
    <row r="568">
      <c r="A568" s="6">
        <v>565.0</v>
      </c>
      <c r="B568" s="6" t="s">
        <v>811</v>
      </c>
      <c r="C568" s="12" t="s">
        <v>5644</v>
      </c>
      <c r="D568" s="6" t="s">
        <v>5625</v>
      </c>
      <c r="E568" s="6" t="s">
        <v>5645</v>
      </c>
      <c r="F568" s="15" t="s">
        <v>5646</v>
      </c>
      <c r="G568" s="6" t="s">
        <v>5648</v>
      </c>
      <c r="H568" s="6" t="s">
        <v>100</v>
      </c>
      <c r="I568" s="6" t="s">
        <v>953</v>
      </c>
      <c r="J568" s="6" t="s">
        <v>953</v>
      </c>
    </row>
    <row r="569">
      <c r="A569" s="6">
        <v>566.0</v>
      </c>
      <c r="B569" s="6" t="s">
        <v>811</v>
      </c>
      <c r="C569" s="12" t="s">
        <v>5644</v>
      </c>
      <c r="D569" s="6" t="s">
        <v>5625</v>
      </c>
      <c r="E569" s="6" t="s">
        <v>5649</v>
      </c>
      <c r="F569" s="15" t="s">
        <v>5650</v>
      </c>
      <c r="G569" s="6" t="s">
        <v>5651</v>
      </c>
      <c r="H569" s="6" t="s">
        <v>100</v>
      </c>
      <c r="I569" s="6" t="s">
        <v>953</v>
      </c>
      <c r="J569" s="6" t="s">
        <v>953</v>
      </c>
    </row>
    <row r="570">
      <c r="A570" s="6">
        <v>567.0</v>
      </c>
      <c r="B570" s="6" t="s">
        <v>1001</v>
      </c>
      <c r="C570" s="12" t="s">
        <v>5630</v>
      </c>
      <c r="D570" s="6" t="s">
        <v>5635</v>
      </c>
      <c r="E570" s="6" t="s">
        <v>5653</v>
      </c>
      <c r="F570" s="15" t="s">
        <v>5654</v>
      </c>
      <c r="G570" s="6" t="s">
        <v>5655</v>
      </c>
      <c r="H570" s="6" t="s">
        <v>100</v>
      </c>
      <c r="I570" s="6" t="s">
        <v>953</v>
      </c>
      <c r="J570" s="6" t="s">
        <v>953</v>
      </c>
    </row>
    <row r="571">
      <c r="A571" s="6">
        <v>568.0</v>
      </c>
      <c r="B571" s="6" t="s">
        <v>811</v>
      </c>
      <c r="C571" s="12" t="s">
        <v>5630</v>
      </c>
      <c r="D571" s="6" t="s">
        <v>5656</v>
      </c>
      <c r="E571" s="6" t="s">
        <v>5657</v>
      </c>
      <c r="F571" s="15" t="s">
        <v>5658</v>
      </c>
      <c r="G571" s="6" t="s">
        <v>5660</v>
      </c>
      <c r="H571" s="6" t="s">
        <v>100</v>
      </c>
      <c r="I571" s="6" t="s">
        <v>953</v>
      </c>
      <c r="J571" s="6" t="s">
        <v>953</v>
      </c>
    </row>
    <row r="572">
      <c r="A572" s="6">
        <v>569.0</v>
      </c>
      <c r="B572" s="6" t="s">
        <v>811</v>
      </c>
      <c r="C572" s="12" t="s">
        <v>5630</v>
      </c>
      <c r="D572" s="6" t="s">
        <v>5625</v>
      </c>
      <c r="E572" s="6" t="s">
        <v>5661</v>
      </c>
      <c r="F572" s="15" t="s">
        <v>5662</v>
      </c>
      <c r="G572" s="6" t="s">
        <v>5663</v>
      </c>
      <c r="H572" s="6" t="s">
        <v>100</v>
      </c>
      <c r="I572" s="6" t="s">
        <v>953</v>
      </c>
      <c r="J572" s="6" t="s">
        <v>953</v>
      </c>
    </row>
    <row r="573">
      <c r="A573" s="6">
        <v>570.0</v>
      </c>
      <c r="B573" s="6" t="s">
        <v>811</v>
      </c>
      <c r="C573" s="12" t="s">
        <v>812</v>
      </c>
      <c r="D573" s="6" t="s">
        <v>5625</v>
      </c>
      <c r="E573" s="6" t="s">
        <v>5664</v>
      </c>
      <c r="F573" s="15" t="s">
        <v>5665</v>
      </c>
      <c r="G573" s="6" t="s">
        <v>5667</v>
      </c>
      <c r="H573" s="6" t="s">
        <v>100</v>
      </c>
      <c r="I573" s="6" t="s">
        <v>953</v>
      </c>
      <c r="J573" s="6" t="s">
        <v>953</v>
      </c>
    </row>
    <row r="574">
      <c r="A574" s="6">
        <v>571.0</v>
      </c>
      <c r="B574" s="6" t="s">
        <v>811</v>
      </c>
      <c r="C574" s="12" t="s">
        <v>5669</v>
      </c>
      <c r="D574" s="6" t="s">
        <v>5670</v>
      </c>
      <c r="E574" s="6" t="s">
        <v>5671</v>
      </c>
      <c r="F574" s="15" t="s">
        <v>5672</v>
      </c>
      <c r="G574" s="6" t="s">
        <v>5674</v>
      </c>
      <c r="H574" s="6" t="s">
        <v>100</v>
      </c>
      <c r="I574" s="6" t="s">
        <v>953</v>
      </c>
      <c r="J574" s="6" t="s">
        <v>953</v>
      </c>
    </row>
    <row r="575">
      <c r="A575" s="6">
        <v>572.0</v>
      </c>
      <c r="B575" s="6" t="s">
        <v>811</v>
      </c>
      <c r="C575" s="12" t="s">
        <v>5675</v>
      </c>
      <c r="D575" s="6" t="s">
        <v>5676</v>
      </c>
      <c r="E575" s="6" t="s">
        <v>5677</v>
      </c>
      <c r="F575" s="15" t="s">
        <v>5678</v>
      </c>
      <c r="G575" s="6" t="s">
        <v>5680</v>
      </c>
      <c r="H575" s="6" t="s">
        <v>100</v>
      </c>
      <c r="I575" s="6" t="s">
        <v>953</v>
      </c>
      <c r="J575" s="6" t="s">
        <v>953</v>
      </c>
    </row>
    <row r="576">
      <c r="A576" s="6">
        <v>573.0</v>
      </c>
      <c r="B576" s="6" t="s">
        <v>811</v>
      </c>
      <c r="C576" s="12" t="s">
        <v>5681</v>
      </c>
      <c r="D576" s="6" t="s">
        <v>5682</v>
      </c>
      <c r="E576" s="6" t="s">
        <v>5683</v>
      </c>
      <c r="F576" s="15" t="s">
        <v>5684</v>
      </c>
      <c r="G576" s="6" t="s">
        <v>5686</v>
      </c>
      <c r="H576" s="6" t="s">
        <v>100</v>
      </c>
      <c r="I576" s="6" t="s">
        <v>953</v>
      </c>
      <c r="J576" s="6" t="s">
        <v>953</v>
      </c>
    </row>
    <row r="577">
      <c r="A577" s="6">
        <v>574.0</v>
      </c>
      <c r="B577" s="6" t="s">
        <v>178</v>
      </c>
      <c r="C577" s="12" t="s">
        <v>5687</v>
      </c>
      <c r="D577" s="6" t="s">
        <v>5688</v>
      </c>
      <c r="E577" s="6" t="s">
        <v>5689</v>
      </c>
      <c r="F577" s="15" t="s">
        <v>5690</v>
      </c>
      <c r="G577" s="6" t="s">
        <v>5692</v>
      </c>
      <c r="H577" s="6" t="s">
        <v>100</v>
      </c>
      <c r="I577" s="6" t="s">
        <v>953</v>
      </c>
      <c r="J577" s="6" t="s">
        <v>953</v>
      </c>
    </row>
    <row r="578">
      <c r="A578" s="6">
        <v>575.0</v>
      </c>
      <c r="B578" s="6" t="s">
        <v>1001</v>
      </c>
      <c r="C578" s="12" t="s">
        <v>5630</v>
      </c>
      <c r="D578" s="6" t="s">
        <v>5693</v>
      </c>
      <c r="E578" s="6" t="s">
        <v>5694</v>
      </c>
      <c r="F578" s="15" t="s">
        <v>5695</v>
      </c>
      <c r="G578" s="6" t="s">
        <v>5697</v>
      </c>
      <c r="H578" s="6" t="s">
        <v>100</v>
      </c>
      <c r="I578" s="6" t="s">
        <v>953</v>
      </c>
      <c r="J578" s="6" t="s">
        <v>953</v>
      </c>
    </row>
    <row r="579">
      <c r="A579" s="6">
        <v>576.0</v>
      </c>
      <c r="B579" s="6" t="s">
        <v>811</v>
      </c>
      <c r="C579" s="12" t="s">
        <v>5630</v>
      </c>
      <c r="D579" s="6" t="s">
        <v>5625</v>
      </c>
      <c r="E579" s="6" t="s">
        <v>5698</v>
      </c>
      <c r="F579" s="15" t="s">
        <v>5699</v>
      </c>
      <c r="G579" s="6" t="s">
        <v>5701</v>
      </c>
      <c r="H579" s="6" t="s">
        <v>100</v>
      </c>
      <c r="I579" s="6" t="s">
        <v>953</v>
      </c>
      <c r="J579" s="6" t="s">
        <v>953</v>
      </c>
    </row>
    <row r="580">
      <c r="A580" s="6">
        <v>577.0</v>
      </c>
      <c r="B580" s="6" t="s">
        <v>811</v>
      </c>
      <c r="C580" s="12" t="s">
        <v>812</v>
      </c>
      <c r="D580" s="6" t="s">
        <v>5625</v>
      </c>
      <c r="E580" s="6" t="s">
        <v>5702</v>
      </c>
      <c r="F580" s="15" t="s">
        <v>5703</v>
      </c>
      <c r="G580" s="6" t="s">
        <v>5705</v>
      </c>
      <c r="H580" s="6" t="s">
        <v>100</v>
      </c>
      <c r="I580" s="6" t="s">
        <v>953</v>
      </c>
      <c r="J580" s="6" t="s">
        <v>953</v>
      </c>
    </row>
    <row r="581">
      <c r="A581" s="6">
        <v>578.0</v>
      </c>
      <c r="B581" s="6" t="s">
        <v>811</v>
      </c>
      <c r="C581" s="12" t="s">
        <v>5623</v>
      </c>
      <c r="D581" s="6" t="s">
        <v>5625</v>
      </c>
      <c r="E581" s="6" t="s">
        <v>5706</v>
      </c>
      <c r="F581" s="15" t="s">
        <v>5707</v>
      </c>
      <c r="G581" s="6" t="s">
        <v>5708</v>
      </c>
      <c r="H581" s="6" t="s">
        <v>100</v>
      </c>
      <c r="I581" s="6" t="s">
        <v>953</v>
      </c>
      <c r="J581" s="6" t="s">
        <v>953</v>
      </c>
    </row>
    <row r="582">
      <c r="A582" s="6">
        <v>579.0</v>
      </c>
      <c r="B582" s="6" t="s">
        <v>811</v>
      </c>
      <c r="C582" s="12" t="s">
        <v>5669</v>
      </c>
      <c r="D582" s="6" t="s">
        <v>5625</v>
      </c>
      <c r="E582" s="6" t="s">
        <v>5709</v>
      </c>
      <c r="F582" s="15" t="s">
        <v>5710</v>
      </c>
      <c r="G582" s="6" t="s">
        <v>5712</v>
      </c>
      <c r="H582" s="6" t="s">
        <v>100</v>
      </c>
      <c r="I582" s="6" t="s">
        <v>953</v>
      </c>
      <c r="J582" s="6" t="s">
        <v>953</v>
      </c>
    </row>
    <row r="583">
      <c r="A583" s="6">
        <v>580.0</v>
      </c>
      <c r="B583" s="6" t="s">
        <v>811</v>
      </c>
      <c r="C583" s="12" t="s">
        <v>5675</v>
      </c>
      <c r="D583" s="6" t="s">
        <v>5625</v>
      </c>
      <c r="E583" s="6" t="s">
        <v>5713</v>
      </c>
      <c r="F583" s="15" t="s">
        <v>5714</v>
      </c>
      <c r="G583" s="6" t="s">
        <v>5716</v>
      </c>
      <c r="H583" s="6" t="s">
        <v>100</v>
      </c>
      <c r="I583" s="6" t="s">
        <v>953</v>
      </c>
      <c r="J583" s="6" t="s">
        <v>953</v>
      </c>
    </row>
    <row r="584">
      <c r="A584" s="6">
        <v>581.0</v>
      </c>
      <c r="B584" s="6" t="s">
        <v>811</v>
      </c>
      <c r="C584" s="12" t="s">
        <v>5681</v>
      </c>
      <c r="D584" s="6" t="s">
        <v>5625</v>
      </c>
      <c r="E584" s="6" t="s">
        <v>5717</v>
      </c>
      <c r="F584" s="15" t="s">
        <v>5718</v>
      </c>
      <c r="G584" s="6" t="s">
        <v>5719</v>
      </c>
      <c r="H584" s="6" t="s">
        <v>100</v>
      </c>
      <c r="I584" s="6" t="s">
        <v>953</v>
      </c>
      <c r="J584" s="6" t="s">
        <v>953</v>
      </c>
    </row>
    <row r="585">
      <c r="A585" s="6">
        <v>582.0</v>
      </c>
      <c r="B585" s="6" t="s">
        <v>251</v>
      </c>
      <c r="C585" s="12" t="s">
        <v>5630</v>
      </c>
      <c r="D585" s="6" t="s">
        <v>5625</v>
      </c>
      <c r="E585" s="6" t="s">
        <v>5720</v>
      </c>
      <c r="F585" s="15" t="s">
        <v>5721</v>
      </c>
      <c r="G585" s="6" t="s">
        <v>5723</v>
      </c>
      <c r="H585" s="6" t="s">
        <v>100</v>
      </c>
      <c r="I585" s="6" t="s">
        <v>953</v>
      </c>
      <c r="J585" s="6" t="s">
        <v>953</v>
      </c>
    </row>
    <row r="586">
      <c r="A586" s="6">
        <v>583.0</v>
      </c>
      <c r="B586" s="6" t="s">
        <v>811</v>
      </c>
      <c r="C586" s="12" t="s">
        <v>5630</v>
      </c>
      <c r="D586" s="6" t="s">
        <v>5625</v>
      </c>
      <c r="E586" s="6" t="s">
        <v>5724</v>
      </c>
      <c r="F586" s="15" t="s">
        <v>5725</v>
      </c>
      <c r="G586" s="6" t="s">
        <v>5726</v>
      </c>
      <c r="H586" s="6" t="s">
        <v>100</v>
      </c>
      <c r="I586" s="6" t="s">
        <v>953</v>
      </c>
      <c r="J586" s="6" t="s">
        <v>953</v>
      </c>
    </row>
    <row r="587">
      <c r="A587" s="6">
        <v>584.0</v>
      </c>
      <c r="B587" s="6" t="s">
        <v>811</v>
      </c>
      <c r="C587" s="12" t="s">
        <v>5727</v>
      </c>
      <c r="D587" s="6" t="s">
        <v>5625</v>
      </c>
      <c r="E587" s="6" t="s">
        <v>5729</v>
      </c>
      <c r="F587" s="15" t="s">
        <v>5730</v>
      </c>
      <c r="G587" s="6" t="s">
        <v>5731</v>
      </c>
      <c r="H587" s="6" t="s">
        <v>100</v>
      </c>
      <c r="I587" s="6" t="s">
        <v>953</v>
      </c>
      <c r="J587" s="6" t="s">
        <v>953</v>
      </c>
    </row>
    <row r="588">
      <c r="A588" s="6">
        <v>585.0</v>
      </c>
      <c r="B588" s="6" t="s">
        <v>850</v>
      </c>
      <c r="C588" s="12" t="s">
        <v>5687</v>
      </c>
      <c r="D588" s="6" t="s">
        <v>5625</v>
      </c>
      <c r="E588" s="6" t="s">
        <v>5732</v>
      </c>
      <c r="F588" s="15" t="s">
        <v>5733</v>
      </c>
      <c r="G588" s="6" t="s">
        <v>5735</v>
      </c>
      <c r="H588" s="6" t="s">
        <v>100</v>
      </c>
      <c r="I588" s="6" t="s">
        <v>953</v>
      </c>
      <c r="J588" s="6" t="s">
        <v>953</v>
      </c>
    </row>
    <row r="589">
      <c r="A589" s="30" t="s">
        <v>44</v>
      </c>
      <c r="B589" s="30"/>
      <c r="C589" s="30"/>
      <c r="D589" s="30"/>
      <c r="E589" s="30"/>
      <c r="F589" s="31"/>
      <c r="G589" s="30"/>
      <c r="H589" s="30"/>
      <c r="I589" s="30"/>
      <c r="J589" s="32"/>
      <c r="K589" s="32"/>
      <c r="L589" s="32"/>
      <c r="M589" s="32"/>
      <c r="N589" s="32"/>
      <c r="O589" s="32"/>
      <c r="P589" s="32"/>
      <c r="Q589" s="32"/>
      <c r="R589" s="32"/>
      <c r="S589" s="32"/>
      <c r="T589" s="32"/>
      <c r="U589" s="32"/>
      <c r="V589" s="32"/>
      <c r="W589" s="32"/>
      <c r="X589" s="32"/>
      <c r="Y589" s="32"/>
      <c r="Z589" s="32"/>
    </row>
    <row r="590">
      <c r="A590" s="6">
        <v>586.0</v>
      </c>
      <c r="B590" s="6" t="s">
        <v>811</v>
      </c>
      <c r="C590" s="12" t="s">
        <v>942</v>
      </c>
      <c r="D590" s="6" t="s">
        <v>5737</v>
      </c>
      <c r="E590" s="6" t="s">
        <v>5738</v>
      </c>
      <c r="F590" s="15" t="s">
        <v>5739</v>
      </c>
      <c r="G590" s="6" t="s">
        <v>5741</v>
      </c>
      <c r="H590" s="6" t="s">
        <v>175</v>
      </c>
      <c r="I590" s="6" t="s">
        <v>953</v>
      </c>
      <c r="J590" s="6" t="s">
        <v>953</v>
      </c>
    </row>
    <row r="591">
      <c r="A591" s="6">
        <v>587.0</v>
      </c>
      <c r="B591" s="6" t="s">
        <v>811</v>
      </c>
      <c r="C591" s="12" t="s">
        <v>5742</v>
      </c>
      <c r="D591" s="6" t="s">
        <v>5737</v>
      </c>
      <c r="E591" s="6" t="s">
        <v>5743</v>
      </c>
      <c r="F591" s="15" t="s">
        <v>5744</v>
      </c>
      <c r="G591" s="6" t="s">
        <v>5746</v>
      </c>
      <c r="H591" s="6" t="s">
        <v>175</v>
      </c>
      <c r="I591" s="6" t="s">
        <v>953</v>
      </c>
      <c r="J591" s="6" t="s">
        <v>953</v>
      </c>
    </row>
    <row r="592">
      <c r="A592" s="6">
        <v>588.0</v>
      </c>
      <c r="B592" s="6" t="s">
        <v>811</v>
      </c>
      <c r="C592" s="12" t="s">
        <v>942</v>
      </c>
      <c r="D592" s="6" t="s">
        <v>5737</v>
      </c>
      <c r="E592" s="6" t="s">
        <v>5747</v>
      </c>
      <c r="F592" s="15" t="s">
        <v>5748</v>
      </c>
      <c r="G592" s="6" t="s">
        <v>5749</v>
      </c>
      <c r="H592" s="6" t="s">
        <v>175</v>
      </c>
      <c r="I592" s="6" t="s">
        <v>953</v>
      </c>
      <c r="J592" s="6" t="s">
        <v>953</v>
      </c>
    </row>
    <row r="593">
      <c r="A593" s="6">
        <v>589.0</v>
      </c>
      <c r="B593" s="6" t="s">
        <v>1001</v>
      </c>
      <c r="C593" s="12" t="s">
        <v>942</v>
      </c>
      <c r="D593" s="6" t="s">
        <v>5737</v>
      </c>
      <c r="E593" s="6" t="s">
        <v>5750</v>
      </c>
      <c r="F593" s="15" t="s">
        <v>5751</v>
      </c>
      <c r="G593" s="6" t="s">
        <v>5753</v>
      </c>
      <c r="H593" s="6" t="s">
        <v>175</v>
      </c>
      <c r="I593" s="6" t="s">
        <v>953</v>
      </c>
      <c r="J593" s="6" t="s">
        <v>953</v>
      </c>
    </row>
    <row r="594">
      <c r="A594" s="6">
        <v>590.0</v>
      </c>
      <c r="B594" s="6" t="s">
        <v>811</v>
      </c>
      <c r="C594" s="12" t="s">
        <v>5754</v>
      </c>
      <c r="D594" s="6" t="s">
        <v>5737</v>
      </c>
      <c r="E594" s="6" t="s">
        <v>5755</v>
      </c>
      <c r="F594" s="15" t="s">
        <v>5756</v>
      </c>
      <c r="G594" s="6" t="s">
        <v>5758</v>
      </c>
      <c r="H594" s="6" t="s">
        <v>175</v>
      </c>
      <c r="I594" s="6" t="s">
        <v>953</v>
      </c>
      <c r="J594" s="6" t="s">
        <v>953</v>
      </c>
    </row>
    <row r="595">
      <c r="A595" s="6">
        <v>591.0</v>
      </c>
      <c r="B595" s="6" t="s">
        <v>811</v>
      </c>
      <c r="C595" s="12" t="s">
        <v>5759</v>
      </c>
      <c r="D595" s="6" t="s">
        <v>5737</v>
      </c>
      <c r="E595" s="6" t="s">
        <v>5760</v>
      </c>
      <c r="F595" s="15" t="s">
        <v>5761</v>
      </c>
      <c r="G595" s="6" t="s">
        <v>5763</v>
      </c>
      <c r="H595" s="6" t="s">
        <v>175</v>
      </c>
      <c r="I595" s="6" t="s">
        <v>953</v>
      </c>
      <c r="J595" s="6" t="s">
        <v>953</v>
      </c>
    </row>
    <row r="596">
      <c r="A596" s="6">
        <v>592.0</v>
      </c>
      <c r="B596" s="6" t="s">
        <v>240</v>
      </c>
      <c r="C596" s="12" t="s">
        <v>5764</v>
      </c>
      <c r="D596" s="6" t="s">
        <v>5737</v>
      </c>
      <c r="E596" s="6" t="s">
        <v>5765</v>
      </c>
      <c r="F596" s="15" t="s">
        <v>5766</v>
      </c>
      <c r="G596" s="6" t="s">
        <v>5768</v>
      </c>
      <c r="H596" s="6" t="s">
        <v>175</v>
      </c>
      <c r="I596" s="6" t="s">
        <v>953</v>
      </c>
      <c r="J596" s="6" t="s">
        <v>953</v>
      </c>
    </row>
    <row r="597">
      <c r="A597" s="6">
        <v>593.0</v>
      </c>
      <c r="B597" s="6" t="s">
        <v>178</v>
      </c>
      <c r="C597" s="12" t="s">
        <v>5769</v>
      </c>
      <c r="D597" s="6" t="s">
        <v>5737</v>
      </c>
      <c r="E597" s="6" t="s">
        <v>5770</v>
      </c>
      <c r="F597" s="15" t="s">
        <v>5771</v>
      </c>
      <c r="G597" s="6" t="s">
        <v>5773</v>
      </c>
      <c r="H597" s="6" t="s">
        <v>175</v>
      </c>
      <c r="I597" s="6" t="s">
        <v>953</v>
      </c>
      <c r="J597" s="6" t="s">
        <v>953</v>
      </c>
    </row>
    <row r="598">
      <c r="A598" s="6">
        <v>594.0</v>
      </c>
      <c r="B598" s="6" t="s">
        <v>811</v>
      </c>
      <c r="C598" s="12" t="s">
        <v>942</v>
      </c>
      <c r="D598" s="6" t="s">
        <v>5737</v>
      </c>
      <c r="E598" s="6" t="s">
        <v>5774</v>
      </c>
      <c r="F598" s="15" t="s">
        <v>5775</v>
      </c>
      <c r="G598" s="6" t="s">
        <v>5777</v>
      </c>
      <c r="H598" s="6" t="s">
        <v>175</v>
      </c>
      <c r="I598" s="6" t="s">
        <v>953</v>
      </c>
      <c r="J598" s="6" t="s">
        <v>953</v>
      </c>
    </row>
    <row r="599">
      <c r="A599" s="6">
        <v>595.0</v>
      </c>
      <c r="B599" s="6" t="s">
        <v>41</v>
      </c>
      <c r="C599" s="12" t="s">
        <v>942</v>
      </c>
      <c r="D599" s="6" t="s">
        <v>5737</v>
      </c>
      <c r="E599" s="6" t="s">
        <v>5778</v>
      </c>
      <c r="F599" s="15" t="s">
        <v>5779</v>
      </c>
      <c r="G599" s="6" t="s">
        <v>5780</v>
      </c>
      <c r="H599" s="6" t="s">
        <v>175</v>
      </c>
      <c r="I599" s="6" t="s">
        <v>953</v>
      </c>
      <c r="J599" s="6" t="s">
        <v>953</v>
      </c>
    </row>
    <row r="600">
      <c r="A600" s="6">
        <v>596.0</v>
      </c>
      <c r="B600" s="6" t="s">
        <v>811</v>
      </c>
      <c r="C600" s="12" t="s">
        <v>942</v>
      </c>
      <c r="D600" s="6" t="s">
        <v>5737</v>
      </c>
      <c r="E600" s="6" t="s">
        <v>5782</v>
      </c>
      <c r="F600" s="15" t="s">
        <v>5783</v>
      </c>
      <c r="G600" s="6" t="s">
        <v>5784</v>
      </c>
      <c r="H600" s="6" t="s">
        <v>175</v>
      </c>
      <c r="I600" s="6" t="s">
        <v>953</v>
      </c>
      <c r="J600" s="6" t="s">
        <v>953</v>
      </c>
    </row>
    <row r="601">
      <c r="A601" s="6">
        <v>597.0</v>
      </c>
      <c r="B601" s="6" t="s">
        <v>251</v>
      </c>
      <c r="C601" s="12" t="s">
        <v>942</v>
      </c>
      <c r="D601" s="6" t="s">
        <v>5737</v>
      </c>
      <c r="E601" s="6" t="s">
        <v>5785</v>
      </c>
      <c r="F601" s="15" t="s">
        <v>5786</v>
      </c>
      <c r="G601" s="6" t="s">
        <v>5788</v>
      </c>
      <c r="H601" s="6" t="s">
        <v>175</v>
      </c>
      <c r="I601" s="6" t="s">
        <v>953</v>
      </c>
      <c r="J601" s="6" t="s">
        <v>953</v>
      </c>
    </row>
    <row r="602">
      <c r="A602" s="6">
        <v>598.0</v>
      </c>
      <c r="B602" s="6" t="s">
        <v>811</v>
      </c>
      <c r="C602" s="12" t="s">
        <v>5759</v>
      </c>
      <c r="D602" s="6" t="s">
        <v>5737</v>
      </c>
      <c r="E602" s="6" t="s">
        <v>5789</v>
      </c>
      <c r="F602" s="15" t="s">
        <v>5790</v>
      </c>
      <c r="G602" s="6" t="s">
        <v>5792</v>
      </c>
      <c r="H602" s="6" t="s">
        <v>175</v>
      </c>
      <c r="I602" s="6" t="s">
        <v>953</v>
      </c>
      <c r="J602" s="6" t="s">
        <v>953</v>
      </c>
    </row>
    <row r="603">
      <c r="A603" s="6">
        <v>599.0</v>
      </c>
      <c r="B603" s="6" t="s">
        <v>110</v>
      </c>
      <c r="C603" s="12" t="s">
        <v>5793</v>
      </c>
      <c r="D603" s="6" t="s">
        <v>5737</v>
      </c>
      <c r="E603" s="6" t="s">
        <v>5794</v>
      </c>
      <c r="F603" s="15" t="s">
        <v>5795</v>
      </c>
      <c r="G603" s="6" t="s">
        <v>5796</v>
      </c>
      <c r="H603" s="6" t="s">
        <v>175</v>
      </c>
      <c r="I603" s="6" t="s">
        <v>953</v>
      </c>
      <c r="J603" s="6" t="s">
        <v>953</v>
      </c>
    </row>
    <row r="604">
      <c r="A604" s="6">
        <v>600.0</v>
      </c>
      <c r="B604" s="6" t="s">
        <v>811</v>
      </c>
      <c r="C604" s="12" t="s">
        <v>942</v>
      </c>
      <c r="D604" s="6" t="s">
        <v>5737</v>
      </c>
      <c r="E604" s="6" t="s">
        <v>5738</v>
      </c>
      <c r="F604" s="15" t="s">
        <v>5797</v>
      </c>
      <c r="G604" s="6" t="s">
        <v>5799</v>
      </c>
      <c r="H604" s="6" t="s">
        <v>175</v>
      </c>
      <c r="I604" s="6" t="s">
        <v>953</v>
      </c>
      <c r="J604" s="6" t="s">
        <v>953</v>
      </c>
    </row>
    <row r="605">
      <c r="A605" s="6">
        <v>601.0</v>
      </c>
      <c r="B605" s="6" t="s">
        <v>811</v>
      </c>
      <c r="C605" s="12" t="s">
        <v>5742</v>
      </c>
      <c r="D605" s="6" t="s">
        <v>5737</v>
      </c>
      <c r="E605" s="6" t="s">
        <v>5743</v>
      </c>
      <c r="F605" s="15" t="s">
        <v>5800</v>
      </c>
      <c r="G605" s="6" t="s">
        <v>5801</v>
      </c>
      <c r="H605" s="6" t="s">
        <v>175</v>
      </c>
      <c r="I605" s="6" t="s">
        <v>953</v>
      </c>
      <c r="J605" s="6" t="s">
        <v>953</v>
      </c>
    </row>
    <row r="606">
      <c r="A606" s="6">
        <v>602.0</v>
      </c>
      <c r="B606" s="6" t="s">
        <v>811</v>
      </c>
      <c r="C606" s="12" t="s">
        <v>942</v>
      </c>
      <c r="D606" s="6" t="s">
        <v>5737</v>
      </c>
      <c r="E606" s="6" t="s">
        <v>5747</v>
      </c>
      <c r="F606" s="15" t="s">
        <v>5803</v>
      </c>
      <c r="G606" s="6" t="s">
        <v>5804</v>
      </c>
      <c r="H606" s="6" t="s">
        <v>175</v>
      </c>
      <c r="I606" s="6" t="s">
        <v>953</v>
      </c>
      <c r="J606" s="6" t="s">
        <v>953</v>
      </c>
    </row>
    <row r="607">
      <c r="A607" s="6">
        <v>603.0</v>
      </c>
      <c r="B607" s="6" t="s">
        <v>1001</v>
      </c>
      <c r="C607" s="12" t="s">
        <v>942</v>
      </c>
      <c r="D607" s="6" t="s">
        <v>5737</v>
      </c>
      <c r="E607" s="6" t="s">
        <v>5750</v>
      </c>
      <c r="F607" s="15" t="s">
        <v>5806</v>
      </c>
      <c r="G607" s="6" t="s">
        <v>5807</v>
      </c>
      <c r="H607" s="6" t="s">
        <v>175</v>
      </c>
      <c r="I607" s="6" t="s">
        <v>953</v>
      </c>
      <c r="J607" s="6" t="s">
        <v>953</v>
      </c>
    </row>
    <row r="608">
      <c r="A608" s="6">
        <v>604.0</v>
      </c>
      <c r="B608" s="6" t="s">
        <v>811</v>
      </c>
      <c r="C608" s="12" t="s">
        <v>5754</v>
      </c>
      <c r="D608" s="6" t="s">
        <v>5737</v>
      </c>
      <c r="E608" s="6" t="s">
        <v>5755</v>
      </c>
      <c r="F608" s="15" t="s">
        <v>5809</v>
      </c>
      <c r="G608" s="6" t="s">
        <v>5810</v>
      </c>
      <c r="H608" s="6" t="s">
        <v>175</v>
      </c>
      <c r="I608" s="6" t="s">
        <v>953</v>
      </c>
      <c r="J608" s="6" t="s">
        <v>953</v>
      </c>
    </row>
    <row r="609">
      <c r="A609" s="6">
        <v>605.0</v>
      </c>
      <c r="B609" s="6" t="s">
        <v>811</v>
      </c>
      <c r="C609" s="12" t="s">
        <v>5759</v>
      </c>
      <c r="D609" s="6" t="s">
        <v>5737</v>
      </c>
      <c r="E609" s="6" t="s">
        <v>5760</v>
      </c>
      <c r="F609" s="15" t="s">
        <v>5812</v>
      </c>
      <c r="G609" s="6" t="s">
        <v>5814</v>
      </c>
      <c r="H609" s="6" t="s">
        <v>175</v>
      </c>
      <c r="I609" s="6" t="s">
        <v>953</v>
      </c>
      <c r="J609" s="6" t="s">
        <v>953</v>
      </c>
    </row>
    <row r="610">
      <c r="A610" s="6">
        <v>606.0</v>
      </c>
      <c r="B610" s="6" t="s">
        <v>240</v>
      </c>
      <c r="C610" s="12" t="s">
        <v>5764</v>
      </c>
      <c r="D610" s="6" t="s">
        <v>5737</v>
      </c>
      <c r="E610" s="6" t="s">
        <v>5765</v>
      </c>
      <c r="F610" s="15" t="s">
        <v>5815</v>
      </c>
      <c r="G610" s="6" t="s">
        <v>5819</v>
      </c>
      <c r="H610" s="6" t="s">
        <v>175</v>
      </c>
      <c r="I610" s="6" t="s">
        <v>953</v>
      </c>
      <c r="J610" s="6" t="s">
        <v>953</v>
      </c>
    </row>
    <row r="611">
      <c r="A611" s="6">
        <v>607.0</v>
      </c>
      <c r="B611" s="6" t="s">
        <v>178</v>
      </c>
      <c r="C611" s="12" t="s">
        <v>5769</v>
      </c>
      <c r="D611" s="6" t="s">
        <v>5737</v>
      </c>
      <c r="E611" s="6" t="s">
        <v>5770</v>
      </c>
      <c r="F611" s="15" t="s">
        <v>5821</v>
      </c>
      <c r="G611" s="6" t="s">
        <v>5827</v>
      </c>
      <c r="H611" s="6" t="s">
        <v>175</v>
      </c>
      <c r="I611" s="6" t="s">
        <v>953</v>
      </c>
      <c r="J611" s="6" t="s">
        <v>953</v>
      </c>
    </row>
    <row r="612">
      <c r="A612" s="6">
        <v>608.0</v>
      </c>
      <c r="B612" s="6" t="s">
        <v>811</v>
      </c>
      <c r="C612" s="12" t="s">
        <v>942</v>
      </c>
      <c r="D612" s="6" t="s">
        <v>5737</v>
      </c>
      <c r="E612" s="6" t="s">
        <v>5774</v>
      </c>
      <c r="F612" s="15" t="s">
        <v>5828</v>
      </c>
      <c r="G612" s="6" t="s">
        <v>5831</v>
      </c>
      <c r="H612" s="6" t="s">
        <v>175</v>
      </c>
      <c r="I612" s="6" t="s">
        <v>953</v>
      </c>
      <c r="J612" s="6" t="s">
        <v>953</v>
      </c>
    </row>
    <row r="613">
      <c r="A613" s="6">
        <v>609.0</v>
      </c>
      <c r="B613" s="6" t="s">
        <v>41</v>
      </c>
      <c r="C613" s="12" t="s">
        <v>942</v>
      </c>
      <c r="D613" s="6" t="s">
        <v>5737</v>
      </c>
      <c r="E613" s="6" t="s">
        <v>5778</v>
      </c>
      <c r="F613" s="15" t="s">
        <v>5832</v>
      </c>
      <c r="G613" s="6" t="s">
        <v>5834</v>
      </c>
      <c r="H613" s="6" t="s">
        <v>175</v>
      </c>
      <c r="I613" s="6" t="s">
        <v>953</v>
      </c>
      <c r="J613" s="6" t="s">
        <v>953</v>
      </c>
    </row>
    <row r="614">
      <c r="A614" s="6">
        <v>610.0</v>
      </c>
      <c r="B614" s="6" t="s">
        <v>811</v>
      </c>
      <c r="C614" s="12" t="s">
        <v>942</v>
      </c>
      <c r="D614" s="6" t="s">
        <v>5737</v>
      </c>
      <c r="E614" s="6" t="s">
        <v>5782</v>
      </c>
      <c r="F614" s="15" t="s">
        <v>5835</v>
      </c>
      <c r="G614" s="6" t="s">
        <v>5837</v>
      </c>
      <c r="H614" s="6" t="s">
        <v>175</v>
      </c>
      <c r="I614" s="6" t="s">
        <v>953</v>
      </c>
      <c r="J614" s="6" t="s">
        <v>953</v>
      </c>
    </row>
    <row r="615">
      <c r="A615" s="6">
        <v>611.0</v>
      </c>
      <c r="B615" s="6" t="s">
        <v>251</v>
      </c>
      <c r="C615" s="12" t="s">
        <v>942</v>
      </c>
      <c r="D615" s="6" t="s">
        <v>5737</v>
      </c>
      <c r="E615" s="6" t="s">
        <v>5785</v>
      </c>
      <c r="F615" s="15" t="s">
        <v>5838</v>
      </c>
      <c r="G615" s="6" t="s">
        <v>5841</v>
      </c>
      <c r="H615" s="6" t="s">
        <v>175</v>
      </c>
      <c r="I615" s="6" t="s">
        <v>953</v>
      </c>
      <c r="J615" s="6" t="s">
        <v>953</v>
      </c>
    </row>
    <row r="616">
      <c r="A616" s="6">
        <v>612.0</v>
      </c>
      <c r="B616" s="6" t="s">
        <v>811</v>
      </c>
      <c r="C616" s="12" t="s">
        <v>5759</v>
      </c>
      <c r="D616" s="6" t="s">
        <v>5737</v>
      </c>
      <c r="E616" s="6" t="s">
        <v>5789</v>
      </c>
      <c r="F616" s="15" t="s">
        <v>5842</v>
      </c>
      <c r="G616" s="6" t="s">
        <v>5844</v>
      </c>
      <c r="H616" s="6" t="s">
        <v>175</v>
      </c>
      <c r="I616" s="6" t="s">
        <v>953</v>
      </c>
      <c r="J616" s="6" t="s">
        <v>953</v>
      </c>
    </row>
    <row r="617">
      <c r="A617" s="6">
        <v>613.0</v>
      </c>
      <c r="B617" s="6" t="s">
        <v>110</v>
      </c>
      <c r="C617" s="12" t="s">
        <v>5793</v>
      </c>
      <c r="D617" s="6" t="s">
        <v>5737</v>
      </c>
      <c r="E617" s="6" t="s">
        <v>5794</v>
      </c>
      <c r="F617" s="15" t="s">
        <v>5845</v>
      </c>
      <c r="G617" s="6" t="s">
        <v>5847</v>
      </c>
      <c r="H617" s="6" t="s">
        <v>175</v>
      </c>
      <c r="I617" s="6" t="s">
        <v>953</v>
      </c>
      <c r="J617" s="6" t="s">
        <v>953</v>
      </c>
    </row>
    <row r="618">
      <c r="A618" s="6">
        <v>614.0</v>
      </c>
      <c r="B618" s="6" t="s">
        <v>811</v>
      </c>
      <c r="C618" s="12" t="s">
        <v>942</v>
      </c>
      <c r="D618" s="6" t="s">
        <v>5737</v>
      </c>
      <c r="E618" s="6" t="s">
        <v>5738</v>
      </c>
      <c r="F618" s="15" t="s">
        <v>5848</v>
      </c>
      <c r="G618" s="6" t="s">
        <v>5849</v>
      </c>
      <c r="H618" s="6" t="s">
        <v>175</v>
      </c>
      <c r="I618" s="6" t="s">
        <v>953</v>
      </c>
      <c r="J618" s="6" t="s">
        <v>953</v>
      </c>
    </row>
    <row r="619">
      <c r="A619" s="6">
        <v>615.0</v>
      </c>
      <c r="B619" s="6" t="s">
        <v>811</v>
      </c>
      <c r="C619" s="12" t="s">
        <v>5742</v>
      </c>
      <c r="D619" s="6" t="s">
        <v>5737</v>
      </c>
      <c r="E619" s="6" t="s">
        <v>5743</v>
      </c>
      <c r="F619" s="15" t="s">
        <v>5851</v>
      </c>
      <c r="G619" s="6" t="s">
        <v>5852</v>
      </c>
      <c r="H619" s="6" t="s">
        <v>175</v>
      </c>
      <c r="I619" s="6" t="s">
        <v>953</v>
      </c>
      <c r="J619" s="6" t="s">
        <v>953</v>
      </c>
    </row>
    <row r="620">
      <c r="A620" s="6">
        <v>616.0</v>
      </c>
      <c r="B620" s="6" t="s">
        <v>811</v>
      </c>
      <c r="C620" s="12" t="s">
        <v>942</v>
      </c>
      <c r="D620" s="6" t="s">
        <v>5737</v>
      </c>
      <c r="E620" s="6" t="s">
        <v>5747</v>
      </c>
      <c r="F620" s="15" t="s">
        <v>5853</v>
      </c>
      <c r="G620" s="6" t="s">
        <v>5856</v>
      </c>
      <c r="H620" s="6" t="s">
        <v>175</v>
      </c>
      <c r="I620" s="6" t="s">
        <v>953</v>
      </c>
      <c r="J620" s="6" t="s">
        <v>953</v>
      </c>
    </row>
    <row r="621">
      <c r="A621" s="6">
        <v>617.0</v>
      </c>
      <c r="B621" s="6" t="s">
        <v>1001</v>
      </c>
      <c r="C621" s="12" t="s">
        <v>942</v>
      </c>
      <c r="D621" s="6" t="s">
        <v>5737</v>
      </c>
      <c r="E621" s="6" t="s">
        <v>5750</v>
      </c>
      <c r="F621" s="15" t="s">
        <v>5857</v>
      </c>
      <c r="G621" s="6" t="s">
        <v>5859</v>
      </c>
      <c r="H621" s="6" t="s">
        <v>175</v>
      </c>
      <c r="I621" s="6" t="s">
        <v>953</v>
      </c>
      <c r="J621" s="6" t="s">
        <v>953</v>
      </c>
    </row>
    <row r="622">
      <c r="A622" s="6">
        <v>618.0</v>
      </c>
      <c r="B622" s="6" t="s">
        <v>811</v>
      </c>
      <c r="C622" s="12" t="s">
        <v>5754</v>
      </c>
      <c r="D622" s="6" t="s">
        <v>5737</v>
      </c>
      <c r="E622" s="6" t="s">
        <v>5755</v>
      </c>
      <c r="F622" s="15" t="s">
        <v>5860</v>
      </c>
      <c r="G622" s="6" t="s">
        <v>5863</v>
      </c>
      <c r="H622" s="6" t="s">
        <v>175</v>
      </c>
      <c r="I622" s="6" t="s">
        <v>953</v>
      </c>
      <c r="J622" s="6" t="s">
        <v>953</v>
      </c>
    </row>
    <row r="623">
      <c r="A623" s="6">
        <v>619.0</v>
      </c>
      <c r="B623" s="6" t="s">
        <v>811</v>
      </c>
      <c r="C623" s="12" t="s">
        <v>5759</v>
      </c>
      <c r="D623" s="6" t="s">
        <v>5737</v>
      </c>
      <c r="E623" s="6" t="s">
        <v>5760</v>
      </c>
      <c r="F623" s="15" t="s">
        <v>5864</v>
      </c>
      <c r="G623" s="6" t="s">
        <v>5866</v>
      </c>
      <c r="H623" s="6" t="s">
        <v>175</v>
      </c>
      <c r="I623" s="6" t="s">
        <v>953</v>
      </c>
      <c r="J623" s="6" t="s">
        <v>953</v>
      </c>
    </row>
    <row r="624">
      <c r="A624" s="6">
        <v>620.0</v>
      </c>
      <c r="B624" s="6" t="s">
        <v>240</v>
      </c>
      <c r="C624" s="12" t="s">
        <v>5764</v>
      </c>
      <c r="D624" s="6" t="s">
        <v>5737</v>
      </c>
      <c r="E624" s="6" t="s">
        <v>5765</v>
      </c>
      <c r="F624" s="15" t="s">
        <v>5869</v>
      </c>
      <c r="G624" s="6" t="s">
        <v>5870</v>
      </c>
      <c r="H624" s="6" t="s">
        <v>175</v>
      </c>
      <c r="I624" s="6" t="s">
        <v>953</v>
      </c>
      <c r="J624" s="6" t="s">
        <v>953</v>
      </c>
    </row>
    <row r="625">
      <c r="A625" s="6">
        <v>621.0</v>
      </c>
      <c r="B625" s="6" t="s">
        <v>178</v>
      </c>
      <c r="C625" s="12" t="s">
        <v>5769</v>
      </c>
      <c r="D625" s="6" t="s">
        <v>5737</v>
      </c>
      <c r="E625" s="6" t="s">
        <v>5770</v>
      </c>
      <c r="F625" s="15" t="s">
        <v>5872</v>
      </c>
      <c r="G625" s="6" t="s">
        <v>5877</v>
      </c>
      <c r="H625" s="6" t="s">
        <v>175</v>
      </c>
      <c r="I625" s="6" t="s">
        <v>953</v>
      </c>
      <c r="J625" s="6" t="s">
        <v>953</v>
      </c>
    </row>
    <row r="626">
      <c r="A626" s="6">
        <v>622.0</v>
      </c>
      <c r="B626" s="6" t="s">
        <v>811</v>
      </c>
      <c r="C626" s="12" t="s">
        <v>942</v>
      </c>
      <c r="D626" s="6" t="s">
        <v>5737</v>
      </c>
      <c r="E626" s="6" t="s">
        <v>5774</v>
      </c>
      <c r="F626" s="15" t="s">
        <v>5879</v>
      </c>
      <c r="G626" s="6" t="s">
        <v>5880</v>
      </c>
      <c r="H626" s="6" t="s">
        <v>175</v>
      </c>
      <c r="I626" s="6" t="s">
        <v>953</v>
      </c>
      <c r="J626" s="6" t="s">
        <v>953</v>
      </c>
    </row>
    <row r="627">
      <c r="A627" s="6">
        <v>623.0</v>
      </c>
      <c r="B627" s="6" t="s">
        <v>41</v>
      </c>
      <c r="C627" s="12" t="s">
        <v>942</v>
      </c>
      <c r="D627" s="6" t="s">
        <v>5737</v>
      </c>
      <c r="E627" s="6" t="s">
        <v>5778</v>
      </c>
      <c r="F627" s="15" t="s">
        <v>5881</v>
      </c>
      <c r="G627" s="6" t="s">
        <v>5883</v>
      </c>
      <c r="H627" s="6" t="s">
        <v>175</v>
      </c>
      <c r="I627" s="6" t="s">
        <v>953</v>
      </c>
      <c r="J627" s="6" t="s">
        <v>953</v>
      </c>
    </row>
    <row r="628">
      <c r="A628" s="6">
        <v>624.0</v>
      </c>
      <c r="B628" s="6" t="s">
        <v>811</v>
      </c>
      <c r="C628" s="12" t="s">
        <v>942</v>
      </c>
      <c r="D628" s="6" t="s">
        <v>5737</v>
      </c>
      <c r="E628" s="6" t="s">
        <v>5782</v>
      </c>
      <c r="F628" s="15" t="s">
        <v>5884</v>
      </c>
      <c r="G628" s="6" t="s">
        <v>5887</v>
      </c>
      <c r="H628" s="6" t="s">
        <v>175</v>
      </c>
      <c r="I628" s="6" t="s">
        <v>953</v>
      </c>
      <c r="J628" s="6" t="s">
        <v>953</v>
      </c>
    </row>
    <row r="629">
      <c r="A629" s="6">
        <v>625.0</v>
      </c>
      <c r="B629" s="6" t="s">
        <v>251</v>
      </c>
      <c r="C629" s="12" t="s">
        <v>942</v>
      </c>
      <c r="D629" s="6" t="s">
        <v>5737</v>
      </c>
      <c r="E629" s="6" t="s">
        <v>5785</v>
      </c>
      <c r="F629" s="15" t="s">
        <v>5888</v>
      </c>
      <c r="G629" s="6" t="s">
        <v>5890</v>
      </c>
      <c r="H629" s="6" t="s">
        <v>175</v>
      </c>
      <c r="I629" s="6" t="s">
        <v>953</v>
      </c>
      <c r="J629" s="6" t="s">
        <v>953</v>
      </c>
    </row>
    <row r="630">
      <c r="A630" s="6">
        <v>626.0</v>
      </c>
      <c r="B630" s="6" t="s">
        <v>811</v>
      </c>
      <c r="C630" s="12" t="s">
        <v>5759</v>
      </c>
      <c r="D630" s="6" t="s">
        <v>5737</v>
      </c>
      <c r="E630" s="6" t="s">
        <v>5789</v>
      </c>
      <c r="F630" s="15" t="s">
        <v>5891</v>
      </c>
      <c r="G630" s="6" t="s">
        <v>5892</v>
      </c>
      <c r="H630" s="6" t="s">
        <v>175</v>
      </c>
      <c r="I630" s="6" t="s">
        <v>953</v>
      </c>
      <c r="J630" s="6" t="s">
        <v>953</v>
      </c>
    </row>
    <row r="631">
      <c r="A631" s="6">
        <v>627.0</v>
      </c>
      <c r="B631" s="6" t="s">
        <v>110</v>
      </c>
      <c r="C631" s="12" t="s">
        <v>5793</v>
      </c>
      <c r="D631" s="6" t="s">
        <v>5737</v>
      </c>
      <c r="E631" s="6" t="s">
        <v>5794</v>
      </c>
      <c r="F631" s="15" t="s">
        <v>5893</v>
      </c>
      <c r="G631" s="6" t="s">
        <v>5895</v>
      </c>
      <c r="H631" s="6" t="s">
        <v>175</v>
      </c>
      <c r="I631" s="6" t="s">
        <v>953</v>
      </c>
      <c r="J631" s="6" t="s">
        <v>953</v>
      </c>
    </row>
    <row r="632">
      <c r="A632" s="6">
        <v>628.0</v>
      </c>
      <c r="B632" s="6" t="s">
        <v>811</v>
      </c>
      <c r="C632" s="12" t="s">
        <v>942</v>
      </c>
      <c r="D632" s="6" t="s">
        <v>5737</v>
      </c>
      <c r="E632" s="6" t="s">
        <v>5738</v>
      </c>
      <c r="F632" s="15" t="s">
        <v>5896</v>
      </c>
      <c r="G632" s="6" t="s">
        <v>5899</v>
      </c>
      <c r="H632" s="6" t="s">
        <v>175</v>
      </c>
      <c r="I632" s="6" t="s">
        <v>953</v>
      </c>
      <c r="J632" s="6" t="s">
        <v>953</v>
      </c>
    </row>
    <row r="633">
      <c r="A633" s="6">
        <v>629.0</v>
      </c>
      <c r="B633" s="6" t="s">
        <v>811</v>
      </c>
      <c r="C633" s="12" t="s">
        <v>5742</v>
      </c>
      <c r="D633" s="6" t="s">
        <v>5737</v>
      </c>
      <c r="E633" s="6" t="s">
        <v>5743</v>
      </c>
      <c r="F633" s="15" t="s">
        <v>5900</v>
      </c>
      <c r="G633" s="6" t="s">
        <v>5902</v>
      </c>
      <c r="H633" s="6" t="s">
        <v>175</v>
      </c>
      <c r="I633" s="6" t="s">
        <v>953</v>
      </c>
      <c r="J633" s="6" t="s">
        <v>953</v>
      </c>
    </row>
    <row r="634">
      <c r="A634" s="6">
        <v>630.0</v>
      </c>
      <c r="B634" s="6" t="s">
        <v>811</v>
      </c>
      <c r="C634" s="12" t="s">
        <v>942</v>
      </c>
      <c r="D634" s="6" t="s">
        <v>5737</v>
      </c>
      <c r="E634" s="6" t="s">
        <v>5747</v>
      </c>
      <c r="F634" s="15" t="s">
        <v>5903</v>
      </c>
      <c r="G634" s="6" t="s">
        <v>5904</v>
      </c>
      <c r="H634" s="6" t="s">
        <v>175</v>
      </c>
      <c r="I634" s="6" t="s">
        <v>953</v>
      </c>
      <c r="J634" s="6" t="s">
        <v>953</v>
      </c>
    </row>
    <row r="635">
      <c r="A635" s="6">
        <v>631.0</v>
      </c>
      <c r="B635" s="6" t="s">
        <v>1001</v>
      </c>
      <c r="C635" s="12" t="s">
        <v>942</v>
      </c>
      <c r="D635" s="6" t="s">
        <v>5737</v>
      </c>
      <c r="E635" s="6" t="s">
        <v>5750</v>
      </c>
      <c r="F635" s="15" t="s">
        <v>5906</v>
      </c>
      <c r="G635" s="6" t="s">
        <v>5907</v>
      </c>
      <c r="H635" s="6" t="s">
        <v>175</v>
      </c>
      <c r="I635" s="6" t="s">
        <v>953</v>
      </c>
      <c r="J635" s="6" t="s">
        <v>953</v>
      </c>
    </row>
    <row r="636">
      <c r="A636" s="6">
        <v>632.0</v>
      </c>
      <c r="B636" s="6" t="s">
        <v>811</v>
      </c>
      <c r="C636" s="12" t="s">
        <v>5754</v>
      </c>
      <c r="D636" s="6" t="s">
        <v>5737</v>
      </c>
      <c r="E636" s="6" t="s">
        <v>5755</v>
      </c>
      <c r="F636" s="15" t="s">
        <v>5908</v>
      </c>
      <c r="G636" s="6" t="s">
        <v>5910</v>
      </c>
      <c r="H636" s="6" t="s">
        <v>175</v>
      </c>
      <c r="I636" s="6" t="s">
        <v>953</v>
      </c>
      <c r="J636" s="6" t="s">
        <v>953</v>
      </c>
    </row>
    <row r="637">
      <c r="A637" s="6">
        <v>633.0</v>
      </c>
      <c r="B637" s="6" t="s">
        <v>811</v>
      </c>
      <c r="C637" s="12" t="s">
        <v>5759</v>
      </c>
      <c r="D637" s="6" t="s">
        <v>5737</v>
      </c>
      <c r="E637" s="6" t="s">
        <v>5760</v>
      </c>
      <c r="F637" s="15" t="s">
        <v>5912</v>
      </c>
      <c r="G637" s="6" t="s">
        <v>5914</v>
      </c>
      <c r="H637" s="6" t="s">
        <v>175</v>
      </c>
      <c r="I637" s="6" t="s">
        <v>953</v>
      </c>
      <c r="J637" s="6" t="s">
        <v>953</v>
      </c>
    </row>
    <row r="638">
      <c r="A638" s="6">
        <v>634.0</v>
      </c>
      <c r="B638" s="6" t="s">
        <v>240</v>
      </c>
      <c r="C638" s="12" t="s">
        <v>5764</v>
      </c>
      <c r="D638" s="6" t="s">
        <v>5737</v>
      </c>
      <c r="E638" s="6" t="s">
        <v>5765</v>
      </c>
      <c r="F638" s="15" t="s">
        <v>5915</v>
      </c>
      <c r="G638" s="6" t="s">
        <v>5919</v>
      </c>
      <c r="H638" s="6" t="s">
        <v>175</v>
      </c>
      <c r="I638" s="6" t="s">
        <v>953</v>
      </c>
      <c r="J638" s="6" t="s">
        <v>953</v>
      </c>
    </row>
    <row r="639">
      <c r="A639" s="6">
        <v>635.0</v>
      </c>
      <c r="B639" s="6" t="s">
        <v>178</v>
      </c>
      <c r="C639" s="12" t="s">
        <v>5769</v>
      </c>
      <c r="D639" s="6" t="s">
        <v>5737</v>
      </c>
      <c r="E639" s="6" t="s">
        <v>5770</v>
      </c>
      <c r="F639" s="15" t="s">
        <v>5921</v>
      </c>
      <c r="G639" s="6" t="s">
        <v>5922</v>
      </c>
      <c r="H639" s="6" t="s">
        <v>175</v>
      </c>
      <c r="I639" s="6" t="s">
        <v>953</v>
      </c>
      <c r="J639" s="6" t="s">
        <v>953</v>
      </c>
    </row>
    <row r="640">
      <c r="A640" s="6">
        <v>636.0</v>
      </c>
      <c r="B640" s="6" t="s">
        <v>811</v>
      </c>
      <c r="C640" s="12" t="s">
        <v>942</v>
      </c>
      <c r="D640" s="6" t="s">
        <v>5737</v>
      </c>
      <c r="E640" s="6" t="s">
        <v>5774</v>
      </c>
      <c r="F640" s="15" t="s">
        <v>5923</v>
      </c>
      <c r="G640" s="6" t="s">
        <v>5926</v>
      </c>
      <c r="H640" s="6" t="s">
        <v>175</v>
      </c>
      <c r="I640" s="6" t="s">
        <v>953</v>
      </c>
      <c r="J640" s="6" t="s">
        <v>953</v>
      </c>
    </row>
    <row r="641">
      <c r="A641" s="6">
        <v>637.0</v>
      </c>
      <c r="B641" s="6" t="s">
        <v>41</v>
      </c>
      <c r="C641" s="12" t="s">
        <v>942</v>
      </c>
      <c r="D641" s="6" t="s">
        <v>5737</v>
      </c>
      <c r="E641" s="6" t="s">
        <v>5778</v>
      </c>
      <c r="F641" s="15" t="s">
        <v>5927</v>
      </c>
      <c r="G641" s="6" t="s">
        <v>5929</v>
      </c>
      <c r="H641" s="6" t="s">
        <v>175</v>
      </c>
      <c r="I641" s="6" t="s">
        <v>953</v>
      </c>
      <c r="J641" s="6" t="s">
        <v>953</v>
      </c>
    </row>
    <row r="642">
      <c r="A642" s="6">
        <v>638.0</v>
      </c>
      <c r="B642" s="6" t="s">
        <v>811</v>
      </c>
      <c r="C642" s="12" t="s">
        <v>942</v>
      </c>
      <c r="D642" s="6" t="s">
        <v>5737</v>
      </c>
      <c r="E642" s="6" t="s">
        <v>5782</v>
      </c>
      <c r="F642" s="15" t="s">
        <v>5930</v>
      </c>
      <c r="G642" s="6" t="s">
        <v>5932</v>
      </c>
      <c r="H642" s="6" t="s">
        <v>175</v>
      </c>
      <c r="I642" s="6" t="s">
        <v>953</v>
      </c>
      <c r="J642" s="6" t="s">
        <v>953</v>
      </c>
    </row>
    <row r="643">
      <c r="A643" s="6">
        <v>639.0</v>
      </c>
      <c r="B643" s="6" t="s">
        <v>251</v>
      </c>
      <c r="C643" s="12" t="s">
        <v>942</v>
      </c>
      <c r="D643" s="6" t="s">
        <v>5737</v>
      </c>
      <c r="E643" s="6" t="s">
        <v>5785</v>
      </c>
      <c r="F643" s="15" t="s">
        <v>5933</v>
      </c>
      <c r="G643" s="6" t="s">
        <v>5935</v>
      </c>
      <c r="H643" s="6" t="s">
        <v>175</v>
      </c>
      <c r="I643" s="6" t="s">
        <v>953</v>
      </c>
      <c r="J643" s="6" t="s">
        <v>953</v>
      </c>
    </row>
    <row r="644">
      <c r="A644" s="6">
        <v>640.0</v>
      </c>
      <c r="B644" s="6" t="s">
        <v>811</v>
      </c>
      <c r="C644" s="12" t="s">
        <v>5759</v>
      </c>
      <c r="D644" s="6" t="s">
        <v>5737</v>
      </c>
      <c r="E644" s="6" t="s">
        <v>5789</v>
      </c>
      <c r="F644" s="15" t="s">
        <v>5936</v>
      </c>
      <c r="G644" s="6" t="s">
        <v>5937</v>
      </c>
      <c r="H644" s="6" t="s">
        <v>175</v>
      </c>
      <c r="I644" s="6" t="s">
        <v>953</v>
      </c>
      <c r="J644" s="6" t="s">
        <v>953</v>
      </c>
    </row>
    <row r="645">
      <c r="A645" s="6">
        <v>641.0</v>
      </c>
      <c r="B645" s="6" t="s">
        <v>110</v>
      </c>
      <c r="C645" s="12" t="s">
        <v>5793</v>
      </c>
      <c r="D645" s="6" t="s">
        <v>5737</v>
      </c>
      <c r="E645" s="6" t="s">
        <v>5794</v>
      </c>
      <c r="F645" s="15" t="s">
        <v>5938</v>
      </c>
      <c r="G645" s="6" t="s">
        <v>5940</v>
      </c>
      <c r="H645" s="6" t="s">
        <v>175</v>
      </c>
      <c r="I645" s="6" t="s">
        <v>953</v>
      </c>
      <c r="J645" s="6" t="s">
        <v>953</v>
      </c>
    </row>
    <row r="646">
      <c r="A646" s="6">
        <v>642.0</v>
      </c>
      <c r="B646" s="6" t="s">
        <v>811</v>
      </c>
      <c r="C646" s="12" t="s">
        <v>942</v>
      </c>
      <c r="D646" s="6" t="s">
        <v>5737</v>
      </c>
      <c r="E646" s="6" t="s">
        <v>5738</v>
      </c>
      <c r="F646" s="15" t="s">
        <v>5943</v>
      </c>
      <c r="G646" s="6" t="s">
        <v>5945</v>
      </c>
      <c r="H646" s="6" t="s">
        <v>175</v>
      </c>
      <c r="I646" s="6" t="s">
        <v>953</v>
      </c>
      <c r="J646" s="6" t="s">
        <v>953</v>
      </c>
    </row>
    <row r="647">
      <c r="A647" s="6">
        <v>643.0</v>
      </c>
      <c r="B647" s="6" t="s">
        <v>811</v>
      </c>
      <c r="C647" s="12" t="s">
        <v>5742</v>
      </c>
      <c r="D647" s="6" t="s">
        <v>5737</v>
      </c>
      <c r="E647" s="6" t="s">
        <v>5743</v>
      </c>
      <c r="F647" s="15" t="s">
        <v>5946</v>
      </c>
      <c r="G647" s="6" t="s">
        <v>5948</v>
      </c>
      <c r="H647" s="6" t="s">
        <v>175</v>
      </c>
      <c r="I647" s="6" t="s">
        <v>953</v>
      </c>
      <c r="J647" s="6" t="s">
        <v>953</v>
      </c>
    </row>
    <row r="648">
      <c r="A648" s="6">
        <v>644.0</v>
      </c>
      <c r="B648" s="6" t="s">
        <v>811</v>
      </c>
      <c r="C648" s="12" t="s">
        <v>942</v>
      </c>
      <c r="D648" s="6" t="s">
        <v>5737</v>
      </c>
      <c r="E648" s="6" t="s">
        <v>5747</v>
      </c>
      <c r="F648" s="15" t="s">
        <v>5950</v>
      </c>
      <c r="G648" s="6" t="s">
        <v>5951</v>
      </c>
      <c r="H648" s="6" t="s">
        <v>175</v>
      </c>
      <c r="I648" s="6" t="s">
        <v>953</v>
      </c>
      <c r="J648" s="6" t="s">
        <v>953</v>
      </c>
    </row>
    <row r="649">
      <c r="A649" s="6">
        <v>645.0</v>
      </c>
      <c r="B649" s="6" t="s">
        <v>1001</v>
      </c>
      <c r="C649" s="12" t="s">
        <v>942</v>
      </c>
      <c r="D649" s="6" t="s">
        <v>5737</v>
      </c>
      <c r="E649" s="6" t="s">
        <v>5750</v>
      </c>
      <c r="F649" s="15" t="s">
        <v>5952</v>
      </c>
      <c r="G649" s="6" t="s">
        <v>5954</v>
      </c>
      <c r="H649" s="6" t="s">
        <v>175</v>
      </c>
      <c r="I649" s="6" t="s">
        <v>953</v>
      </c>
      <c r="J649" s="6" t="s">
        <v>953</v>
      </c>
    </row>
    <row r="650">
      <c r="A650" s="6">
        <v>646.0</v>
      </c>
      <c r="B650" s="6" t="s">
        <v>811</v>
      </c>
      <c r="C650" s="12" t="s">
        <v>5754</v>
      </c>
      <c r="D650" s="6" t="s">
        <v>5737</v>
      </c>
      <c r="E650" s="6" t="s">
        <v>5755</v>
      </c>
      <c r="F650" s="15" t="s">
        <v>5955</v>
      </c>
      <c r="G650" s="6" t="s">
        <v>5957</v>
      </c>
      <c r="H650" s="6" t="s">
        <v>175</v>
      </c>
      <c r="I650" s="6" t="s">
        <v>953</v>
      </c>
      <c r="J650" s="6" t="s">
        <v>953</v>
      </c>
    </row>
    <row r="651">
      <c r="A651" s="6">
        <v>647.0</v>
      </c>
      <c r="B651" s="6" t="s">
        <v>811</v>
      </c>
      <c r="C651" s="12" t="s">
        <v>5759</v>
      </c>
      <c r="D651" s="6" t="s">
        <v>5737</v>
      </c>
      <c r="E651" s="6" t="s">
        <v>5760</v>
      </c>
      <c r="F651" s="15" t="s">
        <v>5960</v>
      </c>
      <c r="G651" s="6" t="s">
        <v>5963</v>
      </c>
      <c r="H651" s="6" t="s">
        <v>175</v>
      </c>
      <c r="I651" s="6" t="s">
        <v>953</v>
      </c>
      <c r="J651" s="6" t="s">
        <v>953</v>
      </c>
    </row>
    <row r="652">
      <c r="A652" s="6">
        <v>648.0</v>
      </c>
      <c r="B652" s="6" t="s">
        <v>240</v>
      </c>
      <c r="C652" s="12" t="s">
        <v>5764</v>
      </c>
      <c r="D652" s="6" t="s">
        <v>5737</v>
      </c>
      <c r="E652" s="6" t="s">
        <v>5765</v>
      </c>
      <c r="F652" s="15" t="s">
        <v>5964</v>
      </c>
      <c r="G652" s="6" t="s">
        <v>5965</v>
      </c>
      <c r="H652" s="6" t="s">
        <v>175</v>
      </c>
      <c r="I652" s="6" t="s">
        <v>953</v>
      </c>
      <c r="J652" s="6" t="s">
        <v>953</v>
      </c>
    </row>
    <row r="653">
      <c r="A653" s="6">
        <v>649.0</v>
      </c>
      <c r="B653" s="6" t="s">
        <v>178</v>
      </c>
      <c r="C653" s="12" t="s">
        <v>5769</v>
      </c>
      <c r="D653" s="6" t="s">
        <v>5737</v>
      </c>
      <c r="E653" s="6" t="s">
        <v>5770</v>
      </c>
      <c r="F653" s="15" t="s">
        <v>5966</v>
      </c>
      <c r="G653" s="6" t="s">
        <v>5969</v>
      </c>
      <c r="H653" s="6" t="s">
        <v>175</v>
      </c>
      <c r="I653" s="6" t="s">
        <v>953</v>
      </c>
      <c r="J653" s="6" t="s">
        <v>953</v>
      </c>
    </row>
    <row r="654">
      <c r="A654" s="6">
        <v>650.0</v>
      </c>
      <c r="B654" s="6" t="s">
        <v>811</v>
      </c>
      <c r="C654" s="12" t="s">
        <v>942</v>
      </c>
      <c r="D654" s="6" t="s">
        <v>5737</v>
      </c>
      <c r="E654" s="6" t="s">
        <v>5774</v>
      </c>
      <c r="F654" s="15" t="s">
        <v>5970</v>
      </c>
      <c r="G654" s="6" t="s">
        <v>5971</v>
      </c>
      <c r="H654" s="6" t="s">
        <v>175</v>
      </c>
      <c r="I654" s="6" t="s">
        <v>953</v>
      </c>
      <c r="J654" s="6" t="s">
        <v>953</v>
      </c>
    </row>
    <row r="655">
      <c r="A655" s="6">
        <v>651.0</v>
      </c>
      <c r="B655" s="6" t="s">
        <v>41</v>
      </c>
      <c r="C655" s="12" t="s">
        <v>942</v>
      </c>
      <c r="D655" s="6" t="s">
        <v>5737</v>
      </c>
      <c r="E655" s="6" t="s">
        <v>5778</v>
      </c>
      <c r="F655" s="15" t="s">
        <v>5973</v>
      </c>
      <c r="G655" s="6" t="s">
        <v>5977</v>
      </c>
      <c r="H655" s="6" t="s">
        <v>175</v>
      </c>
      <c r="I655" s="6" t="s">
        <v>953</v>
      </c>
      <c r="J655" s="6" t="s">
        <v>953</v>
      </c>
    </row>
    <row r="656">
      <c r="A656" s="6">
        <v>652.0</v>
      </c>
      <c r="B656" s="6" t="s">
        <v>811</v>
      </c>
      <c r="C656" s="12" t="s">
        <v>942</v>
      </c>
      <c r="D656" s="6" t="s">
        <v>5737</v>
      </c>
      <c r="E656" s="6" t="s">
        <v>5782</v>
      </c>
      <c r="F656" s="15" t="s">
        <v>5979</v>
      </c>
      <c r="G656" s="6" t="s">
        <v>5980</v>
      </c>
      <c r="H656" s="6" t="s">
        <v>175</v>
      </c>
      <c r="I656" s="6" t="s">
        <v>953</v>
      </c>
      <c r="J656" s="6" t="s">
        <v>953</v>
      </c>
    </row>
    <row r="657">
      <c r="A657" s="6">
        <v>653.0</v>
      </c>
      <c r="B657" s="6" t="s">
        <v>251</v>
      </c>
      <c r="C657" s="12" t="s">
        <v>942</v>
      </c>
      <c r="D657" s="6" t="s">
        <v>5737</v>
      </c>
      <c r="E657" s="6" t="s">
        <v>5785</v>
      </c>
      <c r="F657" s="15" t="s">
        <v>5981</v>
      </c>
      <c r="G657" s="6" t="s">
        <v>5983</v>
      </c>
      <c r="H657" s="6" t="s">
        <v>175</v>
      </c>
      <c r="I657" s="6" t="s">
        <v>953</v>
      </c>
      <c r="J657" s="6" t="s">
        <v>953</v>
      </c>
    </row>
    <row r="658">
      <c r="A658" s="6">
        <v>654.0</v>
      </c>
      <c r="B658" s="6" t="s">
        <v>811</v>
      </c>
      <c r="C658" s="12" t="s">
        <v>5759</v>
      </c>
      <c r="D658" s="6" t="s">
        <v>5737</v>
      </c>
      <c r="E658" s="6" t="s">
        <v>5789</v>
      </c>
      <c r="F658" s="15" t="s">
        <v>5984</v>
      </c>
      <c r="G658" s="6" t="s">
        <v>5986</v>
      </c>
      <c r="H658" s="6" t="s">
        <v>175</v>
      </c>
      <c r="I658" s="6" t="s">
        <v>953</v>
      </c>
      <c r="J658" s="6" t="s">
        <v>953</v>
      </c>
    </row>
    <row r="659">
      <c r="A659" s="6">
        <v>655.0</v>
      </c>
      <c r="B659" s="6" t="s">
        <v>110</v>
      </c>
      <c r="C659" s="12" t="s">
        <v>5793</v>
      </c>
      <c r="D659" s="6" t="s">
        <v>5737</v>
      </c>
      <c r="E659" s="6" t="s">
        <v>5794</v>
      </c>
      <c r="F659" s="15" t="s">
        <v>5987</v>
      </c>
      <c r="G659" s="6" t="s">
        <v>5989</v>
      </c>
      <c r="H659" s="6" t="s">
        <v>175</v>
      </c>
      <c r="I659" s="6" t="s">
        <v>953</v>
      </c>
      <c r="J659" s="6" t="s">
        <v>953</v>
      </c>
    </row>
    <row r="660">
      <c r="A660" s="6">
        <v>656.0</v>
      </c>
      <c r="B660" s="6" t="s">
        <v>811</v>
      </c>
      <c r="C660" s="12" t="s">
        <v>942</v>
      </c>
      <c r="D660" s="6" t="s">
        <v>5737</v>
      </c>
      <c r="E660" s="6" t="s">
        <v>5738</v>
      </c>
      <c r="F660" s="15" t="s">
        <v>5990</v>
      </c>
      <c r="G660" s="6" t="s">
        <v>5991</v>
      </c>
      <c r="H660" s="6" t="s">
        <v>175</v>
      </c>
      <c r="I660" s="6" t="s">
        <v>953</v>
      </c>
      <c r="J660" s="6" t="s">
        <v>953</v>
      </c>
    </row>
    <row r="661">
      <c r="A661" s="6">
        <v>657.0</v>
      </c>
      <c r="B661" s="6" t="s">
        <v>811</v>
      </c>
      <c r="C661" s="12" t="s">
        <v>5742</v>
      </c>
      <c r="D661" s="6" t="s">
        <v>5737</v>
      </c>
      <c r="E661" s="6" t="s">
        <v>5743</v>
      </c>
      <c r="F661" s="15" t="s">
        <v>5992</v>
      </c>
      <c r="G661" s="6" t="s">
        <v>5994</v>
      </c>
      <c r="H661" s="6" t="s">
        <v>175</v>
      </c>
      <c r="I661" s="6" t="s">
        <v>953</v>
      </c>
      <c r="J661" s="6" t="s">
        <v>953</v>
      </c>
    </row>
    <row r="662">
      <c r="A662" s="6">
        <v>658.0</v>
      </c>
      <c r="B662" s="6" t="s">
        <v>811</v>
      </c>
      <c r="C662" s="12" t="s">
        <v>942</v>
      </c>
      <c r="D662" s="6" t="s">
        <v>5737</v>
      </c>
      <c r="E662" s="6" t="s">
        <v>5747</v>
      </c>
      <c r="F662" s="15" t="s">
        <v>5995</v>
      </c>
      <c r="G662" s="6" t="s">
        <v>5996</v>
      </c>
      <c r="H662" s="6" t="s">
        <v>175</v>
      </c>
      <c r="I662" s="6" t="s">
        <v>953</v>
      </c>
      <c r="J662" s="6" t="s">
        <v>953</v>
      </c>
    </row>
    <row r="663">
      <c r="A663" s="6">
        <v>659.0</v>
      </c>
      <c r="B663" s="6" t="s">
        <v>1001</v>
      </c>
      <c r="C663" s="12" t="s">
        <v>942</v>
      </c>
      <c r="D663" s="6" t="s">
        <v>5737</v>
      </c>
      <c r="E663" s="6" t="s">
        <v>5750</v>
      </c>
      <c r="F663" s="15" t="s">
        <v>5998</v>
      </c>
      <c r="G663" s="6" t="s">
        <v>5999</v>
      </c>
      <c r="H663" s="6" t="s">
        <v>175</v>
      </c>
      <c r="I663" s="6" t="s">
        <v>953</v>
      </c>
      <c r="J663" s="6" t="s">
        <v>953</v>
      </c>
    </row>
    <row r="664">
      <c r="A664" s="6">
        <v>660.0</v>
      </c>
      <c r="B664" s="6" t="s">
        <v>811</v>
      </c>
      <c r="C664" s="12" t="s">
        <v>5754</v>
      </c>
      <c r="D664" s="6" t="s">
        <v>5737</v>
      </c>
      <c r="E664" s="6" t="s">
        <v>5755</v>
      </c>
      <c r="F664" s="15" t="s">
        <v>6001</v>
      </c>
      <c r="G664" s="6" t="s">
        <v>6002</v>
      </c>
      <c r="H664" s="6" t="s">
        <v>175</v>
      </c>
      <c r="I664" s="6" t="s">
        <v>953</v>
      </c>
      <c r="J664" s="6" t="s">
        <v>953</v>
      </c>
    </row>
    <row r="665">
      <c r="A665" s="6">
        <v>661.0</v>
      </c>
      <c r="B665" s="6" t="s">
        <v>811</v>
      </c>
      <c r="C665" s="12" t="s">
        <v>5759</v>
      </c>
      <c r="D665" s="6" t="s">
        <v>5737</v>
      </c>
      <c r="E665" s="6" t="s">
        <v>5760</v>
      </c>
      <c r="F665" s="15" t="s">
        <v>6003</v>
      </c>
      <c r="G665" s="6" t="s">
        <v>6005</v>
      </c>
      <c r="H665" s="6" t="s">
        <v>175</v>
      </c>
      <c r="I665" s="6" t="s">
        <v>953</v>
      </c>
      <c r="J665" s="6" t="s">
        <v>953</v>
      </c>
    </row>
    <row r="666">
      <c r="A666" s="6">
        <v>662.0</v>
      </c>
      <c r="B666" s="6" t="s">
        <v>240</v>
      </c>
      <c r="C666" s="12" t="s">
        <v>5764</v>
      </c>
      <c r="D666" s="6" t="s">
        <v>5737</v>
      </c>
      <c r="E666" s="6" t="s">
        <v>5765</v>
      </c>
      <c r="F666" s="15" t="s">
        <v>6006</v>
      </c>
      <c r="G666" s="6" t="s">
        <v>6008</v>
      </c>
      <c r="H666" s="6" t="s">
        <v>175</v>
      </c>
      <c r="I666" s="6" t="s">
        <v>953</v>
      </c>
      <c r="J666" s="6" t="s">
        <v>953</v>
      </c>
    </row>
    <row r="667">
      <c r="A667" s="6">
        <v>663.0</v>
      </c>
      <c r="B667" s="6" t="s">
        <v>178</v>
      </c>
      <c r="C667" s="12" t="s">
        <v>5769</v>
      </c>
      <c r="D667" s="6" t="s">
        <v>5737</v>
      </c>
      <c r="E667" s="6" t="s">
        <v>5770</v>
      </c>
      <c r="F667" s="15" t="s">
        <v>6009</v>
      </c>
      <c r="G667" s="6" t="s">
        <v>6011</v>
      </c>
      <c r="H667" s="6" t="s">
        <v>175</v>
      </c>
      <c r="I667" s="6" t="s">
        <v>953</v>
      </c>
      <c r="J667" s="6" t="s">
        <v>953</v>
      </c>
    </row>
    <row r="668">
      <c r="A668" s="6">
        <v>664.0</v>
      </c>
      <c r="B668" s="6" t="s">
        <v>811</v>
      </c>
      <c r="C668" s="12" t="s">
        <v>942</v>
      </c>
      <c r="D668" s="6" t="s">
        <v>5737</v>
      </c>
      <c r="E668" s="6" t="s">
        <v>5774</v>
      </c>
      <c r="F668" s="15" t="s">
        <v>6012</v>
      </c>
      <c r="G668" s="6" t="s">
        <v>6015</v>
      </c>
      <c r="H668" s="6" t="s">
        <v>175</v>
      </c>
      <c r="I668" s="6" t="s">
        <v>953</v>
      </c>
      <c r="J668" s="6" t="s">
        <v>953</v>
      </c>
    </row>
    <row r="669">
      <c r="A669" s="6">
        <v>665.0</v>
      </c>
      <c r="B669" s="6" t="s">
        <v>41</v>
      </c>
      <c r="C669" s="12" t="s">
        <v>942</v>
      </c>
      <c r="D669" s="6" t="s">
        <v>5737</v>
      </c>
      <c r="E669" s="6" t="s">
        <v>5778</v>
      </c>
      <c r="F669" s="15" t="s">
        <v>6016</v>
      </c>
      <c r="G669" s="6" t="s">
        <v>6018</v>
      </c>
      <c r="H669" s="6" t="s">
        <v>175</v>
      </c>
      <c r="I669" s="6" t="s">
        <v>953</v>
      </c>
      <c r="J669" s="6" t="s">
        <v>953</v>
      </c>
    </row>
    <row r="670">
      <c r="A670" s="6">
        <v>666.0</v>
      </c>
      <c r="B670" s="6" t="s">
        <v>811</v>
      </c>
      <c r="C670" s="12" t="s">
        <v>942</v>
      </c>
      <c r="D670" s="6" t="s">
        <v>5737</v>
      </c>
      <c r="E670" s="6" t="s">
        <v>5782</v>
      </c>
      <c r="F670" s="15" t="s">
        <v>6019</v>
      </c>
      <c r="G670" s="6" t="s">
        <v>6020</v>
      </c>
      <c r="H670" s="6" t="s">
        <v>175</v>
      </c>
      <c r="I670" s="6" t="s">
        <v>953</v>
      </c>
      <c r="J670" s="6" t="s">
        <v>953</v>
      </c>
    </row>
    <row r="671">
      <c r="A671" s="6">
        <v>667.0</v>
      </c>
      <c r="B671" s="6" t="s">
        <v>251</v>
      </c>
      <c r="C671" s="12" t="s">
        <v>942</v>
      </c>
      <c r="D671" s="6" t="s">
        <v>5737</v>
      </c>
      <c r="E671" s="6" t="s">
        <v>5785</v>
      </c>
      <c r="F671" s="15" t="s">
        <v>6021</v>
      </c>
      <c r="G671" s="6" t="s">
        <v>6023</v>
      </c>
      <c r="H671" s="6" t="s">
        <v>175</v>
      </c>
      <c r="I671" s="6" t="s">
        <v>953</v>
      </c>
      <c r="J671" s="6" t="s">
        <v>953</v>
      </c>
    </row>
    <row r="672">
      <c r="A672" s="6">
        <v>668.0</v>
      </c>
      <c r="B672" s="6" t="s">
        <v>811</v>
      </c>
      <c r="C672" s="12" t="s">
        <v>5759</v>
      </c>
      <c r="D672" s="6" t="s">
        <v>5737</v>
      </c>
      <c r="E672" s="6" t="s">
        <v>5789</v>
      </c>
      <c r="F672" s="15" t="s">
        <v>6024</v>
      </c>
      <c r="G672" s="6" t="s">
        <v>6026</v>
      </c>
      <c r="H672" s="6" t="s">
        <v>175</v>
      </c>
      <c r="I672" s="6" t="s">
        <v>953</v>
      </c>
      <c r="J672" s="6" t="s">
        <v>953</v>
      </c>
    </row>
    <row r="673">
      <c r="A673" s="6">
        <v>669.0</v>
      </c>
      <c r="B673" s="6" t="s">
        <v>110</v>
      </c>
      <c r="C673" s="12" t="s">
        <v>5793</v>
      </c>
      <c r="D673" s="6" t="s">
        <v>5737</v>
      </c>
      <c r="E673" s="6" t="s">
        <v>5794</v>
      </c>
      <c r="F673" s="15" t="s">
        <v>6027</v>
      </c>
      <c r="G673" s="6" t="s">
        <v>6028</v>
      </c>
      <c r="H673" s="6" t="s">
        <v>175</v>
      </c>
      <c r="I673" s="6" t="s">
        <v>953</v>
      </c>
      <c r="J673" s="6" t="s">
        <v>953</v>
      </c>
    </row>
    <row r="674">
      <c r="A674" s="6">
        <v>670.0</v>
      </c>
      <c r="B674" s="6" t="s">
        <v>811</v>
      </c>
      <c r="C674" s="12" t="s">
        <v>942</v>
      </c>
      <c r="D674" s="6" t="s">
        <v>5737</v>
      </c>
      <c r="E674" s="6" t="s">
        <v>5738</v>
      </c>
      <c r="F674" s="15" t="s">
        <v>6029</v>
      </c>
      <c r="G674" s="6" t="s">
        <v>6031</v>
      </c>
      <c r="H674" s="6" t="s">
        <v>175</v>
      </c>
      <c r="I674" s="6" t="s">
        <v>953</v>
      </c>
      <c r="J674" s="6" t="s">
        <v>953</v>
      </c>
    </row>
    <row r="675">
      <c r="A675" s="6">
        <v>671.0</v>
      </c>
      <c r="B675" s="6" t="s">
        <v>811</v>
      </c>
      <c r="C675" s="12" t="s">
        <v>5742</v>
      </c>
      <c r="D675" s="6" t="s">
        <v>5737</v>
      </c>
      <c r="E675" s="6" t="s">
        <v>5743</v>
      </c>
      <c r="F675" s="15" t="s">
        <v>6032</v>
      </c>
      <c r="G675" s="6" t="s">
        <v>6033</v>
      </c>
      <c r="H675" s="6" t="s">
        <v>175</v>
      </c>
      <c r="I675" s="6" t="s">
        <v>953</v>
      </c>
      <c r="J675" s="6" t="s">
        <v>953</v>
      </c>
    </row>
    <row r="676">
      <c r="A676" s="6">
        <v>672.0</v>
      </c>
      <c r="B676" s="6" t="s">
        <v>811</v>
      </c>
      <c r="C676" s="12" t="s">
        <v>942</v>
      </c>
      <c r="D676" s="6" t="s">
        <v>5737</v>
      </c>
      <c r="E676" s="6" t="s">
        <v>5747</v>
      </c>
      <c r="F676" s="15" t="s">
        <v>6034</v>
      </c>
      <c r="G676" s="6" t="s">
        <v>6036</v>
      </c>
      <c r="H676" s="6" t="s">
        <v>175</v>
      </c>
      <c r="I676" s="6" t="s">
        <v>953</v>
      </c>
      <c r="J676" s="6" t="s">
        <v>953</v>
      </c>
    </row>
    <row r="677">
      <c r="A677" s="6">
        <v>673.0</v>
      </c>
      <c r="B677" s="6" t="s">
        <v>1001</v>
      </c>
      <c r="C677" s="12" t="s">
        <v>942</v>
      </c>
      <c r="D677" s="6" t="s">
        <v>5737</v>
      </c>
      <c r="E677" s="6" t="s">
        <v>5750</v>
      </c>
      <c r="F677" s="15" t="s">
        <v>6037</v>
      </c>
      <c r="G677" s="6" t="s">
        <v>6039</v>
      </c>
      <c r="H677" s="6" t="s">
        <v>175</v>
      </c>
      <c r="I677" s="6" t="s">
        <v>953</v>
      </c>
      <c r="J677" s="6" t="s">
        <v>953</v>
      </c>
    </row>
    <row r="678">
      <c r="A678" s="6">
        <v>674.0</v>
      </c>
      <c r="B678" s="6" t="s">
        <v>811</v>
      </c>
      <c r="C678" s="12" t="s">
        <v>5754</v>
      </c>
      <c r="D678" s="6" t="s">
        <v>5737</v>
      </c>
      <c r="E678" s="6" t="s">
        <v>5755</v>
      </c>
      <c r="F678" s="15" t="s">
        <v>6040</v>
      </c>
      <c r="G678" s="6" t="s">
        <v>6042</v>
      </c>
      <c r="H678" s="6" t="s">
        <v>175</v>
      </c>
      <c r="I678" s="6" t="s">
        <v>953</v>
      </c>
      <c r="J678" s="6" t="s">
        <v>953</v>
      </c>
    </row>
    <row r="679">
      <c r="A679" s="6">
        <v>675.0</v>
      </c>
      <c r="B679" s="6" t="s">
        <v>811</v>
      </c>
      <c r="C679" s="12" t="s">
        <v>5759</v>
      </c>
      <c r="D679" s="6" t="s">
        <v>5737</v>
      </c>
      <c r="E679" s="6" t="s">
        <v>5760</v>
      </c>
      <c r="F679" s="15" t="s">
        <v>6043</v>
      </c>
      <c r="G679" s="6" t="s">
        <v>6044</v>
      </c>
      <c r="H679" s="6" t="s">
        <v>175</v>
      </c>
      <c r="I679" s="6" t="s">
        <v>953</v>
      </c>
      <c r="J679" s="6" t="s">
        <v>953</v>
      </c>
    </row>
    <row r="680">
      <c r="A680" s="6">
        <v>676.0</v>
      </c>
      <c r="B680" s="6" t="s">
        <v>240</v>
      </c>
      <c r="C680" s="12" t="s">
        <v>5764</v>
      </c>
      <c r="D680" s="6" t="s">
        <v>5737</v>
      </c>
      <c r="E680" s="6" t="s">
        <v>5765</v>
      </c>
      <c r="F680" s="15" t="s">
        <v>6045</v>
      </c>
      <c r="G680" s="6" t="s">
        <v>6047</v>
      </c>
      <c r="H680" s="6" t="s">
        <v>175</v>
      </c>
      <c r="I680" s="6" t="s">
        <v>953</v>
      </c>
      <c r="J680" s="6" t="s">
        <v>953</v>
      </c>
    </row>
    <row r="681">
      <c r="A681" s="6">
        <v>677.0</v>
      </c>
      <c r="B681" s="6" t="s">
        <v>178</v>
      </c>
      <c r="C681" s="12" t="s">
        <v>5769</v>
      </c>
      <c r="D681" s="6" t="s">
        <v>5737</v>
      </c>
      <c r="E681" s="6" t="s">
        <v>5770</v>
      </c>
      <c r="F681" s="15" t="s">
        <v>6048</v>
      </c>
      <c r="G681" s="6" t="s">
        <v>6049</v>
      </c>
      <c r="H681" s="6" t="s">
        <v>175</v>
      </c>
      <c r="I681" s="6" t="s">
        <v>953</v>
      </c>
      <c r="J681" s="6" t="s">
        <v>953</v>
      </c>
    </row>
    <row r="682">
      <c r="A682" s="6">
        <v>678.0</v>
      </c>
      <c r="B682" s="6" t="s">
        <v>811</v>
      </c>
      <c r="C682" s="12" t="s">
        <v>942</v>
      </c>
      <c r="D682" s="6" t="s">
        <v>5737</v>
      </c>
      <c r="E682" s="6" t="s">
        <v>5774</v>
      </c>
      <c r="F682" s="15" t="s">
        <v>6051</v>
      </c>
      <c r="G682" s="6" t="s">
        <v>6052</v>
      </c>
      <c r="H682" s="6" t="s">
        <v>175</v>
      </c>
      <c r="I682" s="6" t="s">
        <v>953</v>
      </c>
      <c r="J682" s="6" t="s">
        <v>953</v>
      </c>
    </row>
    <row r="683">
      <c r="A683" s="6">
        <v>679.0</v>
      </c>
      <c r="B683" s="6" t="s">
        <v>41</v>
      </c>
      <c r="C683" s="12" t="s">
        <v>942</v>
      </c>
      <c r="D683" s="6" t="s">
        <v>5737</v>
      </c>
      <c r="E683" s="6" t="s">
        <v>5778</v>
      </c>
      <c r="F683" s="15" t="s">
        <v>6053</v>
      </c>
      <c r="G683" s="6" t="s">
        <v>6055</v>
      </c>
      <c r="H683" s="6" t="s">
        <v>175</v>
      </c>
      <c r="I683" s="6" t="s">
        <v>953</v>
      </c>
      <c r="J683" s="6" t="s">
        <v>953</v>
      </c>
    </row>
    <row r="684">
      <c r="A684" s="6">
        <v>680.0</v>
      </c>
      <c r="B684" s="6" t="s">
        <v>811</v>
      </c>
      <c r="C684" s="12" t="s">
        <v>942</v>
      </c>
      <c r="D684" s="6" t="s">
        <v>5737</v>
      </c>
      <c r="E684" s="6" t="s">
        <v>5782</v>
      </c>
      <c r="F684" s="15" t="s">
        <v>6056</v>
      </c>
      <c r="G684" s="6" t="s">
        <v>6058</v>
      </c>
      <c r="H684" s="6" t="s">
        <v>175</v>
      </c>
      <c r="I684" s="6" t="s">
        <v>953</v>
      </c>
      <c r="J684" s="6" t="s">
        <v>953</v>
      </c>
    </row>
    <row r="685">
      <c r="A685" s="6">
        <v>681.0</v>
      </c>
      <c r="B685" s="6" t="s">
        <v>251</v>
      </c>
      <c r="C685" s="12" t="s">
        <v>942</v>
      </c>
      <c r="D685" s="6" t="s">
        <v>5737</v>
      </c>
      <c r="E685" s="6" t="s">
        <v>5785</v>
      </c>
      <c r="F685" s="15" t="s">
        <v>6059</v>
      </c>
      <c r="G685" s="6" t="s">
        <v>6061</v>
      </c>
      <c r="H685" s="6" t="s">
        <v>175</v>
      </c>
      <c r="I685" s="6" t="s">
        <v>953</v>
      </c>
      <c r="J685" s="6" t="s">
        <v>953</v>
      </c>
    </row>
    <row r="686">
      <c r="A686" s="6">
        <v>682.0</v>
      </c>
      <c r="B686" s="6" t="s">
        <v>811</v>
      </c>
      <c r="C686" s="12" t="s">
        <v>5759</v>
      </c>
      <c r="D686" s="6" t="s">
        <v>5737</v>
      </c>
      <c r="E686" s="6" t="s">
        <v>5789</v>
      </c>
      <c r="F686" s="15" t="s">
        <v>6062</v>
      </c>
      <c r="G686" s="6" t="s">
        <v>6063</v>
      </c>
      <c r="H686" s="6" t="s">
        <v>175</v>
      </c>
      <c r="I686" s="6" t="s">
        <v>953</v>
      </c>
      <c r="J686" s="6" t="s">
        <v>953</v>
      </c>
    </row>
    <row r="687">
      <c r="A687" s="6">
        <v>683.0</v>
      </c>
      <c r="B687" s="6" t="s">
        <v>110</v>
      </c>
      <c r="C687" s="12" t="s">
        <v>5793</v>
      </c>
      <c r="D687" s="6" t="s">
        <v>5737</v>
      </c>
      <c r="E687" s="6" t="s">
        <v>5794</v>
      </c>
      <c r="F687" s="15" t="s">
        <v>6064</v>
      </c>
      <c r="G687" s="6" t="s">
        <v>6066</v>
      </c>
      <c r="H687" s="6" t="s">
        <v>175</v>
      </c>
      <c r="I687" s="6" t="s">
        <v>953</v>
      </c>
      <c r="J687" s="6" t="s">
        <v>953</v>
      </c>
    </row>
    <row r="688">
      <c r="A688" s="6">
        <v>684.0</v>
      </c>
      <c r="B688" s="6" t="s">
        <v>811</v>
      </c>
      <c r="C688" s="12" t="s">
        <v>942</v>
      </c>
      <c r="D688" s="6" t="s">
        <v>5737</v>
      </c>
      <c r="E688" s="6" t="s">
        <v>5738</v>
      </c>
      <c r="F688" s="15" t="s">
        <v>6067</v>
      </c>
      <c r="G688" s="6" t="s">
        <v>6068</v>
      </c>
      <c r="H688" s="6" t="s">
        <v>175</v>
      </c>
      <c r="I688" s="6" t="s">
        <v>953</v>
      </c>
      <c r="J688" s="6" t="s">
        <v>953</v>
      </c>
    </row>
    <row r="689">
      <c r="A689" s="6">
        <v>685.0</v>
      </c>
      <c r="B689" s="6" t="s">
        <v>811</v>
      </c>
      <c r="C689" s="12" t="s">
        <v>5742</v>
      </c>
      <c r="D689" s="6" t="s">
        <v>5737</v>
      </c>
      <c r="E689" s="6" t="s">
        <v>5743</v>
      </c>
      <c r="F689" s="15" t="s">
        <v>6070</v>
      </c>
      <c r="G689" s="6" t="s">
        <v>6071</v>
      </c>
      <c r="H689" s="6" t="s">
        <v>175</v>
      </c>
      <c r="I689" s="6" t="s">
        <v>953</v>
      </c>
      <c r="J689" s="6" t="s">
        <v>953</v>
      </c>
    </row>
    <row r="690">
      <c r="A690" s="6">
        <v>686.0</v>
      </c>
      <c r="B690" s="6" t="s">
        <v>811</v>
      </c>
      <c r="C690" s="12" t="s">
        <v>942</v>
      </c>
      <c r="D690" s="6" t="s">
        <v>5737</v>
      </c>
      <c r="E690" s="6" t="s">
        <v>5747</v>
      </c>
      <c r="F690" s="15" t="s">
        <v>6073</v>
      </c>
      <c r="G690" s="6" t="s">
        <v>6074</v>
      </c>
      <c r="H690" s="6" t="s">
        <v>175</v>
      </c>
      <c r="I690" s="6" t="s">
        <v>953</v>
      </c>
      <c r="J690" s="6" t="s">
        <v>953</v>
      </c>
    </row>
    <row r="691">
      <c r="A691" s="6">
        <v>687.0</v>
      </c>
      <c r="B691" s="6" t="s">
        <v>1001</v>
      </c>
      <c r="C691" s="12" t="s">
        <v>942</v>
      </c>
      <c r="D691" s="6" t="s">
        <v>5737</v>
      </c>
      <c r="E691" s="6" t="s">
        <v>5750</v>
      </c>
      <c r="F691" s="15" t="s">
        <v>6075</v>
      </c>
      <c r="G691" s="6" t="s">
        <v>6076</v>
      </c>
      <c r="H691" s="6" t="s">
        <v>175</v>
      </c>
      <c r="I691" s="6" t="s">
        <v>953</v>
      </c>
      <c r="J691" s="6" t="s">
        <v>953</v>
      </c>
    </row>
    <row r="692">
      <c r="A692" s="6">
        <v>688.0</v>
      </c>
      <c r="B692" s="6" t="s">
        <v>811</v>
      </c>
      <c r="C692" s="12" t="s">
        <v>5754</v>
      </c>
      <c r="D692" s="6" t="s">
        <v>5737</v>
      </c>
      <c r="E692" s="6" t="s">
        <v>5755</v>
      </c>
      <c r="F692" s="15" t="s">
        <v>6078</v>
      </c>
      <c r="G692" s="6" t="s">
        <v>6079</v>
      </c>
      <c r="H692" s="6" t="s">
        <v>175</v>
      </c>
      <c r="I692" s="6" t="s">
        <v>953</v>
      </c>
      <c r="J692" s="6" t="s">
        <v>953</v>
      </c>
    </row>
    <row r="693">
      <c r="A693" s="6">
        <v>689.0</v>
      </c>
      <c r="B693" s="6" t="s">
        <v>811</v>
      </c>
      <c r="C693" s="12" t="s">
        <v>5759</v>
      </c>
      <c r="D693" s="6" t="s">
        <v>5737</v>
      </c>
      <c r="E693" s="6" t="s">
        <v>5760</v>
      </c>
      <c r="F693" s="15" t="s">
        <v>6080</v>
      </c>
      <c r="G693" s="6" t="s">
        <v>6082</v>
      </c>
      <c r="H693" s="6" t="s">
        <v>175</v>
      </c>
      <c r="I693" s="6" t="s">
        <v>953</v>
      </c>
      <c r="J693" s="6" t="s">
        <v>953</v>
      </c>
    </row>
    <row r="694">
      <c r="A694" s="6">
        <v>690.0</v>
      </c>
      <c r="B694" s="6" t="s">
        <v>240</v>
      </c>
      <c r="C694" s="12" t="s">
        <v>5764</v>
      </c>
      <c r="D694" s="6" t="s">
        <v>5737</v>
      </c>
      <c r="E694" s="6" t="s">
        <v>5765</v>
      </c>
      <c r="F694" s="15" t="s">
        <v>6083</v>
      </c>
      <c r="G694" s="6" t="s">
        <v>6085</v>
      </c>
      <c r="H694" s="6" t="s">
        <v>175</v>
      </c>
      <c r="I694" s="6" t="s">
        <v>953</v>
      </c>
      <c r="J694" s="6" t="s">
        <v>953</v>
      </c>
    </row>
    <row r="695">
      <c r="A695" s="6">
        <v>691.0</v>
      </c>
      <c r="B695" s="6" t="s">
        <v>178</v>
      </c>
      <c r="C695" s="12" t="s">
        <v>5769</v>
      </c>
      <c r="D695" s="6" t="s">
        <v>5737</v>
      </c>
      <c r="E695" s="6" t="s">
        <v>5770</v>
      </c>
      <c r="F695" s="15" t="s">
        <v>6086</v>
      </c>
      <c r="G695" s="6" t="s">
        <v>6087</v>
      </c>
      <c r="H695" s="6" t="s">
        <v>175</v>
      </c>
      <c r="I695" s="6" t="s">
        <v>953</v>
      </c>
      <c r="J695" s="6" t="s">
        <v>953</v>
      </c>
    </row>
    <row r="696">
      <c r="A696" s="6">
        <v>692.0</v>
      </c>
      <c r="B696" s="6" t="s">
        <v>811</v>
      </c>
      <c r="C696" s="12" t="s">
        <v>942</v>
      </c>
      <c r="D696" s="6" t="s">
        <v>5737</v>
      </c>
      <c r="E696" s="6" t="s">
        <v>5774</v>
      </c>
      <c r="F696" s="15" t="s">
        <v>6088</v>
      </c>
      <c r="G696" s="6" t="s">
        <v>6090</v>
      </c>
      <c r="H696" s="6" t="s">
        <v>175</v>
      </c>
      <c r="I696" s="6" t="s">
        <v>953</v>
      </c>
      <c r="J696" s="6" t="s">
        <v>953</v>
      </c>
    </row>
    <row r="697">
      <c r="A697" s="6">
        <v>693.0</v>
      </c>
      <c r="B697" s="6" t="s">
        <v>41</v>
      </c>
      <c r="C697" s="12" t="s">
        <v>942</v>
      </c>
      <c r="D697" s="6" t="s">
        <v>5737</v>
      </c>
      <c r="E697" s="6" t="s">
        <v>5778</v>
      </c>
      <c r="F697" s="15" t="s">
        <v>6091</v>
      </c>
      <c r="G697" s="6" t="s">
        <v>6092</v>
      </c>
      <c r="H697" s="6" t="s">
        <v>175</v>
      </c>
      <c r="I697" s="6" t="s">
        <v>953</v>
      </c>
      <c r="J697" s="6" t="s">
        <v>953</v>
      </c>
    </row>
    <row r="698">
      <c r="A698" s="6">
        <v>694.0</v>
      </c>
      <c r="B698" s="6" t="s">
        <v>811</v>
      </c>
      <c r="C698" s="12" t="s">
        <v>942</v>
      </c>
      <c r="D698" s="6" t="s">
        <v>5737</v>
      </c>
      <c r="E698" s="6" t="s">
        <v>5782</v>
      </c>
      <c r="F698" s="15" t="s">
        <v>6094</v>
      </c>
      <c r="G698" s="6" t="s">
        <v>6095</v>
      </c>
      <c r="H698" s="6" t="s">
        <v>175</v>
      </c>
      <c r="I698" s="6" t="s">
        <v>953</v>
      </c>
      <c r="J698" s="6" t="s">
        <v>953</v>
      </c>
    </row>
    <row r="699">
      <c r="A699" s="6">
        <v>695.0</v>
      </c>
      <c r="B699" s="6" t="s">
        <v>251</v>
      </c>
      <c r="C699" s="12" t="s">
        <v>942</v>
      </c>
      <c r="D699" s="6" t="s">
        <v>5737</v>
      </c>
      <c r="E699" s="6" t="s">
        <v>5785</v>
      </c>
      <c r="F699" s="15" t="s">
        <v>6096</v>
      </c>
      <c r="G699" s="6" t="s">
        <v>6098</v>
      </c>
      <c r="H699" s="6" t="s">
        <v>175</v>
      </c>
      <c r="I699" s="6" t="s">
        <v>953</v>
      </c>
      <c r="J699" s="6" t="s">
        <v>953</v>
      </c>
    </row>
    <row r="700">
      <c r="A700" s="6">
        <v>696.0</v>
      </c>
      <c r="B700" s="6" t="s">
        <v>811</v>
      </c>
      <c r="C700" s="12" t="s">
        <v>5759</v>
      </c>
      <c r="D700" s="6" t="s">
        <v>5737</v>
      </c>
      <c r="E700" s="6" t="s">
        <v>5789</v>
      </c>
      <c r="F700" s="15" t="s">
        <v>6099</v>
      </c>
      <c r="G700" s="6" t="s">
        <v>6101</v>
      </c>
      <c r="H700" s="6" t="s">
        <v>175</v>
      </c>
      <c r="I700" s="6" t="s">
        <v>953</v>
      </c>
      <c r="J700" s="6" t="s">
        <v>953</v>
      </c>
    </row>
    <row r="701">
      <c r="A701" s="6">
        <v>697.0</v>
      </c>
      <c r="B701" s="6" t="s">
        <v>110</v>
      </c>
      <c r="C701" s="12" t="s">
        <v>5793</v>
      </c>
      <c r="D701" s="6" t="s">
        <v>5737</v>
      </c>
      <c r="E701" s="6" t="s">
        <v>5794</v>
      </c>
      <c r="F701" s="15" t="s">
        <v>6102</v>
      </c>
      <c r="G701" s="6" t="s">
        <v>6103</v>
      </c>
      <c r="H701" s="6" t="s">
        <v>175</v>
      </c>
      <c r="I701" s="6" t="s">
        <v>953</v>
      </c>
      <c r="J701" s="6" t="s">
        <v>953</v>
      </c>
    </row>
    <row r="702">
      <c r="A702" s="6">
        <v>698.0</v>
      </c>
      <c r="B702" s="6" t="s">
        <v>811</v>
      </c>
      <c r="C702" s="12" t="s">
        <v>942</v>
      </c>
      <c r="D702" s="6" t="s">
        <v>5737</v>
      </c>
      <c r="E702" s="6" t="s">
        <v>5738</v>
      </c>
      <c r="F702" s="15" t="s">
        <v>6104</v>
      </c>
      <c r="G702" s="6" t="s">
        <v>6106</v>
      </c>
      <c r="H702" s="6" t="s">
        <v>175</v>
      </c>
      <c r="I702" s="6" t="s">
        <v>953</v>
      </c>
      <c r="J702" s="6" t="s">
        <v>953</v>
      </c>
    </row>
    <row r="703">
      <c r="A703" s="6">
        <v>699.0</v>
      </c>
      <c r="B703" s="6" t="s">
        <v>811</v>
      </c>
      <c r="C703" s="12" t="s">
        <v>5742</v>
      </c>
      <c r="D703" s="6" t="s">
        <v>5737</v>
      </c>
      <c r="E703" s="6" t="s">
        <v>5743</v>
      </c>
      <c r="F703" s="15" t="s">
        <v>6107</v>
      </c>
      <c r="G703" s="6" t="s">
        <v>6109</v>
      </c>
      <c r="H703" s="6" t="s">
        <v>175</v>
      </c>
      <c r="I703" s="6" t="s">
        <v>953</v>
      </c>
      <c r="J703" s="6" t="s">
        <v>953</v>
      </c>
    </row>
    <row r="704">
      <c r="A704" s="6">
        <v>700.0</v>
      </c>
      <c r="B704" s="6" t="s">
        <v>811</v>
      </c>
      <c r="C704" s="12" t="s">
        <v>942</v>
      </c>
      <c r="D704" s="6" t="s">
        <v>5737</v>
      </c>
      <c r="E704" s="6" t="s">
        <v>5747</v>
      </c>
      <c r="F704" s="15" t="s">
        <v>6110</v>
      </c>
      <c r="G704" s="6" t="s">
        <v>6112</v>
      </c>
      <c r="H704" s="6" t="s">
        <v>175</v>
      </c>
      <c r="I704" s="6" t="s">
        <v>953</v>
      </c>
      <c r="J704" s="6" t="s">
        <v>953</v>
      </c>
    </row>
    <row r="705">
      <c r="A705" s="6">
        <v>701.0</v>
      </c>
      <c r="B705" s="6" t="s">
        <v>1001</v>
      </c>
      <c r="C705" s="12" t="s">
        <v>942</v>
      </c>
      <c r="D705" s="6" t="s">
        <v>5737</v>
      </c>
      <c r="E705" s="6" t="s">
        <v>5750</v>
      </c>
      <c r="F705" s="15" t="s">
        <v>6113</v>
      </c>
      <c r="G705" s="6" t="s">
        <v>6115</v>
      </c>
      <c r="H705" s="6" t="s">
        <v>175</v>
      </c>
      <c r="I705" s="6" t="s">
        <v>953</v>
      </c>
      <c r="J705" s="6" t="s">
        <v>953</v>
      </c>
    </row>
    <row r="706">
      <c r="A706" s="6">
        <v>702.0</v>
      </c>
      <c r="B706" s="6" t="s">
        <v>811</v>
      </c>
      <c r="C706" s="12" t="s">
        <v>5754</v>
      </c>
      <c r="D706" s="6" t="s">
        <v>5737</v>
      </c>
      <c r="E706" s="6" t="s">
        <v>5755</v>
      </c>
      <c r="F706" s="15" t="s">
        <v>6116</v>
      </c>
      <c r="G706" s="6" t="s">
        <v>6118</v>
      </c>
      <c r="H706" s="6" t="s">
        <v>175</v>
      </c>
      <c r="I706" s="6" t="s">
        <v>953</v>
      </c>
      <c r="J706" s="6" t="s">
        <v>953</v>
      </c>
    </row>
    <row r="707">
      <c r="A707" s="6">
        <v>703.0</v>
      </c>
      <c r="B707" s="6" t="s">
        <v>811</v>
      </c>
      <c r="C707" s="12" t="s">
        <v>5759</v>
      </c>
      <c r="D707" s="6" t="s">
        <v>5737</v>
      </c>
      <c r="E707" s="6" t="s">
        <v>5760</v>
      </c>
      <c r="F707" s="15" t="s">
        <v>6119</v>
      </c>
      <c r="G707" s="6" t="s">
        <v>6121</v>
      </c>
      <c r="H707" s="6" t="s">
        <v>175</v>
      </c>
      <c r="I707" s="6" t="s">
        <v>953</v>
      </c>
      <c r="J707" s="6" t="s">
        <v>953</v>
      </c>
    </row>
    <row r="708">
      <c r="A708" s="6">
        <v>704.0</v>
      </c>
      <c r="B708" s="6" t="s">
        <v>240</v>
      </c>
      <c r="C708" s="12" t="s">
        <v>5764</v>
      </c>
      <c r="D708" s="6" t="s">
        <v>5737</v>
      </c>
      <c r="E708" s="6" t="s">
        <v>5765</v>
      </c>
      <c r="F708" s="15" t="s">
        <v>6122</v>
      </c>
      <c r="G708" s="6" t="s">
        <v>6124</v>
      </c>
      <c r="H708" s="6" t="s">
        <v>175</v>
      </c>
      <c r="I708" s="6" t="s">
        <v>953</v>
      </c>
      <c r="J708" s="6" t="s">
        <v>953</v>
      </c>
    </row>
    <row r="709">
      <c r="A709" s="6">
        <v>705.0</v>
      </c>
      <c r="B709" s="6" t="s">
        <v>178</v>
      </c>
      <c r="C709" s="12" t="s">
        <v>5769</v>
      </c>
      <c r="D709" s="6" t="s">
        <v>5737</v>
      </c>
      <c r="E709" s="6" t="s">
        <v>5770</v>
      </c>
      <c r="F709" s="15" t="s">
        <v>6125</v>
      </c>
      <c r="G709" s="6" t="s">
        <v>6127</v>
      </c>
      <c r="H709" s="6" t="s">
        <v>175</v>
      </c>
      <c r="I709" s="6" t="s">
        <v>953</v>
      </c>
      <c r="J709" s="6" t="s">
        <v>953</v>
      </c>
    </row>
    <row r="710">
      <c r="A710" s="6">
        <v>706.0</v>
      </c>
      <c r="B710" s="6" t="s">
        <v>811</v>
      </c>
      <c r="C710" s="12" t="s">
        <v>942</v>
      </c>
      <c r="D710" s="6" t="s">
        <v>5737</v>
      </c>
      <c r="E710" s="6" t="s">
        <v>5774</v>
      </c>
      <c r="F710" s="15" t="s">
        <v>6128</v>
      </c>
      <c r="G710" s="6" t="s">
        <v>6130</v>
      </c>
      <c r="H710" s="6" t="s">
        <v>175</v>
      </c>
      <c r="I710" s="6" t="s">
        <v>953</v>
      </c>
      <c r="J710" s="6" t="s">
        <v>953</v>
      </c>
    </row>
    <row r="711">
      <c r="A711" s="6">
        <v>707.0</v>
      </c>
      <c r="B711" s="6" t="s">
        <v>41</v>
      </c>
      <c r="C711" s="12" t="s">
        <v>942</v>
      </c>
      <c r="D711" s="6" t="s">
        <v>5737</v>
      </c>
      <c r="E711" s="6" t="s">
        <v>5778</v>
      </c>
      <c r="F711" s="15" t="s">
        <v>6131</v>
      </c>
      <c r="G711" s="6" t="s">
        <v>6133</v>
      </c>
      <c r="H711" s="6" t="s">
        <v>175</v>
      </c>
      <c r="I711" s="6" t="s">
        <v>953</v>
      </c>
      <c r="J711" s="6" t="s">
        <v>953</v>
      </c>
    </row>
    <row r="712">
      <c r="A712" s="6">
        <v>708.0</v>
      </c>
      <c r="B712" s="6" t="s">
        <v>811</v>
      </c>
      <c r="C712" s="12" t="s">
        <v>942</v>
      </c>
      <c r="D712" s="6" t="s">
        <v>5737</v>
      </c>
      <c r="E712" s="6" t="s">
        <v>5782</v>
      </c>
      <c r="F712" s="15" t="s">
        <v>6134</v>
      </c>
      <c r="G712" s="6" t="s">
        <v>6136</v>
      </c>
      <c r="H712" s="6" t="s">
        <v>175</v>
      </c>
      <c r="I712" s="6" t="s">
        <v>953</v>
      </c>
      <c r="J712" s="6" t="s">
        <v>953</v>
      </c>
    </row>
    <row r="713">
      <c r="A713" s="6">
        <v>709.0</v>
      </c>
      <c r="B713" s="6" t="s">
        <v>251</v>
      </c>
      <c r="C713" s="12" t="s">
        <v>942</v>
      </c>
      <c r="D713" s="6" t="s">
        <v>5737</v>
      </c>
      <c r="E713" s="6" t="s">
        <v>5785</v>
      </c>
      <c r="F713" s="15" t="s">
        <v>6137</v>
      </c>
      <c r="G713" s="6" t="s">
        <v>6139</v>
      </c>
      <c r="H713" s="6" t="s">
        <v>175</v>
      </c>
      <c r="I713" s="6" t="s">
        <v>953</v>
      </c>
      <c r="J713" s="6" t="s">
        <v>953</v>
      </c>
    </row>
    <row r="714">
      <c r="A714" s="6">
        <v>710.0</v>
      </c>
      <c r="B714" s="6" t="s">
        <v>811</v>
      </c>
      <c r="C714" s="12" t="s">
        <v>5759</v>
      </c>
      <c r="D714" s="6" t="s">
        <v>5737</v>
      </c>
      <c r="E714" s="6" t="s">
        <v>5789</v>
      </c>
      <c r="F714" s="15" t="s">
        <v>6140</v>
      </c>
      <c r="G714" s="6" t="s">
        <v>6142</v>
      </c>
      <c r="H714" s="6" t="s">
        <v>175</v>
      </c>
      <c r="I714" s="6" t="s">
        <v>953</v>
      </c>
      <c r="J714" s="6" t="s">
        <v>953</v>
      </c>
    </row>
    <row r="715">
      <c r="A715" s="6">
        <v>711.0</v>
      </c>
      <c r="B715" s="6" t="s">
        <v>110</v>
      </c>
      <c r="C715" s="12" t="s">
        <v>5793</v>
      </c>
      <c r="D715" s="6" t="s">
        <v>5737</v>
      </c>
      <c r="E715" s="6" t="s">
        <v>5794</v>
      </c>
      <c r="F715" s="15" t="s">
        <v>6143</v>
      </c>
      <c r="G715" s="6" t="s">
        <v>6144</v>
      </c>
      <c r="H715" s="6" t="s">
        <v>175</v>
      </c>
      <c r="I715" s="6" t="s">
        <v>953</v>
      </c>
      <c r="J715" s="6" t="s">
        <v>953</v>
      </c>
    </row>
    <row r="716">
      <c r="A716" s="6">
        <v>712.0</v>
      </c>
      <c r="B716" s="6" t="s">
        <v>811</v>
      </c>
      <c r="C716" s="12" t="s">
        <v>942</v>
      </c>
      <c r="D716" s="6" t="s">
        <v>5737</v>
      </c>
      <c r="E716" s="6" t="s">
        <v>5738</v>
      </c>
      <c r="F716" s="15" t="s">
        <v>6145</v>
      </c>
      <c r="G716" s="6" t="s">
        <v>6147</v>
      </c>
      <c r="H716" s="6" t="s">
        <v>175</v>
      </c>
      <c r="I716" s="6" t="s">
        <v>953</v>
      </c>
      <c r="J716" s="6" t="s">
        <v>953</v>
      </c>
    </row>
    <row r="717">
      <c r="A717" s="6">
        <v>713.0</v>
      </c>
      <c r="B717" s="6" t="s">
        <v>811</v>
      </c>
      <c r="C717" s="12" t="s">
        <v>5742</v>
      </c>
      <c r="D717" s="6" t="s">
        <v>5737</v>
      </c>
      <c r="E717" s="6" t="s">
        <v>5743</v>
      </c>
      <c r="F717" s="15" t="s">
        <v>6148</v>
      </c>
      <c r="G717" s="6" t="s">
        <v>6149</v>
      </c>
      <c r="H717" s="6" t="s">
        <v>175</v>
      </c>
      <c r="I717" s="6" t="s">
        <v>953</v>
      </c>
      <c r="J717" s="6" t="s">
        <v>953</v>
      </c>
    </row>
    <row r="718">
      <c r="A718" s="6">
        <v>714.0</v>
      </c>
      <c r="B718" s="6" t="s">
        <v>811</v>
      </c>
      <c r="C718" s="12" t="s">
        <v>942</v>
      </c>
      <c r="D718" s="6" t="s">
        <v>5737</v>
      </c>
      <c r="E718" s="6" t="s">
        <v>5747</v>
      </c>
      <c r="F718" s="15" t="s">
        <v>6150</v>
      </c>
      <c r="G718" s="6" t="s">
        <v>6154</v>
      </c>
      <c r="H718" s="6" t="s">
        <v>175</v>
      </c>
      <c r="I718" s="6" t="s">
        <v>953</v>
      </c>
      <c r="J718" s="6" t="s">
        <v>953</v>
      </c>
    </row>
    <row r="719">
      <c r="A719" s="6">
        <v>715.0</v>
      </c>
      <c r="B719" s="6" t="s">
        <v>1001</v>
      </c>
      <c r="C719" s="12" t="s">
        <v>942</v>
      </c>
      <c r="D719" s="6" t="s">
        <v>5737</v>
      </c>
      <c r="E719" s="6" t="s">
        <v>5750</v>
      </c>
      <c r="F719" s="15" t="s">
        <v>6155</v>
      </c>
      <c r="G719" s="6" t="s">
        <v>6157</v>
      </c>
      <c r="H719" s="6" t="s">
        <v>175</v>
      </c>
      <c r="I719" s="6" t="s">
        <v>953</v>
      </c>
      <c r="J719" s="6" t="s">
        <v>953</v>
      </c>
    </row>
    <row r="720">
      <c r="A720" s="6">
        <v>716.0</v>
      </c>
      <c r="B720" s="6" t="s">
        <v>811</v>
      </c>
      <c r="C720" s="12" t="s">
        <v>5754</v>
      </c>
      <c r="D720" s="6" t="s">
        <v>5737</v>
      </c>
      <c r="E720" s="6" t="s">
        <v>5755</v>
      </c>
      <c r="F720" s="15" t="s">
        <v>6158</v>
      </c>
      <c r="G720" s="6" t="s">
        <v>6160</v>
      </c>
      <c r="H720" s="6" t="s">
        <v>175</v>
      </c>
      <c r="I720" s="6" t="s">
        <v>953</v>
      </c>
      <c r="J720" s="6" t="s">
        <v>953</v>
      </c>
    </row>
    <row r="721">
      <c r="A721" s="6">
        <v>717.0</v>
      </c>
      <c r="B721" s="6" t="s">
        <v>811</v>
      </c>
      <c r="C721" s="12" t="s">
        <v>5759</v>
      </c>
      <c r="D721" s="6" t="s">
        <v>5737</v>
      </c>
      <c r="E721" s="6" t="s">
        <v>5760</v>
      </c>
      <c r="F721" s="15" t="s">
        <v>6161</v>
      </c>
      <c r="G721" s="6" t="s">
        <v>6164</v>
      </c>
      <c r="H721" s="6" t="s">
        <v>175</v>
      </c>
      <c r="I721" s="6" t="s">
        <v>953</v>
      </c>
      <c r="J721" s="6" t="s">
        <v>953</v>
      </c>
    </row>
    <row r="722">
      <c r="A722" s="6">
        <v>718.0</v>
      </c>
      <c r="B722" s="6" t="s">
        <v>240</v>
      </c>
      <c r="C722" s="12" t="s">
        <v>5764</v>
      </c>
      <c r="D722" s="6" t="s">
        <v>5737</v>
      </c>
      <c r="E722" s="6" t="s">
        <v>5765</v>
      </c>
      <c r="F722" s="15" t="s">
        <v>6165</v>
      </c>
      <c r="G722" s="6" t="s">
        <v>6170</v>
      </c>
      <c r="H722" s="6" t="s">
        <v>175</v>
      </c>
      <c r="I722" s="6" t="s">
        <v>953</v>
      </c>
      <c r="J722" s="6" t="s">
        <v>953</v>
      </c>
    </row>
    <row r="723">
      <c r="A723" s="6">
        <v>719.0</v>
      </c>
      <c r="B723" s="6" t="s">
        <v>178</v>
      </c>
      <c r="C723" s="12" t="s">
        <v>5769</v>
      </c>
      <c r="D723" s="6" t="s">
        <v>5737</v>
      </c>
      <c r="E723" s="6" t="s">
        <v>5770</v>
      </c>
      <c r="F723" s="15" t="s">
        <v>6171</v>
      </c>
      <c r="G723" s="6" t="s">
        <v>6173</v>
      </c>
      <c r="H723" s="6" t="s">
        <v>175</v>
      </c>
      <c r="I723" s="6" t="s">
        <v>953</v>
      </c>
      <c r="J723" s="6" t="s">
        <v>953</v>
      </c>
    </row>
    <row r="724">
      <c r="A724" s="6">
        <v>720.0</v>
      </c>
      <c r="B724" s="6" t="s">
        <v>811</v>
      </c>
      <c r="C724" s="12" t="s">
        <v>942</v>
      </c>
      <c r="D724" s="6" t="s">
        <v>5737</v>
      </c>
      <c r="E724" s="6" t="s">
        <v>5774</v>
      </c>
      <c r="F724" s="15" t="s">
        <v>6174</v>
      </c>
      <c r="G724" s="6" t="s">
        <v>6176</v>
      </c>
      <c r="H724" s="6" t="s">
        <v>175</v>
      </c>
      <c r="I724" s="6" t="s">
        <v>953</v>
      </c>
      <c r="J724" s="6" t="s">
        <v>953</v>
      </c>
    </row>
    <row r="725">
      <c r="A725" s="6">
        <v>721.0</v>
      </c>
      <c r="B725" s="6" t="s">
        <v>41</v>
      </c>
      <c r="C725" s="12" t="s">
        <v>942</v>
      </c>
      <c r="D725" s="6" t="s">
        <v>5737</v>
      </c>
      <c r="E725" s="6" t="s">
        <v>5778</v>
      </c>
      <c r="F725" s="15" t="s">
        <v>6177</v>
      </c>
      <c r="G725" s="6" t="s">
        <v>6179</v>
      </c>
      <c r="H725" s="6" t="s">
        <v>175</v>
      </c>
      <c r="I725" s="6" t="s">
        <v>953</v>
      </c>
      <c r="J725" s="6" t="s">
        <v>953</v>
      </c>
    </row>
    <row r="726">
      <c r="A726" s="6">
        <v>722.0</v>
      </c>
      <c r="B726" s="6" t="s">
        <v>811</v>
      </c>
      <c r="C726" s="12" t="s">
        <v>942</v>
      </c>
      <c r="D726" s="6" t="s">
        <v>5737</v>
      </c>
      <c r="E726" s="6" t="s">
        <v>5782</v>
      </c>
      <c r="F726" s="15" t="s">
        <v>6180</v>
      </c>
      <c r="G726" s="6" t="s">
        <v>6182</v>
      </c>
      <c r="H726" s="6" t="s">
        <v>175</v>
      </c>
      <c r="I726" s="6" t="s">
        <v>953</v>
      </c>
      <c r="J726" s="6" t="s">
        <v>953</v>
      </c>
    </row>
    <row r="727">
      <c r="A727" s="6">
        <v>723.0</v>
      </c>
      <c r="B727" s="6" t="s">
        <v>251</v>
      </c>
      <c r="C727" s="12" t="s">
        <v>942</v>
      </c>
      <c r="D727" s="6" t="s">
        <v>5737</v>
      </c>
      <c r="E727" s="6" t="s">
        <v>5785</v>
      </c>
      <c r="F727" s="15" t="s">
        <v>6183</v>
      </c>
      <c r="G727" s="6" t="s">
        <v>6187</v>
      </c>
      <c r="H727" s="6" t="s">
        <v>175</v>
      </c>
      <c r="I727" s="6" t="s">
        <v>953</v>
      </c>
      <c r="J727" s="6" t="s">
        <v>953</v>
      </c>
    </row>
    <row r="728">
      <c r="A728" s="6">
        <v>724.0</v>
      </c>
      <c r="B728" s="6" t="s">
        <v>811</v>
      </c>
      <c r="C728" s="12" t="s">
        <v>5759</v>
      </c>
      <c r="D728" s="6" t="s">
        <v>5737</v>
      </c>
      <c r="E728" s="6" t="s">
        <v>5789</v>
      </c>
      <c r="F728" s="15" t="s">
        <v>6188</v>
      </c>
      <c r="G728" s="6" t="s">
        <v>6190</v>
      </c>
      <c r="H728" s="6" t="s">
        <v>175</v>
      </c>
      <c r="I728" s="6" t="s">
        <v>953</v>
      </c>
      <c r="J728" s="6" t="s">
        <v>953</v>
      </c>
    </row>
    <row r="729">
      <c r="A729" s="6">
        <v>725.0</v>
      </c>
      <c r="B729" s="6" t="s">
        <v>110</v>
      </c>
      <c r="C729" s="12" t="s">
        <v>5793</v>
      </c>
      <c r="D729" s="6" t="s">
        <v>5737</v>
      </c>
      <c r="E729" s="6" t="s">
        <v>5794</v>
      </c>
      <c r="F729" s="15" t="s">
        <v>6191</v>
      </c>
      <c r="G729" s="6" t="s">
        <v>6193</v>
      </c>
      <c r="H729" s="6" t="s">
        <v>175</v>
      </c>
      <c r="I729" s="6" t="s">
        <v>953</v>
      </c>
      <c r="J729" s="6" t="s">
        <v>953</v>
      </c>
    </row>
    <row r="730">
      <c r="A730" s="6">
        <v>726.0</v>
      </c>
      <c r="B730" s="6" t="s">
        <v>811</v>
      </c>
      <c r="C730" s="12" t="s">
        <v>942</v>
      </c>
      <c r="D730" s="6" t="s">
        <v>5737</v>
      </c>
      <c r="E730" s="6" t="s">
        <v>5738</v>
      </c>
      <c r="F730" s="15" t="s">
        <v>6195</v>
      </c>
      <c r="G730" s="6" t="s">
        <v>6197</v>
      </c>
      <c r="H730" s="6" t="s">
        <v>175</v>
      </c>
      <c r="I730" s="6" t="s">
        <v>953</v>
      </c>
      <c r="J730" s="6" t="s">
        <v>953</v>
      </c>
    </row>
    <row r="731">
      <c r="A731" s="6">
        <v>727.0</v>
      </c>
      <c r="B731" s="6" t="s">
        <v>811</v>
      </c>
      <c r="C731" s="12" t="s">
        <v>5742</v>
      </c>
      <c r="D731" s="6" t="s">
        <v>5737</v>
      </c>
      <c r="E731" s="6" t="s">
        <v>5743</v>
      </c>
      <c r="F731" s="15" t="s">
        <v>6198</v>
      </c>
      <c r="G731" s="6" t="s">
        <v>6200</v>
      </c>
      <c r="H731" s="6" t="s">
        <v>175</v>
      </c>
      <c r="I731" s="6" t="s">
        <v>953</v>
      </c>
      <c r="J731" s="6" t="s">
        <v>953</v>
      </c>
    </row>
    <row r="732">
      <c r="A732" s="6">
        <v>728.0</v>
      </c>
      <c r="B732" s="6" t="s">
        <v>811</v>
      </c>
      <c r="C732" s="12" t="s">
        <v>942</v>
      </c>
      <c r="D732" s="6" t="s">
        <v>5737</v>
      </c>
      <c r="E732" s="6" t="s">
        <v>5747</v>
      </c>
      <c r="F732" s="15" t="s">
        <v>6201</v>
      </c>
      <c r="G732" s="6" t="s">
        <v>6203</v>
      </c>
      <c r="H732" s="6" t="s">
        <v>175</v>
      </c>
      <c r="I732" s="6" t="s">
        <v>953</v>
      </c>
      <c r="J732" s="6" t="s">
        <v>953</v>
      </c>
    </row>
    <row r="733">
      <c r="A733" s="6">
        <v>729.0</v>
      </c>
      <c r="B733" s="6" t="s">
        <v>1001</v>
      </c>
      <c r="C733" s="12" t="s">
        <v>942</v>
      </c>
      <c r="D733" s="6" t="s">
        <v>5737</v>
      </c>
      <c r="E733" s="6" t="s">
        <v>5750</v>
      </c>
      <c r="F733" s="15" t="s">
        <v>6205</v>
      </c>
      <c r="G733" s="6" t="s">
        <v>6208</v>
      </c>
      <c r="H733" s="6" t="s">
        <v>175</v>
      </c>
      <c r="I733" s="6" t="s">
        <v>953</v>
      </c>
      <c r="J733" s="6" t="s">
        <v>953</v>
      </c>
    </row>
    <row r="734">
      <c r="A734" s="6">
        <v>730.0</v>
      </c>
      <c r="B734" s="6" t="s">
        <v>811</v>
      </c>
      <c r="C734" s="12" t="s">
        <v>5754</v>
      </c>
      <c r="D734" s="6" t="s">
        <v>5737</v>
      </c>
      <c r="E734" s="6" t="s">
        <v>5755</v>
      </c>
      <c r="F734" s="15" t="s">
        <v>6209</v>
      </c>
      <c r="G734" s="6" t="s">
        <v>6211</v>
      </c>
      <c r="H734" s="6" t="s">
        <v>175</v>
      </c>
      <c r="I734" s="6" t="s">
        <v>953</v>
      </c>
      <c r="J734" s="6" t="s">
        <v>953</v>
      </c>
    </row>
    <row r="735">
      <c r="A735" s="6">
        <v>731.0</v>
      </c>
      <c r="B735" s="6" t="s">
        <v>811</v>
      </c>
      <c r="C735" s="12" t="s">
        <v>5759</v>
      </c>
      <c r="D735" s="6" t="s">
        <v>5737</v>
      </c>
      <c r="E735" s="6" t="s">
        <v>5760</v>
      </c>
      <c r="F735" s="15" t="s">
        <v>6212</v>
      </c>
      <c r="G735" s="6" t="s">
        <v>6214</v>
      </c>
      <c r="H735" s="6" t="s">
        <v>175</v>
      </c>
      <c r="I735" s="6" t="s">
        <v>953</v>
      </c>
      <c r="J735" s="6" t="s">
        <v>953</v>
      </c>
    </row>
    <row r="736">
      <c r="A736" s="6">
        <v>732.0</v>
      </c>
      <c r="B736" s="6" t="s">
        <v>240</v>
      </c>
      <c r="C736" s="12" t="s">
        <v>5764</v>
      </c>
      <c r="D736" s="6" t="s">
        <v>5737</v>
      </c>
      <c r="E736" s="6" t="s">
        <v>5765</v>
      </c>
      <c r="F736" s="15" t="s">
        <v>6216</v>
      </c>
      <c r="G736" s="6" t="s">
        <v>6218</v>
      </c>
      <c r="H736" s="6" t="s">
        <v>175</v>
      </c>
      <c r="I736" s="6" t="s">
        <v>953</v>
      </c>
      <c r="J736" s="6" t="s">
        <v>953</v>
      </c>
    </row>
    <row r="737">
      <c r="A737" s="6">
        <v>733.0</v>
      </c>
      <c r="B737" s="6" t="s">
        <v>178</v>
      </c>
      <c r="C737" s="12" t="s">
        <v>5769</v>
      </c>
      <c r="D737" s="6" t="s">
        <v>5737</v>
      </c>
      <c r="E737" s="6" t="s">
        <v>5770</v>
      </c>
      <c r="F737" s="15" t="s">
        <v>6219</v>
      </c>
      <c r="G737" s="6" t="s">
        <v>6221</v>
      </c>
      <c r="H737" s="6" t="s">
        <v>175</v>
      </c>
      <c r="I737" s="6" t="s">
        <v>953</v>
      </c>
      <c r="J737" s="6" t="s">
        <v>953</v>
      </c>
    </row>
    <row r="738">
      <c r="A738" s="6">
        <v>734.0</v>
      </c>
      <c r="B738" s="6" t="s">
        <v>811</v>
      </c>
      <c r="C738" s="12" t="s">
        <v>942</v>
      </c>
      <c r="D738" s="6" t="s">
        <v>5737</v>
      </c>
      <c r="E738" s="6" t="s">
        <v>5774</v>
      </c>
      <c r="F738" s="15" t="s">
        <v>6222</v>
      </c>
      <c r="G738" s="6" t="s">
        <v>6224</v>
      </c>
      <c r="H738" s="6" t="s">
        <v>175</v>
      </c>
      <c r="I738" s="6" t="s">
        <v>953</v>
      </c>
      <c r="J738" s="6" t="s">
        <v>953</v>
      </c>
    </row>
    <row r="739">
      <c r="A739" s="6">
        <v>735.0</v>
      </c>
      <c r="B739" s="6" t="s">
        <v>41</v>
      </c>
      <c r="C739" s="12" t="s">
        <v>942</v>
      </c>
      <c r="D739" s="6" t="s">
        <v>5737</v>
      </c>
      <c r="E739" s="6" t="s">
        <v>5778</v>
      </c>
      <c r="F739" s="15" t="s">
        <v>6225</v>
      </c>
      <c r="G739" s="6" t="s">
        <v>6227</v>
      </c>
      <c r="H739" s="6" t="s">
        <v>175</v>
      </c>
      <c r="I739" s="6" t="s">
        <v>953</v>
      </c>
      <c r="J739" s="6" t="s">
        <v>953</v>
      </c>
    </row>
    <row r="740">
      <c r="A740" s="6">
        <v>736.0</v>
      </c>
      <c r="B740" s="6" t="s">
        <v>811</v>
      </c>
      <c r="C740" s="12" t="s">
        <v>942</v>
      </c>
      <c r="D740" s="6" t="s">
        <v>5737</v>
      </c>
      <c r="E740" s="6" t="s">
        <v>5782</v>
      </c>
      <c r="F740" s="15" t="s">
        <v>6229</v>
      </c>
      <c r="G740" s="6" t="s">
        <v>6231</v>
      </c>
      <c r="H740" s="6" t="s">
        <v>175</v>
      </c>
      <c r="I740" s="6" t="s">
        <v>953</v>
      </c>
      <c r="J740" s="6" t="s">
        <v>953</v>
      </c>
    </row>
    <row r="741">
      <c r="A741" s="6">
        <v>737.0</v>
      </c>
      <c r="B741" s="6" t="s">
        <v>251</v>
      </c>
      <c r="C741" s="12" t="s">
        <v>942</v>
      </c>
      <c r="D741" s="6" t="s">
        <v>5737</v>
      </c>
      <c r="E741" s="6" t="s">
        <v>5785</v>
      </c>
      <c r="F741" s="15" t="s">
        <v>6232</v>
      </c>
      <c r="G741" s="6" t="s">
        <v>6234</v>
      </c>
      <c r="H741" s="6" t="s">
        <v>175</v>
      </c>
      <c r="I741" s="6" t="s">
        <v>953</v>
      </c>
      <c r="J741" s="6" t="s">
        <v>953</v>
      </c>
    </row>
    <row r="742">
      <c r="A742" s="6">
        <v>738.0</v>
      </c>
      <c r="B742" s="6" t="s">
        <v>811</v>
      </c>
      <c r="C742" s="12" t="s">
        <v>5759</v>
      </c>
      <c r="D742" s="6" t="s">
        <v>5737</v>
      </c>
      <c r="E742" s="6" t="s">
        <v>5789</v>
      </c>
      <c r="F742" s="15" t="s">
        <v>6235</v>
      </c>
      <c r="G742" s="6" t="s">
        <v>6239</v>
      </c>
      <c r="H742" s="6" t="s">
        <v>175</v>
      </c>
      <c r="I742" s="6" t="s">
        <v>953</v>
      </c>
      <c r="J742" s="6" t="s">
        <v>953</v>
      </c>
    </row>
    <row r="743">
      <c r="A743" s="6">
        <v>739.0</v>
      </c>
      <c r="B743" s="6" t="s">
        <v>110</v>
      </c>
      <c r="C743" s="12" t="s">
        <v>5793</v>
      </c>
      <c r="D743" s="6" t="s">
        <v>5737</v>
      </c>
      <c r="E743" s="6" t="s">
        <v>5794</v>
      </c>
      <c r="F743" s="15" t="s">
        <v>6240</v>
      </c>
      <c r="G743" s="6" t="s">
        <v>6242</v>
      </c>
      <c r="H743" s="6" t="s">
        <v>175</v>
      </c>
      <c r="I743" s="6" t="s">
        <v>953</v>
      </c>
      <c r="J743" s="6" t="s">
        <v>953</v>
      </c>
    </row>
    <row r="744">
      <c r="A744" s="6">
        <v>740.0</v>
      </c>
      <c r="B744" s="6" t="s">
        <v>811</v>
      </c>
      <c r="C744" s="12" t="s">
        <v>942</v>
      </c>
      <c r="D744" s="6" t="s">
        <v>5737</v>
      </c>
      <c r="E744" s="6" t="s">
        <v>5738</v>
      </c>
      <c r="F744" s="15" t="s">
        <v>6243</v>
      </c>
      <c r="G744" s="6" t="s">
        <v>6245</v>
      </c>
      <c r="H744" s="6" t="s">
        <v>175</v>
      </c>
      <c r="I744" s="6" t="s">
        <v>953</v>
      </c>
      <c r="J744" s="6" t="s">
        <v>953</v>
      </c>
    </row>
    <row r="745">
      <c r="A745" s="6">
        <v>741.0</v>
      </c>
      <c r="B745" s="6" t="s">
        <v>811</v>
      </c>
      <c r="C745" s="12" t="s">
        <v>5742</v>
      </c>
      <c r="D745" s="6" t="s">
        <v>5737</v>
      </c>
      <c r="E745" s="6" t="s">
        <v>5743</v>
      </c>
      <c r="F745" s="15" t="s">
        <v>6248</v>
      </c>
      <c r="G745" s="6" t="s">
        <v>6250</v>
      </c>
      <c r="H745" s="6" t="s">
        <v>175</v>
      </c>
      <c r="I745" s="6" t="s">
        <v>953</v>
      </c>
      <c r="J745" s="6" t="s">
        <v>953</v>
      </c>
    </row>
    <row r="746">
      <c r="A746" s="6">
        <v>742.0</v>
      </c>
      <c r="B746" s="6" t="s">
        <v>811</v>
      </c>
      <c r="C746" s="12" t="s">
        <v>942</v>
      </c>
      <c r="D746" s="6" t="s">
        <v>5737</v>
      </c>
      <c r="E746" s="6" t="s">
        <v>5747</v>
      </c>
      <c r="F746" s="15" t="s">
        <v>6251</v>
      </c>
      <c r="G746" s="6" t="s">
        <v>6253</v>
      </c>
      <c r="H746" s="6" t="s">
        <v>175</v>
      </c>
      <c r="I746" s="6" t="s">
        <v>953</v>
      </c>
      <c r="J746" s="6" t="s">
        <v>953</v>
      </c>
    </row>
    <row r="747">
      <c r="A747" s="6">
        <v>743.0</v>
      </c>
      <c r="B747" s="6" t="s">
        <v>1001</v>
      </c>
      <c r="C747" s="12" t="s">
        <v>942</v>
      </c>
      <c r="D747" s="6" t="s">
        <v>5737</v>
      </c>
      <c r="E747" s="6" t="s">
        <v>5750</v>
      </c>
      <c r="F747" s="15" t="s">
        <v>6254</v>
      </c>
      <c r="G747" s="6" t="s">
        <v>6257</v>
      </c>
      <c r="H747" s="6" t="s">
        <v>175</v>
      </c>
      <c r="I747" s="6" t="s">
        <v>953</v>
      </c>
      <c r="J747" s="6" t="s">
        <v>953</v>
      </c>
    </row>
    <row r="748">
      <c r="A748" s="6">
        <v>744.0</v>
      </c>
      <c r="B748" s="6" t="s">
        <v>811</v>
      </c>
      <c r="C748" s="12" t="s">
        <v>5754</v>
      </c>
      <c r="D748" s="6" t="s">
        <v>5737</v>
      </c>
      <c r="E748" s="6" t="s">
        <v>5755</v>
      </c>
      <c r="F748" s="15" t="s">
        <v>6258</v>
      </c>
      <c r="G748" s="6" t="s">
        <v>6260</v>
      </c>
      <c r="H748" s="6" t="s">
        <v>175</v>
      </c>
      <c r="I748" s="6" t="s">
        <v>953</v>
      </c>
      <c r="J748" s="6" t="s">
        <v>953</v>
      </c>
    </row>
    <row r="749">
      <c r="A749" s="6">
        <v>745.0</v>
      </c>
      <c r="B749" s="6" t="s">
        <v>811</v>
      </c>
      <c r="C749" s="12" t="s">
        <v>5759</v>
      </c>
      <c r="D749" s="6" t="s">
        <v>5737</v>
      </c>
      <c r="E749" s="6" t="s">
        <v>5760</v>
      </c>
      <c r="F749" s="15" t="s">
        <v>6261</v>
      </c>
      <c r="G749" s="6" t="s">
        <v>6263</v>
      </c>
      <c r="H749" s="6" t="s">
        <v>175</v>
      </c>
      <c r="I749" s="6" t="s">
        <v>953</v>
      </c>
      <c r="J749" s="6" t="s">
        <v>953</v>
      </c>
    </row>
    <row r="750">
      <c r="A750" s="6">
        <v>746.0</v>
      </c>
      <c r="B750" s="6" t="s">
        <v>240</v>
      </c>
      <c r="C750" s="12" t="s">
        <v>5764</v>
      </c>
      <c r="D750" s="6" t="s">
        <v>5737</v>
      </c>
      <c r="E750" s="6" t="s">
        <v>5765</v>
      </c>
      <c r="F750" s="15" t="s">
        <v>6265</v>
      </c>
      <c r="G750" s="6" t="s">
        <v>6268</v>
      </c>
      <c r="H750" s="6" t="s">
        <v>175</v>
      </c>
      <c r="I750" s="6" t="s">
        <v>953</v>
      </c>
      <c r="J750" s="6" t="s">
        <v>953</v>
      </c>
    </row>
    <row r="751">
      <c r="A751" s="6">
        <v>747.0</v>
      </c>
      <c r="B751" s="6" t="s">
        <v>178</v>
      </c>
      <c r="C751" s="12" t="s">
        <v>5769</v>
      </c>
      <c r="D751" s="6" t="s">
        <v>5737</v>
      </c>
      <c r="E751" s="6" t="s">
        <v>5770</v>
      </c>
      <c r="F751" s="15" t="s">
        <v>6269</v>
      </c>
      <c r="G751" s="6" t="s">
        <v>6271</v>
      </c>
      <c r="H751" s="6" t="s">
        <v>175</v>
      </c>
      <c r="I751" s="6" t="s">
        <v>953</v>
      </c>
      <c r="J751" s="6" t="s">
        <v>953</v>
      </c>
    </row>
    <row r="752">
      <c r="A752" s="6">
        <v>748.0</v>
      </c>
      <c r="B752" s="6" t="s">
        <v>811</v>
      </c>
      <c r="C752" s="12" t="s">
        <v>942</v>
      </c>
      <c r="D752" s="6" t="s">
        <v>5737</v>
      </c>
      <c r="E752" s="6" t="s">
        <v>5774</v>
      </c>
      <c r="F752" s="15" t="s">
        <v>6272</v>
      </c>
      <c r="G752" s="6" t="s">
        <v>6275</v>
      </c>
      <c r="H752" s="6" t="s">
        <v>175</v>
      </c>
      <c r="I752" s="6" t="s">
        <v>953</v>
      </c>
      <c r="J752" s="6" t="s">
        <v>953</v>
      </c>
    </row>
    <row r="753">
      <c r="A753" s="6">
        <v>749.0</v>
      </c>
      <c r="B753" s="6" t="s">
        <v>41</v>
      </c>
      <c r="C753" s="12" t="s">
        <v>942</v>
      </c>
      <c r="D753" s="6" t="s">
        <v>5737</v>
      </c>
      <c r="E753" s="6" t="s">
        <v>5778</v>
      </c>
      <c r="F753" s="15" t="s">
        <v>6276</v>
      </c>
      <c r="G753" s="6" t="s">
        <v>6278</v>
      </c>
      <c r="H753" s="6" t="s">
        <v>175</v>
      </c>
      <c r="I753" s="6" t="s">
        <v>953</v>
      </c>
      <c r="J753" s="6" t="s">
        <v>953</v>
      </c>
    </row>
    <row r="754">
      <c r="A754" s="6">
        <v>750.0</v>
      </c>
      <c r="B754" s="6" t="s">
        <v>811</v>
      </c>
      <c r="C754" s="12" t="s">
        <v>942</v>
      </c>
      <c r="D754" s="6" t="s">
        <v>5737</v>
      </c>
      <c r="E754" s="6" t="s">
        <v>5782</v>
      </c>
      <c r="F754" s="15" t="s">
        <v>6279</v>
      </c>
      <c r="G754" s="6" t="s">
        <v>6281</v>
      </c>
      <c r="H754" s="6" t="s">
        <v>175</v>
      </c>
      <c r="I754" s="6" t="s">
        <v>953</v>
      </c>
      <c r="J754" s="6" t="s">
        <v>953</v>
      </c>
    </row>
    <row r="755">
      <c r="A755" s="6">
        <v>751.0</v>
      </c>
      <c r="B755" s="6" t="s">
        <v>251</v>
      </c>
      <c r="C755" s="12" t="s">
        <v>942</v>
      </c>
      <c r="D755" s="6" t="s">
        <v>5737</v>
      </c>
      <c r="E755" s="6" t="s">
        <v>5785</v>
      </c>
      <c r="F755" s="15" t="s">
        <v>6282</v>
      </c>
      <c r="G755" s="6" t="s">
        <v>6284</v>
      </c>
      <c r="H755" s="6" t="s">
        <v>175</v>
      </c>
      <c r="I755" s="6" t="s">
        <v>953</v>
      </c>
      <c r="J755" s="6" t="s">
        <v>953</v>
      </c>
    </row>
    <row r="756">
      <c r="A756" s="6">
        <v>752.0</v>
      </c>
      <c r="B756" s="6" t="s">
        <v>811</v>
      </c>
      <c r="C756" s="12" t="s">
        <v>5759</v>
      </c>
      <c r="D756" s="6" t="s">
        <v>5737</v>
      </c>
      <c r="E756" s="6" t="s">
        <v>5789</v>
      </c>
      <c r="F756" s="15" t="s">
        <v>6285</v>
      </c>
      <c r="G756" s="6" t="s">
        <v>6287</v>
      </c>
      <c r="H756" s="6" t="s">
        <v>175</v>
      </c>
      <c r="I756" s="6" t="s">
        <v>953</v>
      </c>
      <c r="J756" s="6" t="s">
        <v>953</v>
      </c>
    </row>
    <row r="757">
      <c r="A757" s="6">
        <v>753.0</v>
      </c>
      <c r="B757" s="6" t="s">
        <v>110</v>
      </c>
      <c r="C757" s="12" t="s">
        <v>5793</v>
      </c>
      <c r="D757" s="6" t="s">
        <v>5737</v>
      </c>
      <c r="E757" s="6" t="s">
        <v>5794</v>
      </c>
      <c r="F757" s="15" t="s">
        <v>6288</v>
      </c>
      <c r="G757" s="6" t="s">
        <v>6290</v>
      </c>
      <c r="H757" s="6" t="s">
        <v>175</v>
      </c>
      <c r="I757" s="6" t="s">
        <v>953</v>
      </c>
      <c r="J757" s="6" t="s">
        <v>953</v>
      </c>
    </row>
    <row r="758">
      <c r="A758" s="6">
        <v>754.0</v>
      </c>
      <c r="B758" s="6" t="s">
        <v>811</v>
      </c>
      <c r="C758" s="12" t="s">
        <v>942</v>
      </c>
      <c r="D758" s="6" t="s">
        <v>5737</v>
      </c>
      <c r="E758" s="6" t="s">
        <v>5738</v>
      </c>
      <c r="F758" s="15" t="s">
        <v>6291</v>
      </c>
      <c r="G758" s="6" t="s">
        <v>6294</v>
      </c>
      <c r="H758" s="6" t="s">
        <v>175</v>
      </c>
      <c r="I758" s="6" t="s">
        <v>953</v>
      </c>
      <c r="J758" s="6" t="s">
        <v>953</v>
      </c>
    </row>
    <row r="759">
      <c r="A759" s="6">
        <v>755.0</v>
      </c>
      <c r="B759" s="6" t="s">
        <v>811</v>
      </c>
      <c r="C759" s="12" t="s">
        <v>5742</v>
      </c>
      <c r="D759" s="6" t="s">
        <v>5737</v>
      </c>
      <c r="E759" s="6" t="s">
        <v>5743</v>
      </c>
      <c r="F759" s="15" t="s">
        <v>6295</v>
      </c>
      <c r="G759" s="6" t="s">
        <v>6297</v>
      </c>
      <c r="H759" s="6" t="s">
        <v>175</v>
      </c>
      <c r="I759" s="6" t="s">
        <v>953</v>
      </c>
      <c r="J759" s="6" t="s">
        <v>953</v>
      </c>
    </row>
    <row r="760">
      <c r="A760" s="6">
        <v>756.0</v>
      </c>
      <c r="B760" s="6" t="s">
        <v>811</v>
      </c>
      <c r="C760" s="12" t="s">
        <v>942</v>
      </c>
      <c r="D760" s="6" t="s">
        <v>5737</v>
      </c>
      <c r="E760" s="6" t="s">
        <v>5747</v>
      </c>
      <c r="F760" s="15" t="s">
        <v>6298</v>
      </c>
      <c r="G760" s="6" t="s">
        <v>6300</v>
      </c>
      <c r="H760" s="6" t="s">
        <v>175</v>
      </c>
      <c r="I760" s="6" t="s">
        <v>953</v>
      </c>
      <c r="J760" s="6" t="s">
        <v>953</v>
      </c>
    </row>
    <row r="761">
      <c r="A761" s="6">
        <v>757.0</v>
      </c>
      <c r="B761" s="6" t="s">
        <v>1001</v>
      </c>
      <c r="C761" s="12" t="s">
        <v>942</v>
      </c>
      <c r="D761" s="6" t="s">
        <v>5737</v>
      </c>
      <c r="E761" s="6" t="s">
        <v>5750</v>
      </c>
      <c r="F761" s="15" t="s">
        <v>6301</v>
      </c>
      <c r="G761" s="6" t="s">
        <v>6303</v>
      </c>
      <c r="H761" s="6" t="s">
        <v>175</v>
      </c>
      <c r="I761" s="6" t="s">
        <v>953</v>
      </c>
      <c r="J761" s="6" t="s">
        <v>953</v>
      </c>
    </row>
    <row r="762">
      <c r="A762" s="6">
        <v>758.0</v>
      </c>
      <c r="B762" s="6" t="s">
        <v>811</v>
      </c>
      <c r="C762" s="12" t="s">
        <v>5754</v>
      </c>
      <c r="D762" s="6" t="s">
        <v>5737</v>
      </c>
      <c r="E762" s="6" t="s">
        <v>5755</v>
      </c>
      <c r="F762" s="15" t="s">
        <v>6304</v>
      </c>
      <c r="G762" s="6" t="s">
        <v>6306</v>
      </c>
      <c r="H762" s="6" t="s">
        <v>175</v>
      </c>
      <c r="I762" s="6" t="s">
        <v>953</v>
      </c>
      <c r="J762" s="6" t="s">
        <v>953</v>
      </c>
    </row>
    <row r="763">
      <c r="A763" s="6">
        <v>759.0</v>
      </c>
      <c r="B763" s="6" t="s">
        <v>811</v>
      </c>
      <c r="C763" s="12" t="s">
        <v>5759</v>
      </c>
      <c r="D763" s="6" t="s">
        <v>5737</v>
      </c>
      <c r="E763" s="6" t="s">
        <v>5760</v>
      </c>
      <c r="F763" s="15" t="s">
        <v>6307</v>
      </c>
      <c r="G763" s="6" t="s">
        <v>6309</v>
      </c>
      <c r="H763" s="6" t="s">
        <v>175</v>
      </c>
      <c r="I763" s="6" t="s">
        <v>953</v>
      </c>
      <c r="J763" s="6" t="s">
        <v>953</v>
      </c>
    </row>
    <row r="764">
      <c r="A764" s="6">
        <v>760.0</v>
      </c>
      <c r="B764" s="6" t="s">
        <v>240</v>
      </c>
      <c r="C764" s="12" t="s">
        <v>5764</v>
      </c>
      <c r="D764" s="6" t="s">
        <v>5737</v>
      </c>
      <c r="E764" s="6" t="s">
        <v>5765</v>
      </c>
      <c r="F764" s="15" t="s">
        <v>6310</v>
      </c>
      <c r="G764" s="6" t="s">
        <v>6313</v>
      </c>
      <c r="H764" s="6" t="s">
        <v>175</v>
      </c>
      <c r="I764" s="6" t="s">
        <v>953</v>
      </c>
      <c r="J764" s="6" t="s">
        <v>953</v>
      </c>
    </row>
    <row r="765">
      <c r="A765" s="6">
        <v>761.0</v>
      </c>
      <c r="B765" s="6" t="s">
        <v>178</v>
      </c>
      <c r="C765" s="12" t="s">
        <v>5769</v>
      </c>
      <c r="D765" s="6" t="s">
        <v>5737</v>
      </c>
      <c r="E765" s="6" t="s">
        <v>5770</v>
      </c>
      <c r="F765" s="15" t="s">
        <v>6314</v>
      </c>
      <c r="G765" s="6" t="s">
        <v>6315</v>
      </c>
      <c r="H765" s="6" t="s">
        <v>175</v>
      </c>
      <c r="I765" s="6" t="s">
        <v>953</v>
      </c>
      <c r="J765" s="6" t="s">
        <v>953</v>
      </c>
    </row>
    <row r="766">
      <c r="A766" s="6">
        <v>762.0</v>
      </c>
      <c r="B766" s="6" t="s">
        <v>811</v>
      </c>
      <c r="C766" s="12" t="s">
        <v>942</v>
      </c>
      <c r="D766" s="6" t="s">
        <v>5737</v>
      </c>
      <c r="E766" s="6" t="s">
        <v>5774</v>
      </c>
      <c r="F766" s="15" t="s">
        <v>6317</v>
      </c>
      <c r="G766" s="6" t="s">
        <v>6319</v>
      </c>
      <c r="H766" s="6" t="s">
        <v>175</v>
      </c>
      <c r="I766" s="6" t="s">
        <v>953</v>
      </c>
      <c r="J766" s="6" t="s">
        <v>953</v>
      </c>
    </row>
    <row r="767">
      <c r="A767" s="6">
        <v>763.0</v>
      </c>
      <c r="B767" s="6" t="s">
        <v>41</v>
      </c>
      <c r="C767" s="12" t="s">
        <v>942</v>
      </c>
      <c r="D767" s="6" t="s">
        <v>5737</v>
      </c>
      <c r="E767" s="6" t="s">
        <v>5778</v>
      </c>
      <c r="F767" s="15" t="s">
        <v>6320</v>
      </c>
      <c r="G767" s="6" t="s">
        <v>6322</v>
      </c>
      <c r="H767" s="6" t="s">
        <v>175</v>
      </c>
      <c r="I767" s="6" t="s">
        <v>953</v>
      </c>
      <c r="J767" s="6" t="s">
        <v>953</v>
      </c>
    </row>
    <row r="768">
      <c r="A768" s="6">
        <v>764.0</v>
      </c>
      <c r="B768" s="6" t="s">
        <v>811</v>
      </c>
      <c r="C768" s="12" t="s">
        <v>942</v>
      </c>
      <c r="D768" s="6" t="s">
        <v>5737</v>
      </c>
      <c r="E768" s="6" t="s">
        <v>5782</v>
      </c>
      <c r="F768" s="15" t="s">
        <v>6323</v>
      </c>
      <c r="G768" s="6" t="s">
        <v>6325</v>
      </c>
      <c r="H768" s="6" t="s">
        <v>175</v>
      </c>
      <c r="I768" s="6" t="s">
        <v>953</v>
      </c>
      <c r="J768" s="6" t="s">
        <v>953</v>
      </c>
    </row>
    <row r="769">
      <c r="A769" s="6">
        <v>765.0</v>
      </c>
      <c r="B769" s="6" t="s">
        <v>251</v>
      </c>
      <c r="C769" s="12" t="s">
        <v>942</v>
      </c>
      <c r="D769" s="6" t="s">
        <v>5737</v>
      </c>
      <c r="E769" s="6" t="s">
        <v>5785</v>
      </c>
      <c r="F769" s="15" t="s">
        <v>6327</v>
      </c>
      <c r="G769" s="6" t="s">
        <v>6328</v>
      </c>
      <c r="H769" s="6" t="s">
        <v>175</v>
      </c>
      <c r="I769" s="6" t="s">
        <v>953</v>
      </c>
      <c r="J769" s="6" t="s">
        <v>953</v>
      </c>
    </row>
    <row r="770">
      <c r="A770" s="6">
        <v>766.0</v>
      </c>
      <c r="B770" s="6" t="s">
        <v>811</v>
      </c>
      <c r="C770" s="12" t="s">
        <v>5759</v>
      </c>
      <c r="D770" s="6" t="s">
        <v>5737</v>
      </c>
      <c r="E770" s="6" t="s">
        <v>5789</v>
      </c>
      <c r="F770" s="15" t="s">
        <v>6330</v>
      </c>
      <c r="G770" s="6" t="s">
        <v>6332</v>
      </c>
      <c r="H770" s="6" t="s">
        <v>175</v>
      </c>
      <c r="I770" s="6" t="s">
        <v>953</v>
      </c>
      <c r="J770" s="6" t="s">
        <v>953</v>
      </c>
    </row>
    <row r="771">
      <c r="A771" s="6">
        <v>767.0</v>
      </c>
      <c r="B771" s="6" t="s">
        <v>110</v>
      </c>
      <c r="C771" s="12" t="s">
        <v>5793</v>
      </c>
      <c r="D771" s="6" t="s">
        <v>5737</v>
      </c>
      <c r="E771" s="6" t="s">
        <v>5794</v>
      </c>
      <c r="F771" s="15" t="s">
        <v>6333</v>
      </c>
      <c r="G771" s="6" t="s">
        <v>6336</v>
      </c>
      <c r="H771" s="6" t="s">
        <v>175</v>
      </c>
      <c r="I771" s="6" t="s">
        <v>953</v>
      </c>
      <c r="J771" s="6" t="s">
        <v>953</v>
      </c>
    </row>
    <row r="772">
      <c r="A772" s="6">
        <v>768.0</v>
      </c>
      <c r="B772" s="6" t="s">
        <v>811</v>
      </c>
      <c r="C772" s="12" t="s">
        <v>942</v>
      </c>
      <c r="D772" s="6" t="s">
        <v>5737</v>
      </c>
      <c r="E772" s="6" t="s">
        <v>5738</v>
      </c>
      <c r="F772" s="15" t="s">
        <v>6337</v>
      </c>
      <c r="G772" s="6" t="s">
        <v>6339</v>
      </c>
      <c r="H772" s="6" t="s">
        <v>175</v>
      </c>
      <c r="I772" s="6" t="s">
        <v>953</v>
      </c>
      <c r="J772" s="6" t="s">
        <v>953</v>
      </c>
    </row>
    <row r="773">
      <c r="A773" s="6">
        <v>769.0</v>
      </c>
      <c r="B773" s="6" t="s">
        <v>811</v>
      </c>
      <c r="C773" s="12" t="s">
        <v>5742</v>
      </c>
      <c r="D773" s="6" t="s">
        <v>5737</v>
      </c>
      <c r="E773" s="6" t="s">
        <v>5743</v>
      </c>
      <c r="F773" s="15" t="s">
        <v>6340</v>
      </c>
      <c r="G773" s="6" t="s">
        <v>6343</v>
      </c>
      <c r="H773" s="6" t="s">
        <v>175</v>
      </c>
      <c r="I773" s="6" t="s">
        <v>953</v>
      </c>
      <c r="J773" s="6" t="s">
        <v>953</v>
      </c>
    </row>
    <row r="774">
      <c r="A774" s="6">
        <v>770.0</v>
      </c>
      <c r="B774" s="6" t="s">
        <v>811</v>
      </c>
      <c r="C774" s="12" t="s">
        <v>942</v>
      </c>
      <c r="D774" s="6" t="s">
        <v>5737</v>
      </c>
      <c r="E774" s="6" t="s">
        <v>5747</v>
      </c>
      <c r="F774" s="15" t="s">
        <v>6344</v>
      </c>
      <c r="G774" s="6" t="s">
        <v>6345</v>
      </c>
      <c r="H774" s="6" t="s">
        <v>175</v>
      </c>
      <c r="I774" s="6" t="s">
        <v>953</v>
      </c>
      <c r="J774" s="6" t="s">
        <v>953</v>
      </c>
    </row>
    <row r="775">
      <c r="A775" s="6">
        <v>771.0</v>
      </c>
      <c r="B775" s="6" t="s">
        <v>1001</v>
      </c>
      <c r="C775" s="12" t="s">
        <v>942</v>
      </c>
      <c r="D775" s="6" t="s">
        <v>5737</v>
      </c>
      <c r="E775" s="6" t="s">
        <v>5750</v>
      </c>
      <c r="F775" s="15" t="s">
        <v>6347</v>
      </c>
      <c r="G775" s="6" t="s">
        <v>6349</v>
      </c>
      <c r="H775" s="6" t="s">
        <v>175</v>
      </c>
      <c r="I775" s="6" t="s">
        <v>953</v>
      </c>
      <c r="J775" s="6" t="s">
        <v>953</v>
      </c>
    </row>
    <row r="776">
      <c r="A776" s="6">
        <v>772.0</v>
      </c>
      <c r="B776" s="6" t="s">
        <v>811</v>
      </c>
      <c r="C776" s="12" t="s">
        <v>5754</v>
      </c>
      <c r="D776" s="6" t="s">
        <v>5737</v>
      </c>
      <c r="E776" s="6" t="s">
        <v>5755</v>
      </c>
      <c r="F776" s="15" t="s">
        <v>6350</v>
      </c>
      <c r="G776" s="6" t="s">
        <v>6352</v>
      </c>
      <c r="H776" s="6" t="s">
        <v>175</v>
      </c>
      <c r="I776" s="6" t="s">
        <v>953</v>
      </c>
      <c r="J776" s="6" t="s">
        <v>953</v>
      </c>
    </row>
    <row r="777">
      <c r="A777" s="6">
        <v>773.0</v>
      </c>
      <c r="B777" s="6" t="s">
        <v>811</v>
      </c>
      <c r="C777" s="12" t="s">
        <v>5759</v>
      </c>
      <c r="D777" s="6" t="s">
        <v>5737</v>
      </c>
      <c r="E777" s="6" t="s">
        <v>5760</v>
      </c>
      <c r="F777" s="15" t="s">
        <v>6354</v>
      </c>
      <c r="G777" s="6" t="s">
        <v>6356</v>
      </c>
      <c r="H777" s="6" t="s">
        <v>175</v>
      </c>
      <c r="I777" s="6" t="s">
        <v>953</v>
      </c>
      <c r="J777" s="6" t="s">
        <v>953</v>
      </c>
    </row>
    <row r="778">
      <c r="A778" s="6">
        <v>774.0</v>
      </c>
      <c r="B778" s="6" t="s">
        <v>240</v>
      </c>
      <c r="C778" s="12" t="s">
        <v>5764</v>
      </c>
      <c r="D778" s="6" t="s">
        <v>5737</v>
      </c>
      <c r="E778" s="6" t="s">
        <v>5765</v>
      </c>
      <c r="F778" s="15" t="s">
        <v>6357</v>
      </c>
      <c r="G778" s="6" t="s">
        <v>6359</v>
      </c>
      <c r="H778" s="6" t="s">
        <v>175</v>
      </c>
      <c r="I778" s="6" t="s">
        <v>953</v>
      </c>
      <c r="J778" s="6" t="s">
        <v>953</v>
      </c>
    </row>
    <row r="779">
      <c r="A779" s="6">
        <v>775.0</v>
      </c>
      <c r="B779" s="6" t="s">
        <v>178</v>
      </c>
      <c r="C779" s="12" t="s">
        <v>5769</v>
      </c>
      <c r="D779" s="6" t="s">
        <v>5737</v>
      </c>
      <c r="E779" s="6" t="s">
        <v>5770</v>
      </c>
      <c r="F779" s="15" t="s">
        <v>6360</v>
      </c>
      <c r="G779" s="6" t="s">
        <v>6362</v>
      </c>
      <c r="H779" s="6" t="s">
        <v>175</v>
      </c>
      <c r="I779" s="6" t="s">
        <v>953</v>
      </c>
      <c r="J779" s="6" t="s">
        <v>953</v>
      </c>
    </row>
    <row r="780">
      <c r="A780" s="6">
        <v>776.0</v>
      </c>
      <c r="B780" s="6" t="s">
        <v>811</v>
      </c>
      <c r="C780" s="12" t="s">
        <v>942</v>
      </c>
      <c r="D780" s="6" t="s">
        <v>5737</v>
      </c>
      <c r="E780" s="6" t="s">
        <v>5774</v>
      </c>
      <c r="F780" s="15" t="s">
        <v>6363</v>
      </c>
      <c r="G780" s="6" t="s">
        <v>6365</v>
      </c>
      <c r="H780" s="6" t="s">
        <v>175</v>
      </c>
      <c r="I780" s="6" t="s">
        <v>953</v>
      </c>
      <c r="J780" s="6" t="s">
        <v>953</v>
      </c>
    </row>
    <row r="781">
      <c r="A781" s="6">
        <v>777.0</v>
      </c>
      <c r="B781" s="6" t="s">
        <v>41</v>
      </c>
      <c r="C781" s="12" t="s">
        <v>942</v>
      </c>
      <c r="D781" s="6" t="s">
        <v>5737</v>
      </c>
      <c r="E781" s="6" t="s">
        <v>5778</v>
      </c>
      <c r="F781" s="15" t="s">
        <v>6367</v>
      </c>
      <c r="G781" s="6" t="s">
        <v>6369</v>
      </c>
      <c r="H781" s="6" t="s">
        <v>175</v>
      </c>
      <c r="I781" s="6" t="s">
        <v>953</v>
      </c>
      <c r="J781" s="6" t="s">
        <v>953</v>
      </c>
    </row>
    <row r="782">
      <c r="A782" s="6">
        <v>778.0</v>
      </c>
      <c r="B782" s="6" t="s">
        <v>811</v>
      </c>
      <c r="C782" s="12" t="s">
        <v>942</v>
      </c>
      <c r="D782" s="6" t="s">
        <v>5737</v>
      </c>
      <c r="E782" s="6" t="s">
        <v>5782</v>
      </c>
      <c r="F782" s="15" t="s">
        <v>6370</v>
      </c>
      <c r="G782" s="6" t="s">
        <v>6372</v>
      </c>
      <c r="H782" s="6" t="s">
        <v>175</v>
      </c>
      <c r="I782" s="6" t="s">
        <v>953</v>
      </c>
      <c r="J782" s="6" t="s">
        <v>953</v>
      </c>
    </row>
    <row r="783">
      <c r="A783" s="6">
        <v>779.0</v>
      </c>
      <c r="B783" s="6" t="s">
        <v>251</v>
      </c>
      <c r="C783" s="12" t="s">
        <v>942</v>
      </c>
      <c r="D783" s="6" t="s">
        <v>5737</v>
      </c>
      <c r="E783" s="6" t="s">
        <v>5785</v>
      </c>
      <c r="F783" s="15" t="s">
        <v>6373</v>
      </c>
      <c r="G783" s="6" t="s">
        <v>6376</v>
      </c>
      <c r="H783" s="6" t="s">
        <v>175</v>
      </c>
      <c r="I783" s="6" t="s">
        <v>953</v>
      </c>
      <c r="J783" s="6" t="s">
        <v>953</v>
      </c>
    </row>
    <row r="784">
      <c r="A784" s="6">
        <v>780.0</v>
      </c>
      <c r="B784" s="6" t="s">
        <v>811</v>
      </c>
      <c r="C784" s="12" t="s">
        <v>5759</v>
      </c>
      <c r="D784" s="6" t="s">
        <v>5737</v>
      </c>
      <c r="E784" s="6" t="s">
        <v>5789</v>
      </c>
      <c r="F784" s="15" t="s">
        <v>6377</v>
      </c>
      <c r="G784" s="6" t="s">
        <v>6379</v>
      </c>
      <c r="H784" s="6" t="s">
        <v>175</v>
      </c>
      <c r="I784" s="6" t="s">
        <v>953</v>
      </c>
      <c r="J784" s="6" t="s">
        <v>953</v>
      </c>
    </row>
    <row r="785">
      <c r="A785" s="6">
        <v>781.0</v>
      </c>
      <c r="B785" s="6" t="s">
        <v>110</v>
      </c>
      <c r="C785" s="12" t="s">
        <v>5793</v>
      </c>
      <c r="D785" s="6" t="s">
        <v>5737</v>
      </c>
      <c r="E785" s="6" t="s">
        <v>5794</v>
      </c>
      <c r="F785" s="15" t="s">
        <v>6380</v>
      </c>
      <c r="G785" s="6" t="s">
        <v>6383</v>
      </c>
      <c r="H785" s="6" t="s">
        <v>175</v>
      </c>
      <c r="I785" s="6" t="s">
        <v>953</v>
      </c>
      <c r="J785" s="6" t="s">
        <v>953</v>
      </c>
    </row>
    <row r="786">
      <c r="A786" s="6">
        <v>782.0</v>
      </c>
      <c r="B786" s="6" t="s">
        <v>811</v>
      </c>
      <c r="C786" s="12" t="s">
        <v>942</v>
      </c>
      <c r="D786" s="6" t="s">
        <v>5737</v>
      </c>
      <c r="E786" s="6" t="s">
        <v>5738</v>
      </c>
      <c r="F786" s="15" t="s">
        <v>6384</v>
      </c>
      <c r="G786" s="6" t="s">
        <v>6386</v>
      </c>
      <c r="H786" s="6" t="s">
        <v>175</v>
      </c>
      <c r="I786" s="6" t="s">
        <v>953</v>
      </c>
      <c r="J786" s="6" t="s">
        <v>953</v>
      </c>
    </row>
    <row r="787">
      <c r="A787" s="6">
        <v>783.0</v>
      </c>
      <c r="B787" s="6" t="s">
        <v>811</v>
      </c>
      <c r="C787" s="12" t="s">
        <v>5742</v>
      </c>
      <c r="D787" s="6" t="s">
        <v>5737</v>
      </c>
      <c r="E787" s="6" t="s">
        <v>5743</v>
      </c>
      <c r="F787" s="15" t="s">
        <v>6387</v>
      </c>
      <c r="G787" s="6" t="s">
        <v>6390</v>
      </c>
      <c r="H787" s="6" t="s">
        <v>175</v>
      </c>
      <c r="I787" s="6" t="s">
        <v>953</v>
      </c>
      <c r="J787" s="6" t="s">
        <v>953</v>
      </c>
    </row>
    <row r="788">
      <c r="A788" s="6">
        <v>784.0</v>
      </c>
      <c r="B788" s="6" t="s">
        <v>811</v>
      </c>
      <c r="C788" s="12" t="s">
        <v>942</v>
      </c>
      <c r="D788" s="6" t="s">
        <v>5737</v>
      </c>
      <c r="E788" s="6" t="s">
        <v>5747</v>
      </c>
      <c r="F788" s="15" t="s">
        <v>6391</v>
      </c>
      <c r="G788" s="6" t="s">
        <v>6392</v>
      </c>
      <c r="H788" s="6" t="s">
        <v>175</v>
      </c>
      <c r="I788" s="6" t="s">
        <v>953</v>
      </c>
      <c r="J788" s="6" t="s">
        <v>953</v>
      </c>
    </row>
    <row r="789">
      <c r="A789" s="6">
        <v>785.0</v>
      </c>
      <c r="B789" s="6" t="s">
        <v>1001</v>
      </c>
      <c r="C789" s="12" t="s">
        <v>942</v>
      </c>
      <c r="D789" s="6" t="s">
        <v>5737</v>
      </c>
      <c r="E789" s="6" t="s">
        <v>5750</v>
      </c>
      <c r="F789" s="15" t="s">
        <v>6394</v>
      </c>
      <c r="G789" s="6" t="s">
        <v>6396</v>
      </c>
      <c r="H789" s="6" t="s">
        <v>175</v>
      </c>
      <c r="I789" s="6" t="s">
        <v>953</v>
      </c>
      <c r="J789" s="6" t="s">
        <v>953</v>
      </c>
    </row>
    <row r="790">
      <c r="A790" s="6">
        <v>786.0</v>
      </c>
      <c r="B790" s="6" t="s">
        <v>811</v>
      </c>
      <c r="C790" s="12" t="s">
        <v>5754</v>
      </c>
      <c r="D790" s="6" t="s">
        <v>5737</v>
      </c>
      <c r="E790" s="6" t="s">
        <v>5755</v>
      </c>
      <c r="F790" s="15" t="s">
        <v>6397</v>
      </c>
      <c r="G790" s="6" t="s">
        <v>6400</v>
      </c>
      <c r="H790" s="6" t="s">
        <v>175</v>
      </c>
      <c r="I790" s="6" t="s">
        <v>953</v>
      </c>
      <c r="J790" s="6" t="s">
        <v>953</v>
      </c>
    </row>
    <row r="791">
      <c r="A791" s="6">
        <v>787.0</v>
      </c>
      <c r="B791" s="6" t="s">
        <v>811</v>
      </c>
      <c r="C791" s="12" t="s">
        <v>5759</v>
      </c>
      <c r="D791" s="6" t="s">
        <v>5737</v>
      </c>
      <c r="E791" s="6" t="s">
        <v>5760</v>
      </c>
      <c r="F791" s="15" t="s">
        <v>6401</v>
      </c>
      <c r="G791" s="6" t="s">
        <v>6403</v>
      </c>
      <c r="H791" s="6" t="s">
        <v>175</v>
      </c>
      <c r="I791" s="6" t="s">
        <v>953</v>
      </c>
      <c r="J791" s="6" t="s">
        <v>953</v>
      </c>
    </row>
    <row r="792">
      <c r="A792" s="6">
        <v>788.0</v>
      </c>
      <c r="B792" s="6" t="s">
        <v>240</v>
      </c>
      <c r="C792" s="12" t="s">
        <v>5764</v>
      </c>
      <c r="D792" s="6" t="s">
        <v>5737</v>
      </c>
      <c r="E792" s="6" t="s">
        <v>5765</v>
      </c>
      <c r="F792" s="15" t="s">
        <v>6404</v>
      </c>
      <c r="G792" s="6" t="s">
        <v>6406</v>
      </c>
      <c r="H792" s="6" t="s">
        <v>175</v>
      </c>
      <c r="I792" s="6" t="s">
        <v>953</v>
      </c>
      <c r="J792" s="6" t="s">
        <v>953</v>
      </c>
    </row>
    <row r="793">
      <c r="A793" s="6">
        <v>789.0</v>
      </c>
      <c r="B793" s="6" t="s">
        <v>178</v>
      </c>
      <c r="C793" s="12" t="s">
        <v>5769</v>
      </c>
      <c r="D793" s="6" t="s">
        <v>5737</v>
      </c>
      <c r="E793" s="6" t="s">
        <v>5770</v>
      </c>
      <c r="F793" s="15" t="s">
        <v>6408</v>
      </c>
      <c r="G793" s="6" t="s">
        <v>6410</v>
      </c>
      <c r="H793" s="6" t="s">
        <v>175</v>
      </c>
      <c r="I793" s="6" t="s">
        <v>953</v>
      </c>
      <c r="J793" s="6" t="s">
        <v>953</v>
      </c>
    </row>
    <row r="794">
      <c r="A794" s="6">
        <v>790.0</v>
      </c>
      <c r="B794" s="6" t="s">
        <v>811</v>
      </c>
      <c r="C794" s="12" t="s">
        <v>942</v>
      </c>
      <c r="D794" s="6" t="s">
        <v>5737</v>
      </c>
      <c r="E794" s="6" t="s">
        <v>5774</v>
      </c>
      <c r="F794" s="15" t="s">
        <v>6411</v>
      </c>
      <c r="G794" s="6" t="s">
        <v>6413</v>
      </c>
      <c r="H794" s="6" t="s">
        <v>175</v>
      </c>
      <c r="I794" s="6" t="s">
        <v>953</v>
      </c>
      <c r="J794" s="6" t="s">
        <v>953</v>
      </c>
    </row>
    <row r="795">
      <c r="A795" s="6">
        <v>791.0</v>
      </c>
      <c r="B795" s="6" t="s">
        <v>41</v>
      </c>
      <c r="C795" s="12" t="s">
        <v>942</v>
      </c>
      <c r="D795" s="6" t="s">
        <v>5737</v>
      </c>
      <c r="E795" s="6" t="s">
        <v>5778</v>
      </c>
      <c r="F795" s="15" t="s">
        <v>6415</v>
      </c>
      <c r="G795" s="6" t="s">
        <v>6417</v>
      </c>
      <c r="H795" s="6" t="s">
        <v>175</v>
      </c>
      <c r="I795" s="6" t="s">
        <v>953</v>
      </c>
      <c r="J795" s="6" t="s">
        <v>953</v>
      </c>
    </row>
    <row r="796">
      <c r="A796" s="6">
        <v>792.0</v>
      </c>
      <c r="B796" s="6" t="s">
        <v>811</v>
      </c>
      <c r="C796" s="12" t="s">
        <v>942</v>
      </c>
      <c r="D796" s="6" t="s">
        <v>5737</v>
      </c>
      <c r="E796" s="6" t="s">
        <v>5782</v>
      </c>
      <c r="F796" s="15" t="s">
        <v>6418</v>
      </c>
      <c r="G796" s="6" t="s">
        <v>6420</v>
      </c>
      <c r="H796" s="6" t="s">
        <v>175</v>
      </c>
      <c r="I796" s="6" t="s">
        <v>953</v>
      </c>
      <c r="J796" s="6" t="s">
        <v>953</v>
      </c>
    </row>
    <row r="797">
      <c r="A797" s="6">
        <v>793.0</v>
      </c>
      <c r="B797" s="6" t="s">
        <v>251</v>
      </c>
      <c r="C797" s="12" t="s">
        <v>942</v>
      </c>
      <c r="D797" s="6" t="s">
        <v>5737</v>
      </c>
      <c r="E797" s="6" t="s">
        <v>5785</v>
      </c>
      <c r="F797" s="15" t="s">
        <v>6421</v>
      </c>
      <c r="G797" s="6" t="s">
        <v>6423</v>
      </c>
      <c r="H797" s="6" t="s">
        <v>175</v>
      </c>
      <c r="I797" s="6" t="s">
        <v>953</v>
      </c>
      <c r="J797" s="6" t="s">
        <v>953</v>
      </c>
    </row>
    <row r="798">
      <c r="A798" s="6">
        <v>794.0</v>
      </c>
      <c r="B798" s="6" t="s">
        <v>811</v>
      </c>
      <c r="C798" s="12" t="s">
        <v>5759</v>
      </c>
      <c r="D798" s="6" t="s">
        <v>5737</v>
      </c>
      <c r="E798" s="6" t="s">
        <v>5789</v>
      </c>
      <c r="F798" s="15" t="s">
        <v>6425</v>
      </c>
      <c r="G798" s="6" t="s">
        <v>6427</v>
      </c>
      <c r="H798" s="6" t="s">
        <v>175</v>
      </c>
      <c r="I798" s="6" t="s">
        <v>953</v>
      </c>
      <c r="J798" s="6" t="s">
        <v>953</v>
      </c>
    </row>
    <row r="799">
      <c r="A799" s="6">
        <v>795.0</v>
      </c>
      <c r="B799" s="6" t="s">
        <v>110</v>
      </c>
      <c r="C799" s="12" t="s">
        <v>5793</v>
      </c>
      <c r="D799" s="6" t="s">
        <v>5737</v>
      </c>
      <c r="E799" s="6" t="s">
        <v>5794</v>
      </c>
      <c r="F799" s="15" t="s">
        <v>6428</v>
      </c>
      <c r="G799" s="6" t="s">
        <v>6430</v>
      </c>
      <c r="H799" s="6" t="s">
        <v>175</v>
      </c>
      <c r="I799" s="6" t="s">
        <v>953</v>
      </c>
      <c r="J799" s="6" t="s">
        <v>953</v>
      </c>
    </row>
    <row r="800">
      <c r="A800" s="6">
        <v>796.0</v>
      </c>
      <c r="B800" s="6" t="s">
        <v>811</v>
      </c>
      <c r="C800" s="12" t="s">
        <v>942</v>
      </c>
      <c r="D800" s="6" t="s">
        <v>5737</v>
      </c>
      <c r="E800" s="6" t="s">
        <v>5738</v>
      </c>
      <c r="F800" s="15" t="s">
        <v>6431</v>
      </c>
      <c r="G800" s="6" t="s">
        <v>6433</v>
      </c>
      <c r="H800" s="6" t="s">
        <v>175</v>
      </c>
      <c r="I800" s="6" t="s">
        <v>953</v>
      </c>
      <c r="J800" s="6" t="s">
        <v>953</v>
      </c>
    </row>
    <row r="801">
      <c r="A801" s="6">
        <v>797.0</v>
      </c>
      <c r="B801" s="6" t="s">
        <v>811</v>
      </c>
      <c r="C801" s="12" t="s">
        <v>5742</v>
      </c>
      <c r="D801" s="6" t="s">
        <v>5737</v>
      </c>
      <c r="E801" s="6" t="s">
        <v>5743</v>
      </c>
      <c r="F801" s="15" t="s">
        <v>6434</v>
      </c>
      <c r="G801" s="6" t="s">
        <v>6436</v>
      </c>
      <c r="H801" s="6" t="s">
        <v>175</v>
      </c>
      <c r="I801" s="6" t="s">
        <v>953</v>
      </c>
      <c r="J801" s="6" t="s">
        <v>953</v>
      </c>
    </row>
    <row r="802">
      <c r="A802" s="6">
        <v>798.0</v>
      </c>
      <c r="B802" s="6" t="s">
        <v>811</v>
      </c>
      <c r="C802" s="12" t="s">
        <v>942</v>
      </c>
      <c r="D802" s="6" t="s">
        <v>5737</v>
      </c>
      <c r="E802" s="6" t="s">
        <v>5747</v>
      </c>
      <c r="F802" s="15" t="s">
        <v>6437</v>
      </c>
      <c r="G802" s="6" t="s">
        <v>6439</v>
      </c>
      <c r="H802" s="6" t="s">
        <v>175</v>
      </c>
      <c r="I802" s="6" t="s">
        <v>953</v>
      </c>
      <c r="J802" s="6" t="s">
        <v>953</v>
      </c>
    </row>
    <row r="803">
      <c r="A803" s="6">
        <v>799.0</v>
      </c>
      <c r="B803" s="6" t="s">
        <v>1001</v>
      </c>
      <c r="C803" s="12" t="s">
        <v>942</v>
      </c>
      <c r="D803" s="6" t="s">
        <v>5737</v>
      </c>
      <c r="E803" s="6" t="s">
        <v>5750</v>
      </c>
      <c r="F803" s="15" t="s">
        <v>6440</v>
      </c>
      <c r="G803" s="6" t="s">
        <v>6443</v>
      </c>
      <c r="H803" s="6" t="s">
        <v>175</v>
      </c>
      <c r="I803" s="6" t="s">
        <v>953</v>
      </c>
      <c r="J803" s="6" t="s">
        <v>953</v>
      </c>
    </row>
    <row r="804">
      <c r="A804" s="6">
        <v>800.0</v>
      </c>
      <c r="B804" s="6" t="s">
        <v>811</v>
      </c>
      <c r="C804" s="12" t="s">
        <v>5754</v>
      </c>
      <c r="D804" s="6" t="s">
        <v>5737</v>
      </c>
      <c r="E804" s="6" t="s">
        <v>5755</v>
      </c>
      <c r="F804" s="15" t="s">
        <v>6444</v>
      </c>
      <c r="G804" s="6" t="s">
        <v>6446</v>
      </c>
      <c r="H804" s="6" t="s">
        <v>175</v>
      </c>
      <c r="I804" s="6" t="s">
        <v>953</v>
      </c>
      <c r="J804" s="6" t="s">
        <v>953</v>
      </c>
    </row>
    <row r="805">
      <c r="A805" s="6">
        <v>801.0</v>
      </c>
      <c r="B805" s="6" t="s">
        <v>811</v>
      </c>
      <c r="C805" s="12" t="s">
        <v>5759</v>
      </c>
      <c r="D805" s="6" t="s">
        <v>5737</v>
      </c>
      <c r="E805" s="6" t="s">
        <v>5760</v>
      </c>
      <c r="F805" s="15" t="s">
        <v>6447</v>
      </c>
      <c r="G805" s="6" t="s">
        <v>6449</v>
      </c>
      <c r="H805" s="6" t="s">
        <v>175</v>
      </c>
      <c r="I805" s="6" t="s">
        <v>953</v>
      </c>
      <c r="J805" s="6" t="s">
        <v>953</v>
      </c>
    </row>
    <row r="806">
      <c r="A806" s="6">
        <v>802.0</v>
      </c>
      <c r="B806" s="6" t="s">
        <v>240</v>
      </c>
      <c r="C806" s="12" t="s">
        <v>5764</v>
      </c>
      <c r="D806" s="6" t="s">
        <v>5737</v>
      </c>
      <c r="E806" s="6" t="s">
        <v>5765</v>
      </c>
      <c r="F806" s="15" t="s">
        <v>6450</v>
      </c>
      <c r="G806" s="6" t="s">
        <v>6452</v>
      </c>
      <c r="H806" s="6" t="s">
        <v>175</v>
      </c>
      <c r="I806" s="6" t="s">
        <v>953</v>
      </c>
      <c r="J806" s="6" t="s">
        <v>953</v>
      </c>
    </row>
    <row r="807">
      <c r="A807" s="6">
        <v>803.0</v>
      </c>
      <c r="B807" s="6" t="s">
        <v>178</v>
      </c>
      <c r="C807" s="12" t="s">
        <v>5769</v>
      </c>
      <c r="D807" s="6" t="s">
        <v>5737</v>
      </c>
      <c r="E807" s="6" t="s">
        <v>5770</v>
      </c>
      <c r="F807" s="15" t="s">
        <v>6453</v>
      </c>
      <c r="G807" s="6" t="s">
        <v>6455</v>
      </c>
      <c r="H807" s="6" t="s">
        <v>175</v>
      </c>
      <c r="I807" s="6" t="s">
        <v>953</v>
      </c>
      <c r="J807" s="6" t="s">
        <v>953</v>
      </c>
    </row>
    <row r="808">
      <c r="A808" s="6">
        <v>804.0</v>
      </c>
      <c r="B808" s="6" t="s">
        <v>811</v>
      </c>
      <c r="C808" s="12" t="s">
        <v>942</v>
      </c>
      <c r="D808" s="6" t="s">
        <v>5737</v>
      </c>
      <c r="E808" s="6" t="s">
        <v>5774</v>
      </c>
      <c r="F808" s="15" t="s">
        <v>6456</v>
      </c>
      <c r="G808" s="6" t="s">
        <v>6458</v>
      </c>
      <c r="H808" s="6" t="s">
        <v>175</v>
      </c>
      <c r="I808" s="6" t="s">
        <v>953</v>
      </c>
      <c r="J808" s="6" t="s">
        <v>953</v>
      </c>
    </row>
    <row r="809">
      <c r="A809" s="6">
        <v>805.0</v>
      </c>
      <c r="B809" s="6" t="s">
        <v>41</v>
      </c>
      <c r="C809" s="12" t="s">
        <v>942</v>
      </c>
      <c r="D809" s="6" t="s">
        <v>5737</v>
      </c>
      <c r="E809" s="6" t="s">
        <v>5778</v>
      </c>
      <c r="F809" s="15" t="s">
        <v>6459</v>
      </c>
      <c r="G809" s="6" t="s">
        <v>6461</v>
      </c>
      <c r="H809" s="6" t="s">
        <v>175</v>
      </c>
      <c r="I809" s="6" t="s">
        <v>953</v>
      </c>
      <c r="J809" s="6" t="s">
        <v>953</v>
      </c>
    </row>
    <row r="810">
      <c r="A810" s="6">
        <v>806.0</v>
      </c>
      <c r="B810" s="6" t="s">
        <v>811</v>
      </c>
      <c r="C810" s="12" t="s">
        <v>942</v>
      </c>
      <c r="D810" s="6" t="s">
        <v>5737</v>
      </c>
      <c r="E810" s="6" t="s">
        <v>5782</v>
      </c>
      <c r="F810" s="15" t="s">
        <v>6463</v>
      </c>
      <c r="G810" s="6" t="s">
        <v>6464</v>
      </c>
      <c r="H810" s="6" t="s">
        <v>175</v>
      </c>
      <c r="I810" s="6" t="s">
        <v>953</v>
      </c>
      <c r="J810" s="6" t="s">
        <v>953</v>
      </c>
    </row>
    <row r="811">
      <c r="A811" s="6">
        <v>807.0</v>
      </c>
      <c r="B811" s="6" t="s">
        <v>251</v>
      </c>
      <c r="C811" s="12" t="s">
        <v>942</v>
      </c>
      <c r="D811" s="6" t="s">
        <v>5737</v>
      </c>
      <c r="E811" s="6" t="s">
        <v>5785</v>
      </c>
      <c r="F811" s="15" t="s">
        <v>6466</v>
      </c>
      <c r="G811" s="6" t="s">
        <v>6468</v>
      </c>
      <c r="H811" s="6" t="s">
        <v>175</v>
      </c>
      <c r="I811" s="6" t="s">
        <v>953</v>
      </c>
      <c r="J811" s="6" t="s">
        <v>953</v>
      </c>
    </row>
    <row r="812">
      <c r="A812" s="6">
        <v>808.0</v>
      </c>
      <c r="B812" s="6" t="s">
        <v>811</v>
      </c>
      <c r="C812" s="12" t="s">
        <v>5759</v>
      </c>
      <c r="D812" s="6" t="s">
        <v>5737</v>
      </c>
      <c r="E812" s="6" t="s">
        <v>5789</v>
      </c>
      <c r="F812" s="15" t="s">
        <v>6469</v>
      </c>
      <c r="G812" s="6" t="s">
        <v>6471</v>
      </c>
      <c r="H812" s="6" t="s">
        <v>175</v>
      </c>
      <c r="I812" s="6" t="s">
        <v>953</v>
      </c>
      <c r="J812" s="6" t="s">
        <v>953</v>
      </c>
    </row>
    <row r="813">
      <c r="A813" s="6">
        <v>809.0</v>
      </c>
      <c r="B813" s="6" t="s">
        <v>110</v>
      </c>
      <c r="C813" s="12" t="s">
        <v>5793</v>
      </c>
      <c r="D813" s="6" t="s">
        <v>5737</v>
      </c>
      <c r="E813" s="6" t="s">
        <v>5794</v>
      </c>
      <c r="F813" s="15" t="s">
        <v>6472</v>
      </c>
      <c r="G813" s="6" t="s">
        <v>6474</v>
      </c>
      <c r="H813" s="6" t="s">
        <v>175</v>
      </c>
      <c r="I813" s="6" t="s">
        <v>953</v>
      </c>
      <c r="J813" s="6" t="s">
        <v>953</v>
      </c>
    </row>
    <row r="814">
      <c r="A814" s="6">
        <v>810.0</v>
      </c>
      <c r="B814" s="6" t="s">
        <v>811</v>
      </c>
      <c r="C814" s="12" t="s">
        <v>942</v>
      </c>
      <c r="D814" s="6" t="s">
        <v>5737</v>
      </c>
      <c r="E814" s="6" t="s">
        <v>5738</v>
      </c>
      <c r="F814" s="15" t="s">
        <v>6475</v>
      </c>
      <c r="G814" s="6" t="s">
        <v>6477</v>
      </c>
      <c r="H814" s="6" t="s">
        <v>175</v>
      </c>
      <c r="I814" s="6" t="s">
        <v>953</v>
      </c>
      <c r="J814" s="6" t="s">
        <v>953</v>
      </c>
    </row>
    <row r="815">
      <c r="A815" s="6">
        <v>811.0</v>
      </c>
      <c r="B815" s="6" t="s">
        <v>811</v>
      </c>
      <c r="C815" s="12" t="s">
        <v>5742</v>
      </c>
      <c r="D815" s="6" t="s">
        <v>5737</v>
      </c>
      <c r="E815" s="6" t="s">
        <v>5743</v>
      </c>
      <c r="F815" s="15" t="s">
        <v>6478</v>
      </c>
      <c r="G815" s="6" t="s">
        <v>6480</v>
      </c>
      <c r="H815" s="6" t="s">
        <v>175</v>
      </c>
      <c r="I815" s="6" t="s">
        <v>953</v>
      </c>
      <c r="J815" s="6" t="s">
        <v>953</v>
      </c>
    </row>
    <row r="816">
      <c r="A816" s="6">
        <v>812.0</v>
      </c>
      <c r="B816" s="6" t="s">
        <v>811</v>
      </c>
      <c r="C816" s="12" t="s">
        <v>942</v>
      </c>
      <c r="D816" s="6" t="s">
        <v>5737</v>
      </c>
      <c r="E816" s="6" t="s">
        <v>5747</v>
      </c>
      <c r="F816" s="15" t="s">
        <v>6481</v>
      </c>
      <c r="G816" s="6" t="s">
        <v>6483</v>
      </c>
      <c r="H816" s="6" t="s">
        <v>175</v>
      </c>
      <c r="I816" s="6" t="s">
        <v>953</v>
      </c>
      <c r="J816" s="6" t="s">
        <v>953</v>
      </c>
    </row>
    <row r="817">
      <c r="A817" s="6">
        <v>813.0</v>
      </c>
      <c r="B817" s="6" t="s">
        <v>1001</v>
      </c>
      <c r="C817" s="12" t="s">
        <v>942</v>
      </c>
      <c r="D817" s="6" t="s">
        <v>5737</v>
      </c>
      <c r="E817" s="6" t="s">
        <v>5750</v>
      </c>
      <c r="F817" s="15" t="s">
        <v>6484</v>
      </c>
      <c r="G817" s="6" t="s">
        <v>6486</v>
      </c>
      <c r="H817" s="6" t="s">
        <v>175</v>
      </c>
      <c r="I817" s="6" t="s">
        <v>953</v>
      </c>
      <c r="J817" s="6" t="s">
        <v>953</v>
      </c>
    </row>
    <row r="818">
      <c r="A818" s="6">
        <v>814.0</v>
      </c>
      <c r="B818" s="6" t="s">
        <v>811</v>
      </c>
      <c r="C818" s="12" t="s">
        <v>5754</v>
      </c>
      <c r="D818" s="6" t="s">
        <v>5737</v>
      </c>
      <c r="E818" s="6" t="s">
        <v>5755</v>
      </c>
      <c r="F818" s="15" t="s">
        <v>6488</v>
      </c>
      <c r="G818" s="6" t="s">
        <v>6490</v>
      </c>
      <c r="H818" s="6" t="s">
        <v>175</v>
      </c>
      <c r="I818" s="6" t="s">
        <v>953</v>
      </c>
      <c r="J818" s="6" t="s">
        <v>953</v>
      </c>
    </row>
    <row r="819">
      <c r="A819" s="6">
        <v>815.0</v>
      </c>
      <c r="B819" s="6" t="s">
        <v>811</v>
      </c>
      <c r="C819" s="12" t="s">
        <v>5759</v>
      </c>
      <c r="D819" s="6" t="s">
        <v>5737</v>
      </c>
      <c r="E819" s="6" t="s">
        <v>5760</v>
      </c>
      <c r="F819" s="15" t="s">
        <v>6491</v>
      </c>
      <c r="G819" s="6" t="s">
        <v>6493</v>
      </c>
      <c r="H819" s="6" t="s">
        <v>175</v>
      </c>
      <c r="I819" s="6" t="s">
        <v>953</v>
      </c>
      <c r="J819" s="6" t="s">
        <v>953</v>
      </c>
    </row>
    <row r="820">
      <c r="A820" s="6">
        <v>816.0</v>
      </c>
      <c r="B820" s="6" t="s">
        <v>240</v>
      </c>
      <c r="C820" s="12" t="s">
        <v>5764</v>
      </c>
      <c r="D820" s="6" t="s">
        <v>5737</v>
      </c>
      <c r="E820" s="6" t="s">
        <v>5765</v>
      </c>
      <c r="F820" s="15" t="s">
        <v>6494</v>
      </c>
      <c r="G820" s="6" t="s">
        <v>6496</v>
      </c>
      <c r="H820" s="6" t="s">
        <v>175</v>
      </c>
      <c r="I820" s="6" t="s">
        <v>953</v>
      </c>
      <c r="J820" s="6" t="s">
        <v>953</v>
      </c>
    </row>
    <row r="821">
      <c r="A821" s="6">
        <v>817.0</v>
      </c>
      <c r="B821" s="6" t="s">
        <v>178</v>
      </c>
      <c r="C821" s="12" t="s">
        <v>5769</v>
      </c>
      <c r="D821" s="6" t="s">
        <v>5737</v>
      </c>
      <c r="E821" s="6" t="s">
        <v>5770</v>
      </c>
      <c r="F821" s="15" t="s">
        <v>6497</v>
      </c>
      <c r="G821" s="6" t="s">
        <v>6499</v>
      </c>
      <c r="H821" s="6" t="s">
        <v>175</v>
      </c>
      <c r="I821" s="6" t="s">
        <v>953</v>
      </c>
      <c r="J821" s="6" t="s">
        <v>953</v>
      </c>
    </row>
    <row r="822">
      <c r="A822" s="6">
        <v>818.0</v>
      </c>
      <c r="B822" s="6" t="s">
        <v>811</v>
      </c>
      <c r="C822" s="12" t="s">
        <v>942</v>
      </c>
      <c r="D822" s="6" t="s">
        <v>5737</v>
      </c>
      <c r="E822" s="6" t="s">
        <v>5774</v>
      </c>
      <c r="F822" s="15" t="s">
        <v>6500</v>
      </c>
      <c r="G822" s="6" t="s">
        <v>6502</v>
      </c>
      <c r="H822" s="6" t="s">
        <v>175</v>
      </c>
      <c r="I822" s="6" t="s">
        <v>953</v>
      </c>
      <c r="J822" s="6" t="s">
        <v>953</v>
      </c>
    </row>
    <row r="823">
      <c r="A823" s="6">
        <v>819.0</v>
      </c>
      <c r="B823" s="6" t="s">
        <v>41</v>
      </c>
      <c r="C823" s="12" t="s">
        <v>942</v>
      </c>
      <c r="D823" s="6" t="s">
        <v>5737</v>
      </c>
      <c r="E823" s="6" t="s">
        <v>5778</v>
      </c>
      <c r="F823" s="15" t="s">
        <v>6503</v>
      </c>
      <c r="G823" s="6" t="s">
        <v>6505</v>
      </c>
      <c r="H823" s="6" t="s">
        <v>175</v>
      </c>
      <c r="I823" s="6" t="s">
        <v>953</v>
      </c>
      <c r="J823" s="6" t="s">
        <v>953</v>
      </c>
    </row>
    <row r="824">
      <c r="A824" s="6">
        <v>820.0</v>
      </c>
      <c r="B824" s="6" t="s">
        <v>811</v>
      </c>
      <c r="C824" s="12" t="s">
        <v>942</v>
      </c>
      <c r="D824" s="6" t="s">
        <v>5737</v>
      </c>
      <c r="E824" s="6" t="s">
        <v>5782</v>
      </c>
      <c r="F824" s="15" t="s">
        <v>6506</v>
      </c>
      <c r="G824" s="6" t="s">
        <v>6508</v>
      </c>
      <c r="H824" s="6" t="s">
        <v>175</v>
      </c>
      <c r="I824" s="6" t="s">
        <v>953</v>
      </c>
      <c r="J824" s="6" t="s">
        <v>953</v>
      </c>
    </row>
    <row r="825">
      <c r="A825" s="6">
        <v>821.0</v>
      </c>
      <c r="B825" s="6" t="s">
        <v>251</v>
      </c>
      <c r="C825" s="12" t="s">
        <v>942</v>
      </c>
      <c r="D825" s="6" t="s">
        <v>5737</v>
      </c>
      <c r="E825" s="6" t="s">
        <v>5785</v>
      </c>
      <c r="F825" s="15" t="s">
        <v>6509</v>
      </c>
      <c r="G825" s="6" t="s">
        <v>6511</v>
      </c>
      <c r="H825" s="6" t="s">
        <v>175</v>
      </c>
      <c r="I825" s="6" t="s">
        <v>953</v>
      </c>
      <c r="J825" s="6" t="s">
        <v>953</v>
      </c>
    </row>
    <row r="826">
      <c r="A826" s="6">
        <v>822.0</v>
      </c>
      <c r="B826" s="6" t="s">
        <v>811</v>
      </c>
      <c r="C826" s="12" t="s">
        <v>5759</v>
      </c>
      <c r="D826" s="6" t="s">
        <v>5737</v>
      </c>
      <c r="E826" s="6" t="s">
        <v>5789</v>
      </c>
      <c r="F826" s="15" t="s">
        <v>6512</v>
      </c>
      <c r="G826" s="6" t="s">
        <v>6514</v>
      </c>
      <c r="H826" s="6" t="s">
        <v>175</v>
      </c>
      <c r="I826" s="6" t="s">
        <v>953</v>
      </c>
      <c r="J826" s="6" t="s">
        <v>953</v>
      </c>
    </row>
    <row r="827">
      <c r="A827" s="6">
        <v>823.0</v>
      </c>
      <c r="B827" s="6" t="s">
        <v>110</v>
      </c>
      <c r="C827" s="12" t="s">
        <v>5793</v>
      </c>
      <c r="D827" s="6" t="s">
        <v>5737</v>
      </c>
      <c r="E827" s="6" t="s">
        <v>5794</v>
      </c>
      <c r="F827" s="15" t="s">
        <v>6515</v>
      </c>
      <c r="G827" s="6" t="s">
        <v>6517</v>
      </c>
      <c r="H827" s="6" t="s">
        <v>175</v>
      </c>
      <c r="I827" s="6" t="s">
        <v>953</v>
      </c>
      <c r="J827" s="6" t="s">
        <v>953</v>
      </c>
    </row>
    <row r="828">
      <c r="A828" s="6">
        <v>824.0</v>
      </c>
      <c r="B828" s="6" t="s">
        <v>811</v>
      </c>
      <c r="C828" s="12" t="s">
        <v>942</v>
      </c>
      <c r="D828" s="6" t="s">
        <v>5737</v>
      </c>
      <c r="E828" s="6" t="s">
        <v>5738</v>
      </c>
      <c r="F828" s="15" t="s">
        <v>6518</v>
      </c>
      <c r="G828" s="6" t="s">
        <v>6520</v>
      </c>
      <c r="H828" s="6" t="s">
        <v>175</v>
      </c>
      <c r="I828" s="6" t="s">
        <v>953</v>
      </c>
      <c r="J828" s="6" t="s">
        <v>953</v>
      </c>
    </row>
    <row r="829">
      <c r="A829" s="6">
        <v>825.0</v>
      </c>
      <c r="B829" s="6" t="s">
        <v>811</v>
      </c>
      <c r="C829" s="12" t="s">
        <v>5742</v>
      </c>
      <c r="D829" s="6" t="s">
        <v>5737</v>
      </c>
      <c r="E829" s="6" t="s">
        <v>5743</v>
      </c>
      <c r="F829" s="15" t="s">
        <v>6521</v>
      </c>
      <c r="G829" s="6" t="s">
        <v>6523</v>
      </c>
      <c r="H829" s="6" t="s">
        <v>175</v>
      </c>
      <c r="I829" s="6" t="s">
        <v>953</v>
      </c>
      <c r="J829" s="6" t="s">
        <v>953</v>
      </c>
    </row>
    <row r="830">
      <c r="A830" s="6">
        <v>826.0</v>
      </c>
      <c r="B830" s="6" t="s">
        <v>811</v>
      </c>
      <c r="C830" s="12" t="s">
        <v>942</v>
      </c>
      <c r="D830" s="6" t="s">
        <v>5737</v>
      </c>
      <c r="E830" s="6" t="s">
        <v>5747</v>
      </c>
      <c r="F830" s="15" t="s">
        <v>6524</v>
      </c>
      <c r="G830" s="6" t="s">
        <v>6526</v>
      </c>
      <c r="H830" s="6" t="s">
        <v>175</v>
      </c>
      <c r="I830" s="6" t="s">
        <v>953</v>
      </c>
      <c r="J830" s="6" t="s">
        <v>953</v>
      </c>
    </row>
    <row r="831">
      <c r="A831" s="6">
        <v>827.0</v>
      </c>
      <c r="B831" s="6" t="s">
        <v>1001</v>
      </c>
      <c r="C831" s="12" t="s">
        <v>942</v>
      </c>
      <c r="D831" s="6" t="s">
        <v>5737</v>
      </c>
      <c r="E831" s="6" t="s">
        <v>5750</v>
      </c>
      <c r="F831" s="15" t="s">
        <v>6527</v>
      </c>
      <c r="G831" s="6" t="s">
        <v>6529</v>
      </c>
      <c r="H831" s="6" t="s">
        <v>175</v>
      </c>
      <c r="I831" s="6" t="s">
        <v>953</v>
      </c>
      <c r="J831" s="6" t="s">
        <v>953</v>
      </c>
    </row>
    <row r="832">
      <c r="A832" s="6">
        <v>828.0</v>
      </c>
      <c r="B832" s="6" t="s">
        <v>811</v>
      </c>
      <c r="C832" s="12" t="s">
        <v>5754</v>
      </c>
      <c r="D832" s="6" t="s">
        <v>5737</v>
      </c>
      <c r="E832" s="6" t="s">
        <v>5755</v>
      </c>
      <c r="F832" s="15" t="s">
        <v>6530</v>
      </c>
      <c r="G832" s="6" t="s">
        <v>6533</v>
      </c>
      <c r="H832" s="6" t="s">
        <v>175</v>
      </c>
      <c r="I832" s="6" t="s">
        <v>953</v>
      </c>
      <c r="J832" s="6" t="s">
        <v>953</v>
      </c>
    </row>
    <row r="833">
      <c r="A833" s="6">
        <v>829.0</v>
      </c>
      <c r="B833" s="6" t="s">
        <v>811</v>
      </c>
      <c r="C833" s="12" t="s">
        <v>5759</v>
      </c>
      <c r="D833" s="6" t="s">
        <v>5737</v>
      </c>
      <c r="E833" s="6" t="s">
        <v>5760</v>
      </c>
      <c r="F833" s="15" t="s">
        <v>6534</v>
      </c>
      <c r="G833" s="6" t="s">
        <v>6536</v>
      </c>
      <c r="H833" s="6" t="s">
        <v>175</v>
      </c>
      <c r="I833" s="6" t="s">
        <v>953</v>
      </c>
      <c r="J833" s="6" t="s">
        <v>953</v>
      </c>
    </row>
    <row r="834">
      <c r="A834" s="6">
        <v>830.0</v>
      </c>
      <c r="B834" s="6" t="s">
        <v>240</v>
      </c>
      <c r="C834" s="12" t="s">
        <v>5764</v>
      </c>
      <c r="D834" s="6" t="s">
        <v>5737</v>
      </c>
      <c r="E834" s="6" t="s">
        <v>5765</v>
      </c>
      <c r="F834" s="15" t="s">
        <v>6537</v>
      </c>
      <c r="G834" s="6" t="s">
        <v>6539</v>
      </c>
      <c r="H834" s="6" t="s">
        <v>175</v>
      </c>
      <c r="I834" s="6" t="s">
        <v>953</v>
      </c>
      <c r="J834" s="6" t="s">
        <v>953</v>
      </c>
    </row>
    <row r="835">
      <c r="A835" s="6">
        <v>831.0</v>
      </c>
      <c r="B835" s="6" t="s">
        <v>178</v>
      </c>
      <c r="C835" s="12" t="s">
        <v>5769</v>
      </c>
      <c r="D835" s="6" t="s">
        <v>5737</v>
      </c>
      <c r="E835" s="6" t="s">
        <v>5770</v>
      </c>
      <c r="F835" s="15" t="s">
        <v>6541</v>
      </c>
      <c r="G835" s="6" t="s">
        <v>6542</v>
      </c>
      <c r="H835" s="6" t="s">
        <v>175</v>
      </c>
      <c r="I835" s="6" t="s">
        <v>953</v>
      </c>
      <c r="J835" s="6" t="s">
        <v>953</v>
      </c>
    </row>
    <row r="836">
      <c r="A836" s="6">
        <v>832.0</v>
      </c>
      <c r="B836" s="6" t="s">
        <v>811</v>
      </c>
      <c r="C836" s="12" t="s">
        <v>942</v>
      </c>
      <c r="D836" s="6" t="s">
        <v>5737</v>
      </c>
      <c r="E836" s="6" t="s">
        <v>5774</v>
      </c>
      <c r="F836" s="15" t="s">
        <v>6544</v>
      </c>
      <c r="G836" s="6" t="s">
        <v>6546</v>
      </c>
      <c r="H836" s="6" t="s">
        <v>175</v>
      </c>
      <c r="I836" s="6" t="s">
        <v>953</v>
      </c>
      <c r="J836" s="6" t="s">
        <v>953</v>
      </c>
    </row>
    <row r="837">
      <c r="A837" s="6">
        <v>833.0</v>
      </c>
      <c r="B837" s="6" t="s">
        <v>41</v>
      </c>
      <c r="C837" s="12" t="s">
        <v>942</v>
      </c>
      <c r="D837" s="6" t="s">
        <v>5737</v>
      </c>
      <c r="E837" s="6" t="s">
        <v>5778</v>
      </c>
      <c r="F837" s="15" t="s">
        <v>6547</v>
      </c>
      <c r="G837" s="6" t="s">
        <v>6549</v>
      </c>
      <c r="H837" s="6" t="s">
        <v>175</v>
      </c>
      <c r="I837" s="6" t="s">
        <v>953</v>
      </c>
      <c r="J837" s="6" t="s">
        <v>953</v>
      </c>
    </row>
    <row r="838">
      <c r="A838" s="6">
        <v>834.0</v>
      </c>
      <c r="B838" s="6" t="s">
        <v>811</v>
      </c>
      <c r="C838" s="12" t="s">
        <v>942</v>
      </c>
      <c r="D838" s="6" t="s">
        <v>5737</v>
      </c>
      <c r="E838" s="6" t="s">
        <v>5782</v>
      </c>
      <c r="F838" s="15" t="s">
        <v>6550</v>
      </c>
      <c r="G838" s="6" t="s">
        <v>6552</v>
      </c>
      <c r="H838" s="6" t="s">
        <v>175</v>
      </c>
      <c r="I838" s="6" t="s">
        <v>953</v>
      </c>
      <c r="J838" s="6" t="s">
        <v>953</v>
      </c>
    </row>
    <row r="839">
      <c r="A839" s="6">
        <v>835.0</v>
      </c>
      <c r="B839" s="6" t="s">
        <v>251</v>
      </c>
      <c r="C839" s="12" t="s">
        <v>942</v>
      </c>
      <c r="D839" s="6" t="s">
        <v>5737</v>
      </c>
      <c r="E839" s="6" t="s">
        <v>5785</v>
      </c>
      <c r="F839" s="15" t="s">
        <v>6553</v>
      </c>
      <c r="G839" s="6" t="s">
        <v>6555</v>
      </c>
      <c r="H839" s="6" t="s">
        <v>175</v>
      </c>
      <c r="I839" s="6" t="s">
        <v>953</v>
      </c>
      <c r="J839" s="6" t="s">
        <v>953</v>
      </c>
    </row>
    <row r="840">
      <c r="A840" s="6">
        <v>836.0</v>
      </c>
      <c r="B840" s="6" t="s">
        <v>811</v>
      </c>
      <c r="C840" s="12" t="s">
        <v>5759</v>
      </c>
      <c r="D840" s="6" t="s">
        <v>5737</v>
      </c>
      <c r="E840" s="6" t="s">
        <v>5789</v>
      </c>
      <c r="F840" s="15" t="s">
        <v>6556</v>
      </c>
      <c r="G840" s="6" t="s">
        <v>6558</v>
      </c>
      <c r="H840" s="6" t="s">
        <v>175</v>
      </c>
      <c r="I840" s="6" t="s">
        <v>953</v>
      </c>
      <c r="J840" s="6" t="s">
        <v>953</v>
      </c>
    </row>
    <row r="841">
      <c r="A841" s="6">
        <v>837.0</v>
      </c>
      <c r="B841" s="6" t="s">
        <v>110</v>
      </c>
      <c r="C841" s="12" t="s">
        <v>5793</v>
      </c>
      <c r="D841" s="6" t="s">
        <v>5737</v>
      </c>
      <c r="E841" s="6" t="s">
        <v>5794</v>
      </c>
      <c r="F841" s="15" t="s">
        <v>6559</v>
      </c>
      <c r="G841" s="6" t="s">
        <v>6561</v>
      </c>
      <c r="H841" s="6" t="s">
        <v>175</v>
      </c>
      <c r="I841" s="6" t="s">
        <v>953</v>
      </c>
      <c r="J841" s="6" t="s">
        <v>953</v>
      </c>
    </row>
    <row r="842">
      <c r="A842" s="6">
        <v>838.0</v>
      </c>
      <c r="B842" s="6" t="s">
        <v>811</v>
      </c>
      <c r="C842" s="12" t="s">
        <v>942</v>
      </c>
      <c r="D842" s="6" t="s">
        <v>5737</v>
      </c>
      <c r="E842" s="6" t="s">
        <v>5738</v>
      </c>
      <c r="F842" s="15" t="s">
        <v>6563</v>
      </c>
      <c r="G842" s="6" t="s">
        <v>6565</v>
      </c>
      <c r="H842" s="6" t="s">
        <v>175</v>
      </c>
      <c r="I842" s="6" t="s">
        <v>953</v>
      </c>
      <c r="J842" s="6" t="s">
        <v>953</v>
      </c>
    </row>
    <row r="843">
      <c r="A843" s="6">
        <v>839.0</v>
      </c>
      <c r="B843" s="6" t="s">
        <v>811</v>
      </c>
      <c r="C843" s="12" t="s">
        <v>5742</v>
      </c>
      <c r="D843" s="6" t="s">
        <v>5737</v>
      </c>
      <c r="E843" s="6" t="s">
        <v>5743</v>
      </c>
      <c r="F843" s="15" t="s">
        <v>6566</v>
      </c>
      <c r="G843" s="6" t="s">
        <v>6569</v>
      </c>
      <c r="H843" s="6" t="s">
        <v>175</v>
      </c>
      <c r="I843" s="6" t="s">
        <v>953</v>
      </c>
      <c r="J843" s="6" t="s">
        <v>953</v>
      </c>
    </row>
    <row r="844">
      <c r="A844" s="6">
        <v>840.0</v>
      </c>
      <c r="B844" s="6" t="s">
        <v>811</v>
      </c>
      <c r="C844" s="12" t="s">
        <v>942</v>
      </c>
      <c r="D844" s="6" t="s">
        <v>5737</v>
      </c>
      <c r="E844" s="6" t="s">
        <v>5747</v>
      </c>
      <c r="F844" s="15" t="s">
        <v>6570</v>
      </c>
      <c r="G844" s="6" t="s">
        <v>6572</v>
      </c>
      <c r="H844" s="6" t="s">
        <v>175</v>
      </c>
      <c r="I844" s="6" t="s">
        <v>953</v>
      </c>
      <c r="J844" s="6" t="s">
        <v>953</v>
      </c>
    </row>
    <row r="845">
      <c r="A845" s="6">
        <v>841.0</v>
      </c>
      <c r="B845" s="6" t="s">
        <v>1001</v>
      </c>
      <c r="C845" s="12" t="s">
        <v>942</v>
      </c>
      <c r="D845" s="6" t="s">
        <v>5737</v>
      </c>
      <c r="E845" s="6" t="s">
        <v>5750</v>
      </c>
      <c r="F845" s="15" t="s">
        <v>6573</v>
      </c>
      <c r="G845" s="6" t="s">
        <v>6575</v>
      </c>
      <c r="H845" s="6" t="s">
        <v>175</v>
      </c>
      <c r="I845" s="6" t="s">
        <v>953</v>
      </c>
      <c r="J845" s="6" t="s">
        <v>953</v>
      </c>
    </row>
    <row r="846">
      <c r="A846" s="6">
        <v>842.0</v>
      </c>
      <c r="B846" s="6" t="s">
        <v>811</v>
      </c>
      <c r="C846" s="12" t="s">
        <v>5754</v>
      </c>
      <c r="D846" s="6" t="s">
        <v>5737</v>
      </c>
      <c r="E846" s="6" t="s">
        <v>5755</v>
      </c>
      <c r="F846" s="15" t="s">
        <v>6578</v>
      </c>
      <c r="G846" s="6" t="s">
        <v>6581</v>
      </c>
      <c r="H846" s="6" t="s">
        <v>175</v>
      </c>
      <c r="I846" s="6" t="s">
        <v>953</v>
      </c>
      <c r="J846" s="6" t="s">
        <v>953</v>
      </c>
    </row>
    <row r="847">
      <c r="A847" s="6">
        <v>843.0</v>
      </c>
      <c r="B847" s="6" t="s">
        <v>811</v>
      </c>
      <c r="C847" s="12" t="s">
        <v>5759</v>
      </c>
      <c r="D847" s="6" t="s">
        <v>5737</v>
      </c>
      <c r="E847" s="6" t="s">
        <v>5760</v>
      </c>
      <c r="F847" s="15" t="s">
        <v>6582</v>
      </c>
      <c r="G847" s="6" t="s">
        <v>6584</v>
      </c>
      <c r="H847" s="6" t="s">
        <v>175</v>
      </c>
      <c r="I847" s="6" t="s">
        <v>953</v>
      </c>
      <c r="J847" s="6" t="s">
        <v>953</v>
      </c>
    </row>
    <row r="848">
      <c r="A848" s="6">
        <v>844.0</v>
      </c>
      <c r="B848" s="6" t="s">
        <v>240</v>
      </c>
      <c r="C848" s="12" t="s">
        <v>5764</v>
      </c>
      <c r="D848" s="6" t="s">
        <v>5737</v>
      </c>
      <c r="E848" s="6" t="s">
        <v>5765</v>
      </c>
      <c r="F848" s="15" t="s">
        <v>6586</v>
      </c>
      <c r="G848" s="6" t="s">
        <v>6588</v>
      </c>
      <c r="H848" s="6" t="s">
        <v>175</v>
      </c>
      <c r="I848" s="6" t="s">
        <v>953</v>
      </c>
      <c r="J848" s="6" t="s">
        <v>953</v>
      </c>
    </row>
    <row r="849">
      <c r="A849" s="6">
        <v>845.0</v>
      </c>
      <c r="B849" s="6" t="s">
        <v>178</v>
      </c>
      <c r="C849" s="12" t="s">
        <v>5769</v>
      </c>
      <c r="D849" s="6" t="s">
        <v>5737</v>
      </c>
      <c r="E849" s="6" t="s">
        <v>5770</v>
      </c>
      <c r="F849" s="15" t="s">
        <v>6589</v>
      </c>
      <c r="G849" s="6" t="s">
        <v>6593</v>
      </c>
      <c r="H849" s="6" t="s">
        <v>175</v>
      </c>
      <c r="I849" s="6" t="s">
        <v>953</v>
      </c>
      <c r="J849" s="6" t="s">
        <v>953</v>
      </c>
    </row>
    <row r="850">
      <c r="A850" s="6">
        <v>846.0</v>
      </c>
      <c r="B850" s="6" t="s">
        <v>811</v>
      </c>
      <c r="C850" s="12" t="s">
        <v>942</v>
      </c>
      <c r="D850" s="6" t="s">
        <v>5737</v>
      </c>
      <c r="E850" s="6" t="s">
        <v>5774</v>
      </c>
      <c r="F850" s="15" t="s">
        <v>6595</v>
      </c>
      <c r="G850" s="6" t="s">
        <v>6597</v>
      </c>
      <c r="H850" s="6" t="s">
        <v>175</v>
      </c>
      <c r="I850" s="6" t="s">
        <v>953</v>
      </c>
      <c r="J850" s="6" t="s">
        <v>953</v>
      </c>
    </row>
    <row r="851">
      <c r="A851" s="6">
        <v>847.0</v>
      </c>
      <c r="B851" s="6" t="s">
        <v>41</v>
      </c>
      <c r="C851" s="12" t="s">
        <v>942</v>
      </c>
      <c r="D851" s="6" t="s">
        <v>5737</v>
      </c>
      <c r="E851" s="6" t="s">
        <v>5778</v>
      </c>
      <c r="F851" s="15" t="s">
        <v>6598</v>
      </c>
      <c r="G851" s="6" t="s">
        <v>6600</v>
      </c>
      <c r="H851" s="6" t="s">
        <v>175</v>
      </c>
      <c r="I851" s="6" t="s">
        <v>953</v>
      </c>
      <c r="J851" s="6" t="s">
        <v>953</v>
      </c>
    </row>
    <row r="852">
      <c r="A852" s="6">
        <v>848.0</v>
      </c>
      <c r="B852" s="6" t="s">
        <v>811</v>
      </c>
      <c r="C852" s="12" t="s">
        <v>942</v>
      </c>
      <c r="D852" s="6" t="s">
        <v>5737</v>
      </c>
      <c r="E852" s="6" t="s">
        <v>5782</v>
      </c>
      <c r="F852" s="15" t="s">
        <v>6602</v>
      </c>
      <c r="G852" s="6" t="s">
        <v>6604</v>
      </c>
      <c r="H852" s="6" t="s">
        <v>175</v>
      </c>
      <c r="I852" s="6" t="s">
        <v>953</v>
      </c>
      <c r="J852" s="6" t="s">
        <v>953</v>
      </c>
    </row>
    <row r="853">
      <c r="A853" s="6">
        <v>849.0</v>
      </c>
      <c r="B853" s="6" t="s">
        <v>251</v>
      </c>
      <c r="C853" s="12" t="s">
        <v>942</v>
      </c>
      <c r="D853" s="6" t="s">
        <v>5737</v>
      </c>
      <c r="E853" s="6" t="s">
        <v>5785</v>
      </c>
      <c r="F853" s="15" t="s">
        <v>6605</v>
      </c>
      <c r="G853" s="6" t="s">
        <v>6608</v>
      </c>
      <c r="H853" s="6" t="s">
        <v>175</v>
      </c>
      <c r="I853" s="6" t="s">
        <v>953</v>
      </c>
      <c r="J853" s="6" t="s">
        <v>953</v>
      </c>
    </row>
    <row r="854">
      <c r="A854" s="6">
        <v>850.0</v>
      </c>
      <c r="B854" s="6" t="s">
        <v>811</v>
      </c>
      <c r="C854" s="12" t="s">
        <v>5759</v>
      </c>
      <c r="D854" s="6" t="s">
        <v>5737</v>
      </c>
      <c r="E854" s="6" t="s">
        <v>5789</v>
      </c>
      <c r="F854" s="15" t="s">
        <v>6609</v>
      </c>
      <c r="G854" s="6" t="s">
        <v>6612</v>
      </c>
      <c r="H854" s="6" t="s">
        <v>175</v>
      </c>
      <c r="I854" s="6" t="s">
        <v>953</v>
      </c>
      <c r="J854" s="6" t="s">
        <v>953</v>
      </c>
    </row>
    <row r="855">
      <c r="A855" s="6">
        <v>851.0</v>
      </c>
      <c r="B855" s="6" t="s">
        <v>110</v>
      </c>
      <c r="C855" s="12" t="s">
        <v>5793</v>
      </c>
      <c r="D855" s="6" t="s">
        <v>5737</v>
      </c>
      <c r="E855" s="6" t="s">
        <v>5794</v>
      </c>
      <c r="F855" s="15" t="s">
        <v>6613</v>
      </c>
      <c r="G855" s="6" t="s">
        <v>6615</v>
      </c>
      <c r="H855" s="6" t="s">
        <v>175</v>
      </c>
      <c r="I855" s="6" t="s">
        <v>953</v>
      </c>
      <c r="J855" s="6" t="s">
        <v>953</v>
      </c>
    </row>
    <row r="856">
      <c r="A856" s="6">
        <v>852.0</v>
      </c>
      <c r="B856" s="6" t="s">
        <v>811</v>
      </c>
      <c r="C856" s="12" t="s">
        <v>942</v>
      </c>
      <c r="D856" s="6" t="s">
        <v>5737</v>
      </c>
      <c r="E856" s="6" t="s">
        <v>5738</v>
      </c>
      <c r="F856" s="15" t="s">
        <v>6616</v>
      </c>
      <c r="G856" s="6" t="s">
        <v>6618</v>
      </c>
      <c r="H856" s="6" t="s">
        <v>175</v>
      </c>
      <c r="I856" s="6" t="s">
        <v>953</v>
      </c>
      <c r="J856" s="6" t="s">
        <v>953</v>
      </c>
    </row>
    <row r="857">
      <c r="A857" s="6">
        <v>853.0</v>
      </c>
      <c r="B857" s="6" t="s">
        <v>811</v>
      </c>
      <c r="C857" s="12" t="s">
        <v>5742</v>
      </c>
      <c r="D857" s="6" t="s">
        <v>5737</v>
      </c>
      <c r="E857" s="6" t="s">
        <v>5743</v>
      </c>
      <c r="F857" s="15" t="s">
        <v>6619</v>
      </c>
      <c r="G857" s="6" t="s">
        <v>6621</v>
      </c>
      <c r="H857" s="6" t="s">
        <v>175</v>
      </c>
      <c r="I857" s="6" t="s">
        <v>953</v>
      </c>
      <c r="J857" s="6" t="s">
        <v>953</v>
      </c>
    </row>
    <row r="858">
      <c r="A858" s="6">
        <v>854.0</v>
      </c>
      <c r="B858" s="6" t="s">
        <v>811</v>
      </c>
      <c r="C858" s="12" t="s">
        <v>942</v>
      </c>
      <c r="D858" s="6" t="s">
        <v>5737</v>
      </c>
      <c r="E858" s="6" t="s">
        <v>5747</v>
      </c>
      <c r="F858" s="15" t="s">
        <v>6623</v>
      </c>
      <c r="G858" s="6" t="s">
        <v>6625</v>
      </c>
      <c r="H858" s="6" t="s">
        <v>175</v>
      </c>
      <c r="I858" s="6" t="s">
        <v>953</v>
      </c>
      <c r="J858" s="6" t="s">
        <v>953</v>
      </c>
    </row>
    <row r="859">
      <c r="A859" s="6">
        <v>855.0</v>
      </c>
      <c r="B859" s="6" t="s">
        <v>1001</v>
      </c>
      <c r="C859" s="12" t="s">
        <v>942</v>
      </c>
      <c r="D859" s="6" t="s">
        <v>5737</v>
      </c>
      <c r="E859" s="6" t="s">
        <v>5750</v>
      </c>
      <c r="F859" s="15" t="s">
        <v>6626</v>
      </c>
      <c r="G859" s="6" t="s">
        <v>6628</v>
      </c>
      <c r="H859" s="6" t="s">
        <v>175</v>
      </c>
      <c r="I859" s="6" t="s">
        <v>953</v>
      </c>
      <c r="J859" s="6" t="s">
        <v>953</v>
      </c>
    </row>
    <row r="860">
      <c r="A860" s="6">
        <v>856.0</v>
      </c>
      <c r="B860" s="6" t="s">
        <v>811</v>
      </c>
      <c r="C860" s="12" t="s">
        <v>5754</v>
      </c>
      <c r="D860" s="6" t="s">
        <v>5737</v>
      </c>
      <c r="E860" s="6" t="s">
        <v>5755</v>
      </c>
      <c r="F860" s="15" t="s">
        <v>6629</v>
      </c>
      <c r="G860" s="6" t="s">
        <v>6632</v>
      </c>
      <c r="H860" s="6" t="s">
        <v>175</v>
      </c>
      <c r="I860" s="6" t="s">
        <v>953</v>
      </c>
      <c r="J860" s="6" t="s">
        <v>953</v>
      </c>
    </row>
    <row r="861">
      <c r="A861" s="6">
        <v>857.0</v>
      </c>
      <c r="B861" s="6" t="s">
        <v>811</v>
      </c>
      <c r="C861" s="12" t="s">
        <v>5759</v>
      </c>
      <c r="D861" s="6" t="s">
        <v>5737</v>
      </c>
      <c r="E861" s="6" t="s">
        <v>5760</v>
      </c>
      <c r="F861" s="15" t="s">
        <v>6633</v>
      </c>
      <c r="G861" s="6" t="s">
        <v>6635</v>
      </c>
      <c r="H861" s="6" t="s">
        <v>175</v>
      </c>
      <c r="I861" s="6" t="s">
        <v>953</v>
      </c>
      <c r="J861" s="6" t="s">
        <v>953</v>
      </c>
    </row>
    <row r="862">
      <c r="A862" s="6">
        <v>858.0</v>
      </c>
      <c r="B862" s="6" t="s">
        <v>240</v>
      </c>
      <c r="C862" s="12" t="s">
        <v>5764</v>
      </c>
      <c r="D862" s="6" t="s">
        <v>5737</v>
      </c>
      <c r="E862" s="6" t="s">
        <v>5765</v>
      </c>
      <c r="F862" s="15" t="s">
        <v>6636</v>
      </c>
      <c r="G862" s="6" t="s">
        <v>6640</v>
      </c>
      <c r="H862" s="6" t="s">
        <v>175</v>
      </c>
      <c r="I862" s="6" t="s">
        <v>953</v>
      </c>
      <c r="J862" s="6" t="s">
        <v>953</v>
      </c>
    </row>
    <row r="863">
      <c r="A863" s="6">
        <v>859.0</v>
      </c>
      <c r="B863" s="6" t="s">
        <v>178</v>
      </c>
      <c r="C863" s="12" t="s">
        <v>5769</v>
      </c>
      <c r="D863" s="6" t="s">
        <v>5737</v>
      </c>
      <c r="E863" s="6" t="s">
        <v>5770</v>
      </c>
      <c r="F863" s="15" t="s">
        <v>6641</v>
      </c>
      <c r="G863" s="6" t="s">
        <v>6646</v>
      </c>
      <c r="H863" s="6" t="s">
        <v>175</v>
      </c>
      <c r="I863" s="6" t="s">
        <v>953</v>
      </c>
      <c r="J863" s="6" t="s">
        <v>953</v>
      </c>
    </row>
    <row r="864">
      <c r="A864" s="6">
        <v>860.0</v>
      </c>
      <c r="B864" s="6" t="s">
        <v>811</v>
      </c>
      <c r="C864" s="12" t="s">
        <v>942</v>
      </c>
      <c r="D864" s="6" t="s">
        <v>5737</v>
      </c>
      <c r="E864" s="6" t="s">
        <v>5774</v>
      </c>
      <c r="F864" s="15" t="s">
        <v>6649</v>
      </c>
      <c r="G864" s="6" t="s">
        <v>6652</v>
      </c>
      <c r="H864" s="6" t="s">
        <v>175</v>
      </c>
      <c r="I864" s="6" t="s">
        <v>953</v>
      </c>
      <c r="J864" s="6" t="s">
        <v>953</v>
      </c>
    </row>
    <row r="865">
      <c r="A865" s="6">
        <v>861.0</v>
      </c>
      <c r="B865" s="6" t="s">
        <v>41</v>
      </c>
      <c r="C865" s="12" t="s">
        <v>942</v>
      </c>
      <c r="D865" s="6" t="s">
        <v>5737</v>
      </c>
      <c r="E865" s="6" t="s">
        <v>5778</v>
      </c>
      <c r="F865" s="15" t="s">
        <v>6653</v>
      </c>
      <c r="G865" s="6" t="s">
        <v>6655</v>
      </c>
      <c r="H865" s="6" t="s">
        <v>175</v>
      </c>
      <c r="I865" s="6" t="s">
        <v>953</v>
      </c>
      <c r="J865" s="6" t="s">
        <v>953</v>
      </c>
    </row>
    <row r="866">
      <c r="A866" s="6">
        <v>862.0</v>
      </c>
      <c r="B866" s="6" t="s">
        <v>811</v>
      </c>
      <c r="C866" s="12" t="s">
        <v>942</v>
      </c>
      <c r="D866" s="6" t="s">
        <v>5737</v>
      </c>
      <c r="E866" s="6" t="s">
        <v>5782</v>
      </c>
      <c r="F866" s="15" t="s">
        <v>6656</v>
      </c>
      <c r="G866" s="6" t="s">
        <v>6660</v>
      </c>
      <c r="H866" s="6" t="s">
        <v>175</v>
      </c>
      <c r="I866" s="6" t="s">
        <v>953</v>
      </c>
      <c r="J866" s="6" t="s">
        <v>953</v>
      </c>
    </row>
    <row r="867">
      <c r="A867" s="6">
        <v>863.0</v>
      </c>
      <c r="B867" s="6" t="s">
        <v>251</v>
      </c>
      <c r="C867" s="12" t="s">
        <v>942</v>
      </c>
      <c r="D867" s="6" t="s">
        <v>5737</v>
      </c>
      <c r="E867" s="6" t="s">
        <v>5785</v>
      </c>
      <c r="F867" s="15" t="s">
        <v>6661</v>
      </c>
      <c r="G867" s="6" t="s">
        <v>6666</v>
      </c>
      <c r="H867" s="6" t="s">
        <v>175</v>
      </c>
      <c r="I867" s="6" t="s">
        <v>953</v>
      </c>
      <c r="J867" s="6" t="s">
        <v>953</v>
      </c>
    </row>
    <row r="868">
      <c r="A868" s="6">
        <v>864.0</v>
      </c>
      <c r="B868" s="6" t="s">
        <v>811</v>
      </c>
      <c r="C868" s="12" t="s">
        <v>5759</v>
      </c>
      <c r="D868" s="6" t="s">
        <v>5737</v>
      </c>
      <c r="E868" s="6" t="s">
        <v>5789</v>
      </c>
      <c r="F868" s="15" t="s">
        <v>6667</v>
      </c>
      <c r="G868" s="6" t="s">
        <v>6669</v>
      </c>
      <c r="H868" s="6" t="s">
        <v>175</v>
      </c>
      <c r="I868" s="6" t="s">
        <v>953</v>
      </c>
      <c r="J868" s="6" t="s">
        <v>953</v>
      </c>
    </row>
    <row r="869">
      <c r="A869" s="6">
        <v>865.0</v>
      </c>
      <c r="B869" s="6" t="s">
        <v>110</v>
      </c>
      <c r="C869" s="12" t="s">
        <v>5793</v>
      </c>
      <c r="D869" s="6" t="s">
        <v>5737</v>
      </c>
      <c r="E869" s="6" t="s">
        <v>5794</v>
      </c>
      <c r="F869" s="15" t="s">
        <v>6671</v>
      </c>
      <c r="G869" s="6" t="s">
        <v>6673</v>
      </c>
      <c r="H869" s="6" t="s">
        <v>175</v>
      </c>
      <c r="I869" s="6" t="s">
        <v>953</v>
      </c>
      <c r="J869" s="6" t="s">
        <v>953</v>
      </c>
    </row>
    <row r="870">
      <c r="A870" s="6">
        <v>866.0</v>
      </c>
      <c r="B870" s="6" t="s">
        <v>811</v>
      </c>
      <c r="C870" s="12" t="s">
        <v>942</v>
      </c>
      <c r="D870" s="6" t="s">
        <v>5737</v>
      </c>
      <c r="E870" s="6" t="s">
        <v>5738</v>
      </c>
      <c r="F870" s="15" t="s">
        <v>6674</v>
      </c>
      <c r="G870" s="6" t="s">
        <v>6676</v>
      </c>
      <c r="H870" s="6" t="s">
        <v>175</v>
      </c>
      <c r="I870" s="6" t="s">
        <v>953</v>
      </c>
      <c r="J870" s="6" t="s">
        <v>953</v>
      </c>
    </row>
    <row r="871">
      <c r="A871" s="6">
        <v>867.0</v>
      </c>
      <c r="B871" s="6" t="s">
        <v>811</v>
      </c>
      <c r="C871" s="12" t="s">
        <v>5742</v>
      </c>
      <c r="D871" s="6" t="s">
        <v>5737</v>
      </c>
      <c r="E871" s="6" t="s">
        <v>5743</v>
      </c>
      <c r="F871" s="15" t="s">
        <v>6677</v>
      </c>
      <c r="G871" s="6" t="s">
        <v>6681</v>
      </c>
      <c r="H871" s="6" t="s">
        <v>175</v>
      </c>
      <c r="I871" s="6" t="s">
        <v>953</v>
      </c>
      <c r="J871" s="6" t="s">
        <v>953</v>
      </c>
    </row>
    <row r="872">
      <c r="A872" s="6">
        <v>868.0</v>
      </c>
      <c r="B872" s="6" t="s">
        <v>811</v>
      </c>
      <c r="C872" s="12" t="s">
        <v>942</v>
      </c>
      <c r="D872" s="6" t="s">
        <v>5737</v>
      </c>
      <c r="E872" s="6" t="s">
        <v>5747</v>
      </c>
      <c r="F872" s="15" t="s">
        <v>6683</v>
      </c>
      <c r="G872" s="6" t="s">
        <v>6686</v>
      </c>
      <c r="H872" s="6" t="s">
        <v>175</v>
      </c>
      <c r="I872" s="6" t="s">
        <v>953</v>
      </c>
      <c r="J872" s="6" t="s">
        <v>953</v>
      </c>
    </row>
    <row r="873">
      <c r="A873" s="6">
        <v>869.0</v>
      </c>
      <c r="B873" s="6" t="s">
        <v>1001</v>
      </c>
      <c r="C873" s="12" t="s">
        <v>942</v>
      </c>
      <c r="D873" s="6" t="s">
        <v>5737</v>
      </c>
      <c r="E873" s="6" t="s">
        <v>5750</v>
      </c>
      <c r="F873" s="15" t="s">
        <v>6687</v>
      </c>
      <c r="G873" s="6" t="s">
        <v>6690</v>
      </c>
      <c r="H873" s="6" t="s">
        <v>175</v>
      </c>
      <c r="I873" s="6" t="s">
        <v>953</v>
      </c>
      <c r="J873" s="6" t="s">
        <v>953</v>
      </c>
    </row>
    <row r="874">
      <c r="A874" s="6">
        <v>870.0</v>
      </c>
      <c r="B874" s="6" t="s">
        <v>811</v>
      </c>
      <c r="C874" s="12" t="s">
        <v>5754</v>
      </c>
      <c r="D874" s="6" t="s">
        <v>5737</v>
      </c>
      <c r="E874" s="6" t="s">
        <v>5755</v>
      </c>
      <c r="F874" s="15" t="s">
        <v>6691</v>
      </c>
      <c r="G874" s="6" t="s">
        <v>6694</v>
      </c>
      <c r="H874" s="6" t="s">
        <v>175</v>
      </c>
      <c r="I874" s="6" t="s">
        <v>953</v>
      </c>
      <c r="J874" s="6" t="s">
        <v>953</v>
      </c>
    </row>
    <row r="875">
      <c r="A875" s="6">
        <v>871.0</v>
      </c>
      <c r="B875" s="6" t="s">
        <v>811</v>
      </c>
      <c r="C875" s="12" t="s">
        <v>5759</v>
      </c>
      <c r="D875" s="6" t="s">
        <v>5737</v>
      </c>
      <c r="E875" s="6" t="s">
        <v>5760</v>
      </c>
      <c r="F875" s="15" t="s">
        <v>6695</v>
      </c>
      <c r="G875" s="6" t="s">
        <v>6697</v>
      </c>
      <c r="H875" s="6" t="s">
        <v>175</v>
      </c>
      <c r="I875" s="6" t="s">
        <v>953</v>
      </c>
      <c r="J875" s="6" t="s">
        <v>953</v>
      </c>
    </row>
    <row r="876">
      <c r="A876" s="6">
        <v>872.0</v>
      </c>
      <c r="B876" s="6" t="s">
        <v>240</v>
      </c>
      <c r="C876" s="12" t="s">
        <v>5764</v>
      </c>
      <c r="D876" s="6" t="s">
        <v>5737</v>
      </c>
      <c r="E876" s="6" t="s">
        <v>5765</v>
      </c>
      <c r="F876" s="15" t="s">
        <v>6699</v>
      </c>
      <c r="G876" s="6" t="s">
        <v>6701</v>
      </c>
      <c r="H876" s="6" t="s">
        <v>175</v>
      </c>
      <c r="I876" s="6" t="s">
        <v>953</v>
      </c>
      <c r="J876" s="6" t="s">
        <v>953</v>
      </c>
    </row>
    <row r="877">
      <c r="A877" s="6">
        <v>873.0</v>
      </c>
      <c r="B877" s="6" t="s">
        <v>178</v>
      </c>
      <c r="C877" s="12" t="s">
        <v>5769</v>
      </c>
      <c r="D877" s="6" t="s">
        <v>5737</v>
      </c>
      <c r="E877" s="6" t="s">
        <v>5770</v>
      </c>
      <c r="F877" s="15" t="s">
        <v>6702</v>
      </c>
      <c r="G877" s="6" t="s">
        <v>6704</v>
      </c>
      <c r="H877" s="6" t="s">
        <v>175</v>
      </c>
      <c r="I877" s="6" t="s">
        <v>953</v>
      </c>
      <c r="J877" s="6" t="s">
        <v>953</v>
      </c>
    </row>
    <row r="878">
      <c r="A878" s="6">
        <v>874.0</v>
      </c>
      <c r="B878" s="6" t="s">
        <v>811</v>
      </c>
      <c r="C878" s="12" t="s">
        <v>942</v>
      </c>
      <c r="D878" s="6" t="s">
        <v>5737</v>
      </c>
      <c r="E878" s="6" t="s">
        <v>5774</v>
      </c>
      <c r="F878" s="15" t="s">
        <v>6705</v>
      </c>
      <c r="G878" s="6" t="s">
        <v>6707</v>
      </c>
      <c r="H878" s="6" t="s">
        <v>175</v>
      </c>
      <c r="I878" s="6" t="s">
        <v>953</v>
      </c>
      <c r="J878" s="6" t="s">
        <v>953</v>
      </c>
    </row>
    <row r="879">
      <c r="A879" s="6">
        <v>875.0</v>
      </c>
      <c r="B879" s="6" t="s">
        <v>41</v>
      </c>
      <c r="C879" s="12" t="s">
        <v>942</v>
      </c>
      <c r="D879" s="6" t="s">
        <v>5737</v>
      </c>
      <c r="E879" s="6" t="s">
        <v>5778</v>
      </c>
      <c r="F879" s="15" t="s">
        <v>6710</v>
      </c>
      <c r="G879" s="6" t="s">
        <v>6712</v>
      </c>
      <c r="H879" s="6" t="s">
        <v>175</v>
      </c>
      <c r="I879" s="6" t="s">
        <v>953</v>
      </c>
      <c r="J879" s="6" t="s">
        <v>953</v>
      </c>
    </row>
    <row r="880">
      <c r="A880" s="6">
        <v>876.0</v>
      </c>
      <c r="B880" s="6" t="s">
        <v>811</v>
      </c>
      <c r="C880" s="12" t="s">
        <v>942</v>
      </c>
      <c r="D880" s="6" t="s">
        <v>5737</v>
      </c>
      <c r="E880" s="6" t="s">
        <v>5782</v>
      </c>
      <c r="F880" s="15" t="s">
        <v>6713</v>
      </c>
      <c r="G880" s="6" t="s">
        <v>6715</v>
      </c>
      <c r="H880" s="6" t="s">
        <v>175</v>
      </c>
      <c r="I880" s="6" t="s">
        <v>953</v>
      </c>
      <c r="J880" s="6" t="s">
        <v>953</v>
      </c>
    </row>
    <row r="881">
      <c r="A881" s="6">
        <v>877.0</v>
      </c>
      <c r="B881" s="6" t="s">
        <v>251</v>
      </c>
      <c r="C881" s="12" t="s">
        <v>942</v>
      </c>
      <c r="D881" s="6" t="s">
        <v>5737</v>
      </c>
      <c r="E881" s="6" t="s">
        <v>5785</v>
      </c>
      <c r="F881" s="15" t="s">
        <v>6717</v>
      </c>
      <c r="G881" s="6" t="s">
        <v>6719</v>
      </c>
      <c r="H881" s="6" t="s">
        <v>175</v>
      </c>
      <c r="I881" s="6" t="s">
        <v>953</v>
      </c>
      <c r="J881" s="6" t="s">
        <v>953</v>
      </c>
    </row>
    <row r="882">
      <c r="A882" s="6">
        <v>878.0</v>
      </c>
      <c r="B882" s="6" t="s">
        <v>811</v>
      </c>
      <c r="C882" s="12" t="s">
        <v>5759</v>
      </c>
      <c r="D882" s="6" t="s">
        <v>5737</v>
      </c>
      <c r="E882" s="6" t="s">
        <v>5789</v>
      </c>
      <c r="F882" s="15" t="s">
        <v>6720</v>
      </c>
      <c r="G882" s="6" t="s">
        <v>6722</v>
      </c>
      <c r="H882" s="6" t="s">
        <v>175</v>
      </c>
      <c r="I882" s="6" t="s">
        <v>953</v>
      </c>
      <c r="J882" s="6" t="s">
        <v>953</v>
      </c>
    </row>
    <row r="883">
      <c r="A883" s="6">
        <v>879.0</v>
      </c>
      <c r="B883" s="6" t="s">
        <v>110</v>
      </c>
      <c r="C883" s="12" t="s">
        <v>5793</v>
      </c>
      <c r="D883" s="6" t="s">
        <v>5737</v>
      </c>
      <c r="E883" s="6" t="s">
        <v>5794</v>
      </c>
      <c r="F883" s="15" t="s">
        <v>6723</v>
      </c>
      <c r="G883" s="6" t="s">
        <v>6725</v>
      </c>
      <c r="H883" s="6" t="s">
        <v>175</v>
      </c>
      <c r="I883" s="6" t="s">
        <v>953</v>
      </c>
      <c r="J883" s="6" t="s">
        <v>953</v>
      </c>
    </row>
    <row r="884">
      <c r="A884" s="6">
        <v>880.0</v>
      </c>
      <c r="B884" s="6" t="s">
        <v>811</v>
      </c>
      <c r="C884" s="12" t="s">
        <v>942</v>
      </c>
      <c r="D884" s="6" t="s">
        <v>5737</v>
      </c>
      <c r="E884" s="6" t="s">
        <v>5738</v>
      </c>
      <c r="F884" s="15" t="s">
        <v>6727</v>
      </c>
      <c r="G884" s="6" t="s">
        <v>6729</v>
      </c>
      <c r="H884" s="6" t="s">
        <v>175</v>
      </c>
      <c r="I884" s="6" t="s">
        <v>953</v>
      </c>
      <c r="J884" s="6" t="s">
        <v>953</v>
      </c>
    </row>
    <row r="885">
      <c r="A885" s="6">
        <v>881.0</v>
      </c>
      <c r="B885" s="6" t="s">
        <v>811</v>
      </c>
      <c r="C885" s="12" t="s">
        <v>5742</v>
      </c>
      <c r="D885" s="6" t="s">
        <v>5737</v>
      </c>
      <c r="E885" s="6" t="s">
        <v>5743</v>
      </c>
      <c r="F885" s="15" t="s">
        <v>6730</v>
      </c>
      <c r="G885" s="6" t="s">
        <v>6732</v>
      </c>
      <c r="H885" s="6" t="s">
        <v>175</v>
      </c>
      <c r="I885" s="6" t="s">
        <v>953</v>
      </c>
      <c r="J885" s="6" t="s">
        <v>953</v>
      </c>
    </row>
    <row r="886">
      <c r="A886" s="6">
        <v>882.0</v>
      </c>
      <c r="B886" s="6" t="s">
        <v>811</v>
      </c>
      <c r="C886" s="12" t="s">
        <v>942</v>
      </c>
      <c r="D886" s="6" t="s">
        <v>5737</v>
      </c>
      <c r="E886" s="6" t="s">
        <v>5747</v>
      </c>
      <c r="F886" s="15" t="s">
        <v>6733</v>
      </c>
      <c r="G886" s="6" t="s">
        <v>6736</v>
      </c>
      <c r="H886" s="6" t="s">
        <v>175</v>
      </c>
      <c r="I886" s="6" t="s">
        <v>953</v>
      </c>
      <c r="J886" s="6" t="s">
        <v>953</v>
      </c>
    </row>
    <row r="887">
      <c r="A887" s="6">
        <v>883.0</v>
      </c>
      <c r="B887" s="6" t="s">
        <v>1001</v>
      </c>
      <c r="C887" s="12" t="s">
        <v>942</v>
      </c>
      <c r="D887" s="6" t="s">
        <v>5737</v>
      </c>
      <c r="E887" s="6" t="s">
        <v>5750</v>
      </c>
      <c r="F887" s="15" t="s">
        <v>6737</v>
      </c>
      <c r="G887" s="6" t="s">
        <v>6739</v>
      </c>
      <c r="H887" s="6" t="s">
        <v>175</v>
      </c>
      <c r="I887" s="6" t="s">
        <v>953</v>
      </c>
      <c r="J887" s="6" t="s">
        <v>953</v>
      </c>
    </row>
    <row r="888">
      <c r="A888" s="6">
        <v>884.0</v>
      </c>
      <c r="B888" s="6" t="s">
        <v>811</v>
      </c>
      <c r="C888" s="12" t="s">
        <v>5754</v>
      </c>
      <c r="D888" s="6" t="s">
        <v>5737</v>
      </c>
      <c r="E888" s="6" t="s">
        <v>5755</v>
      </c>
      <c r="F888" s="15" t="s">
        <v>6740</v>
      </c>
      <c r="G888" s="6" t="s">
        <v>6742</v>
      </c>
      <c r="H888" s="6" t="s">
        <v>175</v>
      </c>
      <c r="I888" s="6" t="s">
        <v>953</v>
      </c>
      <c r="J888" s="6" t="s">
        <v>953</v>
      </c>
    </row>
    <row r="889">
      <c r="A889" s="6">
        <v>885.0</v>
      </c>
      <c r="B889" s="6" t="s">
        <v>811</v>
      </c>
      <c r="C889" s="12" t="s">
        <v>5759</v>
      </c>
      <c r="D889" s="6" t="s">
        <v>5737</v>
      </c>
      <c r="E889" s="6" t="s">
        <v>5760</v>
      </c>
      <c r="F889" s="15" t="s">
        <v>6744</v>
      </c>
      <c r="G889" s="6" t="s">
        <v>6746</v>
      </c>
      <c r="H889" s="6" t="s">
        <v>175</v>
      </c>
      <c r="I889" s="6" t="s">
        <v>953</v>
      </c>
      <c r="J889" s="6" t="s">
        <v>953</v>
      </c>
    </row>
    <row r="890">
      <c r="A890" s="6">
        <v>886.0</v>
      </c>
      <c r="B890" s="6" t="s">
        <v>240</v>
      </c>
      <c r="C890" s="12" t="s">
        <v>5764</v>
      </c>
      <c r="D890" s="6" t="s">
        <v>5737</v>
      </c>
      <c r="E890" s="6" t="s">
        <v>5765</v>
      </c>
      <c r="F890" s="15" t="s">
        <v>6747</v>
      </c>
      <c r="G890" s="6" t="s">
        <v>6749</v>
      </c>
      <c r="H890" s="6" t="s">
        <v>175</v>
      </c>
      <c r="I890" s="6" t="s">
        <v>953</v>
      </c>
      <c r="J890" s="6" t="s">
        <v>953</v>
      </c>
    </row>
    <row r="891">
      <c r="A891" s="6">
        <v>887.0</v>
      </c>
      <c r="B891" s="6" t="s">
        <v>178</v>
      </c>
      <c r="C891" s="12" t="s">
        <v>5769</v>
      </c>
      <c r="D891" s="6" t="s">
        <v>5737</v>
      </c>
      <c r="E891" s="6" t="s">
        <v>5770</v>
      </c>
      <c r="F891" s="15" t="s">
        <v>6750</v>
      </c>
      <c r="G891" s="6" t="s">
        <v>6752</v>
      </c>
      <c r="H891" s="6" t="s">
        <v>175</v>
      </c>
      <c r="I891" s="6" t="s">
        <v>953</v>
      </c>
      <c r="J891" s="6" t="s">
        <v>953</v>
      </c>
    </row>
    <row r="892">
      <c r="A892" s="6">
        <v>888.0</v>
      </c>
      <c r="B892" s="6" t="s">
        <v>811</v>
      </c>
      <c r="C892" s="12" t="s">
        <v>942</v>
      </c>
      <c r="D892" s="6" t="s">
        <v>5737</v>
      </c>
      <c r="E892" s="6" t="s">
        <v>5774</v>
      </c>
      <c r="F892" s="15" t="s">
        <v>6754</v>
      </c>
      <c r="G892" s="6" t="s">
        <v>6755</v>
      </c>
      <c r="H892" s="6" t="s">
        <v>175</v>
      </c>
      <c r="I892" s="6" t="s">
        <v>953</v>
      </c>
      <c r="J892" s="6" t="s">
        <v>953</v>
      </c>
    </row>
    <row r="893">
      <c r="A893" s="6">
        <v>889.0</v>
      </c>
      <c r="B893" s="6" t="s">
        <v>41</v>
      </c>
      <c r="C893" s="12" t="s">
        <v>942</v>
      </c>
      <c r="D893" s="6" t="s">
        <v>5737</v>
      </c>
      <c r="E893" s="6" t="s">
        <v>5778</v>
      </c>
      <c r="F893" s="15" t="s">
        <v>6757</v>
      </c>
      <c r="G893" s="6" t="s">
        <v>6759</v>
      </c>
      <c r="H893" s="6" t="s">
        <v>175</v>
      </c>
      <c r="I893" s="6" t="s">
        <v>953</v>
      </c>
      <c r="J893" s="6" t="s">
        <v>953</v>
      </c>
    </row>
    <row r="894">
      <c r="A894" s="6">
        <v>890.0</v>
      </c>
      <c r="B894" s="6" t="s">
        <v>811</v>
      </c>
      <c r="C894" s="12" t="s">
        <v>942</v>
      </c>
      <c r="D894" s="6" t="s">
        <v>5737</v>
      </c>
      <c r="E894" s="6" t="s">
        <v>5782</v>
      </c>
      <c r="F894" s="15" t="s">
        <v>6760</v>
      </c>
      <c r="G894" s="6" t="s">
        <v>6762</v>
      </c>
      <c r="H894" s="6" t="s">
        <v>175</v>
      </c>
      <c r="I894" s="6" t="s">
        <v>953</v>
      </c>
      <c r="J894" s="6" t="s">
        <v>953</v>
      </c>
    </row>
    <row r="895">
      <c r="A895" s="6">
        <v>891.0</v>
      </c>
      <c r="B895" s="6" t="s">
        <v>251</v>
      </c>
      <c r="C895" s="12" t="s">
        <v>942</v>
      </c>
      <c r="D895" s="6" t="s">
        <v>5737</v>
      </c>
      <c r="E895" s="6" t="s">
        <v>5785</v>
      </c>
      <c r="F895" s="15" t="s">
        <v>6764</v>
      </c>
      <c r="G895" s="6" t="s">
        <v>6766</v>
      </c>
      <c r="H895" s="6" t="s">
        <v>175</v>
      </c>
      <c r="I895" s="6" t="s">
        <v>953</v>
      </c>
      <c r="J895" s="6" t="s">
        <v>953</v>
      </c>
    </row>
    <row r="896">
      <c r="A896" s="6">
        <v>892.0</v>
      </c>
      <c r="B896" s="6" t="s">
        <v>811</v>
      </c>
      <c r="C896" s="12" t="s">
        <v>5759</v>
      </c>
      <c r="D896" s="6" t="s">
        <v>5737</v>
      </c>
      <c r="E896" s="6" t="s">
        <v>5789</v>
      </c>
      <c r="F896" s="15" t="s">
        <v>6767</v>
      </c>
      <c r="G896" s="6" t="s">
        <v>6769</v>
      </c>
      <c r="H896" s="6" t="s">
        <v>175</v>
      </c>
      <c r="I896" s="6" t="s">
        <v>953</v>
      </c>
      <c r="J896" s="6" t="s">
        <v>953</v>
      </c>
    </row>
    <row r="897">
      <c r="A897" s="6">
        <v>893.0</v>
      </c>
      <c r="B897" s="6" t="s">
        <v>110</v>
      </c>
      <c r="C897" s="12" t="s">
        <v>5793</v>
      </c>
      <c r="D897" s="6" t="s">
        <v>5737</v>
      </c>
      <c r="E897" s="6" t="s">
        <v>5794</v>
      </c>
      <c r="F897" s="15" t="s">
        <v>6770</v>
      </c>
      <c r="G897" s="6" t="s">
        <v>6773</v>
      </c>
      <c r="H897" s="6" t="s">
        <v>175</v>
      </c>
      <c r="I897" s="6" t="s">
        <v>953</v>
      </c>
      <c r="J897" s="6" t="s">
        <v>953</v>
      </c>
    </row>
    <row r="898">
      <c r="A898" s="6">
        <v>894.0</v>
      </c>
      <c r="B898" s="6" t="s">
        <v>811</v>
      </c>
      <c r="C898" s="12" t="s">
        <v>942</v>
      </c>
      <c r="D898" s="6" t="s">
        <v>5737</v>
      </c>
      <c r="E898" s="6" t="s">
        <v>5738</v>
      </c>
      <c r="F898" s="15" t="s">
        <v>6774</v>
      </c>
      <c r="G898" s="6" t="s">
        <v>6777</v>
      </c>
      <c r="H898" s="6" t="s">
        <v>175</v>
      </c>
      <c r="I898" s="6" t="s">
        <v>953</v>
      </c>
      <c r="J898" s="6" t="s">
        <v>953</v>
      </c>
    </row>
    <row r="899">
      <c r="A899" s="6">
        <v>895.0</v>
      </c>
      <c r="B899" s="6" t="s">
        <v>811</v>
      </c>
      <c r="C899" s="12" t="s">
        <v>5742</v>
      </c>
      <c r="D899" s="6" t="s">
        <v>5737</v>
      </c>
      <c r="E899" s="6" t="s">
        <v>5743</v>
      </c>
      <c r="F899" s="15" t="s">
        <v>6778</v>
      </c>
      <c r="G899" s="6" t="s">
        <v>6781</v>
      </c>
      <c r="H899" s="6" t="s">
        <v>175</v>
      </c>
      <c r="I899" s="6" t="s">
        <v>953</v>
      </c>
      <c r="J899" s="6" t="s">
        <v>953</v>
      </c>
    </row>
    <row r="900">
      <c r="A900" s="6">
        <v>896.0</v>
      </c>
      <c r="B900" s="6" t="s">
        <v>811</v>
      </c>
      <c r="C900" s="12" t="s">
        <v>942</v>
      </c>
      <c r="D900" s="6" t="s">
        <v>5737</v>
      </c>
      <c r="E900" s="6" t="s">
        <v>5747</v>
      </c>
      <c r="F900" s="15" t="s">
        <v>6784</v>
      </c>
      <c r="G900" s="6" t="s">
        <v>6787</v>
      </c>
      <c r="H900" s="6" t="s">
        <v>175</v>
      </c>
      <c r="I900" s="6" t="s">
        <v>953</v>
      </c>
      <c r="J900" s="6" t="s">
        <v>953</v>
      </c>
    </row>
    <row r="901">
      <c r="A901" s="6">
        <v>897.0</v>
      </c>
      <c r="B901" s="6" t="s">
        <v>1001</v>
      </c>
      <c r="C901" s="12" t="s">
        <v>942</v>
      </c>
      <c r="D901" s="6" t="s">
        <v>5737</v>
      </c>
      <c r="E901" s="6" t="s">
        <v>5750</v>
      </c>
      <c r="F901" s="15" t="s">
        <v>6788</v>
      </c>
      <c r="G901" s="6" t="s">
        <v>6793</v>
      </c>
      <c r="H901" s="6" t="s">
        <v>175</v>
      </c>
      <c r="I901" s="6" t="s">
        <v>953</v>
      </c>
      <c r="J901" s="6" t="s">
        <v>953</v>
      </c>
    </row>
    <row r="902">
      <c r="A902" s="6">
        <v>898.0</v>
      </c>
      <c r="B902" s="6" t="s">
        <v>811</v>
      </c>
      <c r="C902" s="12" t="s">
        <v>5754</v>
      </c>
      <c r="D902" s="6" t="s">
        <v>5737</v>
      </c>
      <c r="E902" s="6" t="s">
        <v>5755</v>
      </c>
      <c r="F902" s="15" t="s">
        <v>6796</v>
      </c>
      <c r="G902" s="6" t="s">
        <v>6800</v>
      </c>
      <c r="H902" s="6" t="s">
        <v>175</v>
      </c>
      <c r="I902" s="6" t="s">
        <v>953</v>
      </c>
      <c r="J902" s="6" t="s">
        <v>953</v>
      </c>
    </row>
    <row r="903">
      <c r="A903" s="6">
        <v>899.0</v>
      </c>
      <c r="B903" s="6" t="s">
        <v>811</v>
      </c>
      <c r="C903" s="12" t="s">
        <v>5759</v>
      </c>
      <c r="D903" s="6" t="s">
        <v>5737</v>
      </c>
      <c r="E903" s="6" t="s">
        <v>5760</v>
      </c>
      <c r="F903" s="15" t="s">
        <v>6801</v>
      </c>
      <c r="G903" s="6" t="s">
        <v>6805</v>
      </c>
      <c r="H903" s="6" t="s">
        <v>175</v>
      </c>
      <c r="I903" s="6" t="s">
        <v>953</v>
      </c>
      <c r="J903" s="6" t="s">
        <v>953</v>
      </c>
    </row>
    <row r="904">
      <c r="A904" s="6">
        <v>900.0</v>
      </c>
      <c r="B904" s="6" t="s">
        <v>240</v>
      </c>
      <c r="C904" s="12" t="s">
        <v>5764</v>
      </c>
      <c r="D904" s="6" t="s">
        <v>5737</v>
      </c>
      <c r="E904" s="6" t="s">
        <v>5765</v>
      </c>
      <c r="F904" s="15" t="s">
        <v>6806</v>
      </c>
      <c r="G904" s="6" t="s">
        <v>6808</v>
      </c>
      <c r="H904" s="6" t="s">
        <v>175</v>
      </c>
      <c r="I904" s="6" t="s">
        <v>953</v>
      </c>
      <c r="J904" s="6" t="s">
        <v>953</v>
      </c>
    </row>
    <row r="905">
      <c r="A905" s="6">
        <v>901.0</v>
      </c>
      <c r="B905" s="6" t="s">
        <v>178</v>
      </c>
      <c r="C905" s="12" t="s">
        <v>5769</v>
      </c>
      <c r="D905" s="6" t="s">
        <v>5737</v>
      </c>
      <c r="E905" s="6" t="s">
        <v>5770</v>
      </c>
      <c r="F905" s="15" t="s">
        <v>6810</v>
      </c>
      <c r="G905" s="6" t="s">
        <v>6812</v>
      </c>
      <c r="H905" s="6" t="s">
        <v>175</v>
      </c>
      <c r="I905" s="6" t="s">
        <v>953</v>
      </c>
      <c r="J905" s="6" t="s">
        <v>953</v>
      </c>
    </row>
    <row r="906">
      <c r="A906" s="6">
        <v>902.0</v>
      </c>
      <c r="B906" s="6" t="s">
        <v>811</v>
      </c>
      <c r="C906" s="12" t="s">
        <v>942</v>
      </c>
      <c r="D906" s="6" t="s">
        <v>5737</v>
      </c>
      <c r="E906" s="6" t="s">
        <v>5774</v>
      </c>
      <c r="F906" s="15" t="s">
        <v>6814</v>
      </c>
      <c r="G906" s="6" t="s">
        <v>6816</v>
      </c>
      <c r="H906" s="6" t="s">
        <v>175</v>
      </c>
      <c r="I906" s="6" t="s">
        <v>953</v>
      </c>
      <c r="J906" s="6" t="s">
        <v>953</v>
      </c>
    </row>
    <row r="907">
      <c r="A907" s="6">
        <v>903.0</v>
      </c>
      <c r="B907" s="6" t="s">
        <v>41</v>
      </c>
      <c r="C907" s="12" t="s">
        <v>942</v>
      </c>
      <c r="D907" s="6" t="s">
        <v>5737</v>
      </c>
      <c r="E907" s="6" t="s">
        <v>5778</v>
      </c>
      <c r="F907" s="15" t="s">
        <v>6818</v>
      </c>
      <c r="G907" s="6" t="s">
        <v>6822</v>
      </c>
      <c r="H907" s="6" t="s">
        <v>175</v>
      </c>
      <c r="I907" s="6" t="s">
        <v>953</v>
      </c>
      <c r="J907" s="6" t="s">
        <v>953</v>
      </c>
    </row>
    <row r="908">
      <c r="A908" s="6">
        <v>904.0</v>
      </c>
      <c r="B908" s="6" t="s">
        <v>811</v>
      </c>
      <c r="C908" s="12" t="s">
        <v>942</v>
      </c>
      <c r="D908" s="6" t="s">
        <v>5737</v>
      </c>
      <c r="E908" s="6" t="s">
        <v>5782</v>
      </c>
      <c r="F908" s="15" t="s">
        <v>6823</v>
      </c>
      <c r="G908" s="6" t="s">
        <v>6825</v>
      </c>
      <c r="H908" s="6" t="s">
        <v>175</v>
      </c>
      <c r="I908" s="6" t="s">
        <v>953</v>
      </c>
      <c r="J908" s="6" t="s">
        <v>953</v>
      </c>
    </row>
    <row r="909">
      <c r="A909" s="6">
        <v>905.0</v>
      </c>
      <c r="B909" s="6" t="s">
        <v>251</v>
      </c>
      <c r="C909" s="12" t="s">
        <v>942</v>
      </c>
      <c r="D909" s="6" t="s">
        <v>5737</v>
      </c>
      <c r="E909" s="6" t="s">
        <v>5785</v>
      </c>
      <c r="F909" s="15" t="s">
        <v>6826</v>
      </c>
      <c r="G909" s="6" t="s">
        <v>6828</v>
      </c>
      <c r="H909" s="6" t="s">
        <v>175</v>
      </c>
      <c r="I909" s="6" t="s">
        <v>953</v>
      </c>
      <c r="J909" s="6" t="s">
        <v>953</v>
      </c>
    </row>
    <row r="910">
      <c r="A910" s="6">
        <v>906.0</v>
      </c>
      <c r="B910" s="6" t="s">
        <v>811</v>
      </c>
      <c r="C910" s="12" t="s">
        <v>5759</v>
      </c>
      <c r="D910" s="6" t="s">
        <v>5737</v>
      </c>
      <c r="E910" s="6" t="s">
        <v>5789</v>
      </c>
      <c r="F910" s="15" t="s">
        <v>6829</v>
      </c>
      <c r="G910" s="6" t="s">
        <v>6832</v>
      </c>
      <c r="H910" s="6" t="s">
        <v>175</v>
      </c>
      <c r="I910" s="17">
        <v>45947.0</v>
      </c>
      <c r="J910" s="6" t="s">
        <v>6833</v>
      </c>
    </row>
    <row r="911">
      <c r="A911" s="6">
        <v>907.0</v>
      </c>
      <c r="B911" s="6" t="s">
        <v>110</v>
      </c>
      <c r="C911" s="12" t="s">
        <v>5793</v>
      </c>
      <c r="D911" s="6" t="s">
        <v>5737</v>
      </c>
      <c r="E911" s="6" t="s">
        <v>5794</v>
      </c>
      <c r="F911" s="15" t="s">
        <v>6834</v>
      </c>
      <c r="G911" s="6" t="s">
        <v>6837</v>
      </c>
      <c r="H911" s="6" t="s">
        <v>175</v>
      </c>
      <c r="I911" s="6" t="s">
        <v>953</v>
      </c>
      <c r="J911" s="6" t="s">
        <v>953</v>
      </c>
    </row>
    <row r="912">
      <c r="A912" s="6">
        <v>908.0</v>
      </c>
      <c r="B912" s="6" t="s">
        <v>811</v>
      </c>
      <c r="C912" s="12" t="s">
        <v>942</v>
      </c>
      <c r="D912" s="6" t="s">
        <v>5737</v>
      </c>
      <c r="E912" s="6" t="s">
        <v>5738</v>
      </c>
      <c r="F912" s="15" t="s">
        <v>6839</v>
      </c>
      <c r="G912" s="6" t="s">
        <v>6841</v>
      </c>
      <c r="H912" s="6" t="s">
        <v>175</v>
      </c>
      <c r="I912" s="17">
        <v>45946.0</v>
      </c>
      <c r="J912" s="6" t="s">
        <v>6842</v>
      </c>
    </row>
    <row r="913">
      <c r="A913" s="6">
        <v>909.0</v>
      </c>
      <c r="B913" s="6" t="s">
        <v>811</v>
      </c>
      <c r="C913" s="12" t="s">
        <v>5742</v>
      </c>
      <c r="D913" s="6" t="s">
        <v>5737</v>
      </c>
      <c r="E913" s="6" t="s">
        <v>5743</v>
      </c>
      <c r="F913" s="15" t="s">
        <v>6844</v>
      </c>
      <c r="G913" s="6" t="s">
        <v>6846</v>
      </c>
      <c r="H913" s="6" t="s">
        <v>175</v>
      </c>
      <c r="I913" s="6" t="s">
        <v>953</v>
      </c>
      <c r="J913" s="6" t="s">
        <v>953</v>
      </c>
    </row>
    <row r="914">
      <c r="A914" s="6">
        <v>910.0</v>
      </c>
      <c r="B914" s="6" t="s">
        <v>811</v>
      </c>
      <c r="C914" s="12" t="s">
        <v>942</v>
      </c>
      <c r="D914" s="6" t="s">
        <v>5737</v>
      </c>
      <c r="E914" s="6" t="s">
        <v>5747</v>
      </c>
      <c r="F914" s="15" t="s">
        <v>6847</v>
      </c>
      <c r="G914" s="6" t="s">
        <v>6849</v>
      </c>
      <c r="H914" s="6" t="s">
        <v>175</v>
      </c>
      <c r="I914" s="17">
        <v>45946.0</v>
      </c>
      <c r="J914" s="6" t="s">
        <v>6850</v>
      </c>
    </row>
    <row r="915">
      <c r="A915" s="6">
        <v>911.0</v>
      </c>
      <c r="B915" s="6" t="s">
        <v>1001</v>
      </c>
      <c r="C915" s="12" t="s">
        <v>942</v>
      </c>
      <c r="D915" s="6" t="s">
        <v>5737</v>
      </c>
      <c r="E915" s="6" t="s">
        <v>5750</v>
      </c>
      <c r="F915" s="15" t="s">
        <v>6851</v>
      </c>
      <c r="G915" s="6" t="s">
        <v>6853</v>
      </c>
      <c r="H915" s="6" t="s">
        <v>175</v>
      </c>
      <c r="I915" s="17">
        <v>45946.0</v>
      </c>
      <c r="J915" s="6" t="s">
        <v>6855</v>
      </c>
    </row>
    <row r="916">
      <c r="A916" s="6">
        <v>912.0</v>
      </c>
      <c r="B916" s="6" t="s">
        <v>811</v>
      </c>
      <c r="C916" s="12" t="s">
        <v>5754</v>
      </c>
      <c r="D916" s="6" t="s">
        <v>5737</v>
      </c>
      <c r="E916" s="6" t="s">
        <v>5755</v>
      </c>
      <c r="F916" s="15" t="s">
        <v>6856</v>
      </c>
      <c r="G916" s="6" t="s">
        <v>6862</v>
      </c>
      <c r="H916" s="6" t="s">
        <v>175</v>
      </c>
      <c r="I916" s="17">
        <v>45945.0</v>
      </c>
      <c r="J916" s="6" t="s">
        <v>6863</v>
      </c>
    </row>
    <row r="917">
      <c r="A917" s="6">
        <v>913.0</v>
      </c>
      <c r="B917" s="6" t="s">
        <v>811</v>
      </c>
      <c r="C917" s="12" t="s">
        <v>5759</v>
      </c>
      <c r="D917" s="6" t="s">
        <v>5737</v>
      </c>
      <c r="E917" s="6" t="s">
        <v>5760</v>
      </c>
      <c r="F917" s="15" t="s">
        <v>6866</v>
      </c>
      <c r="G917" s="6" t="s">
        <v>6868</v>
      </c>
      <c r="H917" s="6" t="s">
        <v>175</v>
      </c>
      <c r="I917" s="6" t="s">
        <v>953</v>
      </c>
      <c r="J917" s="6" t="s">
        <v>953</v>
      </c>
    </row>
    <row r="918">
      <c r="A918" s="6">
        <v>914.0</v>
      </c>
      <c r="B918" s="6" t="s">
        <v>240</v>
      </c>
      <c r="C918" s="12" t="s">
        <v>5764</v>
      </c>
      <c r="D918" s="6" t="s">
        <v>5737</v>
      </c>
      <c r="E918" s="6" t="s">
        <v>5765</v>
      </c>
      <c r="F918" s="15" t="s">
        <v>6869</v>
      </c>
      <c r="G918" s="6" t="s">
        <v>6873</v>
      </c>
      <c r="H918" s="6" t="s">
        <v>175</v>
      </c>
      <c r="I918" s="6" t="s">
        <v>953</v>
      </c>
      <c r="J918" s="6" t="s">
        <v>953</v>
      </c>
    </row>
    <row r="919">
      <c r="A919" s="6">
        <v>915.0</v>
      </c>
      <c r="B919" s="6" t="s">
        <v>178</v>
      </c>
      <c r="C919" s="12" t="s">
        <v>5769</v>
      </c>
      <c r="D919" s="6" t="s">
        <v>5737</v>
      </c>
      <c r="E919" s="6" t="s">
        <v>5770</v>
      </c>
      <c r="F919" s="15" t="s">
        <v>6874</v>
      </c>
      <c r="G919" s="6" t="s">
        <v>6879</v>
      </c>
      <c r="H919" s="6" t="s">
        <v>175</v>
      </c>
      <c r="I919" s="6" t="s">
        <v>953</v>
      </c>
      <c r="J919" s="6" t="s">
        <v>953</v>
      </c>
    </row>
    <row r="920">
      <c r="A920" s="6">
        <v>916.0</v>
      </c>
      <c r="B920" s="6" t="s">
        <v>811</v>
      </c>
      <c r="C920" s="12" t="s">
        <v>942</v>
      </c>
      <c r="D920" s="6" t="s">
        <v>5737</v>
      </c>
      <c r="E920" s="6" t="s">
        <v>5774</v>
      </c>
      <c r="F920" s="15" t="s">
        <v>6880</v>
      </c>
      <c r="G920" s="6" t="s">
        <v>6882</v>
      </c>
      <c r="H920" s="6" t="s">
        <v>175</v>
      </c>
      <c r="I920" s="6" t="s">
        <v>953</v>
      </c>
      <c r="J920" s="6" t="s">
        <v>953</v>
      </c>
    </row>
    <row r="921">
      <c r="A921" s="6">
        <v>917.0</v>
      </c>
      <c r="B921" s="6" t="s">
        <v>41</v>
      </c>
      <c r="C921" s="12" t="s">
        <v>942</v>
      </c>
      <c r="D921" s="6" t="s">
        <v>5737</v>
      </c>
      <c r="E921" s="6" t="s">
        <v>5778</v>
      </c>
      <c r="F921" s="15" t="s">
        <v>6884</v>
      </c>
      <c r="G921" s="6" t="s">
        <v>6886</v>
      </c>
      <c r="H921" s="6" t="s">
        <v>175</v>
      </c>
      <c r="I921" s="6" t="s">
        <v>953</v>
      </c>
      <c r="J921" s="6" t="s">
        <v>953</v>
      </c>
    </row>
    <row r="922">
      <c r="A922" s="6">
        <v>918.0</v>
      </c>
      <c r="B922" s="6" t="s">
        <v>811</v>
      </c>
      <c r="C922" s="12" t="s">
        <v>942</v>
      </c>
      <c r="D922" s="6" t="s">
        <v>5737</v>
      </c>
      <c r="E922" s="6" t="s">
        <v>5782</v>
      </c>
      <c r="F922" s="15" t="s">
        <v>6887</v>
      </c>
      <c r="G922" s="6" t="s">
        <v>6889</v>
      </c>
      <c r="H922" s="6" t="s">
        <v>175</v>
      </c>
      <c r="I922" s="6" t="s">
        <v>953</v>
      </c>
      <c r="J922" s="6" t="s">
        <v>953</v>
      </c>
    </row>
    <row r="923">
      <c r="A923" s="6">
        <v>919.0</v>
      </c>
      <c r="B923" s="6" t="s">
        <v>251</v>
      </c>
      <c r="C923" s="12" t="s">
        <v>942</v>
      </c>
      <c r="D923" s="6" t="s">
        <v>5737</v>
      </c>
      <c r="E923" s="6" t="s">
        <v>5785</v>
      </c>
      <c r="F923" s="15" t="s">
        <v>6891</v>
      </c>
      <c r="G923" s="6" t="s">
        <v>6893</v>
      </c>
      <c r="H923" s="6" t="s">
        <v>175</v>
      </c>
      <c r="I923" s="6" t="s">
        <v>953</v>
      </c>
      <c r="J923" s="6" t="s">
        <v>953</v>
      </c>
    </row>
    <row r="924">
      <c r="A924" s="6">
        <v>920.0</v>
      </c>
      <c r="B924" s="6" t="s">
        <v>811</v>
      </c>
      <c r="C924" s="12" t="s">
        <v>5759</v>
      </c>
      <c r="D924" s="6" t="s">
        <v>5737</v>
      </c>
      <c r="E924" s="6" t="s">
        <v>5789</v>
      </c>
      <c r="F924" s="15" t="s">
        <v>6894</v>
      </c>
      <c r="G924" s="6" t="s">
        <v>6896</v>
      </c>
      <c r="H924" s="6" t="s">
        <v>175</v>
      </c>
      <c r="I924" s="6" t="s">
        <v>953</v>
      </c>
      <c r="J924" s="6" t="s">
        <v>953</v>
      </c>
    </row>
    <row r="925">
      <c r="A925" s="6">
        <v>921.0</v>
      </c>
      <c r="B925" s="6" t="s">
        <v>110</v>
      </c>
      <c r="C925" s="12" t="s">
        <v>5793</v>
      </c>
      <c r="D925" s="6" t="s">
        <v>5737</v>
      </c>
      <c r="E925" s="6" t="s">
        <v>5794</v>
      </c>
      <c r="F925" s="15" t="s">
        <v>6898</v>
      </c>
      <c r="G925" s="6" t="s">
        <v>6899</v>
      </c>
      <c r="H925" s="6" t="s">
        <v>175</v>
      </c>
      <c r="I925" s="6" t="s">
        <v>953</v>
      </c>
      <c r="J925" s="6" t="s">
        <v>953</v>
      </c>
    </row>
    <row r="926">
      <c r="A926" s="6">
        <v>922.0</v>
      </c>
      <c r="B926" s="6" t="s">
        <v>811</v>
      </c>
      <c r="C926" s="12" t="s">
        <v>942</v>
      </c>
      <c r="D926" s="6" t="s">
        <v>5737</v>
      </c>
      <c r="E926" s="6" t="s">
        <v>5738</v>
      </c>
      <c r="F926" s="15" t="s">
        <v>6900</v>
      </c>
      <c r="G926" s="6" t="s">
        <v>6902</v>
      </c>
      <c r="H926" s="6" t="s">
        <v>175</v>
      </c>
      <c r="I926" s="6" t="s">
        <v>953</v>
      </c>
      <c r="J926" s="6" t="s">
        <v>953</v>
      </c>
    </row>
    <row r="927">
      <c r="A927" s="6">
        <v>923.0</v>
      </c>
      <c r="B927" s="6" t="s">
        <v>811</v>
      </c>
      <c r="C927" s="12" t="s">
        <v>5742</v>
      </c>
      <c r="D927" s="6" t="s">
        <v>5737</v>
      </c>
      <c r="E927" s="6" t="s">
        <v>5743</v>
      </c>
      <c r="F927" s="15" t="s">
        <v>6904</v>
      </c>
      <c r="G927" s="6" t="s">
        <v>6906</v>
      </c>
      <c r="H927" s="6" t="s">
        <v>175</v>
      </c>
      <c r="I927" s="6" t="s">
        <v>953</v>
      </c>
      <c r="J927" s="6" t="s">
        <v>953</v>
      </c>
    </row>
    <row r="928">
      <c r="A928" s="6">
        <v>924.0</v>
      </c>
      <c r="B928" s="6" t="s">
        <v>811</v>
      </c>
      <c r="C928" s="12" t="s">
        <v>942</v>
      </c>
      <c r="D928" s="6" t="s">
        <v>5737</v>
      </c>
      <c r="E928" s="6" t="s">
        <v>5747</v>
      </c>
      <c r="F928" s="15" t="s">
        <v>6907</v>
      </c>
      <c r="G928" s="6" t="s">
        <v>6909</v>
      </c>
      <c r="H928" s="6" t="s">
        <v>175</v>
      </c>
      <c r="I928" s="6" t="s">
        <v>953</v>
      </c>
      <c r="J928" s="6" t="s">
        <v>953</v>
      </c>
    </row>
    <row r="929">
      <c r="A929" s="6">
        <v>925.0</v>
      </c>
      <c r="B929" s="6" t="s">
        <v>1001</v>
      </c>
      <c r="C929" s="12" t="s">
        <v>942</v>
      </c>
      <c r="D929" s="6" t="s">
        <v>5737</v>
      </c>
      <c r="E929" s="6" t="s">
        <v>5750</v>
      </c>
      <c r="F929" s="15" t="s">
        <v>6910</v>
      </c>
      <c r="G929" s="6" t="s">
        <v>6912</v>
      </c>
      <c r="H929" s="6" t="s">
        <v>175</v>
      </c>
      <c r="I929" s="6" t="s">
        <v>953</v>
      </c>
      <c r="J929" s="6" t="s">
        <v>953</v>
      </c>
    </row>
    <row r="930">
      <c r="A930" s="6">
        <v>926.0</v>
      </c>
      <c r="B930" s="6" t="s">
        <v>811</v>
      </c>
      <c r="C930" s="12" t="s">
        <v>5754</v>
      </c>
      <c r="D930" s="6" t="s">
        <v>5737</v>
      </c>
      <c r="E930" s="6" t="s">
        <v>5755</v>
      </c>
      <c r="F930" s="15" t="s">
        <v>6914</v>
      </c>
      <c r="G930" s="6" t="s">
        <v>6917</v>
      </c>
      <c r="H930" s="6" t="s">
        <v>175</v>
      </c>
      <c r="I930" s="6" t="s">
        <v>953</v>
      </c>
      <c r="J930" s="6" t="s">
        <v>953</v>
      </c>
    </row>
    <row r="931">
      <c r="A931" s="6">
        <v>927.0</v>
      </c>
      <c r="B931" s="6" t="s">
        <v>811</v>
      </c>
      <c r="C931" s="12" t="s">
        <v>5759</v>
      </c>
      <c r="D931" s="6" t="s">
        <v>5737</v>
      </c>
      <c r="E931" s="6" t="s">
        <v>5760</v>
      </c>
      <c r="F931" s="15" t="s">
        <v>6919</v>
      </c>
      <c r="G931" s="6" t="s">
        <v>6921</v>
      </c>
      <c r="H931" s="6" t="s">
        <v>175</v>
      </c>
      <c r="I931" s="6" t="s">
        <v>953</v>
      </c>
      <c r="J931" s="6" t="s">
        <v>953</v>
      </c>
    </row>
    <row r="932">
      <c r="A932" s="6">
        <v>928.0</v>
      </c>
      <c r="B932" s="6" t="s">
        <v>240</v>
      </c>
      <c r="C932" s="12" t="s">
        <v>5764</v>
      </c>
      <c r="D932" s="6" t="s">
        <v>5737</v>
      </c>
      <c r="E932" s="6" t="s">
        <v>5765</v>
      </c>
      <c r="F932" s="15" t="s">
        <v>6922</v>
      </c>
      <c r="G932" s="6" t="s">
        <v>6923</v>
      </c>
      <c r="H932" s="6" t="s">
        <v>175</v>
      </c>
      <c r="I932" s="6" t="s">
        <v>953</v>
      </c>
      <c r="J932" s="6" t="s">
        <v>953</v>
      </c>
    </row>
    <row r="933">
      <c r="A933" s="6">
        <v>929.0</v>
      </c>
      <c r="B933" s="6" t="s">
        <v>178</v>
      </c>
      <c r="C933" s="12" t="s">
        <v>5769</v>
      </c>
      <c r="D933" s="6" t="s">
        <v>5737</v>
      </c>
      <c r="E933" s="6" t="s">
        <v>5770</v>
      </c>
      <c r="F933" s="15" t="s">
        <v>6924</v>
      </c>
      <c r="G933" s="6" t="s">
        <v>6925</v>
      </c>
      <c r="H933" s="6" t="s">
        <v>175</v>
      </c>
      <c r="I933" s="6" t="s">
        <v>953</v>
      </c>
      <c r="J933" s="6" t="s">
        <v>953</v>
      </c>
    </row>
    <row r="934">
      <c r="A934" s="6">
        <v>930.0</v>
      </c>
      <c r="B934" s="6" t="s">
        <v>811</v>
      </c>
      <c r="C934" s="12" t="s">
        <v>942</v>
      </c>
      <c r="D934" s="6" t="s">
        <v>5737</v>
      </c>
      <c r="E934" s="6" t="s">
        <v>5774</v>
      </c>
      <c r="F934" s="15" t="s">
        <v>6926</v>
      </c>
      <c r="G934" s="6" t="s">
        <v>6927</v>
      </c>
      <c r="H934" s="6" t="s">
        <v>175</v>
      </c>
      <c r="I934" s="6" t="s">
        <v>953</v>
      </c>
      <c r="J934" s="6" t="s">
        <v>953</v>
      </c>
    </row>
    <row r="935">
      <c r="A935" s="6">
        <v>931.0</v>
      </c>
      <c r="B935" s="6" t="s">
        <v>41</v>
      </c>
      <c r="C935" s="12" t="s">
        <v>942</v>
      </c>
      <c r="D935" s="6" t="s">
        <v>5737</v>
      </c>
      <c r="E935" s="6" t="s">
        <v>5778</v>
      </c>
      <c r="F935" s="15" t="s">
        <v>6928</v>
      </c>
      <c r="G935" s="6" t="s">
        <v>6929</v>
      </c>
      <c r="H935" s="6" t="s">
        <v>175</v>
      </c>
      <c r="I935" s="6" t="s">
        <v>953</v>
      </c>
      <c r="J935" s="6" t="s">
        <v>953</v>
      </c>
    </row>
    <row r="936">
      <c r="A936" s="6">
        <v>932.0</v>
      </c>
      <c r="B936" s="6" t="s">
        <v>811</v>
      </c>
      <c r="C936" s="12" t="s">
        <v>942</v>
      </c>
      <c r="D936" s="6" t="s">
        <v>5737</v>
      </c>
      <c r="E936" s="6" t="s">
        <v>5782</v>
      </c>
      <c r="F936" s="15" t="s">
        <v>6930</v>
      </c>
      <c r="G936" s="6" t="s">
        <v>6931</v>
      </c>
      <c r="H936" s="6" t="s">
        <v>175</v>
      </c>
      <c r="I936" s="6" t="s">
        <v>953</v>
      </c>
      <c r="J936" s="6" t="s">
        <v>953</v>
      </c>
    </row>
    <row r="937">
      <c r="A937" s="6">
        <v>933.0</v>
      </c>
      <c r="B937" s="6" t="s">
        <v>251</v>
      </c>
      <c r="C937" s="12" t="s">
        <v>942</v>
      </c>
      <c r="D937" s="6" t="s">
        <v>5737</v>
      </c>
      <c r="E937" s="6" t="s">
        <v>5785</v>
      </c>
      <c r="F937" s="15" t="s">
        <v>6932</v>
      </c>
      <c r="G937" s="6" t="s">
        <v>6933</v>
      </c>
      <c r="H937" s="6" t="s">
        <v>175</v>
      </c>
      <c r="I937" s="6" t="s">
        <v>953</v>
      </c>
      <c r="J937" s="6" t="s">
        <v>953</v>
      </c>
    </row>
    <row r="938">
      <c r="A938" s="6">
        <v>934.0</v>
      </c>
      <c r="B938" s="6" t="s">
        <v>811</v>
      </c>
      <c r="C938" s="12" t="s">
        <v>5759</v>
      </c>
      <c r="D938" s="6" t="s">
        <v>5737</v>
      </c>
      <c r="E938" s="6" t="s">
        <v>5789</v>
      </c>
      <c r="F938" s="15" t="s">
        <v>6934</v>
      </c>
      <c r="G938" s="6" t="s">
        <v>6935</v>
      </c>
      <c r="H938" s="6" t="s">
        <v>175</v>
      </c>
      <c r="I938" s="6" t="s">
        <v>953</v>
      </c>
      <c r="J938" s="6" t="s">
        <v>953</v>
      </c>
    </row>
    <row r="939">
      <c r="A939" s="6">
        <v>935.0</v>
      </c>
      <c r="B939" s="6" t="s">
        <v>110</v>
      </c>
      <c r="C939" s="12" t="s">
        <v>5793</v>
      </c>
      <c r="D939" s="6" t="s">
        <v>5737</v>
      </c>
      <c r="E939" s="6" t="s">
        <v>5794</v>
      </c>
      <c r="F939" s="15" t="s">
        <v>6936</v>
      </c>
      <c r="G939" s="6" t="s">
        <v>6937</v>
      </c>
      <c r="H939" s="6" t="s">
        <v>175</v>
      </c>
      <c r="I939" s="6" t="s">
        <v>953</v>
      </c>
      <c r="J939" s="6" t="s">
        <v>953</v>
      </c>
    </row>
    <row r="940">
      <c r="A940" s="6">
        <v>936.0</v>
      </c>
      <c r="B940" s="6" t="s">
        <v>811</v>
      </c>
      <c r="C940" s="12" t="s">
        <v>942</v>
      </c>
      <c r="D940" s="6" t="s">
        <v>5737</v>
      </c>
      <c r="E940" s="6" t="s">
        <v>5738</v>
      </c>
      <c r="F940" s="15" t="s">
        <v>6938</v>
      </c>
      <c r="G940" s="6" t="s">
        <v>6939</v>
      </c>
      <c r="H940" s="6" t="s">
        <v>175</v>
      </c>
      <c r="I940" s="6" t="s">
        <v>953</v>
      </c>
      <c r="J940" s="6" t="s">
        <v>953</v>
      </c>
    </row>
    <row r="941">
      <c r="A941" s="6">
        <v>937.0</v>
      </c>
      <c r="B941" s="6" t="s">
        <v>811</v>
      </c>
      <c r="C941" s="12" t="s">
        <v>5742</v>
      </c>
      <c r="D941" s="6" t="s">
        <v>5737</v>
      </c>
      <c r="E941" s="6" t="s">
        <v>5743</v>
      </c>
      <c r="F941" s="15" t="s">
        <v>6940</v>
      </c>
      <c r="G941" s="6" t="s">
        <v>6941</v>
      </c>
      <c r="H941" s="6" t="s">
        <v>175</v>
      </c>
      <c r="I941" s="6" t="s">
        <v>953</v>
      </c>
      <c r="J941" s="6" t="s">
        <v>953</v>
      </c>
    </row>
    <row r="942">
      <c r="A942" s="6">
        <v>938.0</v>
      </c>
      <c r="B942" s="6" t="s">
        <v>811</v>
      </c>
      <c r="C942" s="12" t="s">
        <v>942</v>
      </c>
      <c r="D942" s="6" t="s">
        <v>5737</v>
      </c>
      <c r="E942" s="6" t="s">
        <v>5747</v>
      </c>
      <c r="F942" s="15" t="s">
        <v>6942</v>
      </c>
      <c r="G942" s="6" t="s">
        <v>6943</v>
      </c>
      <c r="H942" s="6" t="s">
        <v>175</v>
      </c>
      <c r="I942" s="6" t="s">
        <v>953</v>
      </c>
      <c r="J942" s="6" t="s">
        <v>953</v>
      </c>
    </row>
    <row r="943">
      <c r="A943" s="6">
        <v>939.0</v>
      </c>
      <c r="B943" s="6" t="s">
        <v>1001</v>
      </c>
      <c r="C943" s="12" t="s">
        <v>942</v>
      </c>
      <c r="D943" s="6" t="s">
        <v>5737</v>
      </c>
      <c r="E943" s="6" t="s">
        <v>5750</v>
      </c>
      <c r="F943" s="15" t="s">
        <v>6944</v>
      </c>
      <c r="G943" s="6" t="s">
        <v>6945</v>
      </c>
      <c r="H943" s="6" t="s">
        <v>175</v>
      </c>
      <c r="I943" s="6" t="s">
        <v>953</v>
      </c>
      <c r="J943" s="6" t="s">
        <v>953</v>
      </c>
    </row>
    <row r="944">
      <c r="A944" s="6">
        <v>940.0</v>
      </c>
      <c r="B944" s="6" t="s">
        <v>811</v>
      </c>
      <c r="C944" s="12" t="s">
        <v>5754</v>
      </c>
      <c r="D944" s="6" t="s">
        <v>5737</v>
      </c>
      <c r="E944" s="6" t="s">
        <v>5755</v>
      </c>
      <c r="F944" s="15" t="s">
        <v>6946</v>
      </c>
      <c r="G944" s="6" t="s">
        <v>6947</v>
      </c>
      <c r="H944" s="6" t="s">
        <v>175</v>
      </c>
      <c r="I944" s="6" t="s">
        <v>953</v>
      </c>
      <c r="J944" s="6" t="s">
        <v>953</v>
      </c>
    </row>
    <row r="945">
      <c r="A945" s="6">
        <v>941.0</v>
      </c>
      <c r="B945" s="6" t="s">
        <v>811</v>
      </c>
      <c r="C945" s="12" t="s">
        <v>5759</v>
      </c>
      <c r="D945" s="6" t="s">
        <v>5737</v>
      </c>
      <c r="E945" s="6" t="s">
        <v>5760</v>
      </c>
      <c r="F945" s="15" t="s">
        <v>6948</v>
      </c>
      <c r="G945" s="6" t="s">
        <v>6949</v>
      </c>
      <c r="H945" s="6" t="s">
        <v>175</v>
      </c>
      <c r="I945" s="6" t="s">
        <v>953</v>
      </c>
      <c r="J945" s="6" t="s">
        <v>953</v>
      </c>
    </row>
    <row r="946">
      <c r="A946" s="6">
        <v>942.0</v>
      </c>
      <c r="B946" s="6" t="s">
        <v>240</v>
      </c>
      <c r="C946" s="12" t="s">
        <v>5764</v>
      </c>
      <c r="D946" s="6" t="s">
        <v>5737</v>
      </c>
      <c r="E946" s="6" t="s">
        <v>5765</v>
      </c>
      <c r="F946" s="15" t="s">
        <v>6950</v>
      </c>
      <c r="G946" s="6" t="s">
        <v>6952</v>
      </c>
      <c r="H946" s="6" t="s">
        <v>175</v>
      </c>
      <c r="I946" s="6" t="s">
        <v>953</v>
      </c>
      <c r="J946" s="6" t="s">
        <v>953</v>
      </c>
    </row>
    <row r="947">
      <c r="A947" s="6">
        <v>943.0</v>
      </c>
      <c r="B947" s="6" t="s">
        <v>178</v>
      </c>
      <c r="C947" s="12" t="s">
        <v>5769</v>
      </c>
      <c r="D947" s="6" t="s">
        <v>5737</v>
      </c>
      <c r="E947" s="6" t="s">
        <v>5770</v>
      </c>
      <c r="F947" s="15" t="s">
        <v>6953</v>
      </c>
      <c r="G947" s="6" t="s">
        <v>6954</v>
      </c>
      <c r="H947" s="6" t="s">
        <v>175</v>
      </c>
      <c r="I947" s="6" t="s">
        <v>953</v>
      </c>
      <c r="J947" s="6" t="s">
        <v>953</v>
      </c>
    </row>
    <row r="948">
      <c r="A948" s="6">
        <v>944.0</v>
      </c>
      <c r="B948" s="6" t="s">
        <v>811</v>
      </c>
      <c r="C948" s="12" t="s">
        <v>942</v>
      </c>
      <c r="D948" s="6" t="s">
        <v>5737</v>
      </c>
      <c r="E948" s="6" t="s">
        <v>5774</v>
      </c>
      <c r="F948" s="15" t="s">
        <v>6955</v>
      </c>
      <c r="G948" s="6" t="s">
        <v>6956</v>
      </c>
      <c r="H948" s="6" t="s">
        <v>175</v>
      </c>
      <c r="I948" s="6" t="s">
        <v>953</v>
      </c>
      <c r="J948" s="6" t="s">
        <v>953</v>
      </c>
    </row>
    <row r="949">
      <c r="A949" s="6">
        <v>945.0</v>
      </c>
      <c r="B949" s="6" t="s">
        <v>41</v>
      </c>
      <c r="C949" s="12" t="s">
        <v>942</v>
      </c>
      <c r="D949" s="6" t="s">
        <v>5737</v>
      </c>
      <c r="E949" s="6" t="s">
        <v>5778</v>
      </c>
      <c r="F949" s="15" t="s">
        <v>6957</v>
      </c>
      <c r="G949" s="6" t="s">
        <v>6958</v>
      </c>
      <c r="H949" s="6" t="s">
        <v>175</v>
      </c>
      <c r="I949" s="6" t="s">
        <v>953</v>
      </c>
      <c r="J949" s="6" t="s">
        <v>953</v>
      </c>
    </row>
    <row r="950">
      <c r="A950" s="6">
        <v>946.0</v>
      </c>
      <c r="B950" s="6" t="s">
        <v>811</v>
      </c>
      <c r="C950" s="12" t="s">
        <v>942</v>
      </c>
      <c r="D950" s="6" t="s">
        <v>5737</v>
      </c>
      <c r="E950" s="6" t="s">
        <v>5782</v>
      </c>
      <c r="F950" s="15" t="s">
        <v>6959</v>
      </c>
      <c r="G950" s="6" t="s">
        <v>6960</v>
      </c>
      <c r="H950" s="6" t="s">
        <v>175</v>
      </c>
      <c r="I950" s="6" t="s">
        <v>953</v>
      </c>
      <c r="J950" s="6" t="s">
        <v>953</v>
      </c>
    </row>
    <row r="951">
      <c r="A951" s="6">
        <v>947.0</v>
      </c>
      <c r="B951" s="6" t="s">
        <v>251</v>
      </c>
      <c r="C951" s="12" t="s">
        <v>942</v>
      </c>
      <c r="D951" s="6" t="s">
        <v>5737</v>
      </c>
      <c r="E951" s="6" t="s">
        <v>5785</v>
      </c>
      <c r="F951" s="15" t="s">
        <v>6961</v>
      </c>
      <c r="G951" s="6" t="s">
        <v>6962</v>
      </c>
      <c r="H951" s="6" t="s">
        <v>175</v>
      </c>
      <c r="I951" s="6" t="s">
        <v>953</v>
      </c>
      <c r="J951" s="6" t="s">
        <v>953</v>
      </c>
    </row>
    <row r="952">
      <c r="A952" s="6">
        <v>948.0</v>
      </c>
      <c r="B952" s="6" t="s">
        <v>811</v>
      </c>
      <c r="C952" s="12" t="s">
        <v>5759</v>
      </c>
      <c r="D952" s="6" t="s">
        <v>5737</v>
      </c>
      <c r="E952" s="6" t="s">
        <v>5789</v>
      </c>
      <c r="F952" s="15" t="s">
        <v>6963</v>
      </c>
      <c r="G952" s="6" t="s">
        <v>6964</v>
      </c>
      <c r="H952" s="6" t="s">
        <v>175</v>
      </c>
      <c r="I952" s="6" t="s">
        <v>953</v>
      </c>
      <c r="J952" s="6" t="s">
        <v>953</v>
      </c>
    </row>
    <row r="953">
      <c r="A953" s="6">
        <v>949.0</v>
      </c>
      <c r="B953" s="6" t="s">
        <v>110</v>
      </c>
      <c r="C953" s="12" t="s">
        <v>5793</v>
      </c>
      <c r="D953" s="6" t="s">
        <v>5737</v>
      </c>
      <c r="E953" s="6" t="s">
        <v>5794</v>
      </c>
      <c r="F953" s="15" t="s">
        <v>6965</v>
      </c>
      <c r="G953" s="6" t="s">
        <v>6966</v>
      </c>
      <c r="H953" s="6" t="s">
        <v>175</v>
      </c>
      <c r="I953" s="6" t="s">
        <v>953</v>
      </c>
      <c r="J953" s="6" t="s">
        <v>953</v>
      </c>
    </row>
    <row r="954">
      <c r="A954" s="6">
        <v>950.0</v>
      </c>
      <c r="B954" s="6" t="s">
        <v>811</v>
      </c>
      <c r="C954" s="12" t="s">
        <v>942</v>
      </c>
      <c r="D954" s="6" t="s">
        <v>5737</v>
      </c>
      <c r="E954" s="6" t="s">
        <v>5738</v>
      </c>
      <c r="F954" s="15" t="s">
        <v>6967</v>
      </c>
      <c r="G954" s="6" t="s">
        <v>6968</v>
      </c>
      <c r="H954" s="6" t="s">
        <v>175</v>
      </c>
      <c r="I954" s="6" t="s">
        <v>953</v>
      </c>
      <c r="J954" s="6" t="s">
        <v>953</v>
      </c>
    </row>
    <row r="955">
      <c r="A955" s="6">
        <v>951.0</v>
      </c>
      <c r="B955" s="6" t="s">
        <v>811</v>
      </c>
      <c r="C955" s="12" t="s">
        <v>5742</v>
      </c>
      <c r="D955" s="6" t="s">
        <v>5737</v>
      </c>
      <c r="E955" s="6" t="s">
        <v>5743</v>
      </c>
      <c r="F955" s="15" t="s">
        <v>6969</v>
      </c>
      <c r="G955" s="6" t="s">
        <v>6970</v>
      </c>
      <c r="H955" s="6" t="s">
        <v>175</v>
      </c>
      <c r="I955" s="6" t="s">
        <v>953</v>
      </c>
      <c r="J955" s="6" t="s">
        <v>953</v>
      </c>
    </row>
    <row r="956">
      <c r="A956" s="6">
        <v>952.0</v>
      </c>
      <c r="B956" s="6" t="s">
        <v>811</v>
      </c>
      <c r="C956" s="12" t="s">
        <v>942</v>
      </c>
      <c r="D956" s="6" t="s">
        <v>5737</v>
      </c>
      <c r="E956" s="6" t="s">
        <v>5747</v>
      </c>
      <c r="F956" s="15" t="s">
        <v>6971</v>
      </c>
      <c r="G956" s="6" t="s">
        <v>6972</v>
      </c>
      <c r="H956" s="6" t="s">
        <v>175</v>
      </c>
      <c r="I956" s="6" t="s">
        <v>953</v>
      </c>
      <c r="J956" s="6" t="s">
        <v>953</v>
      </c>
    </row>
    <row r="957">
      <c r="A957" s="6">
        <v>953.0</v>
      </c>
      <c r="B957" s="6" t="s">
        <v>1001</v>
      </c>
      <c r="C957" s="12" t="s">
        <v>942</v>
      </c>
      <c r="D957" s="6" t="s">
        <v>5737</v>
      </c>
      <c r="E957" s="6" t="s">
        <v>5750</v>
      </c>
      <c r="F957" s="15" t="s">
        <v>6973</v>
      </c>
      <c r="G957" s="6" t="s">
        <v>6974</v>
      </c>
      <c r="H957" s="6" t="s">
        <v>175</v>
      </c>
      <c r="I957" s="6" t="s">
        <v>953</v>
      </c>
      <c r="J957" s="6" t="s">
        <v>953</v>
      </c>
    </row>
    <row r="958">
      <c r="A958" s="6">
        <v>954.0</v>
      </c>
      <c r="B958" s="6" t="s">
        <v>811</v>
      </c>
      <c r="C958" s="12" t="s">
        <v>5754</v>
      </c>
      <c r="D958" s="6" t="s">
        <v>5737</v>
      </c>
      <c r="E958" s="6" t="s">
        <v>5755</v>
      </c>
      <c r="F958" s="15" t="s">
        <v>6975</v>
      </c>
      <c r="G958" s="6" t="s">
        <v>6976</v>
      </c>
      <c r="H958" s="6" t="s">
        <v>175</v>
      </c>
      <c r="I958" s="6" t="s">
        <v>953</v>
      </c>
      <c r="J958" s="6" t="s">
        <v>953</v>
      </c>
    </row>
    <row r="959">
      <c r="A959" s="6">
        <v>955.0</v>
      </c>
      <c r="B959" s="6" t="s">
        <v>811</v>
      </c>
      <c r="C959" s="12" t="s">
        <v>5759</v>
      </c>
      <c r="D959" s="6" t="s">
        <v>5737</v>
      </c>
      <c r="E959" s="6" t="s">
        <v>5760</v>
      </c>
      <c r="F959" s="15" t="s">
        <v>6977</v>
      </c>
      <c r="G959" s="6" t="s">
        <v>6978</v>
      </c>
      <c r="H959" s="6" t="s">
        <v>175</v>
      </c>
      <c r="I959" s="6" t="s">
        <v>953</v>
      </c>
      <c r="J959" s="6" t="s">
        <v>953</v>
      </c>
    </row>
    <row r="960">
      <c r="A960" s="6">
        <v>956.0</v>
      </c>
      <c r="B960" s="6" t="s">
        <v>240</v>
      </c>
      <c r="C960" s="12" t="s">
        <v>5764</v>
      </c>
      <c r="D960" s="6" t="s">
        <v>5737</v>
      </c>
      <c r="E960" s="6" t="s">
        <v>5765</v>
      </c>
      <c r="F960" s="15" t="s">
        <v>6979</v>
      </c>
      <c r="G960" s="6" t="s">
        <v>6980</v>
      </c>
      <c r="H960" s="6" t="s">
        <v>175</v>
      </c>
      <c r="I960" s="6" t="s">
        <v>953</v>
      </c>
      <c r="J960" s="6" t="s">
        <v>953</v>
      </c>
    </row>
    <row r="961">
      <c r="A961" s="6">
        <v>957.0</v>
      </c>
      <c r="B961" s="6" t="s">
        <v>178</v>
      </c>
      <c r="C961" s="12" t="s">
        <v>5769</v>
      </c>
      <c r="D961" s="6" t="s">
        <v>5737</v>
      </c>
      <c r="E961" s="6" t="s">
        <v>5770</v>
      </c>
      <c r="F961" s="15" t="s">
        <v>6981</v>
      </c>
      <c r="G961" s="6" t="s">
        <v>6982</v>
      </c>
      <c r="H961" s="6" t="s">
        <v>175</v>
      </c>
      <c r="I961" s="6" t="s">
        <v>953</v>
      </c>
      <c r="J961" s="6" t="s">
        <v>953</v>
      </c>
    </row>
    <row r="962">
      <c r="A962" s="6">
        <v>958.0</v>
      </c>
      <c r="B962" s="6" t="s">
        <v>811</v>
      </c>
      <c r="C962" s="12" t="s">
        <v>942</v>
      </c>
      <c r="D962" s="6" t="s">
        <v>5737</v>
      </c>
      <c r="E962" s="6" t="s">
        <v>5774</v>
      </c>
      <c r="F962" s="15" t="s">
        <v>6983</v>
      </c>
      <c r="G962" s="6" t="s">
        <v>6984</v>
      </c>
      <c r="H962" s="6" t="s">
        <v>175</v>
      </c>
      <c r="I962" s="6" t="s">
        <v>953</v>
      </c>
      <c r="J962" s="6" t="s">
        <v>953</v>
      </c>
    </row>
    <row r="963">
      <c r="A963" s="6">
        <v>959.0</v>
      </c>
      <c r="B963" s="6" t="s">
        <v>41</v>
      </c>
      <c r="C963" s="12" t="s">
        <v>942</v>
      </c>
      <c r="D963" s="6" t="s">
        <v>5737</v>
      </c>
      <c r="E963" s="6" t="s">
        <v>5778</v>
      </c>
      <c r="F963" s="15" t="s">
        <v>6985</v>
      </c>
      <c r="G963" s="6" t="s">
        <v>6986</v>
      </c>
      <c r="H963" s="6" t="s">
        <v>175</v>
      </c>
      <c r="I963" s="6" t="s">
        <v>953</v>
      </c>
      <c r="J963" s="6" t="s">
        <v>953</v>
      </c>
    </row>
    <row r="964">
      <c r="A964" s="6">
        <v>960.0</v>
      </c>
      <c r="B964" s="6" t="s">
        <v>811</v>
      </c>
      <c r="C964" s="12" t="s">
        <v>942</v>
      </c>
      <c r="D964" s="6" t="s">
        <v>5737</v>
      </c>
      <c r="E964" s="6" t="s">
        <v>5782</v>
      </c>
      <c r="F964" s="15" t="s">
        <v>6987</v>
      </c>
      <c r="G964" s="6" t="s">
        <v>6988</v>
      </c>
      <c r="H964" s="6" t="s">
        <v>175</v>
      </c>
      <c r="I964" s="6" t="s">
        <v>953</v>
      </c>
      <c r="J964" s="6" t="s">
        <v>953</v>
      </c>
    </row>
    <row r="965">
      <c r="A965" s="6">
        <v>961.0</v>
      </c>
      <c r="B965" s="6" t="s">
        <v>251</v>
      </c>
      <c r="C965" s="12" t="s">
        <v>942</v>
      </c>
      <c r="D965" s="6" t="s">
        <v>5737</v>
      </c>
      <c r="E965" s="6" t="s">
        <v>5785</v>
      </c>
      <c r="F965" s="15" t="s">
        <v>6989</v>
      </c>
      <c r="G965" s="6" t="s">
        <v>6990</v>
      </c>
      <c r="H965" s="6" t="s">
        <v>175</v>
      </c>
      <c r="I965" s="6" t="s">
        <v>953</v>
      </c>
      <c r="J965" s="6" t="s">
        <v>953</v>
      </c>
    </row>
    <row r="966">
      <c r="A966" s="6">
        <v>962.0</v>
      </c>
      <c r="B966" s="6" t="s">
        <v>811</v>
      </c>
      <c r="C966" s="12" t="s">
        <v>5759</v>
      </c>
      <c r="D966" s="6" t="s">
        <v>5737</v>
      </c>
      <c r="E966" s="6" t="s">
        <v>5789</v>
      </c>
      <c r="F966" s="15" t="s">
        <v>6991</v>
      </c>
      <c r="G966" s="6" t="s">
        <v>6992</v>
      </c>
      <c r="H966" s="6" t="s">
        <v>175</v>
      </c>
      <c r="I966" s="6" t="s">
        <v>953</v>
      </c>
      <c r="J966" s="6" t="s">
        <v>953</v>
      </c>
    </row>
    <row r="967">
      <c r="A967" s="6">
        <v>963.0</v>
      </c>
      <c r="B967" s="6" t="s">
        <v>110</v>
      </c>
      <c r="C967" s="12" t="s">
        <v>5793</v>
      </c>
      <c r="D967" s="6" t="s">
        <v>5737</v>
      </c>
      <c r="E967" s="6" t="s">
        <v>5794</v>
      </c>
      <c r="F967" s="15" t="s">
        <v>6993</v>
      </c>
      <c r="G967" s="6" t="s">
        <v>6994</v>
      </c>
      <c r="H967" s="6" t="s">
        <v>175</v>
      </c>
      <c r="I967" s="6" t="s">
        <v>953</v>
      </c>
      <c r="J967" s="6" t="s">
        <v>953</v>
      </c>
    </row>
    <row r="968">
      <c r="A968" s="6">
        <v>964.0</v>
      </c>
      <c r="B968" s="6" t="s">
        <v>811</v>
      </c>
      <c r="C968" s="12" t="s">
        <v>942</v>
      </c>
      <c r="D968" s="6" t="s">
        <v>5737</v>
      </c>
      <c r="E968" s="6" t="s">
        <v>5738</v>
      </c>
      <c r="F968" s="15" t="s">
        <v>6995</v>
      </c>
      <c r="G968" s="6" t="s">
        <v>6996</v>
      </c>
      <c r="H968" s="6" t="s">
        <v>175</v>
      </c>
      <c r="I968" s="6" t="s">
        <v>953</v>
      </c>
      <c r="J968" s="6" t="s">
        <v>953</v>
      </c>
    </row>
    <row r="969">
      <c r="A969" s="6">
        <v>965.0</v>
      </c>
      <c r="B969" s="6" t="s">
        <v>811</v>
      </c>
      <c r="C969" s="12" t="s">
        <v>5742</v>
      </c>
      <c r="D969" s="6" t="s">
        <v>5737</v>
      </c>
      <c r="E969" s="6" t="s">
        <v>5743</v>
      </c>
      <c r="F969" s="15" t="s">
        <v>6997</v>
      </c>
      <c r="G969" s="6" t="s">
        <v>6998</v>
      </c>
      <c r="H969" s="6" t="s">
        <v>175</v>
      </c>
      <c r="I969" s="6" t="s">
        <v>953</v>
      </c>
      <c r="J969" s="6" t="s">
        <v>953</v>
      </c>
    </row>
    <row r="970">
      <c r="A970" s="6">
        <v>966.0</v>
      </c>
      <c r="B970" s="6" t="s">
        <v>811</v>
      </c>
      <c r="C970" s="12" t="s">
        <v>942</v>
      </c>
      <c r="D970" s="6" t="s">
        <v>5737</v>
      </c>
      <c r="E970" s="6" t="s">
        <v>5747</v>
      </c>
      <c r="F970" s="15" t="s">
        <v>6999</v>
      </c>
      <c r="G970" s="6" t="s">
        <v>7000</v>
      </c>
      <c r="H970" s="6" t="s">
        <v>175</v>
      </c>
      <c r="I970" s="6" t="s">
        <v>953</v>
      </c>
      <c r="J970" s="6" t="s">
        <v>953</v>
      </c>
    </row>
    <row r="971">
      <c r="A971" s="6">
        <v>967.0</v>
      </c>
      <c r="B971" s="6" t="s">
        <v>1001</v>
      </c>
      <c r="C971" s="12" t="s">
        <v>942</v>
      </c>
      <c r="D971" s="6" t="s">
        <v>5737</v>
      </c>
      <c r="E971" s="6" t="s">
        <v>5750</v>
      </c>
      <c r="F971" s="15" t="s">
        <v>7001</v>
      </c>
      <c r="G971" s="6" t="s">
        <v>7002</v>
      </c>
      <c r="H971" s="6" t="s">
        <v>175</v>
      </c>
      <c r="I971" s="6" t="s">
        <v>953</v>
      </c>
      <c r="J971" s="6" t="s">
        <v>953</v>
      </c>
    </row>
    <row r="972">
      <c r="A972" s="6">
        <v>968.0</v>
      </c>
      <c r="B972" s="6" t="s">
        <v>811</v>
      </c>
      <c r="C972" s="12" t="s">
        <v>5754</v>
      </c>
      <c r="D972" s="6" t="s">
        <v>5737</v>
      </c>
      <c r="E972" s="6" t="s">
        <v>5755</v>
      </c>
      <c r="F972" s="15" t="s">
        <v>7003</v>
      </c>
      <c r="G972" s="6" t="s">
        <v>7004</v>
      </c>
      <c r="H972" s="6" t="s">
        <v>175</v>
      </c>
      <c r="I972" s="6" t="s">
        <v>953</v>
      </c>
      <c r="J972" s="6" t="s">
        <v>953</v>
      </c>
    </row>
    <row r="973">
      <c r="A973" s="6">
        <v>969.0</v>
      </c>
      <c r="B973" s="6" t="s">
        <v>811</v>
      </c>
      <c r="C973" s="12" t="s">
        <v>5759</v>
      </c>
      <c r="D973" s="6" t="s">
        <v>5737</v>
      </c>
      <c r="E973" s="6" t="s">
        <v>5760</v>
      </c>
      <c r="F973" s="15" t="s">
        <v>7005</v>
      </c>
      <c r="G973" s="6" t="s">
        <v>7006</v>
      </c>
      <c r="H973" s="6" t="s">
        <v>175</v>
      </c>
      <c r="I973" s="6" t="s">
        <v>953</v>
      </c>
      <c r="J973" s="6" t="s">
        <v>953</v>
      </c>
    </row>
    <row r="974">
      <c r="A974" s="6">
        <v>970.0</v>
      </c>
      <c r="B974" s="6" t="s">
        <v>240</v>
      </c>
      <c r="C974" s="12" t="s">
        <v>5764</v>
      </c>
      <c r="D974" s="6" t="s">
        <v>5737</v>
      </c>
      <c r="E974" s="6" t="s">
        <v>5765</v>
      </c>
      <c r="F974" s="15" t="s">
        <v>7007</v>
      </c>
      <c r="G974" s="6" t="s">
        <v>7008</v>
      </c>
      <c r="H974" s="6" t="s">
        <v>175</v>
      </c>
      <c r="I974" s="6" t="s">
        <v>953</v>
      </c>
      <c r="J974" s="6" t="s">
        <v>953</v>
      </c>
    </row>
    <row r="975">
      <c r="A975" s="6">
        <v>971.0</v>
      </c>
      <c r="B975" s="6" t="s">
        <v>178</v>
      </c>
      <c r="C975" s="12" t="s">
        <v>5769</v>
      </c>
      <c r="D975" s="6" t="s">
        <v>5737</v>
      </c>
      <c r="E975" s="6" t="s">
        <v>5770</v>
      </c>
      <c r="F975" s="15" t="s">
        <v>7009</v>
      </c>
      <c r="G975" s="6" t="s">
        <v>7010</v>
      </c>
      <c r="H975" s="6" t="s">
        <v>175</v>
      </c>
      <c r="I975" s="6" t="s">
        <v>953</v>
      </c>
      <c r="J975" s="6" t="s">
        <v>953</v>
      </c>
    </row>
    <row r="976">
      <c r="A976" s="6">
        <v>972.0</v>
      </c>
      <c r="B976" s="6" t="s">
        <v>811</v>
      </c>
      <c r="C976" s="12" t="s">
        <v>942</v>
      </c>
      <c r="D976" s="6" t="s">
        <v>5737</v>
      </c>
      <c r="E976" s="6" t="s">
        <v>5774</v>
      </c>
      <c r="F976" s="15" t="s">
        <v>7011</v>
      </c>
      <c r="G976" s="6" t="s">
        <v>7012</v>
      </c>
      <c r="H976" s="6" t="s">
        <v>175</v>
      </c>
      <c r="I976" s="6" t="s">
        <v>953</v>
      </c>
      <c r="J976" s="6" t="s">
        <v>953</v>
      </c>
    </row>
    <row r="977">
      <c r="A977" s="6">
        <v>973.0</v>
      </c>
      <c r="B977" s="6" t="s">
        <v>41</v>
      </c>
      <c r="C977" s="12" t="s">
        <v>942</v>
      </c>
      <c r="D977" s="6" t="s">
        <v>5737</v>
      </c>
      <c r="E977" s="6" t="s">
        <v>5778</v>
      </c>
      <c r="F977" s="15" t="s">
        <v>7013</v>
      </c>
      <c r="G977" s="6" t="s">
        <v>7014</v>
      </c>
      <c r="H977" s="6" t="s">
        <v>175</v>
      </c>
      <c r="I977" s="6" t="s">
        <v>953</v>
      </c>
      <c r="J977" s="6" t="s">
        <v>953</v>
      </c>
    </row>
    <row r="978">
      <c r="A978" s="6">
        <v>974.0</v>
      </c>
      <c r="B978" s="6" t="s">
        <v>811</v>
      </c>
      <c r="C978" s="12" t="s">
        <v>942</v>
      </c>
      <c r="D978" s="6" t="s">
        <v>5737</v>
      </c>
      <c r="E978" s="6" t="s">
        <v>5782</v>
      </c>
      <c r="F978" s="15" t="s">
        <v>7015</v>
      </c>
      <c r="G978" s="6" t="s">
        <v>7016</v>
      </c>
      <c r="H978" s="6" t="s">
        <v>175</v>
      </c>
      <c r="I978" s="6" t="s">
        <v>953</v>
      </c>
      <c r="J978" s="6" t="s">
        <v>953</v>
      </c>
    </row>
    <row r="979">
      <c r="A979" s="6">
        <v>975.0</v>
      </c>
      <c r="B979" s="6" t="s">
        <v>251</v>
      </c>
      <c r="C979" s="12" t="s">
        <v>942</v>
      </c>
      <c r="D979" s="6" t="s">
        <v>5737</v>
      </c>
      <c r="E979" s="6" t="s">
        <v>5785</v>
      </c>
      <c r="F979" s="15" t="s">
        <v>7017</v>
      </c>
      <c r="G979" s="6" t="s">
        <v>7018</v>
      </c>
      <c r="H979" s="6" t="s">
        <v>175</v>
      </c>
      <c r="I979" s="6" t="s">
        <v>953</v>
      </c>
      <c r="J979" s="6" t="s">
        <v>953</v>
      </c>
    </row>
    <row r="980">
      <c r="A980" s="6">
        <v>976.0</v>
      </c>
      <c r="B980" s="6" t="s">
        <v>811</v>
      </c>
      <c r="C980" s="12" t="s">
        <v>5759</v>
      </c>
      <c r="D980" s="6" t="s">
        <v>5737</v>
      </c>
      <c r="E980" s="6" t="s">
        <v>5789</v>
      </c>
      <c r="F980" s="15" t="s">
        <v>7019</v>
      </c>
      <c r="G980" s="6" t="s">
        <v>7020</v>
      </c>
      <c r="H980" s="6" t="s">
        <v>175</v>
      </c>
      <c r="I980" s="6" t="s">
        <v>953</v>
      </c>
      <c r="J980" s="6" t="s">
        <v>953</v>
      </c>
    </row>
    <row r="981">
      <c r="A981" s="6">
        <v>977.0</v>
      </c>
      <c r="B981" s="6" t="s">
        <v>110</v>
      </c>
      <c r="C981" s="12" t="s">
        <v>5793</v>
      </c>
      <c r="D981" s="6" t="s">
        <v>5737</v>
      </c>
      <c r="E981" s="6" t="s">
        <v>5794</v>
      </c>
      <c r="F981" s="15" t="s">
        <v>7021</v>
      </c>
      <c r="G981" s="6" t="s">
        <v>7022</v>
      </c>
      <c r="H981" s="6" t="s">
        <v>175</v>
      </c>
      <c r="I981" s="6" t="s">
        <v>953</v>
      </c>
      <c r="J981" s="6" t="s">
        <v>953</v>
      </c>
    </row>
    <row r="982">
      <c r="A982" s="6">
        <v>978.0</v>
      </c>
      <c r="B982" s="6" t="s">
        <v>811</v>
      </c>
      <c r="C982" s="12" t="s">
        <v>942</v>
      </c>
      <c r="D982" s="6" t="s">
        <v>5737</v>
      </c>
      <c r="E982" s="6" t="s">
        <v>5738</v>
      </c>
      <c r="F982" s="15" t="s">
        <v>7023</v>
      </c>
      <c r="G982" s="6" t="s">
        <v>7024</v>
      </c>
      <c r="H982" s="6" t="s">
        <v>175</v>
      </c>
      <c r="I982" s="6" t="s">
        <v>953</v>
      </c>
      <c r="J982" s="6" t="s">
        <v>953</v>
      </c>
    </row>
    <row r="983">
      <c r="A983" s="6">
        <v>979.0</v>
      </c>
      <c r="B983" s="6" t="s">
        <v>811</v>
      </c>
      <c r="C983" s="12" t="s">
        <v>5742</v>
      </c>
      <c r="D983" s="6" t="s">
        <v>5737</v>
      </c>
      <c r="E983" s="6" t="s">
        <v>5743</v>
      </c>
      <c r="F983" s="15" t="s">
        <v>7025</v>
      </c>
      <c r="G983" s="6" t="s">
        <v>7026</v>
      </c>
      <c r="H983" s="6" t="s">
        <v>175</v>
      </c>
      <c r="I983" s="6" t="s">
        <v>953</v>
      </c>
      <c r="J983" s="6" t="s">
        <v>953</v>
      </c>
    </row>
    <row r="984">
      <c r="A984" s="6">
        <v>980.0</v>
      </c>
      <c r="B984" s="6" t="s">
        <v>811</v>
      </c>
      <c r="C984" s="12" t="s">
        <v>942</v>
      </c>
      <c r="D984" s="6" t="s">
        <v>5737</v>
      </c>
      <c r="E984" s="6" t="s">
        <v>5747</v>
      </c>
      <c r="F984" s="15" t="s">
        <v>7027</v>
      </c>
      <c r="G984" s="6" t="s">
        <v>7028</v>
      </c>
      <c r="H984" s="6" t="s">
        <v>175</v>
      </c>
      <c r="I984" s="6" t="s">
        <v>953</v>
      </c>
      <c r="J984" s="6" t="s">
        <v>953</v>
      </c>
    </row>
    <row r="985">
      <c r="A985" s="6">
        <v>981.0</v>
      </c>
      <c r="B985" s="6" t="s">
        <v>1001</v>
      </c>
      <c r="C985" s="12" t="s">
        <v>942</v>
      </c>
      <c r="D985" s="6" t="s">
        <v>5737</v>
      </c>
      <c r="E985" s="6" t="s">
        <v>5750</v>
      </c>
      <c r="F985" s="15" t="s">
        <v>7029</v>
      </c>
      <c r="G985" s="6" t="s">
        <v>7030</v>
      </c>
      <c r="H985" s="6" t="s">
        <v>175</v>
      </c>
      <c r="I985" s="6" t="s">
        <v>953</v>
      </c>
      <c r="J985" s="6" t="s">
        <v>953</v>
      </c>
    </row>
    <row r="986">
      <c r="A986" s="6">
        <v>982.0</v>
      </c>
      <c r="B986" s="6" t="s">
        <v>811</v>
      </c>
      <c r="C986" s="12" t="s">
        <v>5754</v>
      </c>
      <c r="D986" s="6" t="s">
        <v>5737</v>
      </c>
      <c r="E986" s="6" t="s">
        <v>5755</v>
      </c>
      <c r="F986" s="15" t="s">
        <v>7031</v>
      </c>
      <c r="G986" s="6" t="s">
        <v>7032</v>
      </c>
      <c r="H986" s="6" t="s">
        <v>175</v>
      </c>
      <c r="I986" s="6" t="s">
        <v>953</v>
      </c>
      <c r="J986" s="6" t="s">
        <v>953</v>
      </c>
    </row>
    <row r="987">
      <c r="A987" s="6">
        <v>983.0</v>
      </c>
      <c r="B987" s="6" t="s">
        <v>811</v>
      </c>
      <c r="C987" s="12" t="s">
        <v>5759</v>
      </c>
      <c r="D987" s="6" t="s">
        <v>5737</v>
      </c>
      <c r="E987" s="6" t="s">
        <v>5760</v>
      </c>
      <c r="F987" s="15" t="s">
        <v>7033</v>
      </c>
      <c r="G987" s="6" t="s">
        <v>7034</v>
      </c>
      <c r="H987" s="6" t="s">
        <v>175</v>
      </c>
      <c r="I987" s="6" t="s">
        <v>953</v>
      </c>
      <c r="J987" s="6" t="s">
        <v>953</v>
      </c>
    </row>
    <row r="988">
      <c r="A988" s="6">
        <v>984.0</v>
      </c>
      <c r="B988" s="6" t="s">
        <v>240</v>
      </c>
      <c r="C988" s="12" t="s">
        <v>5764</v>
      </c>
      <c r="D988" s="6" t="s">
        <v>5737</v>
      </c>
      <c r="E988" s="6" t="s">
        <v>5765</v>
      </c>
      <c r="F988" s="15" t="s">
        <v>7035</v>
      </c>
      <c r="G988" s="6" t="s">
        <v>7036</v>
      </c>
      <c r="H988" s="6" t="s">
        <v>175</v>
      </c>
      <c r="I988" s="6" t="s">
        <v>953</v>
      </c>
      <c r="J988" s="6" t="s">
        <v>953</v>
      </c>
    </row>
    <row r="989">
      <c r="A989" s="6">
        <v>985.0</v>
      </c>
      <c r="B989" s="6" t="s">
        <v>178</v>
      </c>
      <c r="C989" s="12" t="s">
        <v>5769</v>
      </c>
      <c r="D989" s="6" t="s">
        <v>5737</v>
      </c>
      <c r="E989" s="6" t="s">
        <v>5770</v>
      </c>
      <c r="F989" s="15" t="s">
        <v>7037</v>
      </c>
      <c r="G989" s="6" t="s">
        <v>7038</v>
      </c>
      <c r="H989" s="6" t="s">
        <v>175</v>
      </c>
      <c r="I989" s="6" t="s">
        <v>953</v>
      </c>
      <c r="J989" s="6" t="s">
        <v>953</v>
      </c>
    </row>
    <row r="990">
      <c r="A990" s="6">
        <v>986.0</v>
      </c>
      <c r="B990" s="6" t="s">
        <v>811</v>
      </c>
      <c r="C990" s="12" t="s">
        <v>942</v>
      </c>
      <c r="D990" s="6" t="s">
        <v>5737</v>
      </c>
      <c r="E990" s="6" t="s">
        <v>5774</v>
      </c>
      <c r="F990" s="15" t="s">
        <v>7039</v>
      </c>
      <c r="G990" s="6" t="s">
        <v>7040</v>
      </c>
      <c r="H990" s="6" t="s">
        <v>175</v>
      </c>
      <c r="I990" s="6" t="s">
        <v>953</v>
      </c>
      <c r="J990" s="6" t="s">
        <v>953</v>
      </c>
    </row>
    <row r="991">
      <c r="A991" s="6">
        <v>987.0</v>
      </c>
      <c r="B991" s="6" t="s">
        <v>41</v>
      </c>
      <c r="C991" s="12" t="s">
        <v>942</v>
      </c>
      <c r="D991" s="6" t="s">
        <v>5737</v>
      </c>
      <c r="E991" s="6" t="s">
        <v>5778</v>
      </c>
      <c r="F991" s="15" t="s">
        <v>7041</v>
      </c>
      <c r="G991" s="6" t="s">
        <v>7042</v>
      </c>
      <c r="H991" s="6" t="s">
        <v>175</v>
      </c>
      <c r="I991" s="6" t="s">
        <v>953</v>
      </c>
      <c r="J991" s="6" t="s">
        <v>953</v>
      </c>
    </row>
    <row r="992">
      <c r="A992" s="6">
        <v>988.0</v>
      </c>
      <c r="B992" s="6" t="s">
        <v>811</v>
      </c>
      <c r="C992" s="12" t="s">
        <v>942</v>
      </c>
      <c r="D992" s="6" t="s">
        <v>5737</v>
      </c>
      <c r="E992" s="6" t="s">
        <v>5782</v>
      </c>
      <c r="F992" s="15" t="s">
        <v>7043</v>
      </c>
      <c r="G992" s="6" t="s">
        <v>7044</v>
      </c>
      <c r="H992" s="6" t="s">
        <v>175</v>
      </c>
      <c r="I992" s="6" t="s">
        <v>953</v>
      </c>
      <c r="J992" s="6" t="s">
        <v>953</v>
      </c>
    </row>
    <row r="993">
      <c r="A993" s="6">
        <v>989.0</v>
      </c>
      <c r="B993" s="6" t="s">
        <v>251</v>
      </c>
      <c r="C993" s="12" t="s">
        <v>942</v>
      </c>
      <c r="D993" s="6" t="s">
        <v>5737</v>
      </c>
      <c r="E993" s="6" t="s">
        <v>5785</v>
      </c>
      <c r="F993" s="15" t="s">
        <v>7045</v>
      </c>
      <c r="G993" s="6" t="s">
        <v>7046</v>
      </c>
      <c r="H993" s="6" t="s">
        <v>175</v>
      </c>
      <c r="I993" s="6" t="s">
        <v>953</v>
      </c>
      <c r="J993" s="6" t="s">
        <v>953</v>
      </c>
    </row>
    <row r="994">
      <c r="A994" s="6">
        <v>990.0</v>
      </c>
      <c r="B994" s="6" t="s">
        <v>811</v>
      </c>
      <c r="C994" s="12" t="s">
        <v>5759</v>
      </c>
      <c r="D994" s="6" t="s">
        <v>5737</v>
      </c>
      <c r="E994" s="6" t="s">
        <v>5789</v>
      </c>
      <c r="F994" s="15" t="s">
        <v>7047</v>
      </c>
      <c r="G994" s="6" t="s">
        <v>7048</v>
      </c>
      <c r="H994" s="6" t="s">
        <v>175</v>
      </c>
      <c r="I994" s="6" t="s">
        <v>953</v>
      </c>
      <c r="J994" s="6" t="s">
        <v>953</v>
      </c>
    </row>
    <row r="995">
      <c r="A995" s="6">
        <v>991.0</v>
      </c>
      <c r="B995" s="6" t="s">
        <v>110</v>
      </c>
      <c r="C995" s="12" t="s">
        <v>5793</v>
      </c>
      <c r="D995" s="6" t="s">
        <v>5737</v>
      </c>
      <c r="E995" s="6" t="s">
        <v>5794</v>
      </c>
      <c r="F995" s="15" t="s">
        <v>7049</v>
      </c>
      <c r="G995" s="6" t="s">
        <v>7050</v>
      </c>
      <c r="H995" s="6" t="s">
        <v>175</v>
      </c>
      <c r="I995" s="6" t="s">
        <v>953</v>
      </c>
      <c r="J995" s="6" t="s">
        <v>953</v>
      </c>
    </row>
    <row r="996">
      <c r="A996" s="6">
        <v>992.0</v>
      </c>
      <c r="B996" s="6" t="s">
        <v>811</v>
      </c>
      <c r="C996" s="12" t="s">
        <v>942</v>
      </c>
      <c r="D996" s="6" t="s">
        <v>5737</v>
      </c>
      <c r="E996" s="6" t="s">
        <v>5738</v>
      </c>
      <c r="F996" s="15" t="s">
        <v>7051</v>
      </c>
      <c r="G996" s="6" t="s">
        <v>7052</v>
      </c>
      <c r="H996" s="6" t="s">
        <v>175</v>
      </c>
      <c r="I996" s="6" t="s">
        <v>953</v>
      </c>
      <c r="J996" s="6" t="s">
        <v>953</v>
      </c>
    </row>
    <row r="997">
      <c r="A997" s="6">
        <v>993.0</v>
      </c>
      <c r="B997" s="6" t="s">
        <v>811</v>
      </c>
      <c r="C997" s="12" t="s">
        <v>5742</v>
      </c>
      <c r="D997" s="6" t="s">
        <v>5737</v>
      </c>
      <c r="E997" s="6" t="s">
        <v>5743</v>
      </c>
      <c r="F997" s="15" t="s">
        <v>7053</v>
      </c>
      <c r="G997" s="6" t="s">
        <v>7054</v>
      </c>
      <c r="H997" s="6" t="s">
        <v>175</v>
      </c>
      <c r="I997" s="6" t="s">
        <v>953</v>
      </c>
      <c r="J997" s="6" t="s">
        <v>953</v>
      </c>
    </row>
    <row r="998">
      <c r="A998" s="6">
        <v>994.0</v>
      </c>
      <c r="B998" s="6" t="s">
        <v>811</v>
      </c>
      <c r="C998" s="12" t="s">
        <v>942</v>
      </c>
      <c r="D998" s="6" t="s">
        <v>5737</v>
      </c>
      <c r="E998" s="6" t="s">
        <v>5747</v>
      </c>
      <c r="F998" s="15" t="s">
        <v>7055</v>
      </c>
      <c r="G998" s="6" t="s">
        <v>7056</v>
      </c>
      <c r="H998" s="6" t="s">
        <v>175</v>
      </c>
      <c r="I998" s="6" t="s">
        <v>953</v>
      </c>
      <c r="J998" s="6" t="s">
        <v>953</v>
      </c>
    </row>
    <row r="999">
      <c r="A999" s="6">
        <v>995.0</v>
      </c>
      <c r="B999" s="6" t="s">
        <v>1001</v>
      </c>
      <c r="C999" s="12" t="s">
        <v>942</v>
      </c>
      <c r="D999" s="6" t="s">
        <v>5737</v>
      </c>
      <c r="E999" s="6" t="s">
        <v>5750</v>
      </c>
      <c r="F999" s="15" t="s">
        <v>7057</v>
      </c>
      <c r="G999" s="6" t="s">
        <v>7058</v>
      </c>
      <c r="H999" s="6" t="s">
        <v>175</v>
      </c>
      <c r="I999" s="6" t="s">
        <v>953</v>
      </c>
      <c r="J999" s="6" t="s">
        <v>953</v>
      </c>
    </row>
    <row r="1000">
      <c r="A1000" s="6">
        <v>996.0</v>
      </c>
      <c r="B1000" s="6" t="s">
        <v>811</v>
      </c>
      <c r="C1000" s="12" t="s">
        <v>5754</v>
      </c>
      <c r="D1000" s="6" t="s">
        <v>5737</v>
      </c>
      <c r="E1000" s="6" t="s">
        <v>5755</v>
      </c>
      <c r="F1000" s="15" t="s">
        <v>7059</v>
      </c>
      <c r="G1000" s="6" t="s">
        <v>7060</v>
      </c>
      <c r="H1000" s="6" t="s">
        <v>175</v>
      </c>
      <c r="I1000" s="6" t="s">
        <v>953</v>
      </c>
      <c r="J1000" s="6" t="s">
        <v>953</v>
      </c>
    </row>
    <row r="1001">
      <c r="A1001" s="6">
        <v>997.0</v>
      </c>
      <c r="B1001" s="6" t="s">
        <v>811</v>
      </c>
      <c r="C1001" s="12" t="s">
        <v>5759</v>
      </c>
      <c r="D1001" s="6" t="s">
        <v>5737</v>
      </c>
      <c r="E1001" s="6" t="s">
        <v>5760</v>
      </c>
      <c r="F1001" s="15" t="s">
        <v>7061</v>
      </c>
      <c r="G1001" s="6" t="s">
        <v>7062</v>
      </c>
      <c r="H1001" s="6" t="s">
        <v>175</v>
      </c>
      <c r="I1001" s="6" t="s">
        <v>953</v>
      </c>
      <c r="J1001" s="6" t="s">
        <v>953</v>
      </c>
    </row>
    <row r="1002">
      <c r="A1002" s="6">
        <v>998.0</v>
      </c>
      <c r="B1002" s="6" t="s">
        <v>240</v>
      </c>
      <c r="C1002" s="12" t="s">
        <v>5764</v>
      </c>
      <c r="D1002" s="6" t="s">
        <v>5737</v>
      </c>
      <c r="E1002" s="6" t="s">
        <v>5765</v>
      </c>
      <c r="F1002" s="15" t="s">
        <v>7063</v>
      </c>
      <c r="G1002" s="6" t="s">
        <v>7064</v>
      </c>
      <c r="H1002" s="6" t="s">
        <v>175</v>
      </c>
      <c r="I1002" s="6" t="s">
        <v>953</v>
      </c>
      <c r="J1002" s="6" t="s">
        <v>953</v>
      </c>
    </row>
    <row r="1003">
      <c r="A1003" s="6">
        <v>999.0</v>
      </c>
      <c r="B1003" s="6" t="s">
        <v>178</v>
      </c>
      <c r="C1003" s="12" t="s">
        <v>5769</v>
      </c>
      <c r="D1003" s="6" t="s">
        <v>5737</v>
      </c>
      <c r="E1003" s="6" t="s">
        <v>5770</v>
      </c>
      <c r="F1003" s="15" t="s">
        <v>7065</v>
      </c>
      <c r="G1003" s="6" t="s">
        <v>7066</v>
      </c>
      <c r="H1003" s="6" t="s">
        <v>175</v>
      </c>
      <c r="I1003" s="6" t="s">
        <v>953</v>
      </c>
      <c r="J1003" s="6" t="s">
        <v>953</v>
      </c>
    </row>
    <row r="1004">
      <c r="A1004" s="6">
        <v>1000.0</v>
      </c>
      <c r="B1004" s="6" t="s">
        <v>811</v>
      </c>
      <c r="C1004" s="12" t="s">
        <v>942</v>
      </c>
      <c r="D1004" s="6" t="s">
        <v>5737</v>
      </c>
      <c r="E1004" s="6" t="s">
        <v>5774</v>
      </c>
      <c r="F1004" s="15" t="s">
        <v>7067</v>
      </c>
      <c r="G1004" s="6" t="s">
        <v>7068</v>
      </c>
      <c r="H1004" s="6" t="s">
        <v>175</v>
      </c>
      <c r="I1004" s="6" t="s">
        <v>953</v>
      </c>
      <c r="J1004" s="6" t="s">
        <v>953</v>
      </c>
    </row>
    <row r="1005">
      <c r="A1005" s="6">
        <v>1001.0</v>
      </c>
      <c r="B1005" s="6" t="s">
        <v>41</v>
      </c>
      <c r="C1005" s="12" t="s">
        <v>942</v>
      </c>
      <c r="D1005" s="6" t="s">
        <v>5737</v>
      </c>
      <c r="E1005" s="6" t="s">
        <v>5778</v>
      </c>
      <c r="F1005" s="15" t="s">
        <v>7069</v>
      </c>
      <c r="G1005" s="6" t="s">
        <v>7070</v>
      </c>
      <c r="H1005" s="6" t="s">
        <v>175</v>
      </c>
      <c r="I1005" s="6" t="s">
        <v>953</v>
      </c>
      <c r="J1005" s="6" t="s">
        <v>953</v>
      </c>
    </row>
    <row r="1006">
      <c r="A1006" s="6">
        <v>1002.0</v>
      </c>
      <c r="B1006" s="6" t="s">
        <v>811</v>
      </c>
      <c r="C1006" s="12" t="s">
        <v>942</v>
      </c>
      <c r="D1006" s="6" t="s">
        <v>5737</v>
      </c>
      <c r="E1006" s="6" t="s">
        <v>5782</v>
      </c>
      <c r="F1006" s="15" t="s">
        <v>7071</v>
      </c>
      <c r="G1006" s="6" t="s">
        <v>7072</v>
      </c>
      <c r="H1006" s="6" t="s">
        <v>175</v>
      </c>
      <c r="I1006" s="6" t="s">
        <v>953</v>
      </c>
      <c r="J1006" s="6" t="s">
        <v>953</v>
      </c>
    </row>
    <row r="1007">
      <c r="A1007" s="6">
        <v>1003.0</v>
      </c>
      <c r="B1007" s="6" t="s">
        <v>251</v>
      </c>
      <c r="C1007" s="12" t="s">
        <v>942</v>
      </c>
      <c r="D1007" s="6" t="s">
        <v>5737</v>
      </c>
      <c r="E1007" s="6" t="s">
        <v>5785</v>
      </c>
      <c r="F1007" s="15" t="s">
        <v>7073</v>
      </c>
      <c r="G1007" s="6" t="s">
        <v>7074</v>
      </c>
      <c r="H1007" s="6" t="s">
        <v>175</v>
      </c>
      <c r="I1007" s="6" t="s">
        <v>953</v>
      </c>
      <c r="J1007" s="6" t="s">
        <v>953</v>
      </c>
    </row>
    <row r="1008">
      <c r="A1008" s="6">
        <v>1004.0</v>
      </c>
      <c r="B1008" s="6" t="s">
        <v>811</v>
      </c>
      <c r="C1008" s="12" t="s">
        <v>5759</v>
      </c>
      <c r="D1008" s="6" t="s">
        <v>5737</v>
      </c>
      <c r="E1008" s="6" t="s">
        <v>5789</v>
      </c>
      <c r="F1008" s="15" t="s">
        <v>7075</v>
      </c>
      <c r="G1008" s="6" t="s">
        <v>7076</v>
      </c>
      <c r="H1008" s="6" t="s">
        <v>175</v>
      </c>
      <c r="I1008" s="6" t="s">
        <v>953</v>
      </c>
      <c r="J1008" s="6" t="s">
        <v>953</v>
      </c>
    </row>
    <row r="1009">
      <c r="A1009" s="6">
        <v>1005.0</v>
      </c>
      <c r="B1009" s="6" t="s">
        <v>110</v>
      </c>
      <c r="C1009" s="12" t="s">
        <v>5793</v>
      </c>
      <c r="D1009" s="6" t="s">
        <v>5737</v>
      </c>
      <c r="E1009" s="6" t="s">
        <v>5794</v>
      </c>
      <c r="F1009" s="15" t="s">
        <v>7077</v>
      </c>
      <c r="G1009" s="6" t="s">
        <v>7078</v>
      </c>
      <c r="H1009" s="6" t="s">
        <v>175</v>
      </c>
      <c r="I1009" s="6" t="s">
        <v>953</v>
      </c>
      <c r="J1009" s="6" t="s">
        <v>953</v>
      </c>
    </row>
    <row r="1010">
      <c r="A1010" s="6">
        <v>1006.0</v>
      </c>
      <c r="B1010" s="6" t="s">
        <v>811</v>
      </c>
      <c r="C1010" s="12" t="s">
        <v>942</v>
      </c>
      <c r="D1010" s="6" t="s">
        <v>5737</v>
      </c>
      <c r="E1010" s="6" t="s">
        <v>5738</v>
      </c>
      <c r="F1010" s="15" t="s">
        <v>7079</v>
      </c>
      <c r="G1010" s="6" t="s">
        <v>7082</v>
      </c>
      <c r="H1010" s="6" t="s">
        <v>175</v>
      </c>
      <c r="I1010" s="6" t="s">
        <v>953</v>
      </c>
      <c r="J1010" s="6" t="s">
        <v>953</v>
      </c>
    </row>
    <row r="1011">
      <c r="A1011" s="6">
        <v>1007.0</v>
      </c>
      <c r="B1011" s="6" t="s">
        <v>811</v>
      </c>
      <c r="C1011" s="12" t="s">
        <v>5742</v>
      </c>
      <c r="D1011" s="6" t="s">
        <v>5737</v>
      </c>
      <c r="E1011" s="6" t="s">
        <v>5743</v>
      </c>
      <c r="F1011" s="15" t="s">
        <v>7083</v>
      </c>
      <c r="G1011" s="6" t="s">
        <v>7084</v>
      </c>
      <c r="H1011" s="6" t="s">
        <v>175</v>
      </c>
      <c r="I1011" s="6" t="s">
        <v>953</v>
      </c>
      <c r="J1011" s="6" t="s">
        <v>953</v>
      </c>
    </row>
    <row r="1012">
      <c r="A1012" s="6">
        <v>1008.0</v>
      </c>
      <c r="B1012" s="6" t="s">
        <v>811</v>
      </c>
      <c r="C1012" s="12" t="s">
        <v>942</v>
      </c>
      <c r="D1012" s="6" t="s">
        <v>5737</v>
      </c>
      <c r="E1012" s="6" t="s">
        <v>5747</v>
      </c>
      <c r="F1012" s="15" t="s">
        <v>7085</v>
      </c>
      <c r="G1012" s="6" t="s">
        <v>7086</v>
      </c>
      <c r="H1012" s="6" t="s">
        <v>175</v>
      </c>
      <c r="I1012" s="6" t="s">
        <v>953</v>
      </c>
      <c r="J1012" s="6" t="s">
        <v>953</v>
      </c>
    </row>
    <row r="1013">
      <c r="A1013" s="6">
        <v>1009.0</v>
      </c>
      <c r="B1013" s="6" t="s">
        <v>1001</v>
      </c>
      <c r="C1013" s="12" t="s">
        <v>942</v>
      </c>
      <c r="D1013" s="6" t="s">
        <v>5737</v>
      </c>
      <c r="E1013" s="6" t="s">
        <v>5750</v>
      </c>
      <c r="F1013" s="15" t="s">
        <v>7087</v>
      </c>
      <c r="G1013" s="6" t="s">
        <v>7088</v>
      </c>
      <c r="H1013" s="6" t="s">
        <v>175</v>
      </c>
      <c r="I1013" s="6" t="s">
        <v>953</v>
      </c>
      <c r="J1013" s="6" t="s">
        <v>953</v>
      </c>
    </row>
    <row r="1014">
      <c r="A1014" s="6">
        <v>1010.0</v>
      </c>
      <c r="B1014" s="6" t="s">
        <v>811</v>
      </c>
      <c r="C1014" s="12" t="s">
        <v>5754</v>
      </c>
      <c r="D1014" s="6" t="s">
        <v>5737</v>
      </c>
      <c r="E1014" s="6" t="s">
        <v>5755</v>
      </c>
      <c r="F1014" s="15" t="s">
        <v>7089</v>
      </c>
      <c r="G1014" s="6" t="s">
        <v>7090</v>
      </c>
      <c r="H1014" s="6" t="s">
        <v>175</v>
      </c>
      <c r="I1014" s="6" t="s">
        <v>953</v>
      </c>
      <c r="J1014" s="6" t="s">
        <v>953</v>
      </c>
    </row>
    <row r="1015">
      <c r="A1015" s="6">
        <v>1011.0</v>
      </c>
      <c r="B1015" s="6" t="s">
        <v>811</v>
      </c>
      <c r="C1015" s="12" t="s">
        <v>5759</v>
      </c>
      <c r="D1015" s="6" t="s">
        <v>5737</v>
      </c>
      <c r="E1015" s="6" t="s">
        <v>5760</v>
      </c>
      <c r="F1015" s="15" t="s">
        <v>7091</v>
      </c>
      <c r="G1015" s="6" t="s">
        <v>7092</v>
      </c>
      <c r="H1015" s="6" t="s">
        <v>175</v>
      </c>
      <c r="I1015" s="6" t="s">
        <v>953</v>
      </c>
      <c r="J1015" s="6" t="s">
        <v>953</v>
      </c>
    </row>
    <row r="1016">
      <c r="A1016" s="6">
        <v>1012.0</v>
      </c>
      <c r="B1016" s="6" t="s">
        <v>240</v>
      </c>
      <c r="C1016" s="12" t="s">
        <v>5764</v>
      </c>
      <c r="D1016" s="6" t="s">
        <v>5737</v>
      </c>
      <c r="E1016" s="6" t="s">
        <v>5765</v>
      </c>
      <c r="F1016" s="15" t="s">
        <v>7093</v>
      </c>
      <c r="G1016" s="6" t="s">
        <v>7094</v>
      </c>
      <c r="H1016" s="6" t="s">
        <v>175</v>
      </c>
      <c r="I1016" s="6" t="s">
        <v>953</v>
      </c>
      <c r="J1016" s="6" t="s">
        <v>953</v>
      </c>
    </row>
    <row r="1017">
      <c r="A1017" s="6">
        <v>1013.0</v>
      </c>
      <c r="B1017" s="6" t="s">
        <v>178</v>
      </c>
      <c r="C1017" s="12" t="s">
        <v>5769</v>
      </c>
      <c r="D1017" s="6" t="s">
        <v>5737</v>
      </c>
      <c r="E1017" s="6" t="s">
        <v>5770</v>
      </c>
      <c r="F1017" s="15" t="s">
        <v>7095</v>
      </c>
      <c r="G1017" s="6" t="s">
        <v>7096</v>
      </c>
      <c r="H1017" s="6" t="s">
        <v>175</v>
      </c>
      <c r="I1017" s="6" t="s">
        <v>953</v>
      </c>
      <c r="J1017" s="6" t="s">
        <v>953</v>
      </c>
    </row>
    <row r="1018">
      <c r="A1018" s="6">
        <v>1014.0</v>
      </c>
      <c r="B1018" s="6" t="s">
        <v>811</v>
      </c>
      <c r="C1018" s="12" t="s">
        <v>942</v>
      </c>
      <c r="D1018" s="6" t="s">
        <v>5737</v>
      </c>
      <c r="E1018" s="6" t="s">
        <v>5774</v>
      </c>
      <c r="F1018" s="15" t="s">
        <v>7097</v>
      </c>
      <c r="G1018" s="6" t="s">
        <v>7098</v>
      </c>
      <c r="H1018" s="6" t="s">
        <v>175</v>
      </c>
      <c r="I1018" s="6" t="s">
        <v>953</v>
      </c>
      <c r="J1018" s="6" t="s">
        <v>953</v>
      </c>
    </row>
    <row r="1019">
      <c r="A1019" s="6">
        <v>1015.0</v>
      </c>
      <c r="B1019" s="6" t="s">
        <v>41</v>
      </c>
      <c r="C1019" s="12" t="s">
        <v>942</v>
      </c>
      <c r="D1019" s="6" t="s">
        <v>5737</v>
      </c>
      <c r="E1019" s="6" t="s">
        <v>5778</v>
      </c>
      <c r="F1019" s="15" t="s">
        <v>7099</v>
      </c>
      <c r="G1019" s="6" t="s">
        <v>7100</v>
      </c>
      <c r="H1019" s="6" t="s">
        <v>175</v>
      </c>
      <c r="I1019" s="6" t="s">
        <v>953</v>
      </c>
      <c r="J1019" s="6" t="s">
        <v>953</v>
      </c>
    </row>
    <row r="1020">
      <c r="A1020" s="6">
        <v>1016.0</v>
      </c>
      <c r="B1020" s="6" t="s">
        <v>811</v>
      </c>
      <c r="C1020" s="12" t="s">
        <v>942</v>
      </c>
      <c r="D1020" s="6" t="s">
        <v>5737</v>
      </c>
      <c r="E1020" s="6" t="s">
        <v>5782</v>
      </c>
      <c r="F1020" s="15" t="s">
        <v>7101</v>
      </c>
      <c r="G1020" s="6" t="s">
        <v>7102</v>
      </c>
      <c r="H1020" s="6" t="s">
        <v>175</v>
      </c>
      <c r="I1020" s="6" t="s">
        <v>953</v>
      </c>
      <c r="J1020" s="6" t="s">
        <v>953</v>
      </c>
    </row>
    <row r="1021">
      <c r="A1021" s="6">
        <v>1017.0</v>
      </c>
      <c r="B1021" s="6" t="s">
        <v>251</v>
      </c>
      <c r="C1021" s="12" t="s">
        <v>942</v>
      </c>
      <c r="D1021" s="6" t="s">
        <v>5737</v>
      </c>
      <c r="E1021" s="6" t="s">
        <v>5785</v>
      </c>
      <c r="F1021" s="15" t="s">
        <v>7103</v>
      </c>
      <c r="G1021" s="6" t="s">
        <v>7104</v>
      </c>
      <c r="H1021" s="6" t="s">
        <v>175</v>
      </c>
      <c r="I1021" s="6" t="s">
        <v>953</v>
      </c>
      <c r="J1021" s="6" t="s">
        <v>953</v>
      </c>
    </row>
    <row r="1022">
      <c r="A1022" s="6">
        <v>1018.0</v>
      </c>
      <c r="B1022" s="6" t="s">
        <v>811</v>
      </c>
      <c r="C1022" s="12" t="s">
        <v>5759</v>
      </c>
      <c r="D1022" s="6" t="s">
        <v>5737</v>
      </c>
      <c r="E1022" s="6" t="s">
        <v>5789</v>
      </c>
      <c r="F1022" s="15" t="s">
        <v>7105</v>
      </c>
      <c r="G1022" s="6" t="s">
        <v>7106</v>
      </c>
      <c r="H1022" s="6" t="s">
        <v>175</v>
      </c>
      <c r="I1022" s="6" t="s">
        <v>953</v>
      </c>
      <c r="J1022" s="6" t="s">
        <v>953</v>
      </c>
    </row>
    <row r="1023">
      <c r="A1023" s="6">
        <v>1019.0</v>
      </c>
      <c r="B1023" s="6" t="s">
        <v>110</v>
      </c>
      <c r="C1023" s="12" t="s">
        <v>5793</v>
      </c>
      <c r="D1023" s="6" t="s">
        <v>5737</v>
      </c>
      <c r="E1023" s="6" t="s">
        <v>5794</v>
      </c>
      <c r="F1023" s="15" t="s">
        <v>7107</v>
      </c>
      <c r="G1023" s="6" t="s">
        <v>7108</v>
      </c>
      <c r="H1023" s="6" t="s">
        <v>175</v>
      </c>
      <c r="I1023" s="6" t="s">
        <v>953</v>
      </c>
      <c r="J1023" s="6" t="s">
        <v>953</v>
      </c>
    </row>
    <row r="1024">
      <c r="A1024" s="6">
        <v>1020.0</v>
      </c>
      <c r="B1024" s="6" t="s">
        <v>811</v>
      </c>
      <c r="C1024" s="12" t="s">
        <v>942</v>
      </c>
      <c r="D1024" s="6" t="s">
        <v>5737</v>
      </c>
      <c r="E1024" s="6" t="s">
        <v>5738</v>
      </c>
      <c r="F1024" s="15" t="s">
        <v>7109</v>
      </c>
      <c r="G1024" s="6" t="s">
        <v>7110</v>
      </c>
      <c r="H1024" s="6" t="s">
        <v>175</v>
      </c>
      <c r="I1024" s="6" t="s">
        <v>953</v>
      </c>
      <c r="J1024" s="6" t="s">
        <v>953</v>
      </c>
    </row>
    <row r="1025">
      <c r="A1025" s="6">
        <v>1021.0</v>
      </c>
      <c r="B1025" s="6" t="s">
        <v>811</v>
      </c>
      <c r="C1025" s="12" t="s">
        <v>5742</v>
      </c>
      <c r="D1025" s="6" t="s">
        <v>5737</v>
      </c>
      <c r="E1025" s="6" t="s">
        <v>5743</v>
      </c>
      <c r="F1025" s="15" t="s">
        <v>7111</v>
      </c>
      <c r="G1025" s="6" t="s">
        <v>7112</v>
      </c>
      <c r="H1025" s="6" t="s">
        <v>175</v>
      </c>
      <c r="I1025" s="6" t="s">
        <v>953</v>
      </c>
      <c r="J1025" s="6" t="s">
        <v>953</v>
      </c>
    </row>
    <row r="1026">
      <c r="A1026" s="6">
        <v>1022.0</v>
      </c>
      <c r="B1026" s="6" t="s">
        <v>811</v>
      </c>
      <c r="C1026" s="12" t="s">
        <v>942</v>
      </c>
      <c r="D1026" s="6" t="s">
        <v>5737</v>
      </c>
      <c r="E1026" s="6" t="s">
        <v>5747</v>
      </c>
      <c r="F1026" s="15" t="s">
        <v>7113</v>
      </c>
      <c r="G1026" s="6" t="s">
        <v>7114</v>
      </c>
      <c r="H1026" s="6" t="s">
        <v>175</v>
      </c>
      <c r="I1026" s="6" t="s">
        <v>953</v>
      </c>
      <c r="J1026" s="6" t="s">
        <v>953</v>
      </c>
    </row>
    <row r="1027">
      <c r="A1027" s="6">
        <v>1023.0</v>
      </c>
      <c r="B1027" s="6" t="s">
        <v>1001</v>
      </c>
      <c r="C1027" s="12" t="s">
        <v>942</v>
      </c>
      <c r="D1027" s="6" t="s">
        <v>5737</v>
      </c>
      <c r="E1027" s="6" t="s">
        <v>5750</v>
      </c>
      <c r="F1027" s="15" t="s">
        <v>7115</v>
      </c>
      <c r="G1027" s="6" t="s">
        <v>7116</v>
      </c>
      <c r="H1027" s="6" t="s">
        <v>175</v>
      </c>
      <c r="I1027" s="6" t="s">
        <v>953</v>
      </c>
      <c r="J1027" s="6" t="s">
        <v>953</v>
      </c>
    </row>
    <row r="1028">
      <c r="A1028" s="6">
        <v>1024.0</v>
      </c>
      <c r="B1028" s="6" t="s">
        <v>811</v>
      </c>
      <c r="C1028" s="12" t="s">
        <v>5754</v>
      </c>
      <c r="D1028" s="6" t="s">
        <v>5737</v>
      </c>
      <c r="E1028" s="6" t="s">
        <v>5755</v>
      </c>
      <c r="F1028" s="15" t="s">
        <v>7117</v>
      </c>
      <c r="G1028" s="6" t="s">
        <v>7118</v>
      </c>
      <c r="H1028" s="6" t="s">
        <v>175</v>
      </c>
      <c r="I1028" s="6" t="s">
        <v>953</v>
      </c>
      <c r="J1028" s="6" t="s">
        <v>953</v>
      </c>
    </row>
    <row r="1029">
      <c r="A1029" s="6">
        <v>1025.0</v>
      </c>
      <c r="B1029" s="6" t="s">
        <v>811</v>
      </c>
      <c r="C1029" s="12" t="s">
        <v>5759</v>
      </c>
      <c r="D1029" s="6" t="s">
        <v>5737</v>
      </c>
      <c r="E1029" s="6" t="s">
        <v>5760</v>
      </c>
      <c r="F1029" s="15" t="s">
        <v>7119</v>
      </c>
      <c r="G1029" s="6" t="s">
        <v>7120</v>
      </c>
      <c r="H1029" s="6" t="s">
        <v>175</v>
      </c>
      <c r="I1029" s="6" t="s">
        <v>953</v>
      </c>
      <c r="J1029" s="6" t="s">
        <v>953</v>
      </c>
    </row>
    <row r="1030">
      <c r="A1030" s="6">
        <v>1026.0</v>
      </c>
      <c r="B1030" s="6" t="s">
        <v>240</v>
      </c>
      <c r="C1030" s="12" t="s">
        <v>5764</v>
      </c>
      <c r="D1030" s="6" t="s">
        <v>5737</v>
      </c>
      <c r="E1030" s="6" t="s">
        <v>5765</v>
      </c>
      <c r="F1030" s="15" t="s">
        <v>7121</v>
      </c>
      <c r="G1030" s="6" t="s">
        <v>7122</v>
      </c>
      <c r="H1030" s="6" t="s">
        <v>175</v>
      </c>
      <c r="I1030" s="6" t="s">
        <v>953</v>
      </c>
      <c r="J1030" s="6" t="s">
        <v>953</v>
      </c>
    </row>
    <row r="1031">
      <c r="A1031" s="6">
        <v>1027.0</v>
      </c>
      <c r="B1031" s="6" t="s">
        <v>178</v>
      </c>
      <c r="C1031" s="12" t="s">
        <v>5769</v>
      </c>
      <c r="D1031" s="6" t="s">
        <v>5737</v>
      </c>
      <c r="E1031" s="6" t="s">
        <v>5770</v>
      </c>
      <c r="F1031" s="15" t="s">
        <v>7123</v>
      </c>
      <c r="G1031" s="6" t="s">
        <v>7124</v>
      </c>
      <c r="H1031" s="6" t="s">
        <v>175</v>
      </c>
      <c r="I1031" s="6" t="s">
        <v>953</v>
      </c>
      <c r="J1031" s="6" t="s">
        <v>953</v>
      </c>
    </row>
    <row r="1032">
      <c r="A1032" s="6">
        <v>1028.0</v>
      </c>
      <c r="B1032" s="6" t="s">
        <v>811</v>
      </c>
      <c r="C1032" s="12" t="s">
        <v>942</v>
      </c>
      <c r="D1032" s="6" t="s">
        <v>5737</v>
      </c>
      <c r="E1032" s="6" t="s">
        <v>5774</v>
      </c>
      <c r="F1032" s="15" t="s">
        <v>7125</v>
      </c>
      <c r="G1032" s="6" t="s">
        <v>7126</v>
      </c>
      <c r="H1032" s="6" t="s">
        <v>175</v>
      </c>
      <c r="I1032" s="6" t="s">
        <v>953</v>
      </c>
      <c r="J1032" s="6" t="s">
        <v>953</v>
      </c>
    </row>
    <row r="1033">
      <c r="A1033" s="6">
        <v>1029.0</v>
      </c>
      <c r="B1033" s="6" t="s">
        <v>41</v>
      </c>
      <c r="C1033" s="12" t="s">
        <v>942</v>
      </c>
      <c r="D1033" s="6" t="s">
        <v>5737</v>
      </c>
      <c r="E1033" s="6" t="s">
        <v>5778</v>
      </c>
      <c r="F1033" s="15" t="s">
        <v>7127</v>
      </c>
      <c r="G1033" s="6" t="s">
        <v>7128</v>
      </c>
      <c r="H1033" s="6" t="s">
        <v>175</v>
      </c>
      <c r="I1033" s="6" t="s">
        <v>953</v>
      </c>
      <c r="J1033" s="6" t="s">
        <v>953</v>
      </c>
    </row>
    <row r="1034">
      <c r="A1034" s="6">
        <v>1030.0</v>
      </c>
      <c r="B1034" s="6" t="s">
        <v>811</v>
      </c>
      <c r="C1034" s="12" t="s">
        <v>942</v>
      </c>
      <c r="D1034" s="6" t="s">
        <v>5737</v>
      </c>
      <c r="E1034" s="6" t="s">
        <v>5782</v>
      </c>
      <c r="F1034" s="15" t="s">
        <v>7129</v>
      </c>
      <c r="G1034" s="6" t="s">
        <v>7130</v>
      </c>
      <c r="H1034" s="6" t="s">
        <v>175</v>
      </c>
      <c r="I1034" s="6" t="s">
        <v>953</v>
      </c>
      <c r="J1034" s="6" t="s">
        <v>953</v>
      </c>
    </row>
    <row r="1035">
      <c r="A1035" s="6">
        <v>1031.0</v>
      </c>
      <c r="B1035" s="6" t="s">
        <v>251</v>
      </c>
      <c r="C1035" s="12" t="s">
        <v>942</v>
      </c>
      <c r="D1035" s="6" t="s">
        <v>5737</v>
      </c>
      <c r="E1035" s="6" t="s">
        <v>5785</v>
      </c>
      <c r="F1035" s="15" t="s">
        <v>7131</v>
      </c>
      <c r="G1035" s="6" t="s">
        <v>7132</v>
      </c>
      <c r="H1035" s="6" t="s">
        <v>175</v>
      </c>
      <c r="I1035" s="6" t="s">
        <v>953</v>
      </c>
      <c r="J1035" s="6" t="s">
        <v>953</v>
      </c>
    </row>
    <row r="1036">
      <c r="A1036" s="6">
        <v>1032.0</v>
      </c>
      <c r="B1036" s="6" t="s">
        <v>811</v>
      </c>
      <c r="C1036" s="12" t="s">
        <v>5759</v>
      </c>
      <c r="D1036" s="6" t="s">
        <v>5737</v>
      </c>
      <c r="E1036" s="6" t="s">
        <v>5789</v>
      </c>
      <c r="F1036" s="15" t="s">
        <v>7133</v>
      </c>
      <c r="G1036" s="6" t="s">
        <v>7134</v>
      </c>
      <c r="H1036" s="6" t="s">
        <v>175</v>
      </c>
      <c r="I1036" s="6" t="s">
        <v>953</v>
      </c>
      <c r="J1036" s="6" t="s">
        <v>953</v>
      </c>
    </row>
    <row r="1037">
      <c r="A1037" s="6">
        <v>1033.0</v>
      </c>
      <c r="B1037" s="6" t="s">
        <v>110</v>
      </c>
      <c r="C1037" s="12" t="s">
        <v>5793</v>
      </c>
      <c r="D1037" s="6" t="s">
        <v>5737</v>
      </c>
      <c r="E1037" s="6" t="s">
        <v>5794</v>
      </c>
      <c r="F1037" s="15" t="s">
        <v>7135</v>
      </c>
      <c r="G1037" s="6" t="s">
        <v>7136</v>
      </c>
      <c r="H1037" s="6" t="s">
        <v>175</v>
      </c>
      <c r="I1037" s="6" t="s">
        <v>953</v>
      </c>
      <c r="J1037" s="6" t="s">
        <v>953</v>
      </c>
    </row>
    <row r="1038">
      <c r="A1038" s="33" t="s">
        <v>7137</v>
      </c>
      <c r="B1038" s="20"/>
      <c r="C1038" s="20"/>
      <c r="D1038" s="20"/>
      <c r="E1038" s="20"/>
      <c r="F1038" s="34"/>
      <c r="G1038" s="20"/>
      <c r="H1038" s="20"/>
      <c r="I1038" s="20"/>
      <c r="J1038" s="21"/>
      <c r="K1038" s="21"/>
      <c r="L1038" s="21"/>
      <c r="M1038" s="21"/>
      <c r="N1038" s="21"/>
      <c r="O1038" s="21"/>
      <c r="P1038" s="21"/>
      <c r="Q1038" s="21"/>
      <c r="R1038" s="21"/>
      <c r="S1038" s="21"/>
      <c r="T1038" s="21"/>
      <c r="U1038" s="21"/>
      <c r="V1038" s="21"/>
      <c r="W1038" s="21"/>
      <c r="X1038" s="21"/>
      <c r="Y1038" s="21"/>
      <c r="Z1038" s="21"/>
    </row>
    <row r="1039">
      <c r="A1039" s="6">
        <v>1034.0</v>
      </c>
      <c r="B1039" s="6" t="s">
        <v>41</v>
      </c>
      <c r="C1039" s="12" t="s">
        <v>7138</v>
      </c>
      <c r="D1039" s="6" t="s">
        <v>7139</v>
      </c>
      <c r="E1039" s="6" t="s">
        <v>7140</v>
      </c>
      <c r="F1039" s="15" t="s">
        <v>7141</v>
      </c>
      <c r="G1039" s="6" t="s">
        <v>7142</v>
      </c>
      <c r="H1039" s="6" t="s">
        <v>100</v>
      </c>
      <c r="I1039" s="6" t="s">
        <v>953</v>
      </c>
      <c r="J1039" s="6" t="s">
        <v>953</v>
      </c>
    </row>
    <row r="1040">
      <c r="A1040" s="6">
        <v>1035.0</v>
      </c>
      <c r="B1040" s="6" t="s">
        <v>41</v>
      </c>
      <c r="C1040" s="12" t="s">
        <v>7138</v>
      </c>
      <c r="D1040" s="6" t="s">
        <v>7139</v>
      </c>
      <c r="E1040" s="6" t="s">
        <v>7143</v>
      </c>
      <c r="F1040" s="15" t="s">
        <v>7144</v>
      </c>
      <c r="G1040" s="6" t="s">
        <v>7145</v>
      </c>
      <c r="H1040" s="6" t="s">
        <v>100</v>
      </c>
      <c r="I1040" s="6" t="s">
        <v>953</v>
      </c>
      <c r="J1040" s="6" t="s">
        <v>953</v>
      </c>
    </row>
    <row r="1041">
      <c r="A1041" s="6">
        <v>1036.0</v>
      </c>
      <c r="B1041" s="6" t="s">
        <v>41</v>
      </c>
      <c r="C1041" s="12" t="s">
        <v>7138</v>
      </c>
      <c r="D1041" s="6" t="s">
        <v>7139</v>
      </c>
      <c r="E1041" s="6" t="s">
        <v>7146</v>
      </c>
      <c r="F1041" s="15" t="s">
        <v>7147</v>
      </c>
      <c r="G1041" s="6" t="s">
        <v>7148</v>
      </c>
      <c r="H1041" s="6" t="s">
        <v>100</v>
      </c>
      <c r="I1041" s="6" t="s">
        <v>953</v>
      </c>
      <c r="J1041" s="6" t="s">
        <v>953</v>
      </c>
    </row>
    <row r="1042">
      <c r="A1042" s="6">
        <v>1037.0</v>
      </c>
      <c r="B1042" s="6" t="s">
        <v>41</v>
      </c>
      <c r="C1042" s="12" t="s">
        <v>7138</v>
      </c>
      <c r="D1042" s="6" t="s">
        <v>7149</v>
      </c>
      <c r="E1042" s="6" t="s">
        <v>7150</v>
      </c>
      <c r="F1042" s="15" t="s">
        <v>7151</v>
      </c>
      <c r="G1042" s="6" t="s">
        <v>7152</v>
      </c>
      <c r="H1042" s="6" t="s">
        <v>100</v>
      </c>
      <c r="I1042" s="6" t="s">
        <v>953</v>
      </c>
      <c r="J1042" s="6" t="s">
        <v>953</v>
      </c>
    </row>
    <row r="1043">
      <c r="A1043" s="6">
        <v>1038.0</v>
      </c>
      <c r="B1043" s="6" t="s">
        <v>41</v>
      </c>
      <c r="C1043" s="12" t="s">
        <v>7138</v>
      </c>
      <c r="D1043" s="6" t="s">
        <v>7139</v>
      </c>
      <c r="E1043" s="6" t="s">
        <v>7153</v>
      </c>
      <c r="F1043" s="15" t="s">
        <v>7154</v>
      </c>
      <c r="G1043" s="6" t="s">
        <v>7155</v>
      </c>
      <c r="H1043" s="6" t="s">
        <v>100</v>
      </c>
      <c r="I1043" s="6" t="s">
        <v>953</v>
      </c>
      <c r="J1043" s="6" t="s">
        <v>953</v>
      </c>
    </row>
    <row r="1044">
      <c r="A1044" s="6">
        <v>1039.0</v>
      </c>
      <c r="B1044" s="6" t="s">
        <v>41</v>
      </c>
      <c r="C1044" s="12" t="s">
        <v>7138</v>
      </c>
      <c r="D1044" s="6" t="s">
        <v>7139</v>
      </c>
      <c r="E1044" s="6" t="s">
        <v>7156</v>
      </c>
      <c r="F1044" s="15" t="s">
        <v>7157</v>
      </c>
      <c r="G1044" s="6" t="s">
        <v>7158</v>
      </c>
      <c r="H1044" s="6" t="s">
        <v>100</v>
      </c>
      <c r="I1044" s="6" t="s">
        <v>953</v>
      </c>
      <c r="J1044" s="6" t="s">
        <v>953</v>
      </c>
    </row>
    <row r="1045">
      <c r="A1045" s="6">
        <v>1040.0</v>
      </c>
      <c r="B1045" s="6" t="s">
        <v>41</v>
      </c>
      <c r="C1045" s="12" t="s">
        <v>7138</v>
      </c>
      <c r="D1045" s="6" t="s">
        <v>7139</v>
      </c>
      <c r="E1045" s="6" t="s">
        <v>7159</v>
      </c>
      <c r="F1045" s="15" t="s">
        <v>7160</v>
      </c>
      <c r="G1045" s="6" t="s">
        <v>7161</v>
      </c>
      <c r="H1045" s="6" t="s">
        <v>100</v>
      </c>
      <c r="I1045" s="6" t="s">
        <v>953</v>
      </c>
      <c r="J1045" s="6" t="s">
        <v>953</v>
      </c>
    </row>
    <row r="1046">
      <c r="A1046" s="6">
        <v>1041.0</v>
      </c>
      <c r="B1046" s="6" t="s">
        <v>41</v>
      </c>
      <c r="C1046" s="12" t="s">
        <v>7138</v>
      </c>
      <c r="D1046" s="6" t="s">
        <v>7139</v>
      </c>
      <c r="E1046" s="6" t="s">
        <v>7162</v>
      </c>
      <c r="F1046" s="15" t="s">
        <v>7163</v>
      </c>
      <c r="G1046" s="6" t="s">
        <v>7164</v>
      </c>
      <c r="H1046" s="6" t="s">
        <v>100</v>
      </c>
      <c r="I1046" s="6" t="s">
        <v>953</v>
      </c>
      <c r="J1046" s="6" t="s">
        <v>953</v>
      </c>
    </row>
    <row r="1047">
      <c r="A1047" s="6">
        <v>1042.0</v>
      </c>
      <c r="B1047" s="6" t="s">
        <v>41</v>
      </c>
      <c r="C1047" s="12" t="s">
        <v>7138</v>
      </c>
      <c r="D1047" s="6" t="s">
        <v>7165</v>
      </c>
      <c r="E1047" s="6" t="s">
        <v>7166</v>
      </c>
      <c r="F1047" s="15" t="s">
        <v>7167</v>
      </c>
      <c r="G1047" s="6" t="s">
        <v>7168</v>
      </c>
      <c r="H1047" s="6" t="s">
        <v>100</v>
      </c>
      <c r="I1047" s="6" t="s">
        <v>953</v>
      </c>
      <c r="J1047" s="6" t="s">
        <v>953</v>
      </c>
    </row>
    <row r="1048">
      <c r="A1048" s="6">
        <v>1043.0</v>
      </c>
      <c r="B1048" s="6" t="s">
        <v>41</v>
      </c>
      <c r="C1048" s="12" t="s">
        <v>7138</v>
      </c>
      <c r="D1048" s="6" t="s">
        <v>7169</v>
      </c>
      <c r="E1048" s="6" t="s">
        <v>7170</v>
      </c>
      <c r="F1048" s="15" t="s">
        <v>7171</v>
      </c>
      <c r="G1048" s="6" t="s">
        <v>7172</v>
      </c>
      <c r="H1048" s="6" t="s">
        <v>100</v>
      </c>
      <c r="I1048" s="6" t="s">
        <v>953</v>
      </c>
      <c r="J1048" s="6" t="s">
        <v>953</v>
      </c>
    </row>
    <row r="1049">
      <c r="A1049" s="6">
        <v>1044.0</v>
      </c>
      <c r="B1049" s="6" t="s">
        <v>41</v>
      </c>
      <c r="C1049" s="12" t="s">
        <v>7138</v>
      </c>
      <c r="D1049" s="6" t="s">
        <v>7139</v>
      </c>
      <c r="E1049" s="6" t="s">
        <v>7173</v>
      </c>
      <c r="F1049" s="15" t="s">
        <v>7174</v>
      </c>
      <c r="G1049" s="6" t="s">
        <v>7175</v>
      </c>
      <c r="H1049" s="6" t="s">
        <v>340</v>
      </c>
      <c r="I1049" s="6" t="s">
        <v>953</v>
      </c>
      <c r="J1049" s="6" t="s">
        <v>953</v>
      </c>
    </row>
    <row r="1050">
      <c r="A1050" s="6">
        <v>1045.0</v>
      </c>
      <c r="B1050" s="6" t="s">
        <v>41</v>
      </c>
      <c r="C1050" s="12" t="s">
        <v>7138</v>
      </c>
      <c r="D1050" s="6" t="s">
        <v>7139</v>
      </c>
      <c r="E1050" s="6" t="s">
        <v>7176</v>
      </c>
      <c r="F1050" s="15" t="s">
        <v>7177</v>
      </c>
      <c r="G1050" s="6" t="s">
        <v>7178</v>
      </c>
      <c r="H1050" s="6" t="s">
        <v>175</v>
      </c>
      <c r="I1050" s="6" t="s">
        <v>953</v>
      </c>
      <c r="J1050" s="6" t="s">
        <v>953</v>
      </c>
    </row>
    <row r="1051">
      <c r="A1051" s="6">
        <v>1046.0</v>
      </c>
      <c r="B1051" s="6" t="s">
        <v>41</v>
      </c>
      <c r="C1051" s="12" t="s">
        <v>7138</v>
      </c>
      <c r="D1051" s="6" t="s">
        <v>7179</v>
      </c>
      <c r="E1051" s="6" t="s">
        <v>7180</v>
      </c>
      <c r="F1051" s="15" t="s">
        <v>7181</v>
      </c>
      <c r="G1051" s="6" t="s">
        <v>7182</v>
      </c>
      <c r="H1051" s="6" t="s">
        <v>100</v>
      </c>
      <c r="I1051" s="6" t="s">
        <v>953</v>
      </c>
      <c r="J1051" s="6" t="s">
        <v>953</v>
      </c>
    </row>
    <row r="1052">
      <c r="A1052" s="6">
        <v>1047.0</v>
      </c>
      <c r="B1052" s="6" t="s">
        <v>41</v>
      </c>
      <c r="C1052" s="12" t="s">
        <v>7138</v>
      </c>
      <c r="D1052" s="6" t="s">
        <v>7139</v>
      </c>
      <c r="E1052" s="6" t="s">
        <v>7183</v>
      </c>
      <c r="F1052" s="15" t="s">
        <v>7184</v>
      </c>
      <c r="G1052" s="6" t="s">
        <v>7185</v>
      </c>
      <c r="H1052" s="6" t="s">
        <v>100</v>
      </c>
      <c r="I1052" s="6" t="s">
        <v>953</v>
      </c>
      <c r="J1052" s="6" t="s">
        <v>953</v>
      </c>
    </row>
    <row r="1053">
      <c r="A1053" s="6">
        <v>1048.0</v>
      </c>
      <c r="B1053" s="6" t="s">
        <v>41</v>
      </c>
      <c r="C1053" s="12" t="s">
        <v>7138</v>
      </c>
      <c r="D1053" s="6" t="s">
        <v>7186</v>
      </c>
      <c r="E1053" s="6" t="s">
        <v>7187</v>
      </c>
      <c r="F1053" s="15" t="s">
        <v>7188</v>
      </c>
      <c r="G1053" s="6" t="s">
        <v>7189</v>
      </c>
      <c r="H1053" s="6" t="s">
        <v>100</v>
      </c>
      <c r="I1053" s="6" t="s">
        <v>953</v>
      </c>
      <c r="J1053" s="6" t="s">
        <v>953</v>
      </c>
    </row>
    <row r="1054">
      <c r="A1054" s="6">
        <v>1049.0</v>
      </c>
      <c r="B1054" s="6" t="s">
        <v>41</v>
      </c>
      <c r="C1054" s="12" t="s">
        <v>7190</v>
      </c>
      <c r="D1054" s="6" t="s">
        <v>7191</v>
      </c>
      <c r="E1054" s="6" t="s">
        <v>7192</v>
      </c>
      <c r="F1054" s="15" t="s">
        <v>7193</v>
      </c>
      <c r="G1054" s="6" t="s">
        <v>7194</v>
      </c>
      <c r="H1054" s="6" t="s">
        <v>100</v>
      </c>
      <c r="I1054" s="6" t="s">
        <v>953</v>
      </c>
      <c r="J1054" s="6" t="s">
        <v>953</v>
      </c>
    </row>
    <row r="1055">
      <c r="A1055" s="6">
        <v>1050.0</v>
      </c>
      <c r="B1055" s="6" t="s">
        <v>41</v>
      </c>
      <c r="C1055" s="12" t="s">
        <v>7138</v>
      </c>
      <c r="D1055" s="6" t="s">
        <v>7139</v>
      </c>
      <c r="E1055" s="6" t="s">
        <v>7195</v>
      </c>
      <c r="F1055" s="15" t="s">
        <v>7196</v>
      </c>
      <c r="G1055" s="6" t="s">
        <v>7197</v>
      </c>
      <c r="H1055" s="6" t="s">
        <v>100</v>
      </c>
      <c r="I1055" s="6" t="s">
        <v>953</v>
      </c>
      <c r="J1055" s="6" t="s">
        <v>953</v>
      </c>
    </row>
    <row r="1056">
      <c r="A1056" s="22" t="s">
        <v>7198</v>
      </c>
      <c r="B1056" s="22"/>
      <c r="C1056" s="22"/>
      <c r="D1056" s="22"/>
      <c r="E1056" s="22"/>
      <c r="F1056" s="35"/>
      <c r="G1056" s="22"/>
      <c r="H1056" s="22"/>
      <c r="I1056" s="22"/>
      <c r="J1056" s="23"/>
      <c r="K1056" s="23"/>
      <c r="L1056" s="23"/>
      <c r="M1056" s="23"/>
      <c r="N1056" s="23"/>
      <c r="O1056" s="23"/>
      <c r="P1056" s="23"/>
      <c r="Q1056" s="23"/>
      <c r="R1056" s="23"/>
      <c r="S1056" s="23"/>
      <c r="T1056" s="23"/>
      <c r="U1056" s="23"/>
      <c r="V1056" s="23"/>
      <c r="W1056" s="23"/>
      <c r="X1056" s="23"/>
      <c r="Y1056" s="23"/>
      <c r="Z1056" s="23"/>
    </row>
    <row r="1057">
      <c r="A1057" s="6">
        <v>1051.0</v>
      </c>
      <c r="B1057" s="6" t="s">
        <v>811</v>
      </c>
      <c r="C1057" s="12" t="s">
        <v>7199</v>
      </c>
      <c r="D1057" s="6" t="s">
        <v>7200</v>
      </c>
      <c r="E1057" s="6" t="s">
        <v>7201</v>
      </c>
      <c r="F1057" s="15" t="s">
        <v>7202</v>
      </c>
      <c r="G1057" s="6" t="s">
        <v>7203</v>
      </c>
      <c r="H1057" s="6" t="s">
        <v>100</v>
      </c>
      <c r="I1057" s="6" t="s">
        <v>953</v>
      </c>
      <c r="J1057" s="6" t="s">
        <v>953</v>
      </c>
    </row>
    <row r="1058">
      <c r="A1058" s="6">
        <v>1052.0</v>
      </c>
      <c r="B1058" s="6" t="s">
        <v>1001</v>
      </c>
      <c r="C1058" s="12" t="s">
        <v>7199</v>
      </c>
      <c r="D1058" s="6" t="s">
        <v>7200</v>
      </c>
      <c r="E1058" s="6" t="s">
        <v>7204</v>
      </c>
      <c r="F1058" s="15" t="s">
        <v>7205</v>
      </c>
      <c r="G1058" s="6" t="s">
        <v>7206</v>
      </c>
      <c r="H1058" s="6" t="s">
        <v>100</v>
      </c>
      <c r="I1058" s="6" t="s">
        <v>953</v>
      </c>
      <c r="J1058" s="6" t="s">
        <v>953</v>
      </c>
    </row>
    <row r="1059">
      <c r="A1059" s="6">
        <v>1053.0</v>
      </c>
      <c r="B1059" s="6" t="s">
        <v>178</v>
      </c>
      <c r="C1059" s="12" t="s">
        <v>7207</v>
      </c>
      <c r="D1059" s="6" t="s">
        <v>7200</v>
      </c>
      <c r="E1059" s="6" t="s">
        <v>7208</v>
      </c>
      <c r="F1059" s="15" t="s">
        <v>7209</v>
      </c>
      <c r="G1059" s="6" t="s">
        <v>7210</v>
      </c>
      <c r="H1059" s="6" t="s">
        <v>100</v>
      </c>
      <c r="I1059" s="6" t="s">
        <v>953</v>
      </c>
      <c r="J1059" s="6" t="s">
        <v>953</v>
      </c>
    </row>
    <row r="1060">
      <c r="A1060" s="22" t="s">
        <v>7211</v>
      </c>
      <c r="B1060" s="22"/>
      <c r="C1060" s="22"/>
      <c r="D1060" s="22"/>
      <c r="E1060" s="22"/>
      <c r="F1060" s="35"/>
      <c r="G1060" s="22"/>
      <c r="H1060" s="22"/>
      <c r="I1060" s="22"/>
      <c r="J1060" s="23"/>
      <c r="K1060" s="23"/>
      <c r="L1060" s="23"/>
      <c r="M1060" s="23"/>
      <c r="N1060" s="23"/>
      <c r="O1060" s="23"/>
      <c r="P1060" s="23"/>
      <c r="Q1060" s="23"/>
      <c r="R1060" s="23"/>
      <c r="S1060" s="23"/>
      <c r="T1060" s="23"/>
      <c r="U1060" s="23"/>
      <c r="V1060" s="23"/>
      <c r="W1060" s="23"/>
      <c r="X1060" s="23"/>
      <c r="Y1060" s="23"/>
      <c r="Z1060" s="23"/>
    </row>
    <row r="1061">
      <c r="A1061" s="6">
        <v>1054.0</v>
      </c>
      <c r="B1061" s="6" t="s">
        <v>50</v>
      </c>
      <c r="C1061" s="12" t="s">
        <v>7212</v>
      </c>
      <c r="D1061" s="6" t="s">
        <v>7215</v>
      </c>
      <c r="E1061" s="6" t="s">
        <v>7216</v>
      </c>
      <c r="F1061" s="15" t="s">
        <v>7217</v>
      </c>
      <c r="G1061" s="6" t="s">
        <v>7218</v>
      </c>
      <c r="H1061" s="6" t="s">
        <v>100</v>
      </c>
      <c r="I1061" s="6" t="s">
        <v>953</v>
      </c>
      <c r="J1061" s="6" t="s">
        <v>953</v>
      </c>
    </row>
    <row r="1062">
      <c r="A1062" s="6">
        <v>1055.0</v>
      </c>
      <c r="B1062" s="6" t="s">
        <v>50</v>
      </c>
      <c r="C1062" s="12" t="s">
        <v>7212</v>
      </c>
      <c r="D1062" s="6" t="s">
        <v>7215</v>
      </c>
      <c r="E1062" s="6" t="s">
        <v>7219</v>
      </c>
      <c r="F1062" s="15" t="s">
        <v>7220</v>
      </c>
      <c r="G1062" s="6" t="s">
        <v>7221</v>
      </c>
      <c r="H1062" s="6" t="s">
        <v>100</v>
      </c>
      <c r="I1062" s="6" t="s">
        <v>953</v>
      </c>
      <c r="J1062" s="6" t="s">
        <v>953</v>
      </c>
    </row>
    <row r="1063">
      <c r="A1063" s="6">
        <v>1056.0</v>
      </c>
      <c r="B1063" s="6" t="s">
        <v>50</v>
      </c>
      <c r="C1063" s="12" t="s">
        <v>7222</v>
      </c>
      <c r="D1063" s="6" t="s">
        <v>7215</v>
      </c>
      <c r="E1063" s="6" t="s">
        <v>7223</v>
      </c>
      <c r="F1063" s="15" t="s">
        <v>7224</v>
      </c>
      <c r="G1063" s="6" t="s">
        <v>7225</v>
      </c>
      <c r="H1063" s="6" t="s">
        <v>100</v>
      </c>
      <c r="I1063" s="6" t="s">
        <v>953</v>
      </c>
      <c r="J1063" s="6" t="s">
        <v>953</v>
      </c>
    </row>
    <row r="1064">
      <c r="A1064" s="6">
        <v>1057.0</v>
      </c>
      <c r="B1064" s="6" t="s">
        <v>50</v>
      </c>
      <c r="C1064" s="12" t="s">
        <v>7212</v>
      </c>
      <c r="D1064" s="6" t="s">
        <v>7215</v>
      </c>
      <c r="E1064" s="6" t="s">
        <v>7226</v>
      </c>
      <c r="F1064" s="15" t="s">
        <v>7227</v>
      </c>
      <c r="G1064" s="6" t="s">
        <v>7228</v>
      </c>
      <c r="H1064" s="6" t="s">
        <v>175</v>
      </c>
      <c r="I1064" s="6" t="s">
        <v>953</v>
      </c>
      <c r="J1064" s="6" t="s">
        <v>953</v>
      </c>
    </row>
    <row r="1065">
      <c r="A1065" s="6">
        <v>1058.0</v>
      </c>
      <c r="B1065" s="6" t="s">
        <v>189</v>
      </c>
      <c r="C1065" s="12" t="s">
        <v>7229</v>
      </c>
      <c r="D1065" s="6" t="s">
        <v>7215</v>
      </c>
      <c r="E1065" s="6" t="s">
        <v>7230</v>
      </c>
      <c r="F1065" s="15" t="s">
        <v>7231</v>
      </c>
      <c r="G1065" s="6" t="s">
        <v>7232</v>
      </c>
      <c r="H1065" s="6" t="s">
        <v>100</v>
      </c>
      <c r="I1065" s="6" t="s">
        <v>953</v>
      </c>
      <c r="J1065" s="6" t="s">
        <v>953</v>
      </c>
    </row>
    <row r="1066">
      <c r="A1066" s="6">
        <v>1059.0</v>
      </c>
      <c r="B1066" s="6" t="s">
        <v>50</v>
      </c>
      <c r="C1066" s="12" t="s">
        <v>7212</v>
      </c>
      <c r="D1066" s="6" t="s">
        <v>7215</v>
      </c>
      <c r="E1066" s="6" t="s">
        <v>7233</v>
      </c>
      <c r="F1066" s="15" t="s">
        <v>7234</v>
      </c>
      <c r="G1066" s="6" t="s">
        <v>7235</v>
      </c>
      <c r="H1066" s="6" t="s">
        <v>100</v>
      </c>
      <c r="I1066" s="6" t="s">
        <v>953</v>
      </c>
      <c r="J1066" s="6" t="s">
        <v>953</v>
      </c>
    </row>
    <row r="1067">
      <c r="A1067" s="6">
        <v>1060.0</v>
      </c>
      <c r="B1067" s="6" t="s">
        <v>7236</v>
      </c>
      <c r="C1067" s="12" t="s">
        <v>7237</v>
      </c>
      <c r="D1067" s="6" t="s">
        <v>7215</v>
      </c>
      <c r="E1067" s="6" t="s">
        <v>7238</v>
      </c>
      <c r="F1067" s="15" t="s">
        <v>7239</v>
      </c>
      <c r="G1067" s="6" t="s">
        <v>7240</v>
      </c>
      <c r="H1067" s="6" t="s">
        <v>100</v>
      </c>
      <c r="I1067" s="6" t="s">
        <v>953</v>
      </c>
      <c r="J1067" s="6" t="s">
        <v>953</v>
      </c>
    </row>
    <row r="1068">
      <c r="A1068" s="6">
        <v>1061.0</v>
      </c>
      <c r="B1068" s="6" t="s">
        <v>7236</v>
      </c>
      <c r="C1068" s="12" t="s">
        <v>7241</v>
      </c>
      <c r="D1068" s="6" t="s">
        <v>7215</v>
      </c>
      <c r="E1068" s="6" t="s">
        <v>7242</v>
      </c>
      <c r="F1068" s="15" t="s">
        <v>7243</v>
      </c>
      <c r="G1068" s="6" t="s">
        <v>7244</v>
      </c>
      <c r="H1068" s="6" t="s">
        <v>100</v>
      </c>
      <c r="I1068" s="6" t="s">
        <v>953</v>
      </c>
      <c r="J1068" s="6" t="s">
        <v>953</v>
      </c>
    </row>
    <row r="1069">
      <c r="A1069" s="6">
        <v>1062.0</v>
      </c>
      <c r="B1069" s="6" t="s">
        <v>189</v>
      </c>
      <c r="C1069" s="12" t="s">
        <v>7245</v>
      </c>
      <c r="D1069" s="6" t="s">
        <v>7215</v>
      </c>
      <c r="E1069" s="6" t="s">
        <v>7246</v>
      </c>
      <c r="F1069" s="15" t="s">
        <v>7247</v>
      </c>
      <c r="G1069" s="6" t="s">
        <v>7248</v>
      </c>
      <c r="H1069" s="6" t="s">
        <v>100</v>
      </c>
      <c r="I1069" s="6" t="s">
        <v>953</v>
      </c>
      <c r="J1069" s="6" t="s">
        <v>953</v>
      </c>
    </row>
    <row r="1070">
      <c r="A1070" s="6">
        <v>1063.0</v>
      </c>
      <c r="B1070" s="6" t="s">
        <v>50</v>
      </c>
      <c r="C1070" s="12" t="s">
        <v>7249</v>
      </c>
      <c r="D1070" s="6" t="s">
        <v>7215</v>
      </c>
      <c r="E1070" s="6" t="s">
        <v>7250</v>
      </c>
      <c r="F1070" s="15" t="s">
        <v>7251</v>
      </c>
      <c r="G1070" s="6" t="s">
        <v>7252</v>
      </c>
      <c r="H1070" s="6" t="s">
        <v>100</v>
      </c>
      <c r="I1070" s="6" t="s">
        <v>953</v>
      </c>
      <c r="J1070" s="6" t="s">
        <v>953</v>
      </c>
    </row>
    <row r="1071">
      <c r="A1071" s="6">
        <v>1064.0</v>
      </c>
      <c r="B1071" s="6" t="s">
        <v>50</v>
      </c>
      <c r="C1071" s="12" t="s">
        <v>7212</v>
      </c>
      <c r="D1071" s="6" t="s">
        <v>7215</v>
      </c>
      <c r="E1071" s="6" t="s">
        <v>7253</v>
      </c>
      <c r="F1071" s="15" t="s">
        <v>7254</v>
      </c>
      <c r="G1071" s="6" t="s">
        <v>7255</v>
      </c>
      <c r="H1071" s="6" t="s">
        <v>100</v>
      </c>
      <c r="I1071" s="6" t="s">
        <v>953</v>
      </c>
      <c r="J1071" s="6" t="s">
        <v>953</v>
      </c>
    </row>
    <row r="1072">
      <c r="A1072" s="6">
        <v>1065.0</v>
      </c>
      <c r="B1072" s="6" t="s">
        <v>50</v>
      </c>
      <c r="C1072" s="12" t="s">
        <v>7256</v>
      </c>
      <c r="D1072" s="6" t="s">
        <v>7215</v>
      </c>
      <c r="E1072" s="6" t="s">
        <v>7257</v>
      </c>
      <c r="F1072" s="15" t="s">
        <v>7258</v>
      </c>
      <c r="G1072" s="6" t="s">
        <v>7259</v>
      </c>
      <c r="H1072" s="6" t="s">
        <v>100</v>
      </c>
      <c r="I1072" s="6" t="s">
        <v>953</v>
      </c>
      <c r="J1072" s="6" t="s">
        <v>953</v>
      </c>
    </row>
    <row r="1073">
      <c r="A1073" s="6">
        <v>1066.0</v>
      </c>
      <c r="B1073" s="6" t="s">
        <v>50</v>
      </c>
      <c r="C1073" s="12" t="s">
        <v>7212</v>
      </c>
      <c r="D1073" s="6" t="s">
        <v>7215</v>
      </c>
      <c r="E1073" s="6" t="s">
        <v>7260</v>
      </c>
      <c r="F1073" s="15" t="s">
        <v>7261</v>
      </c>
      <c r="G1073" s="6" t="s">
        <v>7262</v>
      </c>
      <c r="H1073" s="6" t="s">
        <v>340</v>
      </c>
      <c r="I1073" s="6" t="s">
        <v>953</v>
      </c>
      <c r="J1073" s="6" t="s">
        <v>953</v>
      </c>
    </row>
    <row r="1074">
      <c r="A1074" s="6">
        <v>1067.0</v>
      </c>
      <c r="B1074" s="6" t="s">
        <v>50</v>
      </c>
      <c r="C1074" s="12" t="s">
        <v>7212</v>
      </c>
      <c r="D1074" s="6" t="s">
        <v>7215</v>
      </c>
      <c r="E1074" s="6" t="s">
        <v>7263</v>
      </c>
      <c r="F1074" s="15" t="s">
        <v>7264</v>
      </c>
      <c r="G1074" s="6" t="s">
        <v>7265</v>
      </c>
      <c r="H1074" s="6" t="s">
        <v>175</v>
      </c>
      <c r="I1074" s="6" t="s">
        <v>953</v>
      </c>
      <c r="J1074" s="6" t="s">
        <v>953</v>
      </c>
    </row>
    <row r="1075">
      <c r="A1075" s="6">
        <v>1068.0</v>
      </c>
      <c r="B1075" s="6" t="s">
        <v>50</v>
      </c>
      <c r="C1075" s="12" t="s">
        <v>7212</v>
      </c>
      <c r="D1075" s="6" t="s">
        <v>7215</v>
      </c>
      <c r="E1075" s="6" t="s">
        <v>7266</v>
      </c>
      <c r="F1075" s="15" t="s">
        <v>7267</v>
      </c>
      <c r="G1075" s="6" t="s">
        <v>7268</v>
      </c>
      <c r="H1075" s="6" t="s">
        <v>340</v>
      </c>
      <c r="I1075" s="6" t="s">
        <v>953</v>
      </c>
      <c r="J1075" s="6" t="s">
        <v>953</v>
      </c>
    </row>
    <row r="1076">
      <c r="A1076" s="6">
        <v>1069.0</v>
      </c>
      <c r="B1076" s="6" t="s">
        <v>50</v>
      </c>
      <c r="C1076" s="12" t="s">
        <v>7212</v>
      </c>
      <c r="D1076" s="6" t="s">
        <v>7215</v>
      </c>
      <c r="E1076" s="6" t="s">
        <v>7269</v>
      </c>
      <c r="F1076" s="15" t="s">
        <v>7270</v>
      </c>
      <c r="G1076" s="6" t="s">
        <v>7271</v>
      </c>
      <c r="H1076" s="6" t="s">
        <v>340</v>
      </c>
      <c r="I1076" s="6" t="s">
        <v>953</v>
      </c>
      <c r="J1076" s="6" t="s">
        <v>953</v>
      </c>
    </row>
    <row r="1077">
      <c r="A1077" s="6">
        <v>1070.0</v>
      </c>
      <c r="B1077" s="6" t="s">
        <v>50</v>
      </c>
      <c r="C1077" s="12" t="s">
        <v>7212</v>
      </c>
      <c r="D1077" s="6" t="s">
        <v>7215</v>
      </c>
      <c r="E1077" s="6" t="s">
        <v>7272</v>
      </c>
      <c r="F1077" s="15" t="s">
        <v>7273</v>
      </c>
      <c r="G1077" s="6" t="s">
        <v>7274</v>
      </c>
      <c r="H1077" s="6" t="s">
        <v>340</v>
      </c>
      <c r="I1077" s="6" t="s">
        <v>953</v>
      </c>
      <c r="J1077" s="6" t="s">
        <v>953</v>
      </c>
    </row>
    <row r="1078">
      <c r="A1078" s="6">
        <v>1071.0</v>
      </c>
      <c r="B1078" s="6" t="s">
        <v>50</v>
      </c>
      <c r="C1078" s="12" t="s">
        <v>7212</v>
      </c>
      <c r="D1078" s="6" t="s">
        <v>7215</v>
      </c>
      <c r="E1078" s="6" t="s">
        <v>7275</v>
      </c>
      <c r="F1078" s="15" t="s">
        <v>7276</v>
      </c>
      <c r="G1078" s="6" t="s">
        <v>7277</v>
      </c>
      <c r="H1078" s="6" t="s">
        <v>340</v>
      </c>
      <c r="I1078" s="6" t="s">
        <v>953</v>
      </c>
      <c r="J1078" s="6" t="s">
        <v>953</v>
      </c>
    </row>
    <row r="1079">
      <c r="A1079" s="20" t="s">
        <v>1421</v>
      </c>
      <c r="B1079" s="20"/>
      <c r="C1079" s="20"/>
      <c r="D1079" s="20"/>
      <c r="E1079" s="20"/>
      <c r="F1079" s="34"/>
      <c r="G1079" s="20"/>
      <c r="H1079" s="20"/>
      <c r="I1079" s="20"/>
      <c r="J1079" s="21"/>
      <c r="K1079" s="21"/>
      <c r="L1079" s="21"/>
      <c r="M1079" s="21"/>
      <c r="N1079" s="21"/>
      <c r="O1079" s="21"/>
      <c r="P1079" s="21"/>
      <c r="Q1079" s="21"/>
      <c r="R1079" s="21"/>
      <c r="S1079" s="21"/>
      <c r="T1079" s="21"/>
      <c r="U1079" s="21"/>
      <c r="V1079" s="21"/>
      <c r="W1079" s="21"/>
      <c r="X1079" s="21"/>
      <c r="Y1079" s="21"/>
      <c r="Z1079" s="21"/>
    </row>
    <row r="1080">
      <c r="A1080" s="6">
        <v>1072.0</v>
      </c>
      <c r="B1080" s="6" t="s">
        <v>50</v>
      </c>
      <c r="C1080" s="12" t="s">
        <v>7278</v>
      </c>
      <c r="D1080" s="6" t="s">
        <v>7279</v>
      </c>
      <c r="E1080" s="6" t="s">
        <v>7280</v>
      </c>
      <c r="F1080" s="15" t="s">
        <v>7281</v>
      </c>
      <c r="G1080" s="6" t="s">
        <v>7282</v>
      </c>
      <c r="H1080" s="6" t="s">
        <v>100</v>
      </c>
      <c r="I1080" s="6" t="s">
        <v>953</v>
      </c>
      <c r="J1080" s="6" t="s">
        <v>953</v>
      </c>
    </row>
    <row r="1081">
      <c r="A1081" s="6">
        <v>1073.0</v>
      </c>
      <c r="B1081" s="6" t="s">
        <v>1001</v>
      </c>
      <c r="C1081" s="12" t="s">
        <v>7283</v>
      </c>
      <c r="D1081" s="6" t="s">
        <v>7279</v>
      </c>
      <c r="E1081" s="6" t="s">
        <v>7284</v>
      </c>
      <c r="F1081" s="15" t="s">
        <v>7285</v>
      </c>
      <c r="G1081" s="6" t="s">
        <v>7286</v>
      </c>
      <c r="H1081" s="6" t="s">
        <v>100</v>
      </c>
      <c r="I1081" s="6" t="s">
        <v>953</v>
      </c>
      <c r="J1081" s="6" t="s">
        <v>953</v>
      </c>
    </row>
    <row r="1082">
      <c r="A1082" s="6">
        <v>1074.0</v>
      </c>
      <c r="B1082" s="6" t="s">
        <v>50</v>
      </c>
      <c r="C1082" s="12" t="s">
        <v>7287</v>
      </c>
      <c r="D1082" s="6" t="s">
        <v>7279</v>
      </c>
      <c r="E1082" s="6" t="s">
        <v>7288</v>
      </c>
      <c r="F1082" s="15" t="s">
        <v>7289</v>
      </c>
      <c r="G1082" s="6" t="s">
        <v>7290</v>
      </c>
      <c r="H1082" s="6" t="s">
        <v>100</v>
      </c>
      <c r="I1082" s="6" t="s">
        <v>953</v>
      </c>
      <c r="J1082" s="6" t="s">
        <v>953</v>
      </c>
    </row>
    <row r="1083">
      <c r="A1083" s="6">
        <v>1075.0</v>
      </c>
      <c r="B1083" s="6" t="s">
        <v>1001</v>
      </c>
      <c r="C1083" s="12" t="s">
        <v>7291</v>
      </c>
      <c r="D1083" s="6" t="s">
        <v>7279</v>
      </c>
      <c r="E1083" s="6" t="s">
        <v>7292</v>
      </c>
      <c r="F1083" s="15" t="s">
        <v>7293</v>
      </c>
      <c r="G1083" s="6" t="s">
        <v>7294</v>
      </c>
      <c r="H1083" s="6" t="s">
        <v>100</v>
      </c>
      <c r="I1083" s="6" t="s">
        <v>953</v>
      </c>
      <c r="J1083" s="6" t="s">
        <v>953</v>
      </c>
    </row>
    <row r="1084">
      <c r="A1084" s="6">
        <v>1076.0</v>
      </c>
      <c r="B1084" s="6" t="s">
        <v>50</v>
      </c>
      <c r="C1084" s="12" t="s">
        <v>7295</v>
      </c>
      <c r="D1084" s="6" t="s">
        <v>7279</v>
      </c>
      <c r="E1084" s="6" t="s">
        <v>7296</v>
      </c>
      <c r="F1084" s="15" t="s">
        <v>7297</v>
      </c>
      <c r="G1084" s="6" t="s">
        <v>7298</v>
      </c>
      <c r="H1084" s="6" t="s">
        <v>100</v>
      </c>
      <c r="I1084" s="6" t="s">
        <v>953</v>
      </c>
      <c r="J1084" s="6" t="s">
        <v>953</v>
      </c>
    </row>
    <row r="1085">
      <c r="A1085" s="6">
        <v>1077.0</v>
      </c>
      <c r="B1085" s="6" t="s">
        <v>50</v>
      </c>
      <c r="C1085" s="12" t="s">
        <v>7299</v>
      </c>
      <c r="D1085" s="6" t="s">
        <v>7279</v>
      </c>
      <c r="E1085" s="6" t="s">
        <v>7300</v>
      </c>
      <c r="F1085" s="15" t="s">
        <v>7301</v>
      </c>
      <c r="G1085" s="6" t="s">
        <v>7302</v>
      </c>
      <c r="H1085" s="6" t="s">
        <v>100</v>
      </c>
      <c r="I1085" s="6" t="s">
        <v>953</v>
      </c>
      <c r="J1085" s="6" t="s">
        <v>953</v>
      </c>
    </row>
    <row r="1086">
      <c r="A1086" s="6">
        <v>1078.0</v>
      </c>
      <c r="B1086" s="6" t="s">
        <v>50</v>
      </c>
      <c r="C1086" s="12" t="s">
        <v>7278</v>
      </c>
      <c r="D1086" s="6" t="s">
        <v>7279</v>
      </c>
      <c r="E1086" s="6" t="s">
        <v>7303</v>
      </c>
      <c r="F1086" s="15" t="s">
        <v>7304</v>
      </c>
      <c r="G1086" s="6" t="s">
        <v>7305</v>
      </c>
      <c r="H1086" s="6" t="s">
        <v>100</v>
      </c>
      <c r="I1086" s="6" t="s">
        <v>953</v>
      </c>
      <c r="J1086" s="6" t="s">
        <v>953</v>
      </c>
    </row>
    <row r="1087">
      <c r="A1087" s="6">
        <v>1079.0</v>
      </c>
      <c r="B1087" s="6" t="s">
        <v>1001</v>
      </c>
      <c r="C1087" s="12" t="s">
        <v>7306</v>
      </c>
      <c r="D1087" s="6" t="s">
        <v>7279</v>
      </c>
      <c r="E1087" s="6" t="s">
        <v>7307</v>
      </c>
      <c r="F1087" s="15" t="s">
        <v>7308</v>
      </c>
      <c r="G1087" s="6" t="s">
        <v>7309</v>
      </c>
      <c r="H1087" s="6" t="s">
        <v>100</v>
      </c>
      <c r="I1087" s="6" t="s">
        <v>953</v>
      </c>
      <c r="J1087" s="6" t="s">
        <v>953</v>
      </c>
    </row>
    <row r="1088">
      <c r="A1088" s="6">
        <v>1080.0</v>
      </c>
      <c r="B1088" s="6" t="s">
        <v>50</v>
      </c>
      <c r="C1088" s="12" t="s">
        <v>7287</v>
      </c>
      <c r="D1088" s="6" t="s">
        <v>7279</v>
      </c>
      <c r="E1088" s="6" t="s">
        <v>7310</v>
      </c>
      <c r="F1088" s="15" t="s">
        <v>7311</v>
      </c>
      <c r="G1088" s="6" t="s">
        <v>7312</v>
      </c>
      <c r="H1088" s="6" t="s">
        <v>100</v>
      </c>
      <c r="I1088" s="6" t="s">
        <v>953</v>
      </c>
      <c r="J1088" s="6" t="s">
        <v>953</v>
      </c>
    </row>
    <row r="1089">
      <c r="A1089" s="6">
        <v>1081.0</v>
      </c>
      <c r="B1089" s="6" t="s">
        <v>50</v>
      </c>
      <c r="C1089" s="12" t="s">
        <v>7278</v>
      </c>
      <c r="D1089" s="6" t="s">
        <v>7279</v>
      </c>
      <c r="E1089" s="6" t="s">
        <v>7280</v>
      </c>
      <c r="F1089" s="15" t="s">
        <v>7313</v>
      </c>
      <c r="G1089" s="6" t="s">
        <v>7314</v>
      </c>
      <c r="H1089" s="6" t="s">
        <v>100</v>
      </c>
      <c r="I1089" s="6" t="s">
        <v>953</v>
      </c>
      <c r="J1089" s="6" t="s">
        <v>953</v>
      </c>
    </row>
    <row r="1090">
      <c r="A1090" s="6">
        <v>1082.0</v>
      </c>
      <c r="B1090" s="6" t="s">
        <v>1001</v>
      </c>
      <c r="C1090" s="12" t="s">
        <v>7283</v>
      </c>
      <c r="D1090" s="6" t="s">
        <v>7279</v>
      </c>
      <c r="E1090" s="6" t="s">
        <v>7284</v>
      </c>
      <c r="F1090" s="15" t="s">
        <v>7315</v>
      </c>
      <c r="G1090" s="6" t="s">
        <v>7316</v>
      </c>
      <c r="H1090" s="6" t="s">
        <v>100</v>
      </c>
      <c r="I1090" s="6" t="s">
        <v>953</v>
      </c>
      <c r="J1090" s="6" t="s">
        <v>953</v>
      </c>
    </row>
    <row r="1091">
      <c r="A1091" s="6">
        <v>1083.0</v>
      </c>
      <c r="B1091" s="6" t="s">
        <v>50</v>
      </c>
      <c r="C1091" s="12" t="s">
        <v>7287</v>
      </c>
      <c r="D1091" s="6" t="s">
        <v>7279</v>
      </c>
      <c r="E1091" s="6" t="s">
        <v>7288</v>
      </c>
      <c r="F1091" s="15" t="s">
        <v>7317</v>
      </c>
      <c r="G1091" s="6" t="s">
        <v>7318</v>
      </c>
      <c r="H1091" s="6" t="s">
        <v>100</v>
      </c>
      <c r="I1091" s="6" t="s">
        <v>953</v>
      </c>
      <c r="J1091" s="6" t="s">
        <v>953</v>
      </c>
    </row>
    <row r="1092">
      <c r="A1092" s="6">
        <v>1084.0</v>
      </c>
      <c r="B1092" s="6" t="s">
        <v>1001</v>
      </c>
      <c r="C1092" s="12" t="s">
        <v>7291</v>
      </c>
      <c r="D1092" s="6" t="s">
        <v>7279</v>
      </c>
      <c r="E1092" s="6" t="s">
        <v>7292</v>
      </c>
      <c r="F1092" s="15" t="s">
        <v>7319</v>
      </c>
      <c r="G1092" s="6" t="s">
        <v>7320</v>
      </c>
      <c r="H1092" s="6" t="s">
        <v>100</v>
      </c>
      <c r="I1092" s="6" t="s">
        <v>953</v>
      </c>
      <c r="J1092" s="6" t="s">
        <v>953</v>
      </c>
    </row>
    <row r="1093">
      <c r="A1093" s="6">
        <v>1085.0</v>
      </c>
      <c r="B1093" s="6" t="s">
        <v>50</v>
      </c>
      <c r="C1093" s="12" t="s">
        <v>7295</v>
      </c>
      <c r="D1093" s="6" t="s">
        <v>7279</v>
      </c>
      <c r="E1093" s="6" t="s">
        <v>7296</v>
      </c>
      <c r="F1093" s="15" t="s">
        <v>7321</v>
      </c>
      <c r="G1093" s="6" t="s">
        <v>7322</v>
      </c>
      <c r="H1093" s="6" t="s">
        <v>100</v>
      </c>
      <c r="I1093" s="6" t="s">
        <v>953</v>
      </c>
      <c r="J1093" s="6" t="s">
        <v>953</v>
      </c>
    </row>
    <row r="1094">
      <c r="A1094" s="6">
        <v>1086.0</v>
      </c>
      <c r="B1094" s="6" t="s">
        <v>50</v>
      </c>
      <c r="C1094" s="12" t="s">
        <v>7287</v>
      </c>
      <c r="D1094" s="6" t="s">
        <v>7279</v>
      </c>
      <c r="E1094" s="6" t="s">
        <v>7323</v>
      </c>
      <c r="F1094" s="15" t="s">
        <v>7324</v>
      </c>
      <c r="G1094" s="6" t="s">
        <v>7325</v>
      </c>
      <c r="H1094" s="6" t="s">
        <v>175</v>
      </c>
      <c r="I1094" s="6" t="s">
        <v>953</v>
      </c>
      <c r="J1094" s="6" t="s">
        <v>953</v>
      </c>
    </row>
    <row r="1095">
      <c r="A1095" s="6">
        <v>1087.0</v>
      </c>
      <c r="B1095" s="6" t="s">
        <v>50</v>
      </c>
      <c r="C1095" s="12" t="s">
        <v>7287</v>
      </c>
      <c r="D1095" s="6" t="s">
        <v>7279</v>
      </c>
      <c r="E1095" s="6" t="s">
        <v>7323</v>
      </c>
      <c r="F1095" s="15" t="s">
        <v>7326</v>
      </c>
      <c r="G1095" s="6" t="s">
        <v>7327</v>
      </c>
      <c r="H1095" s="6" t="s">
        <v>175</v>
      </c>
      <c r="I1095" s="6" t="s">
        <v>953</v>
      </c>
      <c r="J1095" s="6" t="s">
        <v>953</v>
      </c>
    </row>
    <row r="1096">
      <c r="A1096" s="6">
        <v>1088.0</v>
      </c>
      <c r="B1096" s="6" t="s">
        <v>1001</v>
      </c>
      <c r="C1096" s="12" t="s">
        <v>7306</v>
      </c>
      <c r="D1096" s="6" t="s">
        <v>7279</v>
      </c>
      <c r="E1096" s="6" t="s">
        <v>7307</v>
      </c>
      <c r="F1096" s="15" t="s">
        <v>7328</v>
      </c>
      <c r="G1096" s="6" t="s">
        <v>7329</v>
      </c>
      <c r="H1096" s="6" t="s">
        <v>100</v>
      </c>
      <c r="I1096" s="6" t="s">
        <v>953</v>
      </c>
      <c r="J1096" s="6" t="s">
        <v>953</v>
      </c>
    </row>
    <row r="1097">
      <c r="A1097" s="6">
        <v>1089.0</v>
      </c>
      <c r="B1097" s="6" t="s">
        <v>50</v>
      </c>
      <c r="C1097" s="12" t="s">
        <v>7287</v>
      </c>
      <c r="D1097" s="6" t="s">
        <v>7279</v>
      </c>
      <c r="E1097" s="6" t="s">
        <v>7310</v>
      </c>
      <c r="F1097" s="15" t="s">
        <v>7330</v>
      </c>
      <c r="G1097" s="6" t="s">
        <v>7331</v>
      </c>
      <c r="H1097" s="6" t="s">
        <v>100</v>
      </c>
      <c r="I1097" s="6" t="s">
        <v>953</v>
      </c>
      <c r="J1097" s="6" t="s">
        <v>953</v>
      </c>
    </row>
    <row r="1098">
      <c r="A1098" s="6">
        <v>1090.0</v>
      </c>
      <c r="B1098" s="6" t="s">
        <v>50</v>
      </c>
      <c r="C1098" s="12" t="s">
        <v>7278</v>
      </c>
      <c r="D1098" s="6" t="s">
        <v>7279</v>
      </c>
      <c r="E1098" s="6" t="s">
        <v>7280</v>
      </c>
      <c r="F1098" s="15" t="s">
        <v>7332</v>
      </c>
      <c r="G1098" s="6" t="s">
        <v>7333</v>
      </c>
      <c r="H1098" s="6" t="s">
        <v>100</v>
      </c>
      <c r="I1098" s="6" t="s">
        <v>953</v>
      </c>
      <c r="J1098" s="6" t="s">
        <v>953</v>
      </c>
    </row>
    <row r="1099">
      <c r="A1099" s="6">
        <v>1091.0</v>
      </c>
      <c r="B1099" s="6" t="s">
        <v>1001</v>
      </c>
      <c r="C1099" s="12" t="s">
        <v>7283</v>
      </c>
      <c r="D1099" s="6" t="s">
        <v>7279</v>
      </c>
      <c r="E1099" s="6" t="s">
        <v>7284</v>
      </c>
      <c r="F1099" s="15" t="s">
        <v>7334</v>
      </c>
      <c r="G1099" s="6" t="s">
        <v>7335</v>
      </c>
      <c r="H1099" s="6" t="s">
        <v>100</v>
      </c>
      <c r="I1099" s="6" t="s">
        <v>953</v>
      </c>
      <c r="J1099" s="6" t="s">
        <v>953</v>
      </c>
    </row>
    <row r="1100">
      <c r="A1100" s="6">
        <v>1092.0</v>
      </c>
      <c r="B1100" s="6" t="s">
        <v>50</v>
      </c>
      <c r="C1100" s="12" t="s">
        <v>7287</v>
      </c>
      <c r="D1100" s="6" t="s">
        <v>7279</v>
      </c>
      <c r="E1100" s="6" t="s">
        <v>7288</v>
      </c>
      <c r="F1100" s="15" t="s">
        <v>7336</v>
      </c>
      <c r="G1100" s="6" t="s">
        <v>7337</v>
      </c>
      <c r="H1100" s="6" t="s">
        <v>100</v>
      </c>
      <c r="I1100" s="6" t="s">
        <v>953</v>
      </c>
      <c r="J1100" s="6" t="s">
        <v>953</v>
      </c>
    </row>
    <row r="1101">
      <c r="A1101" s="6">
        <v>1093.0</v>
      </c>
      <c r="B1101" s="6" t="s">
        <v>1001</v>
      </c>
      <c r="C1101" s="12" t="s">
        <v>7291</v>
      </c>
      <c r="D1101" s="6" t="s">
        <v>7279</v>
      </c>
      <c r="E1101" s="6" t="s">
        <v>7292</v>
      </c>
      <c r="F1101" s="15" t="s">
        <v>7338</v>
      </c>
      <c r="G1101" s="6" t="s">
        <v>7339</v>
      </c>
      <c r="H1101" s="6" t="s">
        <v>100</v>
      </c>
      <c r="I1101" s="6" t="s">
        <v>953</v>
      </c>
      <c r="J1101" s="6" t="s">
        <v>953</v>
      </c>
    </row>
    <row r="1102">
      <c r="A1102" s="6">
        <v>1094.0</v>
      </c>
      <c r="B1102" s="6" t="s">
        <v>50</v>
      </c>
      <c r="C1102" s="12" t="s">
        <v>7295</v>
      </c>
      <c r="D1102" s="6" t="s">
        <v>7279</v>
      </c>
      <c r="E1102" s="6" t="s">
        <v>7296</v>
      </c>
      <c r="F1102" s="15" t="s">
        <v>7340</v>
      </c>
      <c r="G1102" s="6" t="s">
        <v>7341</v>
      </c>
      <c r="H1102" s="6" t="s">
        <v>100</v>
      </c>
      <c r="I1102" s="6" t="s">
        <v>953</v>
      </c>
      <c r="J1102" s="6" t="s">
        <v>953</v>
      </c>
    </row>
    <row r="1103">
      <c r="A1103" s="6">
        <v>1095.0</v>
      </c>
      <c r="B1103" s="6" t="s">
        <v>50</v>
      </c>
      <c r="C1103" s="12" t="s">
        <v>7299</v>
      </c>
      <c r="D1103" s="6" t="s">
        <v>7279</v>
      </c>
      <c r="E1103" s="6" t="s">
        <v>7300</v>
      </c>
      <c r="F1103" s="15" t="s">
        <v>7342</v>
      </c>
      <c r="G1103" s="6" t="s">
        <v>7343</v>
      </c>
      <c r="H1103" s="6" t="s">
        <v>100</v>
      </c>
      <c r="I1103" s="6" t="s">
        <v>953</v>
      </c>
      <c r="J1103" s="6" t="s">
        <v>953</v>
      </c>
    </row>
    <row r="1104">
      <c r="A1104" s="6">
        <v>1096.0</v>
      </c>
      <c r="B1104" s="6" t="s">
        <v>50</v>
      </c>
      <c r="C1104" s="12" t="s">
        <v>7278</v>
      </c>
      <c r="D1104" s="6" t="s">
        <v>7279</v>
      </c>
      <c r="E1104" s="6" t="s">
        <v>7303</v>
      </c>
      <c r="F1104" s="15" t="s">
        <v>7344</v>
      </c>
      <c r="G1104" s="6" t="s">
        <v>7345</v>
      </c>
      <c r="H1104" s="6" t="s">
        <v>100</v>
      </c>
      <c r="I1104" s="6" t="s">
        <v>953</v>
      </c>
      <c r="J1104" s="6" t="s">
        <v>953</v>
      </c>
    </row>
    <row r="1105">
      <c r="A1105" s="6">
        <v>1097.0</v>
      </c>
      <c r="B1105" s="6" t="s">
        <v>1001</v>
      </c>
      <c r="C1105" s="12" t="s">
        <v>7306</v>
      </c>
      <c r="D1105" s="6" t="s">
        <v>7279</v>
      </c>
      <c r="E1105" s="6" t="s">
        <v>7307</v>
      </c>
      <c r="F1105" s="15" t="s">
        <v>7346</v>
      </c>
      <c r="G1105" s="6" t="s">
        <v>7347</v>
      </c>
      <c r="H1105" s="6" t="s">
        <v>100</v>
      </c>
      <c r="I1105" s="6" t="s">
        <v>953</v>
      </c>
      <c r="J1105" s="6" t="s">
        <v>953</v>
      </c>
    </row>
    <row r="1106">
      <c r="A1106" s="6">
        <v>1098.0</v>
      </c>
      <c r="B1106" s="6" t="s">
        <v>50</v>
      </c>
      <c r="C1106" s="12" t="s">
        <v>7287</v>
      </c>
      <c r="D1106" s="6" t="s">
        <v>7279</v>
      </c>
      <c r="E1106" s="6" t="s">
        <v>7310</v>
      </c>
      <c r="F1106" s="15" t="s">
        <v>7348</v>
      </c>
      <c r="G1106" s="6" t="s">
        <v>7349</v>
      </c>
      <c r="H1106" s="6" t="s">
        <v>100</v>
      </c>
      <c r="I1106" s="6" t="s">
        <v>953</v>
      </c>
      <c r="J1106" s="6" t="s">
        <v>953</v>
      </c>
    </row>
    <row r="1107">
      <c r="A1107" s="6">
        <v>1099.0</v>
      </c>
      <c r="B1107" s="6" t="s">
        <v>50</v>
      </c>
      <c r="C1107" s="12" t="s">
        <v>7278</v>
      </c>
      <c r="D1107" s="6" t="s">
        <v>7279</v>
      </c>
      <c r="E1107" s="6" t="s">
        <v>7280</v>
      </c>
      <c r="F1107" s="15" t="s">
        <v>7350</v>
      </c>
      <c r="G1107" s="6" t="s">
        <v>7351</v>
      </c>
      <c r="H1107" s="6" t="s">
        <v>100</v>
      </c>
      <c r="I1107" s="6" t="s">
        <v>953</v>
      </c>
      <c r="J1107" s="6" t="s">
        <v>953</v>
      </c>
    </row>
    <row r="1108">
      <c r="A1108" s="6">
        <v>1100.0</v>
      </c>
      <c r="B1108" s="6" t="s">
        <v>1001</v>
      </c>
      <c r="C1108" s="12" t="s">
        <v>7283</v>
      </c>
      <c r="D1108" s="6" t="s">
        <v>7279</v>
      </c>
      <c r="E1108" s="6" t="s">
        <v>7284</v>
      </c>
      <c r="F1108" s="15" t="s">
        <v>7352</v>
      </c>
      <c r="G1108" s="6" t="s">
        <v>7353</v>
      </c>
      <c r="H1108" s="6" t="s">
        <v>100</v>
      </c>
      <c r="I1108" s="6" t="s">
        <v>953</v>
      </c>
      <c r="J1108" s="6" t="s">
        <v>953</v>
      </c>
    </row>
    <row r="1109">
      <c r="A1109" s="6">
        <v>1101.0</v>
      </c>
      <c r="B1109" s="6" t="s">
        <v>50</v>
      </c>
      <c r="C1109" s="12" t="s">
        <v>7287</v>
      </c>
      <c r="D1109" s="6" t="s">
        <v>7279</v>
      </c>
      <c r="E1109" s="6" t="s">
        <v>7288</v>
      </c>
      <c r="F1109" s="15" t="s">
        <v>7354</v>
      </c>
      <c r="G1109" s="6" t="s">
        <v>7355</v>
      </c>
      <c r="H1109" s="6" t="s">
        <v>100</v>
      </c>
      <c r="I1109" s="6" t="s">
        <v>953</v>
      </c>
      <c r="J1109" s="6" t="s">
        <v>953</v>
      </c>
    </row>
    <row r="1110">
      <c r="A1110" s="6">
        <v>1102.0</v>
      </c>
      <c r="B1110" s="6" t="s">
        <v>1001</v>
      </c>
      <c r="C1110" s="12" t="s">
        <v>7291</v>
      </c>
      <c r="D1110" s="6" t="s">
        <v>7279</v>
      </c>
      <c r="E1110" s="6" t="s">
        <v>7292</v>
      </c>
      <c r="F1110" s="15" t="s">
        <v>7356</v>
      </c>
      <c r="G1110" s="6" t="s">
        <v>7357</v>
      </c>
      <c r="H1110" s="6" t="s">
        <v>100</v>
      </c>
      <c r="I1110" s="6" t="s">
        <v>953</v>
      </c>
      <c r="J1110" s="6" t="s">
        <v>953</v>
      </c>
    </row>
    <row r="1111">
      <c r="A1111" s="6">
        <v>1103.0</v>
      </c>
      <c r="B1111" s="6" t="s">
        <v>50</v>
      </c>
      <c r="C1111" s="12" t="s">
        <v>7295</v>
      </c>
      <c r="D1111" s="6" t="s">
        <v>7279</v>
      </c>
      <c r="E1111" s="6" t="s">
        <v>7296</v>
      </c>
      <c r="F1111" s="15" t="s">
        <v>7358</v>
      </c>
      <c r="G1111" s="6" t="s">
        <v>7359</v>
      </c>
      <c r="H1111" s="6" t="s">
        <v>100</v>
      </c>
      <c r="I1111" s="6" t="s">
        <v>953</v>
      </c>
      <c r="J1111" s="6" t="s">
        <v>953</v>
      </c>
    </row>
    <row r="1112">
      <c r="A1112" s="6">
        <v>1104.0</v>
      </c>
      <c r="B1112" s="6" t="s">
        <v>50</v>
      </c>
      <c r="C1112" s="12" t="s">
        <v>7299</v>
      </c>
      <c r="D1112" s="6" t="s">
        <v>7279</v>
      </c>
      <c r="E1112" s="6" t="s">
        <v>7300</v>
      </c>
      <c r="F1112" s="15" t="s">
        <v>7360</v>
      </c>
      <c r="G1112" s="6" t="s">
        <v>7361</v>
      </c>
      <c r="H1112" s="6" t="s">
        <v>100</v>
      </c>
      <c r="I1112" s="6" t="s">
        <v>953</v>
      </c>
      <c r="J1112" s="6" t="s">
        <v>953</v>
      </c>
    </row>
    <row r="1113">
      <c r="A1113" s="6">
        <v>1105.0</v>
      </c>
      <c r="B1113" s="6" t="s">
        <v>50</v>
      </c>
      <c r="C1113" s="12" t="s">
        <v>7278</v>
      </c>
      <c r="D1113" s="6" t="s">
        <v>7279</v>
      </c>
      <c r="E1113" s="6" t="s">
        <v>7303</v>
      </c>
      <c r="F1113" s="15" t="s">
        <v>7362</v>
      </c>
      <c r="G1113" s="6" t="s">
        <v>7363</v>
      </c>
      <c r="H1113" s="6" t="s">
        <v>100</v>
      </c>
      <c r="I1113" s="6" t="s">
        <v>953</v>
      </c>
      <c r="J1113" s="6" t="s">
        <v>953</v>
      </c>
    </row>
    <row r="1114">
      <c r="A1114" s="6">
        <v>1106.0</v>
      </c>
      <c r="B1114" s="6" t="s">
        <v>1001</v>
      </c>
      <c r="C1114" s="12" t="s">
        <v>7306</v>
      </c>
      <c r="D1114" s="6" t="s">
        <v>7279</v>
      </c>
      <c r="E1114" s="6" t="s">
        <v>7307</v>
      </c>
      <c r="F1114" s="15" t="s">
        <v>7364</v>
      </c>
      <c r="G1114" s="6" t="s">
        <v>7365</v>
      </c>
      <c r="H1114" s="6" t="s">
        <v>100</v>
      </c>
      <c r="I1114" s="6" t="s">
        <v>953</v>
      </c>
      <c r="J1114" s="6" t="s">
        <v>953</v>
      </c>
    </row>
    <row r="1115">
      <c r="A1115" s="6">
        <v>1107.0</v>
      </c>
      <c r="B1115" s="6" t="s">
        <v>50</v>
      </c>
      <c r="C1115" s="12" t="s">
        <v>7287</v>
      </c>
      <c r="D1115" s="6" t="s">
        <v>7279</v>
      </c>
      <c r="E1115" s="6" t="s">
        <v>7310</v>
      </c>
      <c r="F1115" s="15" t="s">
        <v>7366</v>
      </c>
      <c r="G1115" s="6" t="s">
        <v>7367</v>
      </c>
      <c r="H1115" s="6" t="s">
        <v>100</v>
      </c>
      <c r="I1115" s="6" t="s">
        <v>953</v>
      </c>
      <c r="J1115" s="6" t="s">
        <v>953</v>
      </c>
    </row>
    <row r="1116">
      <c r="A1116" s="6">
        <v>1108.0</v>
      </c>
      <c r="B1116" s="6" t="s">
        <v>50</v>
      </c>
      <c r="C1116" s="12" t="s">
        <v>7278</v>
      </c>
      <c r="D1116" s="6" t="s">
        <v>7279</v>
      </c>
      <c r="E1116" s="6" t="s">
        <v>7280</v>
      </c>
      <c r="F1116" s="15" t="s">
        <v>7368</v>
      </c>
      <c r="G1116" s="6" t="s">
        <v>7369</v>
      </c>
      <c r="H1116" s="6" t="s">
        <v>100</v>
      </c>
      <c r="I1116" s="6" t="s">
        <v>953</v>
      </c>
      <c r="J1116" s="6" t="s">
        <v>953</v>
      </c>
    </row>
    <row r="1117">
      <c r="A1117" s="6">
        <v>1109.0</v>
      </c>
      <c r="B1117" s="6" t="s">
        <v>1001</v>
      </c>
      <c r="C1117" s="12" t="s">
        <v>7283</v>
      </c>
      <c r="D1117" s="6" t="s">
        <v>7279</v>
      </c>
      <c r="E1117" s="6" t="s">
        <v>7284</v>
      </c>
      <c r="F1117" s="15" t="s">
        <v>7370</v>
      </c>
      <c r="G1117" s="6" t="s">
        <v>7371</v>
      </c>
      <c r="H1117" s="6" t="s">
        <v>100</v>
      </c>
      <c r="I1117" s="6" t="s">
        <v>953</v>
      </c>
      <c r="J1117" s="6" t="s">
        <v>953</v>
      </c>
    </row>
    <row r="1118">
      <c r="A1118" s="6">
        <v>1110.0</v>
      </c>
      <c r="B1118" s="6" t="s">
        <v>50</v>
      </c>
      <c r="C1118" s="12" t="s">
        <v>7287</v>
      </c>
      <c r="D1118" s="6" t="s">
        <v>7279</v>
      </c>
      <c r="E1118" s="6" t="s">
        <v>7288</v>
      </c>
      <c r="F1118" s="15" t="s">
        <v>7372</v>
      </c>
      <c r="G1118" s="6" t="s">
        <v>7373</v>
      </c>
      <c r="H1118" s="6" t="s">
        <v>100</v>
      </c>
      <c r="I1118" s="6" t="s">
        <v>953</v>
      </c>
      <c r="J1118" s="6" t="s">
        <v>953</v>
      </c>
    </row>
    <row r="1119">
      <c r="A1119" s="6">
        <v>1111.0</v>
      </c>
      <c r="B1119" s="6" t="s">
        <v>1001</v>
      </c>
      <c r="C1119" s="12" t="s">
        <v>7291</v>
      </c>
      <c r="D1119" s="6" t="s">
        <v>7279</v>
      </c>
      <c r="E1119" s="6" t="s">
        <v>7292</v>
      </c>
      <c r="F1119" s="15" t="s">
        <v>7374</v>
      </c>
      <c r="G1119" s="6" t="s">
        <v>7375</v>
      </c>
      <c r="H1119" s="6" t="s">
        <v>100</v>
      </c>
      <c r="I1119" s="6" t="s">
        <v>953</v>
      </c>
      <c r="J1119" s="6" t="s">
        <v>953</v>
      </c>
    </row>
    <row r="1120">
      <c r="A1120" s="6">
        <v>1112.0</v>
      </c>
      <c r="B1120" s="6" t="s">
        <v>50</v>
      </c>
      <c r="C1120" s="12" t="s">
        <v>7295</v>
      </c>
      <c r="D1120" s="6" t="s">
        <v>7279</v>
      </c>
      <c r="E1120" s="6" t="s">
        <v>7296</v>
      </c>
      <c r="F1120" s="15" t="s">
        <v>7376</v>
      </c>
      <c r="G1120" s="6" t="s">
        <v>7377</v>
      </c>
      <c r="H1120" s="6" t="s">
        <v>100</v>
      </c>
      <c r="I1120" s="6" t="s">
        <v>953</v>
      </c>
      <c r="J1120" s="6" t="s">
        <v>953</v>
      </c>
    </row>
    <row r="1121">
      <c r="A1121" s="6">
        <v>1113.0</v>
      </c>
      <c r="B1121" s="6" t="s">
        <v>50</v>
      </c>
      <c r="C1121" s="12" t="s">
        <v>7299</v>
      </c>
      <c r="D1121" s="6" t="s">
        <v>7279</v>
      </c>
      <c r="E1121" s="6" t="s">
        <v>7300</v>
      </c>
      <c r="F1121" s="15" t="s">
        <v>7378</v>
      </c>
      <c r="G1121" s="6" t="s">
        <v>7379</v>
      </c>
      <c r="H1121" s="6" t="s">
        <v>100</v>
      </c>
      <c r="I1121" s="6" t="s">
        <v>953</v>
      </c>
      <c r="J1121" s="6" t="s">
        <v>953</v>
      </c>
    </row>
    <row r="1122">
      <c r="A1122" s="6">
        <v>1114.0</v>
      </c>
      <c r="B1122" s="6" t="s">
        <v>50</v>
      </c>
      <c r="C1122" s="12" t="s">
        <v>7278</v>
      </c>
      <c r="D1122" s="6" t="s">
        <v>7279</v>
      </c>
      <c r="E1122" s="6" t="s">
        <v>7303</v>
      </c>
      <c r="F1122" s="15" t="s">
        <v>7380</v>
      </c>
      <c r="G1122" s="6" t="s">
        <v>7381</v>
      </c>
      <c r="H1122" s="6" t="s">
        <v>100</v>
      </c>
      <c r="I1122" s="6" t="s">
        <v>953</v>
      </c>
      <c r="J1122" s="6" t="s">
        <v>953</v>
      </c>
    </row>
    <row r="1123">
      <c r="A1123" s="6">
        <v>1115.0</v>
      </c>
      <c r="B1123" s="6" t="s">
        <v>1001</v>
      </c>
      <c r="C1123" s="12" t="s">
        <v>7306</v>
      </c>
      <c r="D1123" s="6" t="s">
        <v>7279</v>
      </c>
      <c r="E1123" s="6" t="s">
        <v>7307</v>
      </c>
      <c r="F1123" s="15" t="s">
        <v>7382</v>
      </c>
      <c r="G1123" s="6" t="s">
        <v>7383</v>
      </c>
      <c r="H1123" s="6" t="s">
        <v>100</v>
      </c>
      <c r="I1123" s="6" t="s">
        <v>953</v>
      </c>
      <c r="J1123" s="6" t="s">
        <v>953</v>
      </c>
    </row>
    <row r="1124">
      <c r="A1124" s="6">
        <v>1116.0</v>
      </c>
      <c r="B1124" s="6" t="s">
        <v>50</v>
      </c>
      <c r="C1124" s="12" t="s">
        <v>7287</v>
      </c>
      <c r="D1124" s="6" t="s">
        <v>7279</v>
      </c>
      <c r="E1124" s="6" t="s">
        <v>7310</v>
      </c>
      <c r="F1124" s="15" t="s">
        <v>7384</v>
      </c>
      <c r="G1124" s="6" t="s">
        <v>7385</v>
      </c>
      <c r="H1124" s="6" t="s">
        <v>100</v>
      </c>
      <c r="I1124" s="6" t="s">
        <v>953</v>
      </c>
      <c r="J1124" s="6" t="s">
        <v>953</v>
      </c>
    </row>
    <row r="1125">
      <c r="A1125" s="6">
        <v>1117.0</v>
      </c>
      <c r="B1125" s="6" t="s">
        <v>50</v>
      </c>
      <c r="C1125" s="12" t="s">
        <v>7278</v>
      </c>
      <c r="D1125" s="6" t="s">
        <v>7279</v>
      </c>
      <c r="E1125" s="6" t="s">
        <v>7280</v>
      </c>
      <c r="F1125" s="15" t="s">
        <v>7386</v>
      </c>
      <c r="G1125" s="6" t="s">
        <v>7387</v>
      </c>
      <c r="H1125" s="6" t="s">
        <v>100</v>
      </c>
      <c r="I1125" s="6" t="s">
        <v>953</v>
      </c>
      <c r="J1125" s="6" t="s">
        <v>953</v>
      </c>
    </row>
    <row r="1126">
      <c r="A1126" s="6">
        <v>1118.0</v>
      </c>
      <c r="B1126" s="6" t="s">
        <v>1001</v>
      </c>
      <c r="C1126" s="12" t="s">
        <v>7283</v>
      </c>
      <c r="D1126" s="6" t="s">
        <v>7279</v>
      </c>
      <c r="E1126" s="6" t="s">
        <v>7284</v>
      </c>
      <c r="F1126" s="15" t="s">
        <v>7388</v>
      </c>
      <c r="G1126" s="6" t="s">
        <v>7389</v>
      </c>
      <c r="H1126" s="6" t="s">
        <v>100</v>
      </c>
      <c r="I1126" s="6" t="s">
        <v>953</v>
      </c>
      <c r="J1126" s="6" t="s">
        <v>953</v>
      </c>
    </row>
    <row r="1127">
      <c r="A1127" s="22" t="s">
        <v>7390</v>
      </c>
      <c r="B1127" s="22"/>
      <c r="C1127" s="22"/>
      <c r="D1127" s="22"/>
      <c r="E1127" s="22"/>
      <c r="F1127" s="35"/>
      <c r="G1127" s="22"/>
      <c r="H1127" s="22"/>
      <c r="I1127" s="22"/>
      <c r="J1127" s="23"/>
      <c r="K1127" s="23"/>
      <c r="L1127" s="23"/>
      <c r="M1127" s="23"/>
      <c r="N1127" s="23"/>
      <c r="O1127" s="23"/>
      <c r="P1127" s="23"/>
      <c r="Q1127" s="23"/>
      <c r="R1127" s="23"/>
      <c r="S1127" s="23"/>
      <c r="T1127" s="23"/>
      <c r="U1127" s="23"/>
      <c r="V1127" s="23"/>
      <c r="W1127" s="23"/>
      <c r="X1127" s="23"/>
      <c r="Y1127" s="23"/>
      <c r="Z1127" s="23"/>
    </row>
    <row r="1128">
      <c r="A1128" s="6">
        <v>1119.0</v>
      </c>
      <c r="B1128" s="6" t="s">
        <v>50</v>
      </c>
      <c r="C1128" s="12" t="s">
        <v>1457</v>
      </c>
      <c r="D1128" s="6" t="s">
        <v>7391</v>
      </c>
      <c r="E1128" s="6" t="s">
        <v>7392</v>
      </c>
      <c r="F1128" s="15" t="s">
        <v>7393</v>
      </c>
      <c r="G1128" s="6" t="s">
        <v>7394</v>
      </c>
      <c r="H1128" s="6" t="s">
        <v>100</v>
      </c>
      <c r="I1128" s="6" t="s">
        <v>953</v>
      </c>
      <c r="J1128" s="6" t="s">
        <v>953</v>
      </c>
    </row>
    <row r="1129">
      <c r="A1129" s="6">
        <v>1120.0</v>
      </c>
      <c r="B1129" s="6" t="s">
        <v>1001</v>
      </c>
      <c r="C1129" s="12" t="s">
        <v>1457</v>
      </c>
      <c r="D1129" s="6" t="s">
        <v>7391</v>
      </c>
      <c r="E1129" s="6" t="s">
        <v>7395</v>
      </c>
      <c r="F1129" s="15" t="s">
        <v>7396</v>
      </c>
      <c r="G1129" s="6" t="s">
        <v>7397</v>
      </c>
      <c r="H1129" s="6" t="s">
        <v>340</v>
      </c>
      <c r="I1129" s="6" t="s">
        <v>953</v>
      </c>
      <c r="J1129" s="6" t="s">
        <v>953</v>
      </c>
    </row>
    <row r="1130">
      <c r="A1130" s="6">
        <v>1121.0</v>
      </c>
      <c r="B1130" s="6" t="s">
        <v>50</v>
      </c>
      <c r="C1130" s="12" t="s">
        <v>1457</v>
      </c>
      <c r="D1130" s="6" t="s">
        <v>7391</v>
      </c>
      <c r="E1130" s="6" t="s">
        <v>7398</v>
      </c>
      <c r="F1130" s="15" t="s">
        <v>7399</v>
      </c>
      <c r="G1130" s="6" t="s">
        <v>7400</v>
      </c>
      <c r="H1130" s="6" t="s">
        <v>100</v>
      </c>
      <c r="I1130" s="6" t="s">
        <v>953</v>
      </c>
      <c r="J1130" s="6" t="s">
        <v>953</v>
      </c>
    </row>
    <row r="1131">
      <c r="A1131" s="6">
        <v>1122.0</v>
      </c>
      <c r="B1131" s="6" t="s">
        <v>50</v>
      </c>
      <c r="C1131" s="12" t="s">
        <v>1457</v>
      </c>
      <c r="D1131" s="6" t="s">
        <v>7391</v>
      </c>
      <c r="E1131" s="6" t="s">
        <v>7401</v>
      </c>
      <c r="F1131" s="15" t="s">
        <v>7402</v>
      </c>
      <c r="G1131" s="6" t="s">
        <v>7403</v>
      </c>
      <c r="H1131" s="6" t="s">
        <v>175</v>
      </c>
      <c r="I1131" s="6" t="s">
        <v>953</v>
      </c>
      <c r="J1131" s="6" t="s">
        <v>953</v>
      </c>
    </row>
    <row r="1132">
      <c r="A1132" s="6">
        <v>1123.0</v>
      </c>
      <c r="B1132" s="6" t="s">
        <v>1001</v>
      </c>
      <c r="C1132" s="12" t="s">
        <v>1457</v>
      </c>
      <c r="D1132" s="6" t="s">
        <v>7391</v>
      </c>
      <c r="E1132" s="6" t="s">
        <v>7404</v>
      </c>
      <c r="F1132" s="15" t="s">
        <v>7405</v>
      </c>
      <c r="G1132" s="6" t="s">
        <v>7406</v>
      </c>
      <c r="H1132" s="6" t="s">
        <v>100</v>
      </c>
      <c r="I1132" s="6" t="s">
        <v>953</v>
      </c>
      <c r="J1132" s="6" t="s">
        <v>953</v>
      </c>
    </row>
    <row r="1133">
      <c r="A1133" s="6">
        <v>1124.0</v>
      </c>
      <c r="B1133" s="6" t="s">
        <v>1001</v>
      </c>
      <c r="C1133" s="12" t="s">
        <v>1457</v>
      </c>
      <c r="D1133" s="6" t="s">
        <v>7391</v>
      </c>
      <c r="E1133" s="6" t="s">
        <v>7407</v>
      </c>
      <c r="F1133" s="15" t="s">
        <v>7408</v>
      </c>
      <c r="G1133" s="6" t="s">
        <v>7409</v>
      </c>
      <c r="H1133" s="6" t="s">
        <v>100</v>
      </c>
      <c r="I1133" s="6" t="s">
        <v>953</v>
      </c>
      <c r="J1133" s="6" t="s">
        <v>953</v>
      </c>
    </row>
    <row r="1134">
      <c r="A1134" s="6">
        <v>1125.0</v>
      </c>
      <c r="B1134" s="6" t="s">
        <v>50</v>
      </c>
      <c r="C1134" s="12" t="s">
        <v>1457</v>
      </c>
      <c r="D1134" s="6" t="s">
        <v>7391</v>
      </c>
      <c r="E1134" s="6" t="s">
        <v>7401</v>
      </c>
      <c r="F1134" s="15" t="s">
        <v>7410</v>
      </c>
      <c r="G1134" s="6" t="s">
        <v>7411</v>
      </c>
      <c r="H1134" s="6" t="s">
        <v>175</v>
      </c>
      <c r="I1134" s="6" t="s">
        <v>953</v>
      </c>
      <c r="J1134" s="6" t="s">
        <v>953</v>
      </c>
    </row>
    <row r="1135">
      <c r="A1135" s="6">
        <v>1126.0</v>
      </c>
      <c r="B1135" s="6" t="s">
        <v>50</v>
      </c>
      <c r="C1135" s="12" t="s">
        <v>1457</v>
      </c>
      <c r="D1135" s="6" t="s">
        <v>7391</v>
      </c>
      <c r="E1135" s="6" t="s">
        <v>7412</v>
      </c>
      <c r="F1135" s="15" t="s">
        <v>7413</v>
      </c>
      <c r="G1135" s="6" t="s">
        <v>7414</v>
      </c>
      <c r="H1135" s="6" t="s">
        <v>340</v>
      </c>
      <c r="I1135" s="6" t="s">
        <v>953</v>
      </c>
      <c r="J1135" s="6" t="s">
        <v>953</v>
      </c>
    </row>
    <row r="1136">
      <c r="A1136" s="6">
        <v>1127.0</v>
      </c>
      <c r="B1136" s="6" t="s">
        <v>50</v>
      </c>
      <c r="C1136" s="12" t="s">
        <v>1457</v>
      </c>
      <c r="D1136" s="6" t="s">
        <v>7391</v>
      </c>
      <c r="E1136" s="6" t="s">
        <v>7392</v>
      </c>
      <c r="F1136" s="15" t="s">
        <v>7415</v>
      </c>
      <c r="G1136" s="6" t="s">
        <v>7416</v>
      </c>
      <c r="H1136" s="6" t="s">
        <v>100</v>
      </c>
      <c r="I1136" s="6" t="s">
        <v>953</v>
      </c>
      <c r="J1136" s="6" t="s">
        <v>953</v>
      </c>
    </row>
    <row r="1137">
      <c r="A1137" s="6">
        <v>1128.0</v>
      </c>
      <c r="B1137" s="6" t="s">
        <v>50</v>
      </c>
      <c r="C1137" s="12" t="s">
        <v>1457</v>
      </c>
      <c r="D1137" s="6" t="s">
        <v>7391</v>
      </c>
      <c r="E1137" s="6" t="s">
        <v>7401</v>
      </c>
      <c r="F1137" s="15" t="s">
        <v>7417</v>
      </c>
      <c r="G1137" s="6" t="s">
        <v>7418</v>
      </c>
      <c r="H1137" s="6" t="s">
        <v>175</v>
      </c>
      <c r="I1137" s="6" t="s">
        <v>953</v>
      </c>
      <c r="J1137" s="6" t="s">
        <v>953</v>
      </c>
    </row>
    <row r="1138">
      <c r="A1138" s="6">
        <v>1129.0</v>
      </c>
      <c r="B1138" s="6" t="s">
        <v>50</v>
      </c>
      <c r="C1138" s="12" t="s">
        <v>1457</v>
      </c>
      <c r="D1138" s="6" t="s">
        <v>7391</v>
      </c>
      <c r="E1138" s="6" t="s">
        <v>7398</v>
      </c>
      <c r="F1138" s="15" t="s">
        <v>7419</v>
      </c>
      <c r="G1138" s="6" t="s">
        <v>7420</v>
      </c>
      <c r="H1138" s="6" t="s">
        <v>100</v>
      </c>
      <c r="I1138" s="6" t="s">
        <v>953</v>
      </c>
      <c r="J1138" s="6" t="s">
        <v>953</v>
      </c>
    </row>
    <row r="1139">
      <c r="A1139" s="6">
        <v>1130.0</v>
      </c>
      <c r="B1139" s="6" t="s">
        <v>1001</v>
      </c>
      <c r="C1139" s="12" t="s">
        <v>1457</v>
      </c>
      <c r="D1139" s="6" t="s">
        <v>7391</v>
      </c>
      <c r="E1139" s="6" t="s">
        <v>7421</v>
      </c>
      <c r="F1139" s="15" t="s">
        <v>7422</v>
      </c>
      <c r="G1139" s="6" t="s">
        <v>7423</v>
      </c>
      <c r="H1139" s="6" t="s">
        <v>100</v>
      </c>
      <c r="I1139" s="6" t="s">
        <v>953</v>
      </c>
      <c r="J1139" s="6" t="s">
        <v>953</v>
      </c>
    </row>
    <row r="1140">
      <c r="A1140" s="6">
        <v>1131.0</v>
      </c>
      <c r="B1140" s="6" t="s">
        <v>1001</v>
      </c>
      <c r="C1140" s="12" t="s">
        <v>1457</v>
      </c>
      <c r="D1140" s="6" t="s">
        <v>7391</v>
      </c>
      <c r="E1140" s="6" t="s">
        <v>7404</v>
      </c>
      <c r="F1140" s="15" t="s">
        <v>7424</v>
      </c>
      <c r="G1140" s="6" t="s">
        <v>7425</v>
      </c>
      <c r="H1140" s="6" t="s">
        <v>100</v>
      </c>
      <c r="I1140" s="6" t="s">
        <v>953</v>
      </c>
      <c r="J1140" s="6" t="s">
        <v>953</v>
      </c>
    </row>
    <row r="1141">
      <c r="A1141" s="6">
        <v>1132.0</v>
      </c>
      <c r="B1141" s="6" t="s">
        <v>50</v>
      </c>
      <c r="C1141" s="12" t="s">
        <v>1457</v>
      </c>
      <c r="D1141" s="6" t="s">
        <v>7391</v>
      </c>
      <c r="E1141" s="6" t="s">
        <v>7401</v>
      </c>
      <c r="F1141" s="15" t="s">
        <v>7426</v>
      </c>
      <c r="G1141" s="6" t="s">
        <v>7427</v>
      </c>
      <c r="H1141" s="6" t="s">
        <v>175</v>
      </c>
      <c r="I1141" s="6" t="s">
        <v>953</v>
      </c>
      <c r="J1141" s="6" t="s">
        <v>953</v>
      </c>
    </row>
    <row r="1142">
      <c r="A1142" s="6">
        <v>1133.0</v>
      </c>
      <c r="B1142" s="6" t="s">
        <v>50</v>
      </c>
      <c r="C1142" s="12" t="s">
        <v>1457</v>
      </c>
      <c r="D1142" s="6" t="s">
        <v>7391</v>
      </c>
      <c r="E1142" s="6" t="s">
        <v>7428</v>
      </c>
      <c r="F1142" s="15" t="s">
        <v>7429</v>
      </c>
      <c r="G1142" s="6" t="s">
        <v>7430</v>
      </c>
      <c r="H1142" s="6" t="s">
        <v>100</v>
      </c>
      <c r="I1142" s="6" t="s">
        <v>953</v>
      </c>
      <c r="J1142" s="6" t="s">
        <v>953</v>
      </c>
    </row>
    <row r="1143">
      <c r="A1143" s="6">
        <v>1134.0</v>
      </c>
      <c r="B1143" s="6" t="s">
        <v>50</v>
      </c>
      <c r="C1143" s="12" t="s">
        <v>1457</v>
      </c>
      <c r="D1143" s="6" t="s">
        <v>7391</v>
      </c>
      <c r="E1143" s="6" t="s">
        <v>7412</v>
      </c>
      <c r="F1143" s="15" t="s">
        <v>7431</v>
      </c>
      <c r="G1143" s="6" t="s">
        <v>7432</v>
      </c>
      <c r="H1143" s="6" t="s">
        <v>340</v>
      </c>
      <c r="I1143" s="6" t="s">
        <v>953</v>
      </c>
      <c r="J1143" s="6" t="s">
        <v>953</v>
      </c>
    </row>
    <row r="1144">
      <c r="A1144" s="6">
        <v>1135.0</v>
      </c>
      <c r="B1144" s="6" t="s">
        <v>50</v>
      </c>
      <c r="C1144" s="12" t="s">
        <v>1457</v>
      </c>
      <c r="D1144" s="6" t="s">
        <v>7391</v>
      </c>
      <c r="E1144" s="6" t="s">
        <v>7392</v>
      </c>
      <c r="F1144" s="15" t="s">
        <v>7433</v>
      </c>
      <c r="G1144" s="6" t="s">
        <v>7434</v>
      </c>
      <c r="H1144" s="6" t="s">
        <v>100</v>
      </c>
      <c r="I1144" s="6" t="s">
        <v>953</v>
      </c>
      <c r="J1144" s="6" t="s">
        <v>953</v>
      </c>
    </row>
    <row r="1145">
      <c r="A1145" s="6">
        <v>1136.0</v>
      </c>
      <c r="B1145" s="6" t="s">
        <v>1001</v>
      </c>
      <c r="C1145" s="12" t="s">
        <v>1457</v>
      </c>
      <c r="D1145" s="6" t="s">
        <v>7391</v>
      </c>
      <c r="E1145" s="6" t="s">
        <v>7395</v>
      </c>
      <c r="F1145" s="15" t="s">
        <v>7435</v>
      </c>
      <c r="G1145" s="6" t="s">
        <v>7436</v>
      </c>
      <c r="H1145" s="6" t="s">
        <v>340</v>
      </c>
      <c r="I1145" s="6" t="s">
        <v>953</v>
      </c>
      <c r="J1145" s="6" t="s">
        <v>953</v>
      </c>
    </row>
    <row r="1146">
      <c r="A1146" s="6">
        <v>1137.0</v>
      </c>
      <c r="B1146" s="6" t="s">
        <v>50</v>
      </c>
      <c r="C1146" s="12" t="s">
        <v>1457</v>
      </c>
      <c r="D1146" s="6" t="s">
        <v>7391</v>
      </c>
      <c r="E1146" s="6" t="s">
        <v>7398</v>
      </c>
      <c r="F1146" s="15" t="s">
        <v>7437</v>
      </c>
      <c r="G1146" s="6" t="s">
        <v>7438</v>
      </c>
      <c r="H1146" s="6" t="s">
        <v>100</v>
      </c>
      <c r="I1146" s="6" t="s">
        <v>953</v>
      </c>
      <c r="J1146" s="6" t="s">
        <v>953</v>
      </c>
    </row>
    <row r="1147">
      <c r="A1147" s="6">
        <v>1138.0</v>
      </c>
      <c r="B1147" s="6" t="s">
        <v>1001</v>
      </c>
      <c r="C1147" s="12" t="s">
        <v>1457</v>
      </c>
      <c r="D1147" s="6" t="s">
        <v>7391</v>
      </c>
      <c r="E1147" s="6" t="s">
        <v>7421</v>
      </c>
      <c r="F1147" s="15" t="s">
        <v>7439</v>
      </c>
      <c r="G1147" s="6" t="s">
        <v>7440</v>
      </c>
      <c r="H1147" s="6" t="s">
        <v>100</v>
      </c>
      <c r="I1147" s="6" t="s">
        <v>953</v>
      </c>
      <c r="J1147" s="6" t="s">
        <v>953</v>
      </c>
    </row>
    <row r="1148">
      <c r="A1148" s="6">
        <v>1139.0</v>
      </c>
      <c r="B1148" s="6" t="s">
        <v>1001</v>
      </c>
      <c r="C1148" s="12" t="s">
        <v>1457</v>
      </c>
      <c r="D1148" s="6" t="s">
        <v>7391</v>
      </c>
      <c r="E1148" s="6" t="s">
        <v>7404</v>
      </c>
      <c r="F1148" s="15" t="s">
        <v>7441</v>
      </c>
      <c r="G1148" s="6" t="s">
        <v>7442</v>
      </c>
      <c r="H1148" s="6" t="s">
        <v>100</v>
      </c>
      <c r="I1148" s="6" t="s">
        <v>953</v>
      </c>
      <c r="J1148" s="6" t="s">
        <v>953</v>
      </c>
    </row>
    <row r="1149">
      <c r="A1149" s="6">
        <v>1140.0</v>
      </c>
      <c r="B1149" s="6" t="s">
        <v>50</v>
      </c>
      <c r="C1149" s="12" t="s">
        <v>1457</v>
      </c>
      <c r="D1149" s="6" t="s">
        <v>7391</v>
      </c>
      <c r="E1149" s="6" t="s">
        <v>7401</v>
      </c>
      <c r="F1149" s="15" t="s">
        <v>7443</v>
      </c>
      <c r="G1149" s="6" t="s">
        <v>7444</v>
      </c>
      <c r="H1149" s="6" t="s">
        <v>175</v>
      </c>
      <c r="I1149" s="6" t="s">
        <v>953</v>
      </c>
      <c r="J1149" s="6" t="s">
        <v>953</v>
      </c>
    </row>
    <row r="1150">
      <c r="A1150" s="6">
        <v>1141.0</v>
      </c>
      <c r="B1150" s="6" t="s">
        <v>50</v>
      </c>
      <c r="C1150" s="12" t="s">
        <v>1457</v>
      </c>
      <c r="D1150" s="6" t="s">
        <v>7391</v>
      </c>
      <c r="E1150" s="6" t="s">
        <v>7428</v>
      </c>
      <c r="F1150" s="15" t="s">
        <v>7445</v>
      </c>
      <c r="G1150" s="6" t="s">
        <v>7446</v>
      </c>
      <c r="H1150" s="6" t="s">
        <v>100</v>
      </c>
      <c r="I1150" s="6" t="s">
        <v>953</v>
      </c>
      <c r="J1150" s="6" t="s">
        <v>953</v>
      </c>
    </row>
    <row r="1151">
      <c r="A1151" s="6">
        <v>1142.0</v>
      </c>
      <c r="B1151" s="6" t="s">
        <v>50</v>
      </c>
      <c r="C1151" s="12" t="s">
        <v>1457</v>
      </c>
      <c r="D1151" s="6" t="s">
        <v>7391</v>
      </c>
      <c r="E1151" s="6" t="s">
        <v>7412</v>
      </c>
      <c r="F1151" s="15" t="s">
        <v>7447</v>
      </c>
      <c r="G1151" s="6" t="s">
        <v>7448</v>
      </c>
      <c r="H1151" s="6" t="s">
        <v>340</v>
      </c>
      <c r="I1151" s="6" t="s">
        <v>953</v>
      </c>
      <c r="J1151" s="6" t="s">
        <v>953</v>
      </c>
    </row>
    <row r="1152">
      <c r="A1152" s="6">
        <v>1143.0</v>
      </c>
      <c r="B1152" s="6" t="s">
        <v>50</v>
      </c>
      <c r="C1152" s="12" t="s">
        <v>1457</v>
      </c>
      <c r="D1152" s="6" t="s">
        <v>7391</v>
      </c>
      <c r="E1152" s="6" t="s">
        <v>7392</v>
      </c>
      <c r="F1152" s="15" t="s">
        <v>7449</v>
      </c>
      <c r="G1152" s="6" t="s">
        <v>7450</v>
      </c>
      <c r="H1152" s="6" t="s">
        <v>100</v>
      </c>
      <c r="I1152" s="6" t="s">
        <v>953</v>
      </c>
      <c r="J1152" s="6" t="s">
        <v>953</v>
      </c>
    </row>
    <row r="1153">
      <c r="A1153" s="6">
        <v>1144.0</v>
      </c>
      <c r="B1153" s="6" t="s">
        <v>1001</v>
      </c>
      <c r="C1153" s="12" t="s">
        <v>1457</v>
      </c>
      <c r="D1153" s="6" t="s">
        <v>7391</v>
      </c>
      <c r="E1153" s="6" t="s">
        <v>7395</v>
      </c>
      <c r="F1153" s="15" t="s">
        <v>7451</v>
      </c>
      <c r="G1153" s="6" t="s">
        <v>7452</v>
      </c>
      <c r="H1153" s="6" t="s">
        <v>340</v>
      </c>
      <c r="I1153" s="6" t="s">
        <v>953</v>
      </c>
      <c r="J1153" s="6" t="s">
        <v>953</v>
      </c>
    </row>
    <row r="1154">
      <c r="A1154" s="6">
        <v>1145.0</v>
      </c>
      <c r="B1154" s="6" t="s">
        <v>50</v>
      </c>
      <c r="C1154" s="12" t="s">
        <v>1457</v>
      </c>
      <c r="D1154" s="6" t="s">
        <v>7391</v>
      </c>
      <c r="E1154" s="6" t="s">
        <v>7398</v>
      </c>
      <c r="F1154" s="15" t="s">
        <v>7453</v>
      </c>
      <c r="G1154" s="6" t="s">
        <v>7454</v>
      </c>
      <c r="H1154" s="6" t="s">
        <v>100</v>
      </c>
      <c r="I1154" s="6" t="s">
        <v>953</v>
      </c>
      <c r="J1154" s="6" t="s">
        <v>953</v>
      </c>
    </row>
    <row r="1155">
      <c r="A1155" s="6">
        <v>1146.0</v>
      </c>
      <c r="B1155" s="6" t="s">
        <v>1001</v>
      </c>
      <c r="C1155" s="12" t="s">
        <v>1457</v>
      </c>
      <c r="D1155" s="6" t="s">
        <v>7391</v>
      </c>
      <c r="E1155" s="6" t="s">
        <v>7421</v>
      </c>
      <c r="F1155" s="15" t="s">
        <v>7455</v>
      </c>
      <c r="G1155" s="6" t="s">
        <v>7456</v>
      </c>
      <c r="H1155" s="6" t="s">
        <v>100</v>
      </c>
      <c r="I1155" s="6" t="s">
        <v>953</v>
      </c>
      <c r="J1155" s="6" t="s">
        <v>953</v>
      </c>
    </row>
    <row r="1156">
      <c r="A1156" s="6">
        <v>1147.0</v>
      </c>
      <c r="B1156" s="6" t="s">
        <v>1001</v>
      </c>
      <c r="C1156" s="12" t="s">
        <v>1457</v>
      </c>
      <c r="D1156" s="6" t="s">
        <v>7391</v>
      </c>
      <c r="E1156" s="6" t="s">
        <v>7404</v>
      </c>
      <c r="F1156" s="15" t="s">
        <v>7457</v>
      </c>
      <c r="G1156" s="6" t="s">
        <v>7458</v>
      </c>
      <c r="H1156" s="6" t="s">
        <v>100</v>
      </c>
      <c r="I1156" s="6" t="s">
        <v>953</v>
      </c>
      <c r="J1156" s="6" t="s">
        <v>953</v>
      </c>
    </row>
    <row r="1157">
      <c r="A1157" s="6">
        <v>1148.0</v>
      </c>
      <c r="B1157" s="6" t="s">
        <v>1001</v>
      </c>
      <c r="C1157" s="12" t="s">
        <v>1457</v>
      </c>
      <c r="D1157" s="6" t="s">
        <v>7391</v>
      </c>
      <c r="E1157" s="6" t="s">
        <v>7407</v>
      </c>
      <c r="F1157" s="15" t="s">
        <v>7459</v>
      </c>
      <c r="G1157" s="6" t="s">
        <v>7460</v>
      </c>
      <c r="H1157" s="6" t="s">
        <v>100</v>
      </c>
      <c r="I1157" s="6" t="s">
        <v>953</v>
      </c>
      <c r="J1157" s="6" t="s">
        <v>953</v>
      </c>
    </row>
    <row r="1158">
      <c r="A1158" s="6">
        <v>1149.0</v>
      </c>
      <c r="B1158" s="6" t="s">
        <v>50</v>
      </c>
      <c r="C1158" s="12" t="s">
        <v>1457</v>
      </c>
      <c r="D1158" s="6" t="s">
        <v>7391</v>
      </c>
      <c r="E1158" s="6" t="s">
        <v>7428</v>
      </c>
      <c r="F1158" s="15" t="s">
        <v>7461</v>
      </c>
      <c r="G1158" s="6" t="s">
        <v>7462</v>
      </c>
      <c r="H1158" s="6" t="s">
        <v>100</v>
      </c>
      <c r="I1158" s="6" t="s">
        <v>953</v>
      </c>
      <c r="J1158" s="6" t="s">
        <v>953</v>
      </c>
    </row>
    <row r="1159">
      <c r="A1159" s="6">
        <v>1150.0</v>
      </c>
      <c r="B1159" s="6" t="s">
        <v>50</v>
      </c>
      <c r="C1159" s="12" t="s">
        <v>1457</v>
      </c>
      <c r="D1159" s="6" t="s">
        <v>7391</v>
      </c>
      <c r="E1159" s="6" t="s">
        <v>7412</v>
      </c>
      <c r="F1159" s="15" t="s">
        <v>7463</v>
      </c>
      <c r="G1159" s="6" t="s">
        <v>7464</v>
      </c>
      <c r="H1159" s="6" t="s">
        <v>340</v>
      </c>
      <c r="I1159" s="6" t="s">
        <v>953</v>
      </c>
      <c r="J1159" s="6" t="s">
        <v>953</v>
      </c>
    </row>
    <row r="1160">
      <c r="A1160" s="6">
        <v>1151.0</v>
      </c>
      <c r="B1160" s="6" t="s">
        <v>50</v>
      </c>
      <c r="C1160" s="12" t="s">
        <v>1457</v>
      </c>
      <c r="D1160" s="6" t="s">
        <v>7391</v>
      </c>
      <c r="E1160" s="6" t="s">
        <v>7401</v>
      </c>
      <c r="F1160" s="15" t="s">
        <v>7465</v>
      </c>
      <c r="G1160" s="6" t="s">
        <v>7466</v>
      </c>
      <c r="H1160" s="6" t="s">
        <v>175</v>
      </c>
      <c r="I1160" s="6" t="s">
        <v>953</v>
      </c>
      <c r="J1160" s="6" t="s">
        <v>953</v>
      </c>
    </row>
    <row r="1161">
      <c r="A1161" s="6">
        <v>1152.0</v>
      </c>
      <c r="B1161" s="6" t="s">
        <v>1001</v>
      </c>
      <c r="C1161" s="12" t="s">
        <v>1457</v>
      </c>
      <c r="D1161" s="6" t="s">
        <v>7391</v>
      </c>
      <c r="E1161" s="6" t="s">
        <v>7395</v>
      </c>
      <c r="F1161" s="15" t="s">
        <v>7467</v>
      </c>
      <c r="G1161" s="6" t="s">
        <v>7468</v>
      </c>
      <c r="H1161" s="6" t="s">
        <v>340</v>
      </c>
      <c r="I1161" s="6" t="s">
        <v>953</v>
      </c>
      <c r="J1161" s="6" t="s">
        <v>953</v>
      </c>
    </row>
    <row r="1162">
      <c r="A1162" s="6">
        <v>1153.0</v>
      </c>
      <c r="B1162" s="6" t="s">
        <v>50</v>
      </c>
      <c r="C1162" s="12" t="s">
        <v>1457</v>
      </c>
      <c r="D1162" s="6" t="s">
        <v>7391</v>
      </c>
      <c r="E1162" s="6" t="s">
        <v>7401</v>
      </c>
      <c r="F1162" s="15" t="s">
        <v>7469</v>
      </c>
      <c r="G1162" s="6" t="s">
        <v>7470</v>
      </c>
      <c r="H1162" s="6" t="s">
        <v>175</v>
      </c>
      <c r="I1162" s="6" t="s">
        <v>953</v>
      </c>
      <c r="J1162" s="6" t="s">
        <v>953</v>
      </c>
    </row>
    <row r="1163">
      <c r="A1163" s="6">
        <v>1154.0</v>
      </c>
      <c r="B1163" s="6" t="s">
        <v>50</v>
      </c>
      <c r="C1163" s="12" t="s">
        <v>1457</v>
      </c>
      <c r="D1163" s="6" t="s">
        <v>7391</v>
      </c>
      <c r="E1163" s="6" t="s">
        <v>7401</v>
      </c>
      <c r="F1163" s="15" t="s">
        <v>7471</v>
      </c>
      <c r="G1163" s="6" t="s">
        <v>7474</v>
      </c>
      <c r="H1163" s="6" t="s">
        <v>175</v>
      </c>
      <c r="I1163" s="6" t="s">
        <v>953</v>
      </c>
      <c r="J1163" s="6" t="s">
        <v>953</v>
      </c>
    </row>
    <row r="1164">
      <c r="A1164" s="6">
        <v>1155.0</v>
      </c>
      <c r="B1164" s="6" t="s">
        <v>1001</v>
      </c>
      <c r="C1164" s="12" t="s">
        <v>1457</v>
      </c>
      <c r="D1164" s="6" t="s">
        <v>7391</v>
      </c>
      <c r="E1164" s="6" t="s">
        <v>7404</v>
      </c>
      <c r="F1164" s="15" t="s">
        <v>7475</v>
      </c>
      <c r="G1164" s="6" t="s">
        <v>7476</v>
      </c>
      <c r="H1164" s="6" t="s">
        <v>100</v>
      </c>
      <c r="I1164" s="6" t="s">
        <v>953</v>
      </c>
      <c r="J1164" s="6" t="s">
        <v>953</v>
      </c>
    </row>
    <row r="1165">
      <c r="A1165" s="6">
        <v>1156.0</v>
      </c>
      <c r="B1165" s="6" t="s">
        <v>1001</v>
      </c>
      <c r="C1165" s="12" t="s">
        <v>1457</v>
      </c>
      <c r="D1165" s="6" t="s">
        <v>7391</v>
      </c>
      <c r="E1165" s="6" t="s">
        <v>7407</v>
      </c>
      <c r="F1165" s="15" t="s">
        <v>7477</v>
      </c>
      <c r="G1165" s="6" t="s">
        <v>7478</v>
      </c>
      <c r="H1165" s="6" t="s">
        <v>100</v>
      </c>
      <c r="I1165" s="6" t="s">
        <v>953</v>
      </c>
      <c r="J1165" s="6" t="s">
        <v>953</v>
      </c>
    </row>
    <row r="1166">
      <c r="A1166" s="6">
        <v>1157.0</v>
      </c>
      <c r="B1166" s="6" t="s">
        <v>50</v>
      </c>
      <c r="C1166" s="12" t="s">
        <v>1457</v>
      </c>
      <c r="D1166" s="6" t="s">
        <v>7391</v>
      </c>
      <c r="E1166" s="6" t="s">
        <v>7401</v>
      </c>
      <c r="F1166" s="15" t="s">
        <v>7479</v>
      </c>
      <c r="G1166" s="6" t="s">
        <v>7480</v>
      </c>
      <c r="H1166" s="6" t="s">
        <v>175</v>
      </c>
      <c r="I1166" s="6" t="s">
        <v>953</v>
      </c>
      <c r="J1166" s="6" t="s">
        <v>953</v>
      </c>
    </row>
    <row r="1167">
      <c r="A1167" s="6">
        <v>1158.0</v>
      </c>
      <c r="B1167" s="6" t="s">
        <v>50</v>
      </c>
      <c r="C1167" s="12" t="s">
        <v>1457</v>
      </c>
      <c r="D1167" s="6" t="s">
        <v>7391</v>
      </c>
      <c r="E1167" s="6" t="s">
        <v>7412</v>
      </c>
      <c r="F1167" s="15" t="s">
        <v>7481</v>
      </c>
      <c r="G1167" s="6" t="s">
        <v>7482</v>
      </c>
      <c r="H1167" s="6" t="s">
        <v>340</v>
      </c>
      <c r="I1167" s="6" t="s">
        <v>953</v>
      </c>
      <c r="J1167" s="6" t="s">
        <v>953</v>
      </c>
    </row>
    <row r="1168">
      <c r="A1168" s="6">
        <v>1159.0</v>
      </c>
      <c r="B1168" s="6" t="s">
        <v>50</v>
      </c>
      <c r="C1168" s="12" t="s">
        <v>1457</v>
      </c>
      <c r="D1168" s="6" t="s">
        <v>7391</v>
      </c>
      <c r="E1168" s="6" t="s">
        <v>7401</v>
      </c>
      <c r="F1168" s="15" t="s">
        <v>7483</v>
      </c>
      <c r="G1168" s="6" t="s">
        <v>7484</v>
      </c>
      <c r="H1168" s="6" t="s">
        <v>175</v>
      </c>
      <c r="I1168" s="6" t="s">
        <v>953</v>
      </c>
      <c r="J1168" s="6" t="s">
        <v>953</v>
      </c>
    </row>
    <row r="1169">
      <c r="A1169" s="6">
        <v>1160.0</v>
      </c>
      <c r="B1169" s="6" t="s">
        <v>1001</v>
      </c>
      <c r="C1169" s="12" t="s">
        <v>1457</v>
      </c>
      <c r="D1169" s="6" t="s">
        <v>7391</v>
      </c>
      <c r="E1169" s="6" t="s">
        <v>7395</v>
      </c>
      <c r="F1169" s="15" t="s">
        <v>7485</v>
      </c>
      <c r="G1169" s="6" t="s">
        <v>7486</v>
      </c>
      <c r="H1169" s="6" t="s">
        <v>340</v>
      </c>
      <c r="I1169" s="6" t="s">
        <v>953</v>
      </c>
      <c r="J1169" s="6" t="s">
        <v>953</v>
      </c>
    </row>
    <row r="1170">
      <c r="A1170" s="6">
        <v>1161.0</v>
      </c>
      <c r="B1170" s="6" t="s">
        <v>50</v>
      </c>
      <c r="C1170" s="12" t="s">
        <v>1457</v>
      </c>
      <c r="D1170" s="6" t="s">
        <v>7487</v>
      </c>
      <c r="E1170" s="6" t="s">
        <v>7398</v>
      </c>
      <c r="F1170" s="15" t="s">
        <v>7488</v>
      </c>
      <c r="G1170" s="6" t="s">
        <v>7489</v>
      </c>
      <c r="H1170" s="6" t="s">
        <v>100</v>
      </c>
      <c r="I1170" s="6" t="s">
        <v>953</v>
      </c>
      <c r="J1170" s="6" t="s">
        <v>953</v>
      </c>
    </row>
    <row r="1171">
      <c r="A1171" s="6">
        <v>1162.0</v>
      </c>
      <c r="B1171" s="6" t="s">
        <v>1001</v>
      </c>
      <c r="C1171" s="12" t="s">
        <v>1457</v>
      </c>
      <c r="D1171" s="6" t="s">
        <v>7490</v>
      </c>
      <c r="E1171" s="6" t="s">
        <v>7421</v>
      </c>
      <c r="F1171" s="15" t="s">
        <v>7491</v>
      </c>
      <c r="G1171" s="6" t="s">
        <v>7492</v>
      </c>
      <c r="H1171" s="6" t="s">
        <v>100</v>
      </c>
      <c r="I1171" s="6" t="s">
        <v>953</v>
      </c>
      <c r="J1171" s="6" t="s">
        <v>953</v>
      </c>
    </row>
    <row r="1172">
      <c r="A1172" s="6">
        <v>1163.0</v>
      </c>
      <c r="B1172" s="6" t="s">
        <v>1001</v>
      </c>
      <c r="C1172" s="12" t="s">
        <v>1457</v>
      </c>
      <c r="D1172" s="6" t="s">
        <v>7149</v>
      </c>
      <c r="E1172" s="6" t="s">
        <v>7404</v>
      </c>
      <c r="F1172" s="15" t="s">
        <v>7493</v>
      </c>
      <c r="G1172" s="6" t="s">
        <v>7494</v>
      </c>
      <c r="H1172" s="6" t="s">
        <v>100</v>
      </c>
      <c r="I1172" s="6" t="s">
        <v>953</v>
      </c>
      <c r="J1172" s="6" t="s">
        <v>953</v>
      </c>
    </row>
    <row r="1173">
      <c r="A1173" s="6">
        <v>1164.0</v>
      </c>
      <c r="B1173" s="6" t="s">
        <v>1001</v>
      </c>
      <c r="C1173" s="12" t="s">
        <v>1457</v>
      </c>
      <c r="D1173" s="6" t="s">
        <v>7487</v>
      </c>
      <c r="E1173" s="6" t="s">
        <v>7407</v>
      </c>
      <c r="F1173" s="15" t="s">
        <v>7495</v>
      </c>
      <c r="G1173" s="6" t="s">
        <v>7496</v>
      </c>
      <c r="H1173" s="6" t="s">
        <v>100</v>
      </c>
      <c r="I1173" s="6" t="s">
        <v>953</v>
      </c>
      <c r="J1173" s="6" t="s">
        <v>953</v>
      </c>
    </row>
    <row r="1174">
      <c r="A1174" s="6">
        <v>1165.0</v>
      </c>
      <c r="B1174" s="6" t="s">
        <v>50</v>
      </c>
      <c r="C1174" s="12" t="s">
        <v>1457</v>
      </c>
      <c r="D1174" s="6" t="s">
        <v>7391</v>
      </c>
      <c r="E1174" s="6" t="s">
        <v>7428</v>
      </c>
      <c r="F1174" s="15" t="s">
        <v>7497</v>
      </c>
      <c r="G1174" s="6" t="s">
        <v>7498</v>
      </c>
      <c r="H1174" s="6" t="s">
        <v>100</v>
      </c>
      <c r="I1174" s="6" t="s">
        <v>953</v>
      </c>
      <c r="J1174" s="6" t="s">
        <v>953</v>
      </c>
    </row>
    <row r="1175">
      <c r="A1175" s="6">
        <v>1166.0</v>
      </c>
      <c r="B1175" s="6" t="s">
        <v>50</v>
      </c>
      <c r="C1175" s="12" t="s">
        <v>1457</v>
      </c>
      <c r="D1175" s="6" t="s">
        <v>7391</v>
      </c>
      <c r="E1175" s="6" t="s">
        <v>7412</v>
      </c>
      <c r="F1175" s="15" t="s">
        <v>7499</v>
      </c>
      <c r="G1175" s="6" t="s">
        <v>7500</v>
      </c>
      <c r="H1175" s="6" t="s">
        <v>340</v>
      </c>
      <c r="I1175" s="6" t="s">
        <v>953</v>
      </c>
      <c r="J1175" s="6" t="s">
        <v>953</v>
      </c>
    </row>
    <row r="1176">
      <c r="A1176" s="6">
        <v>1167.0</v>
      </c>
      <c r="B1176" s="6" t="s">
        <v>50</v>
      </c>
      <c r="C1176" s="12" t="s">
        <v>1457</v>
      </c>
      <c r="D1176" s="6" t="s">
        <v>7391</v>
      </c>
      <c r="E1176" s="6" t="s">
        <v>7401</v>
      </c>
      <c r="F1176" s="15" t="s">
        <v>7501</v>
      </c>
      <c r="G1176" s="6" t="s">
        <v>7502</v>
      </c>
      <c r="H1176" s="6" t="s">
        <v>175</v>
      </c>
      <c r="I1176" s="6" t="s">
        <v>953</v>
      </c>
      <c r="J1176" s="6" t="s">
        <v>953</v>
      </c>
    </row>
    <row r="1177">
      <c r="A1177" s="6">
        <v>1168.0</v>
      </c>
      <c r="B1177" s="6" t="s">
        <v>50</v>
      </c>
      <c r="C1177" s="12" t="s">
        <v>1457</v>
      </c>
      <c r="D1177" s="6" t="s">
        <v>7391</v>
      </c>
      <c r="E1177" s="6" t="s">
        <v>7401</v>
      </c>
      <c r="F1177" s="15" t="s">
        <v>7503</v>
      </c>
      <c r="G1177" s="6" t="s">
        <v>7504</v>
      </c>
      <c r="H1177" s="6" t="s">
        <v>175</v>
      </c>
      <c r="I1177" s="6" t="s">
        <v>953</v>
      </c>
      <c r="J1177" s="6" t="s">
        <v>953</v>
      </c>
    </row>
    <row r="1178">
      <c r="A1178" s="6">
        <v>1169.0</v>
      </c>
      <c r="B1178" s="6" t="s">
        <v>50</v>
      </c>
      <c r="C1178" s="12" t="s">
        <v>1457</v>
      </c>
      <c r="D1178" s="6" t="s">
        <v>7391</v>
      </c>
      <c r="E1178" s="6" t="s">
        <v>7398</v>
      </c>
      <c r="F1178" s="15" t="s">
        <v>7505</v>
      </c>
      <c r="G1178" s="6" t="s">
        <v>7506</v>
      </c>
      <c r="H1178" s="6" t="s">
        <v>100</v>
      </c>
      <c r="I1178" s="6" t="s">
        <v>953</v>
      </c>
      <c r="J1178" s="6" t="s">
        <v>953</v>
      </c>
    </row>
    <row r="1179">
      <c r="A1179" s="6">
        <v>1170.0</v>
      </c>
      <c r="B1179" s="6" t="s">
        <v>1001</v>
      </c>
      <c r="C1179" s="12" t="s">
        <v>1457</v>
      </c>
      <c r="D1179" s="6" t="s">
        <v>7391</v>
      </c>
      <c r="E1179" s="6" t="s">
        <v>7421</v>
      </c>
      <c r="F1179" s="15" t="s">
        <v>7507</v>
      </c>
      <c r="G1179" s="6" t="s">
        <v>7508</v>
      </c>
      <c r="H1179" s="6" t="s">
        <v>100</v>
      </c>
      <c r="I1179" s="6" t="s">
        <v>953</v>
      </c>
      <c r="J1179" s="6" t="s">
        <v>953</v>
      </c>
    </row>
    <row r="1180">
      <c r="A1180" s="6">
        <v>1171.0</v>
      </c>
      <c r="B1180" s="6" t="s">
        <v>1001</v>
      </c>
      <c r="C1180" s="12" t="s">
        <v>1457</v>
      </c>
      <c r="D1180" s="6" t="s">
        <v>7391</v>
      </c>
      <c r="E1180" s="6" t="s">
        <v>7404</v>
      </c>
      <c r="F1180" s="15" t="s">
        <v>7509</v>
      </c>
      <c r="G1180" s="6" t="s">
        <v>7510</v>
      </c>
      <c r="H1180" s="6" t="s">
        <v>100</v>
      </c>
      <c r="I1180" s="6" t="s">
        <v>953</v>
      </c>
      <c r="J1180" s="6" t="s">
        <v>953</v>
      </c>
    </row>
    <row r="1181">
      <c r="A1181" s="6">
        <v>1172.0</v>
      </c>
      <c r="B1181" s="6" t="s">
        <v>1001</v>
      </c>
      <c r="C1181" s="12" t="s">
        <v>1457</v>
      </c>
      <c r="D1181" s="6" t="s">
        <v>7391</v>
      </c>
      <c r="E1181" s="6" t="s">
        <v>7407</v>
      </c>
      <c r="F1181" s="15" t="s">
        <v>7511</v>
      </c>
      <c r="G1181" s="6" t="s">
        <v>7512</v>
      </c>
      <c r="H1181" s="6" t="s">
        <v>100</v>
      </c>
      <c r="I1181" s="6" t="s">
        <v>953</v>
      </c>
      <c r="J1181" s="6" t="s">
        <v>953</v>
      </c>
    </row>
    <row r="1182">
      <c r="A1182" s="6">
        <v>1173.0</v>
      </c>
      <c r="B1182" s="6" t="s">
        <v>50</v>
      </c>
      <c r="C1182" s="12" t="s">
        <v>1457</v>
      </c>
      <c r="D1182" s="6" t="s">
        <v>7391</v>
      </c>
      <c r="E1182" s="6" t="s">
        <v>7428</v>
      </c>
      <c r="F1182" s="15" t="s">
        <v>7513</v>
      </c>
      <c r="G1182" s="6" t="s">
        <v>7514</v>
      </c>
      <c r="H1182" s="6" t="s">
        <v>100</v>
      </c>
      <c r="I1182" s="6" t="s">
        <v>953</v>
      </c>
      <c r="J1182" s="6" t="s">
        <v>953</v>
      </c>
    </row>
    <row r="1183">
      <c r="A1183" s="6">
        <v>1174.0</v>
      </c>
      <c r="B1183" s="6" t="s">
        <v>50</v>
      </c>
      <c r="C1183" s="12" t="s">
        <v>1457</v>
      </c>
      <c r="D1183" s="6" t="s">
        <v>7391</v>
      </c>
      <c r="E1183" s="6" t="s">
        <v>7412</v>
      </c>
      <c r="F1183" s="15" t="s">
        <v>7515</v>
      </c>
      <c r="G1183" s="6" t="s">
        <v>7516</v>
      </c>
      <c r="H1183" s="6" t="s">
        <v>340</v>
      </c>
      <c r="I1183" s="6" t="s">
        <v>953</v>
      </c>
      <c r="J1183" s="6" t="s">
        <v>953</v>
      </c>
    </row>
    <row r="1184">
      <c r="F1184" s="29"/>
    </row>
    <row r="1185">
      <c r="F1185" s="29"/>
    </row>
    <row r="1186">
      <c r="F1186" s="29"/>
    </row>
    <row r="1187">
      <c r="F1187" s="29"/>
    </row>
    <row r="1188">
      <c r="F1188" s="29"/>
    </row>
    <row r="1189">
      <c r="F1189" s="29"/>
    </row>
    <row r="1190">
      <c r="F1190" s="29"/>
    </row>
    <row r="1191">
      <c r="F1191" s="29"/>
    </row>
    <row r="1192">
      <c r="F1192" s="29"/>
    </row>
    <row r="1193">
      <c r="F1193" s="29"/>
    </row>
    <row r="1194">
      <c r="F1194" s="29"/>
    </row>
    <row r="1195">
      <c r="F1195" s="29"/>
    </row>
    <row r="1196">
      <c r="F1196" s="29"/>
    </row>
    <row r="1197">
      <c r="F1197" s="29"/>
    </row>
    <row r="1198">
      <c r="F1198" s="29"/>
    </row>
    <row r="1199">
      <c r="F1199" s="29"/>
    </row>
    <row r="1200">
      <c r="F1200" s="29"/>
    </row>
    <row r="1201">
      <c r="F1201" s="29"/>
    </row>
    <row r="1202">
      <c r="F1202" s="29"/>
    </row>
    <row r="1203">
      <c r="F1203" s="29"/>
    </row>
    <row r="1204">
      <c r="F1204" s="29"/>
    </row>
    <row r="1205">
      <c r="F1205" s="29"/>
    </row>
    <row r="1206">
      <c r="F1206" s="29"/>
    </row>
    <row r="1207">
      <c r="F1207" s="29"/>
    </row>
    <row r="1208">
      <c r="F1208" s="29"/>
    </row>
    <row r="1209">
      <c r="F1209" s="29"/>
    </row>
    <row r="1210">
      <c r="F1210" s="29"/>
    </row>
    <row r="1211">
      <c r="F1211" s="29"/>
    </row>
    <row r="1212">
      <c r="F1212" s="29"/>
    </row>
    <row r="1213">
      <c r="F1213" s="29"/>
    </row>
    <row r="1214">
      <c r="F1214" s="29"/>
    </row>
    <row r="1215">
      <c r="F1215" s="29"/>
    </row>
    <row r="1216">
      <c r="F1216" s="29"/>
    </row>
    <row r="1217">
      <c r="F1217" s="29"/>
    </row>
    <row r="1218">
      <c r="F1218" s="29"/>
    </row>
    <row r="1219">
      <c r="F1219" s="29"/>
    </row>
    <row r="1220">
      <c r="F1220" s="29"/>
    </row>
    <row r="1221">
      <c r="F1221" s="29"/>
    </row>
    <row r="1222">
      <c r="F1222" s="29"/>
    </row>
    <row r="1223">
      <c r="F1223" s="29"/>
    </row>
    <row r="1224">
      <c r="F1224" s="29"/>
    </row>
    <row r="1225">
      <c r="F1225" s="29"/>
    </row>
    <row r="1226">
      <c r="F1226" s="29"/>
    </row>
    <row r="1227">
      <c r="F1227" s="29"/>
    </row>
    <row r="1228">
      <c r="F1228" s="29"/>
    </row>
    <row r="1229">
      <c r="F1229" s="29"/>
    </row>
    <row r="1230">
      <c r="F1230" s="29"/>
    </row>
    <row r="1231">
      <c r="F1231" s="29"/>
    </row>
    <row r="1232">
      <c r="F1232" s="29"/>
    </row>
    <row r="1233">
      <c r="F1233" s="29"/>
    </row>
    <row r="1234">
      <c r="F1234" s="29"/>
    </row>
    <row r="1235">
      <c r="F1235" s="29"/>
    </row>
    <row r="1236">
      <c r="F1236" s="29"/>
    </row>
    <row r="1237">
      <c r="F1237" s="29"/>
    </row>
    <row r="1238">
      <c r="F1238" s="29"/>
    </row>
    <row r="1239">
      <c r="F1239" s="29"/>
    </row>
    <row r="1240">
      <c r="F1240" s="29"/>
    </row>
    <row r="1241">
      <c r="F1241" s="29"/>
    </row>
    <row r="1242">
      <c r="F1242" s="29"/>
    </row>
    <row r="1243">
      <c r="F1243" s="29"/>
    </row>
    <row r="1244">
      <c r="F1244" s="29"/>
    </row>
    <row r="1245">
      <c r="F1245" s="29"/>
    </row>
    <row r="1246">
      <c r="F1246" s="29"/>
    </row>
    <row r="1247">
      <c r="F1247" s="29"/>
    </row>
    <row r="1248">
      <c r="F1248" s="29"/>
    </row>
    <row r="1249">
      <c r="F1249" s="29"/>
    </row>
    <row r="1250">
      <c r="F1250" s="29"/>
    </row>
    <row r="1251">
      <c r="F1251" s="29"/>
    </row>
    <row r="1252">
      <c r="F1252" s="29"/>
    </row>
    <row r="1253">
      <c r="F1253" s="29"/>
    </row>
    <row r="1254">
      <c r="F1254" s="29"/>
    </row>
    <row r="1255">
      <c r="F1255" s="29"/>
    </row>
    <row r="1256">
      <c r="F1256" s="29"/>
    </row>
    <row r="1257">
      <c r="F1257" s="29"/>
    </row>
    <row r="1258">
      <c r="F1258" s="29"/>
    </row>
    <row r="1259">
      <c r="F1259" s="29"/>
    </row>
    <row r="1260">
      <c r="F1260" s="29"/>
    </row>
    <row r="1261">
      <c r="F1261" s="29"/>
    </row>
    <row r="1262">
      <c r="F1262" s="29"/>
    </row>
    <row r="1263">
      <c r="F1263" s="29"/>
    </row>
    <row r="1264">
      <c r="F1264" s="29"/>
    </row>
    <row r="1265">
      <c r="F1265" s="29"/>
    </row>
    <row r="1266">
      <c r="F1266" s="29"/>
    </row>
    <row r="1267">
      <c r="F1267" s="29"/>
    </row>
    <row r="1268">
      <c r="F1268" s="29"/>
    </row>
    <row r="1269">
      <c r="F1269" s="29"/>
    </row>
    <row r="1270">
      <c r="F1270" s="29"/>
    </row>
    <row r="1271">
      <c r="F1271" s="29"/>
    </row>
    <row r="1272">
      <c r="F1272" s="29"/>
    </row>
    <row r="1273">
      <c r="F1273" s="29"/>
    </row>
    <row r="1274">
      <c r="F1274" s="29"/>
    </row>
    <row r="1275">
      <c r="F1275" s="29"/>
    </row>
    <row r="1276">
      <c r="F1276" s="29"/>
    </row>
    <row r="1277">
      <c r="F1277" s="29"/>
    </row>
    <row r="1278">
      <c r="F1278" s="29"/>
    </row>
    <row r="1279">
      <c r="F1279" s="29"/>
    </row>
    <row r="1280">
      <c r="F1280" s="29"/>
    </row>
    <row r="1281">
      <c r="F1281" s="29"/>
    </row>
    <row r="1282">
      <c r="F1282" s="29"/>
    </row>
    <row r="1283">
      <c r="F1283" s="29"/>
    </row>
    <row r="1284">
      <c r="F1284" s="29"/>
    </row>
    <row r="1285">
      <c r="F1285" s="29"/>
    </row>
    <row r="1286">
      <c r="F1286" s="29"/>
    </row>
    <row r="1287">
      <c r="F1287" s="29"/>
    </row>
    <row r="1288">
      <c r="F1288" s="29"/>
    </row>
    <row r="1289">
      <c r="F1289" s="29"/>
    </row>
    <row r="1290">
      <c r="F1290" s="29"/>
    </row>
    <row r="1291">
      <c r="F1291" s="29"/>
    </row>
    <row r="1292">
      <c r="F1292" s="29"/>
    </row>
    <row r="1293">
      <c r="F1293" s="29"/>
    </row>
    <row r="1294">
      <c r="F1294" s="29"/>
    </row>
    <row r="1295">
      <c r="F1295" s="29"/>
    </row>
    <row r="1296">
      <c r="F1296" s="29"/>
    </row>
    <row r="1297">
      <c r="F1297" s="29"/>
    </row>
    <row r="1298">
      <c r="F1298" s="29"/>
    </row>
    <row r="1299">
      <c r="F1299" s="29"/>
    </row>
    <row r="1300">
      <c r="F1300" s="29"/>
    </row>
    <row r="1301">
      <c r="F1301" s="29"/>
    </row>
    <row r="1302">
      <c r="F1302" s="29"/>
    </row>
    <row r="1303">
      <c r="F1303" s="29"/>
    </row>
    <row r="1304">
      <c r="F1304" s="29"/>
    </row>
    <row r="1305">
      <c r="F1305" s="29"/>
    </row>
    <row r="1306">
      <c r="F1306" s="29"/>
    </row>
    <row r="1307">
      <c r="F1307" s="29"/>
    </row>
    <row r="1308">
      <c r="F1308" s="29"/>
    </row>
    <row r="1309">
      <c r="F1309" s="29"/>
    </row>
    <row r="1310">
      <c r="F1310" s="29"/>
    </row>
    <row r="1311">
      <c r="F1311" s="29"/>
    </row>
    <row r="1312">
      <c r="F1312" s="29"/>
    </row>
    <row r="1313">
      <c r="F1313" s="29"/>
    </row>
    <row r="1314">
      <c r="F1314" s="29"/>
    </row>
    <row r="1315">
      <c r="F1315" s="29"/>
    </row>
    <row r="1316">
      <c r="F1316" s="29"/>
    </row>
    <row r="1317">
      <c r="F1317" s="29"/>
    </row>
    <row r="1318">
      <c r="F1318" s="29"/>
    </row>
    <row r="1319">
      <c r="F1319" s="29"/>
    </row>
    <row r="1320">
      <c r="F1320" s="29"/>
    </row>
    <row r="1321">
      <c r="F1321" s="29"/>
    </row>
    <row r="1322">
      <c r="F1322" s="29"/>
    </row>
    <row r="1323">
      <c r="F1323" s="29"/>
    </row>
    <row r="1324">
      <c r="F1324" s="29"/>
    </row>
    <row r="1325">
      <c r="F1325" s="29"/>
    </row>
    <row r="1326">
      <c r="F1326" s="29"/>
    </row>
    <row r="1327">
      <c r="F1327" s="29"/>
    </row>
    <row r="1328">
      <c r="F1328" s="29"/>
    </row>
    <row r="1329">
      <c r="F1329" s="29"/>
    </row>
    <row r="1330">
      <c r="F1330" s="29"/>
    </row>
    <row r="1331">
      <c r="F1331" s="29"/>
    </row>
    <row r="1332">
      <c r="F1332" s="29"/>
    </row>
    <row r="1333">
      <c r="F1333" s="29"/>
    </row>
    <row r="1334">
      <c r="F1334" s="29"/>
    </row>
    <row r="1335">
      <c r="F1335" s="29"/>
    </row>
    <row r="1336">
      <c r="F1336" s="29"/>
    </row>
    <row r="1337">
      <c r="F1337" s="29"/>
    </row>
    <row r="1338">
      <c r="F1338" s="29"/>
    </row>
    <row r="1339">
      <c r="F1339" s="29"/>
    </row>
    <row r="1340">
      <c r="F1340" s="29"/>
    </row>
    <row r="1341">
      <c r="F1341" s="29"/>
    </row>
    <row r="1342">
      <c r="F1342" s="29"/>
    </row>
    <row r="1343">
      <c r="F1343" s="29"/>
    </row>
    <row r="1344">
      <c r="F1344" s="29"/>
    </row>
    <row r="1345">
      <c r="F1345" s="29"/>
    </row>
    <row r="1346">
      <c r="F1346" s="29"/>
    </row>
    <row r="1347">
      <c r="F1347" s="29"/>
    </row>
    <row r="1348">
      <c r="F1348" s="29"/>
    </row>
    <row r="1349">
      <c r="F1349" s="29"/>
    </row>
    <row r="1350">
      <c r="F1350" s="29"/>
    </row>
    <row r="1351">
      <c r="F1351" s="29"/>
    </row>
    <row r="1352">
      <c r="F1352" s="29"/>
    </row>
    <row r="1353">
      <c r="F1353" s="29"/>
    </row>
    <row r="1354">
      <c r="F1354" s="29"/>
    </row>
    <row r="1355">
      <c r="F1355" s="29"/>
    </row>
    <row r="1356">
      <c r="F1356" s="29"/>
    </row>
    <row r="1357">
      <c r="F1357" s="29"/>
    </row>
    <row r="1358">
      <c r="F1358" s="29"/>
    </row>
    <row r="1359">
      <c r="F1359" s="29"/>
    </row>
    <row r="1360">
      <c r="F1360" s="29"/>
    </row>
    <row r="1361">
      <c r="F1361" s="29"/>
    </row>
    <row r="1362">
      <c r="F1362" s="29"/>
    </row>
    <row r="1363">
      <c r="F1363" s="29"/>
    </row>
    <row r="1364">
      <c r="F1364" s="29"/>
    </row>
    <row r="1365">
      <c r="F1365" s="29"/>
    </row>
    <row r="1366">
      <c r="F1366" s="29"/>
    </row>
    <row r="1367">
      <c r="F1367" s="29"/>
    </row>
    <row r="1368">
      <c r="F1368" s="29"/>
    </row>
    <row r="1369">
      <c r="F1369" s="29"/>
    </row>
    <row r="1370">
      <c r="F1370" s="29"/>
    </row>
    <row r="1371">
      <c r="F1371" s="29"/>
    </row>
    <row r="1372">
      <c r="F1372" s="29"/>
    </row>
    <row r="1373">
      <c r="F1373" s="29"/>
    </row>
    <row r="1374">
      <c r="F1374" s="29"/>
    </row>
    <row r="1375">
      <c r="F1375" s="29"/>
    </row>
    <row r="1376">
      <c r="F1376" s="29"/>
    </row>
    <row r="1377">
      <c r="F1377" s="29"/>
    </row>
    <row r="1378">
      <c r="F1378" s="29"/>
    </row>
    <row r="1379">
      <c r="F1379" s="29"/>
    </row>
    <row r="1380">
      <c r="F1380" s="29"/>
    </row>
    <row r="1381">
      <c r="F1381" s="29"/>
    </row>
    <row r="1382">
      <c r="F1382" s="29"/>
    </row>
    <row r="1383">
      <c r="F1383" s="29"/>
    </row>
    <row r="1384">
      <c r="F1384" s="29"/>
    </row>
    <row r="1385">
      <c r="F1385" s="29"/>
    </row>
    <row r="1386">
      <c r="F1386" s="29"/>
    </row>
    <row r="1387">
      <c r="F1387" s="29"/>
    </row>
    <row r="1388">
      <c r="F1388" s="29"/>
    </row>
    <row r="1389">
      <c r="F1389" s="29"/>
    </row>
    <row r="1390">
      <c r="F1390" s="29"/>
    </row>
    <row r="1391">
      <c r="F1391" s="29"/>
    </row>
    <row r="1392">
      <c r="F1392" s="29"/>
    </row>
    <row r="1393">
      <c r="F1393" s="29"/>
    </row>
    <row r="1394">
      <c r="F1394" s="29"/>
    </row>
    <row r="1395">
      <c r="F1395" s="29"/>
    </row>
    <row r="1396">
      <c r="F1396" s="29"/>
    </row>
    <row r="1397">
      <c r="F1397" s="29"/>
    </row>
    <row r="1398">
      <c r="F1398" s="29"/>
    </row>
    <row r="1399">
      <c r="F1399" s="29"/>
    </row>
    <row r="1400">
      <c r="F1400" s="29"/>
    </row>
    <row r="1401">
      <c r="F1401" s="29"/>
    </row>
    <row r="1402">
      <c r="F1402" s="29"/>
    </row>
    <row r="1403">
      <c r="F1403" s="29"/>
    </row>
    <row r="1404">
      <c r="F1404" s="29"/>
    </row>
    <row r="1405">
      <c r="F1405" s="29"/>
    </row>
    <row r="1406">
      <c r="F1406" s="29"/>
    </row>
    <row r="1407">
      <c r="F1407" s="29"/>
    </row>
    <row r="1408">
      <c r="F1408" s="29"/>
    </row>
    <row r="1409">
      <c r="F1409" s="29"/>
    </row>
    <row r="1410">
      <c r="F1410" s="29"/>
    </row>
    <row r="1411">
      <c r="F1411" s="29"/>
    </row>
    <row r="1412">
      <c r="F1412" s="29"/>
    </row>
    <row r="1413">
      <c r="F1413" s="29"/>
    </row>
    <row r="1414">
      <c r="F1414" s="29"/>
    </row>
    <row r="1415">
      <c r="F1415" s="29"/>
    </row>
    <row r="1416">
      <c r="F1416" s="29"/>
    </row>
    <row r="1417">
      <c r="F1417" s="29"/>
    </row>
    <row r="1418">
      <c r="F1418" s="29"/>
    </row>
    <row r="1419">
      <c r="F1419" s="29"/>
    </row>
    <row r="1420">
      <c r="F1420" s="29"/>
    </row>
    <row r="1421">
      <c r="F1421" s="29"/>
    </row>
    <row r="1422">
      <c r="F1422" s="29"/>
    </row>
    <row r="1423">
      <c r="F1423" s="29"/>
    </row>
    <row r="1424">
      <c r="F1424" s="29"/>
    </row>
    <row r="1425">
      <c r="F1425" s="29"/>
    </row>
    <row r="1426">
      <c r="F1426" s="29"/>
    </row>
    <row r="1427">
      <c r="F1427" s="29"/>
    </row>
    <row r="1428">
      <c r="F1428" s="29"/>
    </row>
    <row r="1429">
      <c r="F1429" s="29"/>
    </row>
    <row r="1430">
      <c r="F1430" s="29"/>
    </row>
    <row r="1431">
      <c r="F1431" s="29"/>
    </row>
    <row r="1432">
      <c r="F1432" s="29"/>
    </row>
    <row r="1433">
      <c r="F1433" s="29"/>
    </row>
    <row r="1434">
      <c r="F1434" s="29"/>
    </row>
    <row r="1435">
      <c r="F1435" s="29"/>
    </row>
    <row r="1436">
      <c r="F1436" s="29"/>
    </row>
    <row r="1437">
      <c r="F1437" s="29"/>
    </row>
    <row r="1438">
      <c r="F1438" s="29"/>
    </row>
    <row r="1439">
      <c r="F1439" s="29"/>
    </row>
    <row r="1440">
      <c r="F1440" s="29"/>
    </row>
    <row r="1441">
      <c r="F1441" s="29"/>
    </row>
    <row r="1442">
      <c r="F1442" s="29"/>
    </row>
    <row r="1443">
      <c r="F1443" s="29"/>
    </row>
    <row r="1444">
      <c r="F1444" s="29"/>
    </row>
    <row r="1445">
      <c r="F1445" s="29"/>
    </row>
    <row r="1446">
      <c r="F1446" s="29"/>
    </row>
    <row r="1447">
      <c r="F1447" s="29"/>
    </row>
    <row r="1448">
      <c r="F1448" s="29"/>
    </row>
    <row r="1449">
      <c r="F1449" s="29"/>
    </row>
    <row r="1450">
      <c r="F1450" s="29"/>
    </row>
    <row r="1451">
      <c r="F1451" s="29"/>
    </row>
    <row r="1452">
      <c r="F1452" s="29"/>
    </row>
    <row r="1453">
      <c r="F1453" s="29"/>
    </row>
    <row r="1454">
      <c r="F1454" s="29"/>
    </row>
    <row r="1455">
      <c r="F1455" s="29"/>
    </row>
    <row r="1456">
      <c r="F1456" s="29"/>
    </row>
    <row r="1457">
      <c r="F1457" s="29"/>
    </row>
    <row r="1458">
      <c r="F1458" s="29"/>
    </row>
    <row r="1459">
      <c r="F1459" s="29"/>
    </row>
    <row r="1460">
      <c r="F1460" s="29"/>
    </row>
    <row r="1461">
      <c r="F1461" s="29"/>
    </row>
    <row r="1462">
      <c r="F1462" s="29"/>
    </row>
    <row r="1463">
      <c r="F1463" s="29"/>
    </row>
    <row r="1464">
      <c r="F1464" s="29"/>
    </row>
    <row r="1465">
      <c r="F1465" s="29"/>
    </row>
    <row r="1466">
      <c r="F1466" s="29"/>
    </row>
    <row r="1467">
      <c r="F1467" s="29"/>
    </row>
    <row r="1468">
      <c r="F1468" s="29"/>
    </row>
    <row r="1469">
      <c r="F1469" s="29"/>
    </row>
    <row r="1470">
      <c r="F1470" s="29"/>
    </row>
    <row r="1471">
      <c r="F1471" s="29"/>
    </row>
    <row r="1472">
      <c r="F1472" s="29"/>
    </row>
    <row r="1473">
      <c r="F1473" s="29"/>
    </row>
    <row r="1474">
      <c r="F1474" s="29"/>
    </row>
    <row r="1475">
      <c r="F1475" s="29"/>
    </row>
    <row r="1476">
      <c r="F1476" s="29"/>
    </row>
    <row r="1477">
      <c r="F1477" s="29"/>
    </row>
    <row r="1478">
      <c r="F1478" s="29"/>
    </row>
    <row r="1479">
      <c r="F1479" s="29"/>
    </row>
    <row r="1480">
      <c r="F1480" s="29"/>
    </row>
    <row r="1481">
      <c r="F1481" s="29"/>
    </row>
    <row r="1482">
      <c r="F1482" s="29"/>
    </row>
    <row r="1483">
      <c r="F1483" s="29"/>
    </row>
    <row r="1484">
      <c r="F1484" s="29"/>
    </row>
    <row r="1485">
      <c r="F1485" s="29"/>
    </row>
    <row r="1486">
      <c r="F1486" s="29"/>
    </row>
    <row r="1487">
      <c r="F1487" s="29"/>
    </row>
    <row r="1488">
      <c r="F1488" s="29"/>
    </row>
    <row r="1489">
      <c r="F1489" s="29"/>
    </row>
    <row r="1490">
      <c r="F1490" s="29"/>
    </row>
    <row r="1491">
      <c r="F1491" s="29"/>
    </row>
    <row r="1492">
      <c r="F1492" s="29"/>
    </row>
    <row r="1493">
      <c r="F1493" s="29"/>
    </row>
    <row r="1494">
      <c r="F1494" s="29"/>
    </row>
    <row r="1495">
      <c r="F1495" s="29"/>
    </row>
    <row r="1496">
      <c r="F1496" s="29"/>
    </row>
    <row r="1497">
      <c r="F1497" s="29"/>
    </row>
    <row r="1498">
      <c r="F1498" s="29"/>
    </row>
    <row r="1499">
      <c r="F1499" s="29"/>
    </row>
    <row r="1500">
      <c r="F1500" s="29"/>
    </row>
    <row r="1501">
      <c r="F1501" s="29"/>
    </row>
    <row r="1502">
      <c r="F1502" s="29"/>
    </row>
    <row r="1503">
      <c r="F1503" s="29"/>
    </row>
    <row r="1504">
      <c r="F1504" s="29"/>
    </row>
    <row r="1505">
      <c r="F1505" s="29"/>
    </row>
    <row r="1506">
      <c r="F1506" s="29"/>
    </row>
    <row r="1507">
      <c r="F1507" s="29"/>
    </row>
    <row r="1508">
      <c r="F1508" s="29"/>
    </row>
    <row r="1509">
      <c r="F1509" s="29"/>
    </row>
    <row r="1510">
      <c r="F1510" s="29"/>
    </row>
    <row r="1511">
      <c r="F1511" s="29"/>
    </row>
    <row r="1512">
      <c r="F1512" s="29"/>
    </row>
    <row r="1513">
      <c r="F1513" s="29"/>
    </row>
    <row r="1514">
      <c r="F1514" s="29"/>
    </row>
    <row r="1515">
      <c r="F1515" s="29"/>
    </row>
    <row r="1516">
      <c r="F1516" s="29"/>
    </row>
    <row r="1517">
      <c r="F1517" s="29"/>
    </row>
    <row r="1518">
      <c r="F1518" s="29"/>
    </row>
    <row r="1519">
      <c r="F1519" s="29"/>
    </row>
    <row r="1520">
      <c r="F1520" s="29"/>
    </row>
    <row r="1521">
      <c r="F1521" s="29"/>
    </row>
    <row r="1522">
      <c r="F1522" s="29"/>
    </row>
    <row r="1523">
      <c r="F1523" s="29"/>
    </row>
    <row r="1524">
      <c r="F1524" s="29"/>
    </row>
    <row r="1525">
      <c r="F1525" s="29"/>
    </row>
    <row r="1526">
      <c r="F1526" s="29"/>
    </row>
    <row r="1527">
      <c r="F1527" s="29"/>
    </row>
    <row r="1528">
      <c r="F1528" s="29"/>
    </row>
    <row r="1529">
      <c r="F1529" s="29"/>
    </row>
    <row r="1530">
      <c r="F1530" s="29"/>
    </row>
    <row r="1531">
      <c r="F1531" s="29"/>
    </row>
    <row r="1532">
      <c r="F1532" s="29"/>
    </row>
    <row r="1533">
      <c r="F1533" s="29"/>
    </row>
    <row r="1534">
      <c r="F1534" s="29"/>
    </row>
    <row r="1535">
      <c r="F1535" s="29"/>
    </row>
    <row r="1536">
      <c r="F1536" s="29"/>
    </row>
    <row r="1537">
      <c r="F1537" s="29"/>
    </row>
    <row r="1538">
      <c r="F1538" s="29"/>
    </row>
    <row r="1539">
      <c r="F1539" s="29"/>
    </row>
    <row r="1540">
      <c r="F1540" s="29"/>
    </row>
    <row r="1541">
      <c r="F1541" s="29"/>
    </row>
    <row r="1542">
      <c r="F1542" s="29"/>
    </row>
    <row r="1543">
      <c r="F1543" s="29"/>
    </row>
    <row r="1544">
      <c r="F1544" s="29"/>
    </row>
    <row r="1545">
      <c r="F1545" s="29"/>
    </row>
    <row r="1546">
      <c r="F1546" s="29"/>
    </row>
    <row r="1547">
      <c r="F1547" s="29"/>
    </row>
    <row r="1548">
      <c r="F1548" s="29"/>
    </row>
    <row r="1549">
      <c r="F1549" s="29"/>
    </row>
    <row r="1550">
      <c r="F1550" s="29"/>
    </row>
    <row r="1551">
      <c r="F1551" s="29"/>
    </row>
    <row r="1552">
      <c r="F1552" s="29"/>
    </row>
    <row r="1553">
      <c r="F1553" s="29"/>
    </row>
    <row r="1554">
      <c r="F1554" s="29"/>
    </row>
    <row r="1555">
      <c r="F1555" s="29"/>
    </row>
    <row r="1556">
      <c r="F1556" s="29"/>
    </row>
    <row r="1557">
      <c r="F1557" s="29"/>
    </row>
    <row r="1558">
      <c r="F1558" s="29"/>
    </row>
    <row r="1559">
      <c r="F1559" s="29"/>
    </row>
    <row r="1560">
      <c r="F1560" s="29"/>
    </row>
    <row r="1561">
      <c r="F1561" s="29"/>
    </row>
    <row r="1562">
      <c r="F1562" s="29"/>
    </row>
    <row r="1563">
      <c r="F1563" s="29"/>
    </row>
    <row r="1564">
      <c r="F1564" s="29"/>
    </row>
    <row r="1565">
      <c r="F1565" s="29"/>
    </row>
    <row r="1566">
      <c r="F1566" s="29"/>
    </row>
    <row r="1567">
      <c r="F1567" s="29"/>
    </row>
    <row r="1568">
      <c r="F1568" s="29"/>
    </row>
    <row r="1569">
      <c r="F1569" s="29"/>
    </row>
    <row r="1570">
      <c r="F1570" s="29"/>
    </row>
    <row r="1571">
      <c r="F1571" s="29"/>
    </row>
    <row r="1572">
      <c r="F1572" s="29"/>
    </row>
    <row r="1573">
      <c r="F1573" s="29"/>
    </row>
    <row r="1574">
      <c r="F1574" s="29"/>
    </row>
    <row r="1575">
      <c r="F1575" s="29"/>
    </row>
    <row r="1576">
      <c r="F1576" s="29"/>
    </row>
    <row r="1577">
      <c r="F1577" s="29"/>
    </row>
    <row r="1578">
      <c r="F1578" s="29"/>
    </row>
    <row r="1579">
      <c r="F1579" s="29"/>
    </row>
    <row r="1580">
      <c r="F1580" s="29"/>
    </row>
    <row r="1581">
      <c r="F1581" s="29"/>
    </row>
    <row r="1582">
      <c r="F1582" s="29"/>
    </row>
    <row r="1583">
      <c r="F1583" s="29"/>
    </row>
    <row r="1584">
      <c r="F1584" s="29"/>
    </row>
    <row r="1585">
      <c r="F1585" s="29"/>
    </row>
    <row r="1586">
      <c r="F1586" s="29"/>
    </row>
    <row r="1587">
      <c r="F1587" s="29"/>
    </row>
    <row r="1588">
      <c r="F1588" s="29"/>
    </row>
    <row r="1589">
      <c r="F1589" s="29"/>
    </row>
    <row r="1590">
      <c r="F1590" s="29"/>
    </row>
    <row r="1591">
      <c r="F1591" s="29"/>
    </row>
    <row r="1592">
      <c r="F1592" s="29"/>
    </row>
    <row r="1593">
      <c r="F1593" s="29"/>
    </row>
    <row r="1594">
      <c r="F1594" s="29"/>
    </row>
    <row r="1595">
      <c r="F1595" s="29"/>
    </row>
    <row r="1596">
      <c r="F1596" s="29"/>
    </row>
    <row r="1597">
      <c r="F1597" s="29"/>
    </row>
    <row r="1598">
      <c r="F1598" s="29"/>
    </row>
    <row r="1599">
      <c r="F1599" s="29"/>
    </row>
    <row r="1600">
      <c r="F1600" s="29"/>
    </row>
    <row r="1601">
      <c r="F1601" s="29"/>
    </row>
    <row r="1602">
      <c r="F1602" s="29"/>
    </row>
    <row r="1603">
      <c r="F1603" s="29"/>
    </row>
    <row r="1604">
      <c r="F1604" s="29"/>
    </row>
    <row r="1605">
      <c r="F1605" s="29"/>
    </row>
    <row r="1606">
      <c r="F1606" s="29"/>
    </row>
    <row r="1607">
      <c r="F1607" s="29"/>
    </row>
    <row r="1608">
      <c r="F1608" s="29"/>
    </row>
    <row r="1609">
      <c r="F1609" s="29"/>
    </row>
    <row r="1610">
      <c r="F1610" s="29"/>
    </row>
    <row r="1611">
      <c r="F1611" s="29"/>
    </row>
    <row r="1612">
      <c r="F1612" s="29"/>
    </row>
    <row r="1613">
      <c r="F1613" s="29"/>
    </row>
    <row r="1614">
      <c r="F1614" s="29"/>
    </row>
    <row r="1615">
      <c r="F1615" s="29"/>
    </row>
    <row r="1616">
      <c r="F1616" s="29"/>
    </row>
    <row r="1617">
      <c r="F1617" s="29"/>
    </row>
    <row r="1618">
      <c r="F1618" s="29"/>
    </row>
    <row r="1619">
      <c r="F1619" s="29"/>
    </row>
    <row r="1620">
      <c r="F1620" s="29"/>
    </row>
    <row r="1621">
      <c r="F1621" s="29"/>
    </row>
    <row r="1622">
      <c r="F1622" s="29"/>
    </row>
    <row r="1623">
      <c r="F1623" s="29"/>
    </row>
    <row r="1624">
      <c r="F1624" s="29"/>
    </row>
    <row r="1625">
      <c r="F1625" s="29"/>
    </row>
    <row r="1626">
      <c r="F1626" s="29"/>
    </row>
    <row r="1627">
      <c r="F1627" s="29"/>
    </row>
    <row r="1628">
      <c r="F1628" s="29"/>
    </row>
    <row r="1629">
      <c r="F1629" s="29"/>
    </row>
    <row r="1630">
      <c r="F1630" s="29"/>
    </row>
    <row r="1631">
      <c r="F1631" s="29"/>
    </row>
    <row r="1632">
      <c r="F1632" s="29"/>
    </row>
    <row r="1633">
      <c r="F1633" s="29"/>
    </row>
    <row r="1634">
      <c r="F1634" s="29"/>
    </row>
    <row r="1635">
      <c r="F1635" s="29"/>
    </row>
    <row r="1636">
      <c r="F1636" s="29"/>
    </row>
    <row r="1637">
      <c r="F1637" s="29"/>
    </row>
    <row r="1638">
      <c r="F1638" s="29"/>
    </row>
    <row r="1639">
      <c r="F1639" s="29"/>
    </row>
    <row r="1640">
      <c r="F1640" s="29"/>
    </row>
    <row r="1641">
      <c r="F1641" s="29"/>
    </row>
    <row r="1642">
      <c r="F1642" s="29"/>
    </row>
    <row r="1643">
      <c r="F1643" s="29"/>
    </row>
    <row r="1644">
      <c r="F1644" s="29"/>
    </row>
    <row r="1645">
      <c r="F1645" s="29"/>
    </row>
    <row r="1646">
      <c r="F1646" s="29"/>
    </row>
    <row r="1647">
      <c r="F1647" s="29"/>
    </row>
    <row r="1648">
      <c r="F1648" s="29"/>
    </row>
    <row r="1649">
      <c r="F1649" s="29"/>
    </row>
    <row r="1650">
      <c r="F1650" s="29"/>
    </row>
    <row r="1651">
      <c r="F1651" s="29"/>
    </row>
    <row r="1652">
      <c r="F1652" s="29"/>
    </row>
    <row r="1653">
      <c r="F1653" s="29"/>
    </row>
    <row r="1654">
      <c r="F1654" s="29"/>
    </row>
    <row r="1655">
      <c r="F1655" s="29"/>
    </row>
    <row r="1656">
      <c r="F1656" s="29"/>
    </row>
    <row r="1657">
      <c r="F1657" s="29"/>
    </row>
    <row r="1658">
      <c r="F1658" s="29"/>
    </row>
    <row r="1659">
      <c r="F1659" s="29"/>
    </row>
    <row r="1660">
      <c r="F1660" s="29"/>
    </row>
    <row r="1661">
      <c r="F1661" s="29"/>
    </row>
    <row r="1662">
      <c r="F1662" s="29"/>
    </row>
    <row r="1663">
      <c r="F1663" s="29"/>
    </row>
    <row r="1664">
      <c r="F1664" s="29"/>
    </row>
    <row r="1665">
      <c r="F1665" s="29"/>
    </row>
    <row r="1666">
      <c r="F1666" s="29"/>
    </row>
    <row r="1667">
      <c r="F1667" s="29"/>
    </row>
    <row r="1668">
      <c r="F1668" s="29"/>
    </row>
    <row r="1669">
      <c r="F1669" s="29"/>
    </row>
    <row r="1670">
      <c r="F1670" s="29"/>
    </row>
    <row r="1671">
      <c r="F1671" s="29"/>
    </row>
    <row r="1672">
      <c r="F1672" s="29"/>
    </row>
    <row r="1673">
      <c r="F1673" s="29"/>
    </row>
    <row r="1674">
      <c r="F1674" s="29"/>
    </row>
    <row r="1675">
      <c r="F1675" s="29"/>
    </row>
    <row r="1676">
      <c r="F1676" s="29"/>
    </row>
    <row r="1677">
      <c r="F1677" s="29"/>
    </row>
    <row r="1678">
      <c r="F1678" s="29"/>
    </row>
    <row r="1679">
      <c r="F1679" s="29"/>
    </row>
    <row r="1680">
      <c r="F1680" s="29"/>
    </row>
    <row r="1681">
      <c r="F1681" s="29"/>
    </row>
    <row r="1682">
      <c r="F1682" s="29"/>
    </row>
    <row r="1683">
      <c r="F1683" s="29"/>
    </row>
    <row r="1684">
      <c r="F1684" s="29"/>
    </row>
    <row r="1685">
      <c r="F1685" s="29"/>
    </row>
    <row r="1686">
      <c r="F1686" s="29"/>
    </row>
    <row r="1687">
      <c r="F1687" s="29"/>
    </row>
    <row r="1688">
      <c r="F1688" s="29"/>
    </row>
    <row r="1689">
      <c r="F1689" s="29"/>
    </row>
    <row r="1690">
      <c r="F1690" s="29"/>
    </row>
    <row r="1691">
      <c r="F1691" s="29"/>
    </row>
    <row r="1692">
      <c r="F1692" s="29"/>
    </row>
    <row r="1693">
      <c r="F1693" s="29"/>
    </row>
    <row r="1694">
      <c r="F1694" s="29"/>
    </row>
    <row r="1695">
      <c r="F1695" s="29"/>
    </row>
    <row r="1696">
      <c r="F1696" s="29"/>
    </row>
    <row r="1697">
      <c r="F1697" s="29"/>
    </row>
    <row r="1698">
      <c r="F1698" s="29"/>
    </row>
    <row r="1699">
      <c r="F1699" s="29"/>
    </row>
    <row r="1700">
      <c r="F1700" s="29"/>
    </row>
    <row r="1701">
      <c r="F1701" s="29"/>
    </row>
    <row r="1702">
      <c r="F1702" s="29"/>
    </row>
    <row r="1703">
      <c r="F1703" s="29"/>
    </row>
    <row r="1704">
      <c r="F1704" s="29"/>
    </row>
    <row r="1705">
      <c r="F1705" s="29"/>
    </row>
    <row r="1706">
      <c r="F1706" s="29"/>
    </row>
    <row r="1707">
      <c r="F1707" s="29"/>
    </row>
    <row r="1708">
      <c r="F1708" s="29"/>
    </row>
    <row r="1709">
      <c r="F1709" s="29"/>
    </row>
    <row r="1710">
      <c r="F1710" s="29"/>
    </row>
    <row r="1711">
      <c r="F1711" s="29"/>
    </row>
    <row r="1712">
      <c r="F1712" s="29"/>
    </row>
    <row r="1713">
      <c r="F1713" s="29"/>
    </row>
    <row r="1714">
      <c r="F1714" s="29"/>
    </row>
    <row r="1715">
      <c r="F1715" s="29"/>
    </row>
    <row r="1716">
      <c r="F1716" s="29"/>
    </row>
    <row r="1717">
      <c r="F1717" s="29"/>
    </row>
    <row r="1718">
      <c r="F1718" s="29"/>
    </row>
    <row r="1719">
      <c r="F1719" s="29"/>
    </row>
    <row r="1720">
      <c r="F1720" s="29"/>
    </row>
    <row r="1721">
      <c r="F1721" s="29"/>
    </row>
    <row r="1722">
      <c r="F1722" s="29"/>
    </row>
    <row r="1723">
      <c r="F1723" s="29"/>
    </row>
    <row r="1724">
      <c r="F1724" s="29"/>
    </row>
    <row r="1725">
      <c r="F1725" s="29"/>
    </row>
    <row r="1726">
      <c r="F1726" s="29"/>
    </row>
    <row r="1727">
      <c r="F1727" s="29"/>
    </row>
    <row r="1728">
      <c r="F1728" s="29"/>
    </row>
    <row r="1729">
      <c r="F1729" s="29"/>
    </row>
    <row r="1730">
      <c r="F1730" s="29"/>
    </row>
    <row r="1731">
      <c r="F1731" s="29"/>
    </row>
    <row r="1732">
      <c r="F1732" s="29"/>
    </row>
    <row r="1733">
      <c r="F1733" s="29"/>
    </row>
    <row r="1734">
      <c r="F1734" s="29"/>
    </row>
    <row r="1735">
      <c r="F1735" s="29"/>
    </row>
    <row r="1736">
      <c r="F1736" s="29"/>
    </row>
    <row r="1737">
      <c r="F1737" s="29"/>
    </row>
    <row r="1738">
      <c r="F1738" s="29"/>
    </row>
    <row r="1739">
      <c r="F1739" s="29"/>
    </row>
    <row r="1740">
      <c r="F1740" s="29"/>
    </row>
    <row r="1741">
      <c r="F1741" s="29"/>
    </row>
    <row r="1742">
      <c r="F1742" s="29"/>
    </row>
    <row r="1743">
      <c r="F1743" s="29"/>
    </row>
    <row r="1744">
      <c r="F1744" s="29"/>
    </row>
    <row r="1745">
      <c r="F1745" s="29"/>
    </row>
    <row r="1746">
      <c r="F1746" s="29"/>
    </row>
    <row r="1747">
      <c r="F1747" s="29"/>
    </row>
    <row r="1748">
      <c r="F1748" s="29"/>
    </row>
    <row r="1749">
      <c r="F1749" s="29"/>
    </row>
    <row r="1750">
      <c r="F1750" s="29"/>
    </row>
    <row r="1751">
      <c r="F1751" s="29"/>
    </row>
    <row r="1752">
      <c r="F1752" s="29"/>
    </row>
    <row r="1753">
      <c r="F1753" s="29"/>
    </row>
    <row r="1754">
      <c r="F1754" s="29"/>
    </row>
    <row r="1755">
      <c r="F1755" s="29"/>
    </row>
    <row r="1756">
      <c r="F1756" s="29"/>
    </row>
    <row r="1757">
      <c r="F1757" s="29"/>
    </row>
    <row r="1758">
      <c r="F1758" s="29"/>
    </row>
    <row r="1759">
      <c r="F1759" s="29"/>
    </row>
    <row r="1760">
      <c r="F1760" s="29"/>
    </row>
    <row r="1761">
      <c r="F1761" s="29"/>
    </row>
    <row r="1762">
      <c r="F1762" s="29"/>
    </row>
    <row r="1763">
      <c r="F1763" s="29"/>
    </row>
    <row r="1764">
      <c r="F1764" s="29"/>
    </row>
    <row r="1765">
      <c r="F1765" s="29"/>
    </row>
    <row r="1766">
      <c r="F1766" s="29"/>
    </row>
    <row r="1767">
      <c r="F1767" s="29"/>
    </row>
    <row r="1768">
      <c r="F1768" s="29"/>
    </row>
    <row r="1769">
      <c r="F1769" s="29"/>
    </row>
    <row r="1770">
      <c r="F1770" s="29"/>
    </row>
    <row r="1771">
      <c r="F1771" s="29"/>
    </row>
    <row r="1772">
      <c r="F1772" s="29"/>
    </row>
    <row r="1773">
      <c r="F1773" s="29"/>
    </row>
    <row r="1774">
      <c r="F1774" s="29"/>
    </row>
    <row r="1775">
      <c r="F1775" s="29"/>
    </row>
    <row r="1776">
      <c r="F1776" s="29"/>
    </row>
    <row r="1777">
      <c r="F1777" s="29"/>
    </row>
    <row r="1778">
      <c r="F1778" s="29"/>
    </row>
    <row r="1779">
      <c r="F1779" s="29"/>
    </row>
    <row r="1780">
      <c r="F1780" s="29"/>
    </row>
    <row r="1781">
      <c r="F1781" s="29"/>
    </row>
    <row r="1782">
      <c r="F1782" s="29"/>
    </row>
    <row r="1783">
      <c r="F1783" s="29"/>
    </row>
    <row r="1784">
      <c r="F1784" s="29"/>
    </row>
    <row r="1785">
      <c r="F1785" s="29"/>
    </row>
    <row r="1786">
      <c r="F1786" s="29"/>
    </row>
    <row r="1787">
      <c r="F1787" s="29"/>
    </row>
    <row r="1788">
      <c r="F1788" s="29"/>
    </row>
    <row r="1789">
      <c r="F1789" s="29"/>
    </row>
    <row r="1790">
      <c r="F1790" s="29"/>
    </row>
    <row r="1791">
      <c r="F1791" s="29"/>
    </row>
    <row r="1792">
      <c r="F1792" s="29"/>
    </row>
    <row r="1793">
      <c r="F1793" s="29"/>
    </row>
    <row r="1794">
      <c r="F1794" s="29"/>
    </row>
    <row r="1795">
      <c r="F1795" s="29"/>
    </row>
    <row r="1796">
      <c r="F1796" s="29"/>
    </row>
    <row r="1797">
      <c r="F1797" s="29"/>
    </row>
    <row r="1798">
      <c r="F1798" s="29"/>
    </row>
    <row r="1799">
      <c r="F1799" s="29"/>
    </row>
    <row r="1800">
      <c r="F1800" s="29"/>
    </row>
    <row r="1801">
      <c r="F1801" s="29"/>
    </row>
    <row r="1802">
      <c r="F1802" s="29"/>
    </row>
    <row r="1803">
      <c r="F1803" s="29"/>
    </row>
    <row r="1804">
      <c r="F1804" s="29"/>
    </row>
    <row r="1805">
      <c r="F1805" s="29"/>
    </row>
    <row r="1806">
      <c r="F1806" s="29"/>
    </row>
    <row r="1807">
      <c r="F1807" s="29"/>
    </row>
    <row r="1808">
      <c r="F1808" s="29"/>
    </row>
    <row r="1809">
      <c r="F1809" s="29"/>
    </row>
    <row r="1810">
      <c r="F1810" s="29"/>
    </row>
    <row r="1811">
      <c r="F1811" s="29"/>
    </row>
    <row r="1812">
      <c r="F1812" s="29"/>
    </row>
    <row r="1813">
      <c r="F1813" s="29"/>
    </row>
    <row r="1814">
      <c r="F1814" s="29"/>
    </row>
    <row r="1815">
      <c r="F1815" s="29"/>
    </row>
    <row r="1816">
      <c r="F1816" s="29"/>
    </row>
    <row r="1817">
      <c r="F1817" s="29"/>
    </row>
    <row r="1818">
      <c r="F1818" s="29"/>
    </row>
    <row r="1819">
      <c r="F1819" s="29"/>
    </row>
    <row r="1820">
      <c r="F1820" s="29"/>
    </row>
    <row r="1821">
      <c r="F1821" s="29"/>
    </row>
    <row r="1822">
      <c r="F1822" s="29"/>
    </row>
    <row r="1823">
      <c r="F1823" s="29"/>
    </row>
    <row r="1824">
      <c r="F1824" s="29"/>
    </row>
    <row r="1825">
      <c r="F1825" s="29"/>
    </row>
    <row r="1826">
      <c r="F1826" s="29"/>
    </row>
    <row r="1827">
      <c r="F1827" s="29"/>
    </row>
    <row r="1828">
      <c r="F1828" s="29"/>
    </row>
    <row r="1829">
      <c r="F1829" s="29"/>
    </row>
    <row r="1830">
      <c r="F1830" s="29"/>
    </row>
    <row r="1831">
      <c r="F1831" s="29"/>
    </row>
    <row r="1832">
      <c r="F1832" s="29"/>
    </row>
    <row r="1833">
      <c r="F1833" s="29"/>
    </row>
    <row r="1834">
      <c r="F1834" s="29"/>
    </row>
    <row r="1835">
      <c r="F1835" s="29"/>
    </row>
    <row r="1836">
      <c r="F1836" s="29"/>
    </row>
    <row r="1837">
      <c r="F1837" s="29"/>
    </row>
    <row r="1838">
      <c r="F1838" s="29"/>
    </row>
    <row r="1839">
      <c r="F1839" s="29"/>
    </row>
    <row r="1840">
      <c r="F1840" s="29"/>
    </row>
    <row r="1841">
      <c r="F1841" s="29"/>
    </row>
    <row r="1842">
      <c r="F1842" s="29"/>
    </row>
    <row r="1843">
      <c r="F1843" s="29"/>
    </row>
    <row r="1844">
      <c r="F1844" s="29"/>
    </row>
    <row r="1845">
      <c r="F1845" s="29"/>
    </row>
    <row r="1846">
      <c r="F1846" s="29"/>
    </row>
    <row r="1847">
      <c r="F1847" s="29"/>
    </row>
    <row r="1848">
      <c r="F1848" s="29"/>
    </row>
    <row r="1849">
      <c r="F1849" s="29"/>
    </row>
    <row r="1850">
      <c r="F1850" s="29"/>
    </row>
    <row r="1851">
      <c r="F1851" s="29"/>
    </row>
    <row r="1852">
      <c r="F1852" s="29"/>
    </row>
    <row r="1853">
      <c r="F1853" s="29"/>
    </row>
    <row r="1854">
      <c r="F1854" s="29"/>
    </row>
    <row r="1855">
      <c r="F1855" s="29"/>
    </row>
    <row r="1856">
      <c r="F1856" s="29"/>
    </row>
    <row r="1857">
      <c r="F1857" s="29"/>
    </row>
    <row r="1858">
      <c r="F1858" s="29"/>
    </row>
    <row r="1859">
      <c r="F1859" s="29"/>
    </row>
    <row r="1860">
      <c r="F1860" s="29"/>
    </row>
    <row r="1861">
      <c r="F1861" s="29"/>
    </row>
    <row r="1862">
      <c r="F1862" s="29"/>
    </row>
    <row r="1863">
      <c r="F1863" s="29"/>
    </row>
    <row r="1864">
      <c r="F1864" s="29"/>
    </row>
    <row r="1865">
      <c r="F1865" s="29"/>
    </row>
    <row r="1866">
      <c r="F1866" s="29"/>
    </row>
    <row r="1867">
      <c r="F1867" s="29"/>
    </row>
    <row r="1868">
      <c r="F1868" s="29"/>
    </row>
    <row r="1869">
      <c r="F1869" s="29"/>
    </row>
    <row r="1870">
      <c r="F1870" s="29"/>
    </row>
    <row r="1871">
      <c r="F1871" s="29"/>
    </row>
    <row r="1872">
      <c r="F1872" s="29"/>
    </row>
    <row r="1873">
      <c r="F1873" s="29"/>
    </row>
    <row r="1874">
      <c r="F1874" s="29"/>
    </row>
    <row r="1875">
      <c r="F1875" s="29"/>
    </row>
    <row r="1876">
      <c r="F1876" s="29"/>
    </row>
    <row r="1877">
      <c r="F1877" s="29"/>
    </row>
    <row r="1878">
      <c r="F1878" s="29"/>
    </row>
    <row r="1879">
      <c r="F1879" s="29"/>
    </row>
    <row r="1880">
      <c r="F1880" s="29"/>
    </row>
    <row r="1881">
      <c r="F1881" s="29"/>
    </row>
    <row r="1882">
      <c r="F1882" s="29"/>
    </row>
    <row r="1883">
      <c r="F1883" s="29"/>
    </row>
    <row r="1884">
      <c r="F1884" s="29"/>
    </row>
    <row r="1885">
      <c r="F1885" s="29"/>
    </row>
    <row r="1886">
      <c r="F1886" s="29"/>
    </row>
    <row r="1887">
      <c r="F1887" s="29"/>
    </row>
    <row r="1888">
      <c r="F1888" s="29"/>
    </row>
    <row r="1889">
      <c r="F1889" s="29"/>
    </row>
    <row r="1890">
      <c r="F1890" s="29"/>
    </row>
    <row r="1891">
      <c r="F1891" s="29"/>
    </row>
    <row r="1892">
      <c r="F1892" s="29"/>
    </row>
    <row r="1893">
      <c r="F1893" s="29"/>
    </row>
    <row r="1894">
      <c r="F1894" s="29"/>
    </row>
    <row r="1895">
      <c r="F1895" s="29"/>
    </row>
    <row r="1896">
      <c r="F1896" s="29"/>
    </row>
    <row r="1897">
      <c r="F1897" s="29"/>
    </row>
    <row r="1898">
      <c r="F1898" s="29"/>
    </row>
    <row r="1899">
      <c r="F1899" s="29"/>
    </row>
    <row r="1900">
      <c r="F1900" s="29"/>
    </row>
    <row r="1901">
      <c r="F1901" s="29"/>
    </row>
    <row r="1902">
      <c r="F1902" s="29"/>
    </row>
    <row r="1903">
      <c r="F1903" s="29"/>
    </row>
    <row r="1904">
      <c r="F1904" s="29"/>
    </row>
    <row r="1905">
      <c r="F1905" s="29"/>
    </row>
    <row r="1906">
      <c r="F1906" s="29"/>
    </row>
    <row r="1907">
      <c r="F1907" s="29"/>
    </row>
    <row r="1908">
      <c r="F1908" s="29"/>
    </row>
    <row r="1909">
      <c r="F1909" s="29"/>
    </row>
    <row r="1910">
      <c r="F1910" s="29"/>
    </row>
    <row r="1911">
      <c r="F1911" s="29"/>
    </row>
    <row r="1912">
      <c r="F1912" s="29"/>
    </row>
    <row r="1913">
      <c r="F1913" s="29"/>
    </row>
    <row r="1914">
      <c r="F1914" s="29"/>
    </row>
    <row r="1915">
      <c r="F1915" s="29"/>
    </row>
    <row r="1916">
      <c r="F1916" s="29"/>
    </row>
    <row r="1917">
      <c r="F1917" s="29"/>
    </row>
    <row r="1918">
      <c r="F1918" s="29"/>
    </row>
    <row r="1919">
      <c r="F1919" s="29"/>
    </row>
    <row r="1920">
      <c r="F1920" s="29"/>
    </row>
    <row r="1921">
      <c r="F1921" s="29"/>
    </row>
    <row r="1922">
      <c r="F1922" s="29"/>
    </row>
    <row r="1923">
      <c r="F1923" s="29"/>
    </row>
    <row r="1924">
      <c r="F1924" s="29"/>
    </row>
    <row r="1925">
      <c r="F1925" s="29"/>
    </row>
    <row r="1926">
      <c r="F1926" s="29"/>
    </row>
    <row r="1927">
      <c r="F1927" s="29"/>
    </row>
    <row r="1928">
      <c r="F1928" s="29"/>
    </row>
    <row r="1929">
      <c r="F1929" s="29"/>
    </row>
    <row r="1930">
      <c r="F1930" s="29"/>
    </row>
    <row r="1931">
      <c r="F1931" s="29"/>
    </row>
    <row r="1932">
      <c r="F1932" s="29"/>
    </row>
    <row r="1933">
      <c r="F1933" s="29"/>
    </row>
    <row r="1934">
      <c r="F1934" s="29"/>
    </row>
    <row r="1935">
      <c r="F1935" s="29"/>
    </row>
    <row r="1936">
      <c r="F1936" s="29"/>
    </row>
    <row r="1937">
      <c r="F1937" s="29"/>
    </row>
    <row r="1938">
      <c r="F1938" s="29"/>
    </row>
    <row r="1939">
      <c r="F1939" s="29"/>
    </row>
    <row r="1940">
      <c r="F1940" s="29"/>
    </row>
    <row r="1941">
      <c r="F1941" s="29"/>
    </row>
    <row r="1942">
      <c r="F1942" s="29"/>
    </row>
    <row r="1943">
      <c r="F1943" s="29"/>
    </row>
    <row r="1944">
      <c r="F1944" s="29"/>
    </row>
    <row r="1945">
      <c r="F1945" s="29"/>
    </row>
    <row r="1946">
      <c r="F1946" s="29"/>
    </row>
    <row r="1947">
      <c r="F1947" s="29"/>
    </row>
    <row r="1948">
      <c r="F1948" s="29"/>
    </row>
    <row r="1949">
      <c r="F1949" s="29"/>
    </row>
    <row r="1950">
      <c r="F1950" s="29"/>
    </row>
    <row r="1951">
      <c r="F1951" s="29"/>
    </row>
    <row r="1952">
      <c r="F1952" s="29"/>
    </row>
    <row r="1953">
      <c r="F1953" s="29"/>
    </row>
    <row r="1954">
      <c r="F1954" s="29"/>
    </row>
    <row r="1955">
      <c r="F1955" s="29"/>
    </row>
    <row r="1956">
      <c r="F1956" s="29"/>
    </row>
    <row r="1957">
      <c r="F1957" s="29"/>
    </row>
    <row r="1958">
      <c r="F1958" s="29"/>
    </row>
    <row r="1959">
      <c r="F1959" s="29"/>
    </row>
    <row r="1960">
      <c r="F1960" s="29"/>
    </row>
    <row r="1961">
      <c r="F1961" s="29"/>
    </row>
    <row r="1962">
      <c r="F1962" s="29"/>
    </row>
    <row r="1963">
      <c r="F1963" s="29"/>
    </row>
    <row r="1964">
      <c r="F1964" s="29"/>
    </row>
    <row r="1965">
      <c r="F1965" s="29"/>
    </row>
    <row r="1966">
      <c r="F1966" s="29"/>
    </row>
    <row r="1967">
      <c r="F1967" s="29"/>
    </row>
    <row r="1968">
      <c r="F1968" s="29"/>
    </row>
    <row r="1969">
      <c r="F1969" s="29"/>
    </row>
    <row r="1970">
      <c r="F1970" s="29"/>
    </row>
    <row r="1971">
      <c r="F1971" s="29"/>
    </row>
    <row r="1972">
      <c r="F1972" s="29"/>
    </row>
    <row r="1973">
      <c r="F1973" s="29"/>
    </row>
    <row r="1974">
      <c r="F1974" s="29"/>
    </row>
    <row r="1975">
      <c r="F1975" s="29"/>
    </row>
    <row r="1976">
      <c r="F1976" s="29"/>
    </row>
    <row r="1977">
      <c r="F1977" s="29"/>
    </row>
    <row r="1978">
      <c r="F1978" s="29"/>
    </row>
    <row r="1979">
      <c r="F1979" s="29"/>
    </row>
    <row r="1980">
      <c r="F1980" s="29"/>
    </row>
    <row r="1981">
      <c r="F1981" s="29"/>
    </row>
    <row r="1982">
      <c r="F1982" s="29"/>
    </row>
    <row r="1983">
      <c r="F1983" s="29"/>
    </row>
    <row r="1984">
      <c r="F1984" s="29"/>
    </row>
    <row r="1985">
      <c r="F1985" s="29"/>
    </row>
    <row r="1986">
      <c r="F1986" s="29"/>
    </row>
    <row r="1987">
      <c r="F1987" s="29"/>
    </row>
    <row r="1988">
      <c r="F1988" s="29"/>
    </row>
    <row r="1989">
      <c r="F1989" s="29"/>
    </row>
    <row r="1990">
      <c r="F1990" s="29"/>
    </row>
    <row r="1991">
      <c r="F1991" s="29"/>
    </row>
    <row r="1992">
      <c r="F1992" s="29"/>
    </row>
    <row r="1993">
      <c r="F1993" s="29"/>
    </row>
    <row r="1994">
      <c r="F1994" s="29"/>
    </row>
    <row r="1995">
      <c r="F1995" s="29"/>
    </row>
    <row r="1996">
      <c r="F1996" s="29"/>
    </row>
    <row r="1997">
      <c r="F1997" s="29"/>
    </row>
    <row r="1998">
      <c r="F1998" s="29"/>
    </row>
    <row r="1999">
      <c r="F1999" s="29"/>
    </row>
    <row r="2000">
      <c r="F2000" s="29"/>
    </row>
    <row r="2001">
      <c r="F2001" s="29"/>
    </row>
    <row r="2002">
      <c r="F2002" s="29"/>
    </row>
    <row r="2003">
      <c r="F2003" s="29"/>
    </row>
    <row r="2004">
      <c r="F2004" s="29"/>
    </row>
    <row r="2005">
      <c r="F2005" s="29"/>
    </row>
    <row r="2006">
      <c r="F2006" s="29"/>
    </row>
    <row r="2007">
      <c r="F2007" s="29"/>
    </row>
    <row r="2008">
      <c r="F2008" s="29"/>
    </row>
    <row r="2009">
      <c r="F2009" s="29"/>
    </row>
    <row r="2010">
      <c r="F2010" s="29"/>
    </row>
    <row r="2011">
      <c r="F2011" s="29"/>
    </row>
    <row r="2012">
      <c r="F2012" s="29"/>
    </row>
    <row r="2013">
      <c r="F2013" s="29"/>
    </row>
    <row r="2014">
      <c r="F2014" s="29"/>
    </row>
    <row r="2015">
      <c r="F2015" s="29"/>
    </row>
    <row r="2016">
      <c r="F2016" s="29"/>
    </row>
    <row r="2017">
      <c r="F2017" s="29"/>
    </row>
    <row r="2018">
      <c r="F2018" s="29"/>
    </row>
    <row r="2019">
      <c r="F2019" s="29"/>
    </row>
    <row r="2020">
      <c r="F2020" s="29"/>
    </row>
    <row r="2021">
      <c r="F2021" s="29"/>
    </row>
    <row r="2022">
      <c r="F2022" s="29"/>
    </row>
    <row r="2023">
      <c r="F2023" s="29"/>
    </row>
    <row r="2024">
      <c r="F2024" s="29"/>
    </row>
    <row r="2025">
      <c r="F2025" s="29"/>
    </row>
    <row r="2026">
      <c r="F2026" s="29"/>
    </row>
    <row r="2027">
      <c r="F2027" s="29"/>
    </row>
    <row r="2028">
      <c r="F2028" s="29"/>
    </row>
    <row r="2029">
      <c r="F2029" s="29"/>
    </row>
    <row r="2030">
      <c r="F2030" s="29"/>
    </row>
    <row r="2031">
      <c r="F2031" s="29"/>
    </row>
    <row r="2032">
      <c r="F2032" s="29"/>
    </row>
    <row r="2033">
      <c r="F2033" s="29"/>
    </row>
    <row r="2034">
      <c r="F2034" s="29"/>
    </row>
    <row r="2035">
      <c r="F2035" s="29"/>
    </row>
    <row r="2036">
      <c r="F2036" s="29"/>
    </row>
    <row r="2037">
      <c r="F2037" s="29"/>
    </row>
  </sheetData>
  <hyperlinks>
    <hyperlink r:id="rId1" ref="C2"/>
    <hyperlink r:id="rId2" ref="F2"/>
    <hyperlink r:id="rId3" ref="C3"/>
    <hyperlink r:id="rId4" ref="F3"/>
    <hyperlink r:id="rId5" ref="C4"/>
    <hyperlink r:id="rId6" ref="F4"/>
    <hyperlink r:id="rId7" ref="C5"/>
    <hyperlink r:id="rId8" ref="F5"/>
    <hyperlink r:id="rId9" ref="C6"/>
    <hyperlink r:id="rId10" ref="F6"/>
    <hyperlink r:id="rId11" ref="C7"/>
    <hyperlink r:id="rId12" ref="F7"/>
    <hyperlink r:id="rId13" ref="C8"/>
    <hyperlink r:id="rId14" ref="F8"/>
    <hyperlink r:id="rId15" ref="C9"/>
    <hyperlink r:id="rId16" ref="F9"/>
    <hyperlink r:id="rId17" ref="C10"/>
    <hyperlink r:id="rId18" ref="F10"/>
    <hyperlink r:id="rId19" ref="C11"/>
    <hyperlink r:id="rId20" ref="F11"/>
    <hyperlink r:id="rId21" ref="C12"/>
    <hyperlink r:id="rId22" ref="F12"/>
    <hyperlink r:id="rId23" ref="C13"/>
    <hyperlink r:id="rId24" ref="F13"/>
    <hyperlink r:id="rId25" ref="C14"/>
    <hyperlink r:id="rId26" ref="F14"/>
    <hyperlink r:id="rId27" ref="C15"/>
    <hyperlink r:id="rId28" ref="F15"/>
    <hyperlink r:id="rId29" ref="C16"/>
    <hyperlink r:id="rId30" ref="F16"/>
    <hyperlink r:id="rId31" ref="C17"/>
    <hyperlink r:id="rId32" ref="F17"/>
    <hyperlink r:id="rId33" ref="C18"/>
    <hyperlink r:id="rId34" ref="F18"/>
    <hyperlink r:id="rId35" ref="C19"/>
    <hyperlink r:id="rId36" ref="F19"/>
    <hyperlink r:id="rId37" ref="C20"/>
    <hyperlink r:id="rId38" ref="F20"/>
    <hyperlink r:id="rId39" ref="C21"/>
    <hyperlink r:id="rId40" ref="F21"/>
    <hyperlink r:id="rId41" ref="C22"/>
    <hyperlink r:id="rId42" ref="F22"/>
    <hyperlink r:id="rId43" ref="C23"/>
    <hyperlink r:id="rId44" ref="F23"/>
    <hyperlink r:id="rId45" ref="C24"/>
    <hyperlink r:id="rId46" ref="F24"/>
    <hyperlink r:id="rId47" ref="C25"/>
    <hyperlink r:id="rId48" ref="F25"/>
    <hyperlink r:id="rId49" ref="C26"/>
    <hyperlink r:id="rId50" ref="F26"/>
    <hyperlink r:id="rId51" ref="C27"/>
    <hyperlink r:id="rId52" ref="F27"/>
    <hyperlink r:id="rId53" ref="C28"/>
    <hyperlink r:id="rId54" ref="F28"/>
    <hyperlink r:id="rId55" ref="C29"/>
    <hyperlink r:id="rId56" ref="F29"/>
    <hyperlink r:id="rId57" ref="C30"/>
    <hyperlink r:id="rId58" ref="F30"/>
    <hyperlink r:id="rId59" ref="C31"/>
    <hyperlink r:id="rId60" ref="F31"/>
    <hyperlink r:id="rId61" ref="C32"/>
    <hyperlink r:id="rId62" ref="F32"/>
    <hyperlink r:id="rId63" ref="C33"/>
    <hyperlink r:id="rId64" ref="F33"/>
    <hyperlink r:id="rId65" ref="C34"/>
    <hyperlink r:id="rId66" ref="F34"/>
    <hyperlink r:id="rId67" ref="C35"/>
    <hyperlink r:id="rId68" ref="F35"/>
    <hyperlink r:id="rId69" ref="C36"/>
    <hyperlink r:id="rId70" ref="F36"/>
    <hyperlink r:id="rId71" ref="C37"/>
    <hyperlink r:id="rId72" ref="F37"/>
    <hyperlink r:id="rId73" ref="C38"/>
    <hyperlink r:id="rId74" ref="F38"/>
    <hyperlink r:id="rId75" ref="C39"/>
    <hyperlink r:id="rId76" ref="F39"/>
    <hyperlink r:id="rId77" ref="C40"/>
    <hyperlink r:id="rId78" ref="F40"/>
    <hyperlink r:id="rId79" ref="C41"/>
    <hyperlink r:id="rId80" ref="F41"/>
    <hyperlink r:id="rId81" ref="C42"/>
    <hyperlink r:id="rId82" ref="F42"/>
    <hyperlink r:id="rId83" ref="C43"/>
    <hyperlink r:id="rId84" ref="F43"/>
    <hyperlink r:id="rId85" ref="C44"/>
    <hyperlink r:id="rId86" ref="F44"/>
    <hyperlink r:id="rId87" ref="C45"/>
    <hyperlink r:id="rId88" ref="F45"/>
    <hyperlink r:id="rId89" ref="C46"/>
    <hyperlink r:id="rId90" ref="F46"/>
    <hyperlink r:id="rId91" ref="C47"/>
    <hyperlink r:id="rId92" ref="F47"/>
    <hyperlink r:id="rId93" ref="C48"/>
    <hyperlink r:id="rId94" ref="F48"/>
    <hyperlink r:id="rId95" ref="C49"/>
    <hyperlink r:id="rId96" ref="F49"/>
    <hyperlink r:id="rId97" ref="C50"/>
    <hyperlink r:id="rId98" ref="F50"/>
    <hyperlink r:id="rId99" ref="C51"/>
    <hyperlink r:id="rId100" ref="F51"/>
    <hyperlink r:id="rId101" ref="C52"/>
    <hyperlink r:id="rId102" ref="F52"/>
    <hyperlink r:id="rId103" ref="C53"/>
    <hyperlink r:id="rId104" ref="F53"/>
    <hyperlink r:id="rId105" ref="C54"/>
    <hyperlink r:id="rId106" ref="F54"/>
    <hyperlink r:id="rId107" ref="C55"/>
    <hyperlink r:id="rId108" ref="F55"/>
    <hyperlink r:id="rId109" ref="C56"/>
    <hyperlink r:id="rId110" ref="F56"/>
    <hyperlink r:id="rId111" ref="C57"/>
    <hyperlink r:id="rId112" ref="F57"/>
    <hyperlink r:id="rId113" ref="C58"/>
    <hyperlink r:id="rId114" ref="F58"/>
    <hyperlink r:id="rId115" ref="C59"/>
    <hyperlink r:id="rId116" ref="F59"/>
    <hyperlink r:id="rId117" ref="C60"/>
    <hyperlink r:id="rId118" ref="F60"/>
    <hyperlink r:id="rId119" ref="C61"/>
    <hyperlink r:id="rId120" ref="F61"/>
    <hyperlink r:id="rId121" ref="C62"/>
    <hyperlink r:id="rId122" ref="F62"/>
    <hyperlink r:id="rId123" ref="C63"/>
    <hyperlink r:id="rId124" ref="F63"/>
    <hyperlink r:id="rId125" ref="C64"/>
    <hyperlink r:id="rId126" ref="F64"/>
    <hyperlink r:id="rId127" ref="C65"/>
    <hyperlink r:id="rId128" ref="F65"/>
    <hyperlink r:id="rId129" ref="C66"/>
    <hyperlink r:id="rId130" ref="F66"/>
    <hyperlink r:id="rId131" ref="C67"/>
    <hyperlink r:id="rId132" ref="F67"/>
    <hyperlink r:id="rId133" ref="C68"/>
    <hyperlink r:id="rId134" ref="F68"/>
    <hyperlink r:id="rId135" ref="C69"/>
    <hyperlink r:id="rId136" ref="F69"/>
    <hyperlink r:id="rId137" ref="C70"/>
    <hyperlink r:id="rId138" ref="F70"/>
    <hyperlink r:id="rId139" ref="C71"/>
    <hyperlink r:id="rId140" ref="F71"/>
    <hyperlink r:id="rId141" ref="C72"/>
    <hyperlink r:id="rId142" ref="F72"/>
    <hyperlink r:id="rId143" ref="C73"/>
    <hyperlink r:id="rId144" ref="F73"/>
    <hyperlink r:id="rId145" ref="C74"/>
    <hyperlink r:id="rId146" ref="F74"/>
    <hyperlink r:id="rId147" ref="C75"/>
    <hyperlink r:id="rId148" ref="F75"/>
    <hyperlink r:id="rId149" ref="C76"/>
    <hyperlink r:id="rId150" ref="F76"/>
    <hyperlink r:id="rId151" ref="C77"/>
    <hyperlink r:id="rId152" ref="F77"/>
    <hyperlink r:id="rId153" ref="C78"/>
    <hyperlink r:id="rId154" ref="F78"/>
    <hyperlink r:id="rId155" ref="C79"/>
    <hyperlink r:id="rId156" ref="F79"/>
    <hyperlink r:id="rId157" ref="C80"/>
    <hyperlink r:id="rId158" ref="F80"/>
    <hyperlink r:id="rId159" ref="C81"/>
    <hyperlink r:id="rId160" ref="F81"/>
    <hyperlink r:id="rId161" ref="C82"/>
    <hyperlink r:id="rId162" ref="F82"/>
    <hyperlink r:id="rId163" ref="C83"/>
    <hyperlink r:id="rId164" ref="F83"/>
    <hyperlink r:id="rId165" ref="C84"/>
    <hyperlink r:id="rId166" ref="F84"/>
    <hyperlink r:id="rId167" ref="C85"/>
    <hyperlink r:id="rId168" ref="F85"/>
    <hyperlink r:id="rId169" ref="C86"/>
    <hyperlink r:id="rId170" ref="F86"/>
    <hyperlink r:id="rId171" ref="C87"/>
    <hyperlink r:id="rId172" ref="F87"/>
    <hyperlink r:id="rId173" ref="C88"/>
    <hyperlink r:id="rId174" ref="F88"/>
    <hyperlink r:id="rId175" ref="C89"/>
    <hyperlink r:id="rId176" ref="F89"/>
    <hyperlink r:id="rId177" ref="C90"/>
    <hyperlink r:id="rId178" ref="F90"/>
    <hyperlink r:id="rId179" ref="C91"/>
    <hyperlink r:id="rId180" ref="F91"/>
    <hyperlink r:id="rId181" ref="C92"/>
    <hyperlink r:id="rId182" ref="F92"/>
    <hyperlink r:id="rId183" ref="C93"/>
    <hyperlink r:id="rId184" ref="F93"/>
    <hyperlink r:id="rId185" ref="C94"/>
    <hyperlink r:id="rId186" ref="F94"/>
    <hyperlink r:id="rId187" ref="C95"/>
    <hyperlink r:id="rId188" ref="F95"/>
    <hyperlink r:id="rId189" ref="C96"/>
    <hyperlink r:id="rId190" ref="F96"/>
    <hyperlink r:id="rId191" ref="C97"/>
    <hyperlink r:id="rId192" ref="F97"/>
    <hyperlink r:id="rId193" ref="C98"/>
    <hyperlink r:id="rId194" ref="F98"/>
    <hyperlink r:id="rId195" ref="C99"/>
    <hyperlink r:id="rId196" ref="F99"/>
    <hyperlink r:id="rId197" ref="C100"/>
    <hyperlink r:id="rId198" ref="F100"/>
    <hyperlink r:id="rId199" ref="C101"/>
    <hyperlink r:id="rId200" ref="F101"/>
    <hyperlink r:id="rId201" ref="C102"/>
    <hyperlink r:id="rId202" ref="F102"/>
    <hyperlink r:id="rId203" ref="C103"/>
    <hyperlink r:id="rId204" ref="F103"/>
    <hyperlink r:id="rId205" ref="C104"/>
    <hyperlink r:id="rId206" ref="F104"/>
    <hyperlink r:id="rId207" ref="C105"/>
    <hyperlink r:id="rId208" ref="F105"/>
    <hyperlink r:id="rId209" ref="C106"/>
    <hyperlink r:id="rId210" ref="F106"/>
    <hyperlink r:id="rId211" ref="C107"/>
    <hyperlink r:id="rId212" ref="F107"/>
    <hyperlink r:id="rId213" ref="C108"/>
    <hyperlink r:id="rId214" ref="F108"/>
    <hyperlink r:id="rId215" ref="C109"/>
    <hyperlink r:id="rId216" ref="F109"/>
    <hyperlink r:id="rId217" ref="C110"/>
    <hyperlink r:id="rId218" ref="F110"/>
    <hyperlink r:id="rId219" ref="C111"/>
    <hyperlink r:id="rId220" ref="F111"/>
    <hyperlink r:id="rId221" ref="C112"/>
    <hyperlink r:id="rId222" ref="F112"/>
    <hyperlink r:id="rId223" ref="C113"/>
    <hyperlink r:id="rId224" ref="F113"/>
    <hyperlink r:id="rId225" ref="C114"/>
    <hyperlink r:id="rId226" ref="F114"/>
    <hyperlink r:id="rId227" ref="C115"/>
    <hyperlink r:id="rId228" ref="F115"/>
    <hyperlink r:id="rId229" ref="C116"/>
    <hyperlink r:id="rId230" ref="F116"/>
    <hyperlink r:id="rId231" ref="C117"/>
    <hyperlink r:id="rId232" ref="F117"/>
    <hyperlink r:id="rId233" ref="C118"/>
    <hyperlink r:id="rId234" ref="F118"/>
    <hyperlink r:id="rId235" ref="C119"/>
    <hyperlink r:id="rId236" ref="F119"/>
    <hyperlink r:id="rId237" ref="C120"/>
    <hyperlink r:id="rId238" ref="F120"/>
    <hyperlink r:id="rId239" ref="C121"/>
    <hyperlink r:id="rId240" ref="F121"/>
    <hyperlink r:id="rId241" ref="C122"/>
    <hyperlink r:id="rId242" ref="F122"/>
    <hyperlink r:id="rId243" ref="C123"/>
    <hyperlink r:id="rId244" ref="F123"/>
    <hyperlink r:id="rId245" ref="C124"/>
    <hyperlink r:id="rId246" ref="F124"/>
    <hyperlink r:id="rId247" ref="C125"/>
    <hyperlink r:id="rId248" ref="F125"/>
    <hyperlink r:id="rId249" ref="C126"/>
    <hyperlink r:id="rId250" ref="F126"/>
    <hyperlink r:id="rId251" ref="C127"/>
    <hyperlink r:id="rId252" ref="F127"/>
    <hyperlink r:id="rId253" ref="C128"/>
    <hyperlink r:id="rId254" ref="F128"/>
    <hyperlink r:id="rId255" ref="C129"/>
    <hyperlink r:id="rId256" ref="F129"/>
    <hyperlink r:id="rId257" ref="C130"/>
    <hyperlink r:id="rId258" ref="F130"/>
    <hyperlink r:id="rId259" ref="C131"/>
    <hyperlink r:id="rId260" ref="F131"/>
    <hyperlink r:id="rId261" ref="C132"/>
    <hyperlink r:id="rId262" ref="F132"/>
    <hyperlink r:id="rId263" ref="C133"/>
    <hyperlink r:id="rId264" ref="F133"/>
    <hyperlink r:id="rId265" ref="C134"/>
    <hyperlink r:id="rId266" ref="F134"/>
    <hyperlink r:id="rId267" ref="C135"/>
    <hyperlink r:id="rId268" ref="F135"/>
    <hyperlink r:id="rId269" ref="C136"/>
    <hyperlink r:id="rId270" ref="F136"/>
    <hyperlink r:id="rId271" ref="C137"/>
    <hyperlink r:id="rId272" ref="F137"/>
    <hyperlink r:id="rId273" ref="C138"/>
    <hyperlink r:id="rId274" ref="F138"/>
    <hyperlink r:id="rId275" ref="C139"/>
    <hyperlink r:id="rId276" ref="F139"/>
    <hyperlink r:id="rId277" ref="C140"/>
    <hyperlink r:id="rId278" ref="F140"/>
    <hyperlink r:id="rId279" ref="C141"/>
    <hyperlink r:id="rId280" ref="F141"/>
    <hyperlink r:id="rId281" ref="C142"/>
    <hyperlink r:id="rId282" ref="F142"/>
    <hyperlink r:id="rId283" ref="C143"/>
    <hyperlink r:id="rId284" ref="F143"/>
    <hyperlink r:id="rId285" ref="C144"/>
    <hyperlink r:id="rId286" ref="F144"/>
    <hyperlink r:id="rId287" ref="C145"/>
    <hyperlink r:id="rId288" ref="F145"/>
    <hyperlink r:id="rId289" ref="C146"/>
    <hyperlink r:id="rId290" ref="F146"/>
    <hyperlink r:id="rId291" ref="C147"/>
    <hyperlink r:id="rId292" ref="F147"/>
    <hyperlink r:id="rId293" ref="C148"/>
    <hyperlink r:id="rId294" ref="F148"/>
    <hyperlink r:id="rId295" ref="C149"/>
    <hyperlink r:id="rId296" ref="F149"/>
    <hyperlink r:id="rId297" ref="C150"/>
    <hyperlink r:id="rId298" ref="F150"/>
    <hyperlink r:id="rId299" ref="C151"/>
    <hyperlink r:id="rId300" ref="F151"/>
    <hyperlink r:id="rId301" ref="C152"/>
    <hyperlink r:id="rId302" ref="F152"/>
    <hyperlink r:id="rId303" ref="C153"/>
    <hyperlink r:id="rId304" ref="F153"/>
    <hyperlink r:id="rId305" ref="C154"/>
    <hyperlink r:id="rId306" ref="F154"/>
    <hyperlink r:id="rId307" ref="C155"/>
    <hyperlink r:id="rId308" ref="F155"/>
    <hyperlink r:id="rId309" ref="C156"/>
    <hyperlink r:id="rId310" ref="F156"/>
    <hyperlink r:id="rId311" ref="C157"/>
    <hyperlink r:id="rId312" ref="F157"/>
    <hyperlink r:id="rId313" ref="C158"/>
    <hyperlink r:id="rId314" ref="F158"/>
    <hyperlink r:id="rId315" ref="C159"/>
    <hyperlink r:id="rId316" ref="F159"/>
    <hyperlink r:id="rId317" ref="C160"/>
    <hyperlink r:id="rId318" ref="F160"/>
    <hyperlink r:id="rId319" ref="C161"/>
    <hyperlink r:id="rId320" ref="F161"/>
    <hyperlink r:id="rId321" ref="C162"/>
    <hyperlink r:id="rId322" ref="F162"/>
    <hyperlink r:id="rId323" ref="C163"/>
    <hyperlink r:id="rId324" ref="F163"/>
    <hyperlink r:id="rId325" ref="C164"/>
    <hyperlink r:id="rId326" ref="F164"/>
    <hyperlink r:id="rId327" ref="C165"/>
    <hyperlink r:id="rId328" ref="F165"/>
    <hyperlink r:id="rId329" ref="C166"/>
    <hyperlink r:id="rId330" ref="F166"/>
    <hyperlink r:id="rId331" ref="C167"/>
    <hyperlink r:id="rId332" ref="F167"/>
    <hyperlink r:id="rId333" ref="C168"/>
    <hyperlink r:id="rId334" ref="F168"/>
    <hyperlink r:id="rId335" ref="C169"/>
    <hyperlink r:id="rId336" ref="F169"/>
    <hyperlink r:id="rId337" ref="C170"/>
    <hyperlink r:id="rId338" ref="F170"/>
    <hyperlink r:id="rId339" ref="C171"/>
    <hyperlink r:id="rId340" ref="F171"/>
    <hyperlink r:id="rId341" ref="C172"/>
    <hyperlink r:id="rId342" ref="F172"/>
    <hyperlink r:id="rId343" ref="C173"/>
    <hyperlink r:id="rId344" ref="F173"/>
    <hyperlink r:id="rId345" ref="C174"/>
    <hyperlink r:id="rId346" ref="F174"/>
    <hyperlink r:id="rId347" ref="C175"/>
    <hyperlink r:id="rId348" ref="F175"/>
    <hyperlink r:id="rId349" ref="C176"/>
    <hyperlink r:id="rId350" ref="F176"/>
    <hyperlink r:id="rId351" ref="C177"/>
    <hyperlink r:id="rId352" ref="F177"/>
    <hyperlink r:id="rId353" ref="C178"/>
    <hyperlink r:id="rId354" ref="F178"/>
    <hyperlink r:id="rId355" ref="C179"/>
    <hyperlink r:id="rId356" ref="F179"/>
    <hyperlink r:id="rId357" ref="C180"/>
    <hyperlink r:id="rId358" ref="F180"/>
    <hyperlink r:id="rId359" ref="C181"/>
    <hyperlink r:id="rId360" ref="F181"/>
    <hyperlink r:id="rId361" ref="C182"/>
    <hyperlink r:id="rId362" ref="F182"/>
    <hyperlink r:id="rId363" ref="C183"/>
    <hyperlink r:id="rId364" ref="F183"/>
    <hyperlink r:id="rId365" ref="C184"/>
    <hyperlink r:id="rId366" ref="F184"/>
    <hyperlink r:id="rId367" ref="C185"/>
    <hyperlink r:id="rId368" ref="F185"/>
    <hyperlink r:id="rId369" ref="C186"/>
    <hyperlink r:id="rId370" ref="F186"/>
    <hyperlink r:id="rId371" ref="C187"/>
    <hyperlink r:id="rId372" ref="F187"/>
    <hyperlink r:id="rId373" ref="C188"/>
    <hyperlink r:id="rId374" ref="F188"/>
    <hyperlink r:id="rId375" ref="C189"/>
    <hyperlink r:id="rId376" ref="F189"/>
    <hyperlink r:id="rId377" ref="C190"/>
    <hyperlink r:id="rId378" ref="F190"/>
    <hyperlink r:id="rId379" ref="C191"/>
    <hyperlink r:id="rId380" ref="F191"/>
    <hyperlink r:id="rId381" ref="C192"/>
    <hyperlink r:id="rId382" ref="F192"/>
    <hyperlink r:id="rId383" ref="C193"/>
    <hyperlink r:id="rId384" ref="F193"/>
    <hyperlink r:id="rId385" ref="C194"/>
    <hyperlink r:id="rId386" ref="F194"/>
    <hyperlink r:id="rId387" ref="C195"/>
    <hyperlink r:id="rId388" ref="F195"/>
    <hyperlink r:id="rId389" ref="C196"/>
    <hyperlink r:id="rId390" ref="F196"/>
    <hyperlink r:id="rId391" ref="C197"/>
    <hyperlink r:id="rId392" ref="F197"/>
    <hyperlink r:id="rId393" ref="C198"/>
    <hyperlink r:id="rId394" ref="F198"/>
    <hyperlink r:id="rId395" ref="C199"/>
    <hyperlink r:id="rId396" ref="F199"/>
    <hyperlink r:id="rId397" ref="C200"/>
    <hyperlink r:id="rId398" ref="F200"/>
    <hyperlink r:id="rId399" ref="C202"/>
    <hyperlink r:id="rId400" ref="F202"/>
    <hyperlink r:id="rId401" ref="C203"/>
    <hyperlink r:id="rId402" ref="F203"/>
    <hyperlink r:id="rId403" ref="C204"/>
    <hyperlink r:id="rId404" ref="F204"/>
    <hyperlink r:id="rId405" ref="C205"/>
    <hyperlink r:id="rId406" ref="F205"/>
    <hyperlink r:id="rId407" ref="C206"/>
    <hyperlink r:id="rId408" ref="F206"/>
    <hyperlink r:id="rId409" ref="C207"/>
    <hyperlink r:id="rId410" ref="F207"/>
    <hyperlink r:id="rId411" ref="C208"/>
    <hyperlink r:id="rId412" ref="F208"/>
    <hyperlink r:id="rId413" ref="C209"/>
    <hyperlink r:id="rId414" ref="F209"/>
    <hyperlink r:id="rId415" ref="C210"/>
    <hyperlink r:id="rId416" ref="F210"/>
    <hyperlink r:id="rId417" ref="C211"/>
    <hyperlink r:id="rId418" ref="F211"/>
    <hyperlink r:id="rId419" ref="C212"/>
    <hyperlink r:id="rId420" ref="F212"/>
    <hyperlink r:id="rId421" ref="C213"/>
    <hyperlink r:id="rId422" ref="F213"/>
    <hyperlink r:id="rId423" ref="C214"/>
    <hyperlink r:id="rId424" ref="F214"/>
    <hyperlink r:id="rId425" ref="C215"/>
    <hyperlink r:id="rId426" ref="F215"/>
    <hyperlink r:id="rId427" ref="C216"/>
    <hyperlink r:id="rId428" ref="F216"/>
    <hyperlink r:id="rId429" ref="C217"/>
    <hyperlink r:id="rId430" ref="F217"/>
    <hyperlink r:id="rId431" ref="C218"/>
    <hyperlink r:id="rId432" ref="F218"/>
    <hyperlink r:id="rId433" ref="C219"/>
    <hyperlink r:id="rId434" ref="F219"/>
    <hyperlink r:id="rId435" ref="C220"/>
    <hyperlink r:id="rId436" ref="F220"/>
    <hyperlink r:id="rId437" ref="C221"/>
    <hyperlink r:id="rId438" ref="F221"/>
    <hyperlink r:id="rId439" ref="C222"/>
    <hyperlink r:id="rId440" ref="F222"/>
    <hyperlink r:id="rId441" ref="C223"/>
    <hyperlink r:id="rId442" ref="F223"/>
    <hyperlink r:id="rId443" ref="C224"/>
    <hyperlink r:id="rId444" ref="F224"/>
    <hyperlink r:id="rId445" ref="C225"/>
    <hyperlink r:id="rId446" ref="F225"/>
    <hyperlink r:id="rId447" ref="C226"/>
    <hyperlink r:id="rId448" ref="F226"/>
    <hyperlink r:id="rId449" ref="C227"/>
    <hyperlink r:id="rId450" ref="F227"/>
    <hyperlink r:id="rId451" ref="C228"/>
    <hyperlink r:id="rId452" ref="F228"/>
    <hyperlink r:id="rId453" ref="C229"/>
    <hyperlink r:id="rId454" ref="F229"/>
    <hyperlink r:id="rId455" ref="C230"/>
    <hyperlink r:id="rId456" ref="F230"/>
    <hyperlink r:id="rId457" ref="C231"/>
    <hyperlink r:id="rId458" ref="F231"/>
    <hyperlink r:id="rId459" ref="C232"/>
    <hyperlink r:id="rId460" ref="F232"/>
    <hyperlink r:id="rId461" ref="C233"/>
    <hyperlink r:id="rId462" ref="F233"/>
    <hyperlink r:id="rId463" ref="C234"/>
    <hyperlink r:id="rId464" ref="F234"/>
    <hyperlink r:id="rId465" ref="C235"/>
    <hyperlink r:id="rId466" ref="F235"/>
    <hyperlink r:id="rId467" ref="C236"/>
    <hyperlink r:id="rId468" ref="F236"/>
    <hyperlink r:id="rId469" ref="C237"/>
    <hyperlink r:id="rId470" ref="F237"/>
    <hyperlink r:id="rId471" ref="C238"/>
    <hyperlink r:id="rId472" ref="F238"/>
    <hyperlink r:id="rId473" ref="C239"/>
    <hyperlink r:id="rId474" ref="F239"/>
    <hyperlink r:id="rId475" ref="C240"/>
    <hyperlink r:id="rId476" ref="F240"/>
    <hyperlink r:id="rId477" ref="C241"/>
    <hyperlink r:id="rId478" ref="F241"/>
    <hyperlink r:id="rId479" ref="C242"/>
    <hyperlink r:id="rId480" ref="F242"/>
    <hyperlink r:id="rId481" ref="C243"/>
    <hyperlink r:id="rId482" ref="F243"/>
    <hyperlink r:id="rId483" ref="C244"/>
    <hyperlink r:id="rId484" ref="F244"/>
    <hyperlink r:id="rId485" ref="C245"/>
    <hyperlink r:id="rId486" ref="F245"/>
    <hyperlink r:id="rId487" ref="C246"/>
    <hyperlink r:id="rId488" ref="F246"/>
    <hyperlink r:id="rId489" ref="C247"/>
    <hyperlink r:id="rId490" ref="F247"/>
    <hyperlink r:id="rId491" ref="C248"/>
    <hyperlink r:id="rId492" ref="F248"/>
    <hyperlink r:id="rId493" ref="C249"/>
    <hyperlink r:id="rId494" ref="F249"/>
    <hyperlink r:id="rId495" ref="C250"/>
    <hyperlink r:id="rId496" ref="F250"/>
    <hyperlink r:id="rId497" ref="C251"/>
    <hyperlink r:id="rId498" ref="F251"/>
    <hyperlink r:id="rId499" ref="C252"/>
    <hyperlink r:id="rId500" ref="F252"/>
    <hyperlink r:id="rId501" ref="C253"/>
    <hyperlink r:id="rId502" ref="F253"/>
    <hyperlink r:id="rId503" ref="C254"/>
    <hyperlink r:id="rId504" ref="F254"/>
    <hyperlink r:id="rId505" ref="C255"/>
    <hyperlink r:id="rId506" ref="F255"/>
    <hyperlink r:id="rId507" ref="C256"/>
    <hyperlink r:id="rId508" ref="F256"/>
    <hyperlink r:id="rId509" ref="C257"/>
    <hyperlink r:id="rId510" ref="F257"/>
    <hyperlink r:id="rId511" ref="C258"/>
    <hyperlink r:id="rId512" ref="F258"/>
    <hyperlink r:id="rId513" ref="C259"/>
    <hyperlink r:id="rId514" ref="F259"/>
    <hyperlink r:id="rId515" ref="C260"/>
    <hyperlink r:id="rId516" ref="F260"/>
    <hyperlink r:id="rId517" ref="C261"/>
    <hyperlink r:id="rId518" ref="F261"/>
    <hyperlink r:id="rId519" ref="C262"/>
    <hyperlink r:id="rId520" ref="F262"/>
    <hyperlink r:id="rId521" ref="C263"/>
    <hyperlink r:id="rId522" ref="F263"/>
    <hyperlink r:id="rId523" ref="C264"/>
    <hyperlink r:id="rId524" ref="F264"/>
    <hyperlink r:id="rId525" ref="C265"/>
    <hyperlink r:id="rId526" ref="F265"/>
    <hyperlink r:id="rId527" ref="C266"/>
    <hyperlink r:id="rId528" ref="F266"/>
    <hyperlink r:id="rId529" ref="C267"/>
    <hyperlink r:id="rId530" ref="F267"/>
    <hyperlink r:id="rId531" ref="C268"/>
    <hyperlink r:id="rId532" ref="F268"/>
    <hyperlink r:id="rId533" ref="C269"/>
    <hyperlink r:id="rId534" ref="F269"/>
    <hyperlink r:id="rId535" ref="C270"/>
    <hyperlink r:id="rId536" ref="F270"/>
    <hyperlink r:id="rId537" ref="C271"/>
    <hyperlink r:id="rId538" ref="F271"/>
    <hyperlink r:id="rId539" ref="C272"/>
    <hyperlink r:id="rId540" ref="F272"/>
    <hyperlink r:id="rId541" ref="C273"/>
    <hyperlink r:id="rId542" ref="F273"/>
    <hyperlink r:id="rId543" ref="C274"/>
    <hyperlink r:id="rId544" ref="F274"/>
    <hyperlink r:id="rId545" ref="C275"/>
    <hyperlink r:id="rId546" ref="F275"/>
    <hyperlink r:id="rId547" ref="C276"/>
    <hyperlink r:id="rId548" ref="F276"/>
    <hyperlink r:id="rId549" ref="C277"/>
    <hyperlink r:id="rId550" ref="F277"/>
    <hyperlink r:id="rId551" ref="C278"/>
    <hyperlink r:id="rId552" ref="F278"/>
    <hyperlink r:id="rId553" ref="C279"/>
    <hyperlink r:id="rId554" ref="F279"/>
    <hyperlink r:id="rId555" ref="C280"/>
    <hyperlink r:id="rId556" ref="F280"/>
    <hyperlink r:id="rId557" ref="C281"/>
    <hyperlink r:id="rId558" ref="F281"/>
    <hyperlink r:id="rId559" ref="C282"/>
    <hyperlink r:id="rId560" ref="F282"/>
    <hyperlink r:id="rId561" ref="C283"/>
    <hyperlink r:id="rId562" ref="F283"/>
    <hyperlink r:id="rId563" ref="C284"/>
    <hyperlink r:id="rId564" ref="F284"/>
    <hyperlink r:id="rId565" ref="C285"/>
    <hyperlink r:id="rId566" ref="F285"/>
    <hyperlink r:id="rId567" ref="C286"/>
    <hyperlink r:id="rId568" ref="F286"/>
    <hyperlink r:id="rId569" ref="C287"/>
    <hyperlink r:id="rId570" ref="F287"/>
    <hyperlink r:id="rId571" ref="C288"/>
    <hyperlink r:id="rId572" ref="F288"/>
    <hyperlink r:id="rId573" ref="C289"/>
    <hyperlink r:id="rId574" ref="F289"/>
    <hyperlink r:id="rId575" ref="C290"/>
    <hyperlink r:id="rId576" ref="F290"/>
    <hyperlink r:id="rId577" ref="C291"/>
    <hyperlink r:id="rId578" ref="F291"/>
    <hyperlink r:id="rId579" ref="C292"/>
    <hyperlink r:id="rId580" ref="F292"/>
    <hyperlink r:id="rId581" ref="C293"/>
    <hyperlink r:id="rId582" ref="F293"/>
    <hyperlink r:id="rId583" ref="C294"/>
    <hyperlink r:id="rId584" ref="F294"/>
    <hyperlink r:id="rId585" ref="C295"/>
    <hyperlink r:id="rId586" ref="F295"/>
    <hyperlink r:id="rId587" ref="C296"/>
    <hyperlink r:id="rId588" ref="F296"/>
    <hyperlink r:id="rId589" ref="C297"/>
    <hyperlink r:id="rId590" ref="F297"/>
    <hyperlink r:id="rId591" ref="C298"/>
    <hyperlink r:id="rId592" ref="F298"/>
    <hyperlink r:id="rId593" ref="C299"/>
    <hyperlink r:id="rId594" ref="F299"/>
    <hyperlink r:id="rId595" ref="C300"/>
    <hyperlink r:id="rId596" ref="F300"/>
    <hyperlink r:id="rId597" ref="C301"/>
    <hyperlink r:id="rId598" ref="F301"/>
    <hyperlink r:id="rId599" ref="C302"/>
    <hyperlink r:id="rId600" ref="F302"/>
    <hyperlink r:id="rId601" ref="C303"/>
    <hyperlink r:id="rId602" ref="F303"/>
    <hyperlink r:id="rId603" ref="C304"/>
    <hyperlink r:id="rId604" ref="F304"/>
    <hyperlink r:id="rId605" ref="C305"/>
    <hyperlink r:id="rId606" ref="F305"/>
    <hyperlink r:id="rId607" ref="C306"/>
    <hyperlink r:id="rId608" ref="F306"/>
    <hyperlink r:id="rId609" ref="C307"/>
    <hyperlink r:id="rId610" ref="F307"/>
    <hyperlink r:id="rId611" ref="C308"/>
    <hyperlink r:id="rId612" ref="F308"/>
    <hyperlink r:id="rId613" ref="C309"/>
    <hyperlink r:id="rId614" ref="F309"/>
    <hyperlink r:id="rId615" ref="C310"/>
    <hyperlink r:id="rId616" ref="F310"/>
    <hyperlink r:id="rId617" ref="C311"/>
    <hyperlink r:id="rId618" ref="F311"/>
    <hyperlink r:id="rId619" ref="C312"/>
    <hyperlink r:id="rId620" ref="F312"/>
    <hyperlink r:id="rId621" ref="C313"/>
    <hyperlink r:id="rId622" ref="F313"/>
    <hyperlink r:id="rId623" ref="C314"/>
    <hyperlink r:id="rId624" ref="F314"/>
    <hyperlink r:id="rId625" ref="C315"/>
    <hyperlink r:id="rId626" ref="F315"/>
    <hyperlink r:id="rId627" ref="C316"/>
    <hyperlink r:id="rId628" ref="F316"/>
    <hyperlink r:id="rId629" ref="C317"/>
    <hyperlink r:id="rId630" ref="F317"/>
    <hyperlink r:id="rId631" ref="C318"/>
    <hyperlink r:id="rId632" ref="F318"/>
    <hyperlink r:id="rId633" ref="C319"/>
    <hyperlink r:id="rId634" ref="F319"/>
    <hyperlink r:id="rId635" ref="C320"/>
    <hyperlink r:id="rId636" ref="F320"/>
    <hyperlink r:id="rId637" ref="C321"/>
    <hyperlink r:id="rId638" ref="F321"/>
    <hyperlink r:id="rId639" ref="C322"/>
    <hyperlink r:id="rId640" ref="F322"/>
    <hyperlink r:id="rId641" ref="C323"/>
    <hyperlink r:id="rId642" ref="F323"/>
    <hyperlink r:id="rId643" ref="C324"/>
    <hyperlink r:id="rId644" ref="F324"/>
    <hyperlink r:id="rId645" ref="C325"/>
    <hyperlink r:id="rId646" ref="F325"/>
    <hyperlink r:id="rId647" ref="C326"/>
    <hyperlink r:id="rId648" ref="F326"/>
    <hyperlink r:id="rId649" ref="C327"/>
    <hyperlink r:id="rId650" ref="F327"/>
    <hyperlink r:id="rId651" ref="C328"/>
    <hyperlink r:id="rId652" ref="F328"/>
    <hyperlink r:id="rId653" ref="C329"/>
    <hyperlink r:id="rId654" ref="F329"/>
    <hyperlink r:id="rId655" ref="C330"/>
    <hyperlink r:id="rId656" ref="F330"/>
    <hyperlink r:id="rId657" ref="C331"/>
    <hyperlink r:id="rId658" ref="F331"/>
    <hyperlink r:id="rId659" ref="C332"/>
    <hyperlink r:id="rId660" ref="F332"/>
    <hyperlink r:id="rId661" ref="C333"/>
    <hyperlink r:id="rId662" ref="F333"/>
    <hyperlink r:id="rId663" ref="C334"/>
    <hyperlink r:id="rId664" ref="F334"/>
    <hyperlink r:id="rId665" ref="C335"/>
    <hyperlink r:id="rId666" ref="F335"/>
    <hyperlink r:id="rId667" ref="C336"/>
    <hyperlink r:id="rId668" ref="F336"/>
    <hyperlink r:id="rId669" ref="C337"/>
    <hyperlink r:id="rId670" ref="F337"/>
    <hyperlink r:id="rId671" ref="C338"/>
    <hyperlink r:id="rId672" ref="F338"/>
    <hyperlink r:id="rId673" ref="C339"/>
    <hyperlink r:id="rId674" ref="F339"/>
    <hyperlink r:id="rId675" ref="C340"/>
    <hyperlink r:id="rId676" ref="F340"/>
    <hyperlink r:id="rId677" ref="C341"/>
    <hyperlink r:id="rId678" ref="F341"/>
    <hyperlink r:id="rId679" ref="C342"/>
    <hyperlink r:id="rId680" ref="F342"/>
    <hyperlink r:id="rId681" ref="C343"/>
    <hyperlink r:id="rId682" ref="F343"/>
    <hyperlink r:id="rId683" ref="C344"/>
    <hyperlink r:id="rId684" ref="F344"/>
    <hyperlink r:id="rId685" ref="C345"/>
    <hyperlink r:id="rId686" ref="F345"/>
    <hyperlink r:id="rId687" ref="C346"/>
    <hyperlink r:id="rId688" ref="F346"/>
    <hyperlink r:id="rId689" ref="C347"/>
    <hyperlink r:id="rId690" ref="F347"/>
    <hyperlink r:id="rId691" ref="C348"/>
    <hyperlink r:id="rId692" ref="F348"/>
    <hyperlink r:id="rId693" ref="C349"/>
    <hyperlink r:id="rId694" ref="F349"/>
    <hyperlink r:id="rId695" ref="C350"/>
    <hyperlink r:id="rId696" ref="F350"/>
    <hyperlink r:id="rId697" ref="C351"/>
    <hyperlink r:id="rId698" ref="F351"/>
    <hyperlink r:id="rId699" ref="C352"/>
    <hyperlink r:id="rId700" ref="F352"/>
    <hyperlink r:id="rId701" ref="C353"/>
    <hyperlink r:id="rId702" ref="F353"/>
    <hyperlink r:id="rId703" ref="C354"/>
    <hyperlink r:id="rId704" ref="F354"/>
    <hyperlink r:id="rId705" ref="C355"/>
    <hyperlink r:id="rId706" ref="F355"/>
    <hyperlink r:id="rId707" ref="C356"/>
    <hyperlink r:id="rId708" ref="F356"/>
    <hyperlink r:id="rId709" ref="C357"/>
    <hyperlink r:id="rId710" ref="F357"/>
    <hyperlink r:id="rId711" ref="C358"/>
    <hyperlink r:id="rId712" ref="F358"/>
    <hyperlink r:id="rId713" ref="C359"/>
    <hyperlink r:id="rId714" ref="F359"/>
    <hyperlink r:id="rId715" ref="C360"/>
    <hyperlink r:id="rId716" ref="F360"/>
    <hyperlink r:id="rId717" ref="C361"/>
    <hyperlink r:id="rId718" ref="F361"/>
    <hyperlink r:id="rId719" ref="C362"/>
    <hyperlink r:id="rId720" ref="F362"/>
    <hyperlink r:id="rId721" ref="C363"/>
    <hyperlink r:id="rId722" ref="F363"/>
    <hyperlink r:id="rId723" ref="C364"/>
    <hyperlink r:id="rId724" ref="F364"/>
    <hyperlink r:id="rId725" ref="C365"/>
    <hyperlink r:id="rId726" ref="F365"/>
    <hyperlink r:id="rId727" ref="C366"/>
    <hyperlink r:id="rId728" ref="F366"/>
    <hyperlink r:id="rId729" ref="C367"/>
    <hyperlink r:id="rId730" ref="F367"/>
    <hyperlink r:id="rId731" ref="C368"/>
    <hyperlink r:id="rId732" ref="F368"/>
    <hyperlink r:id="rId733" ref="C369"/>
    <hyperlink r:id="rId734" ref="F369"/>
    <hyperlink r:id="rId735" ref="C370"/>
    <hyperlink r:id="rId736" ref="F370"/>
    <hyperlink r:id="rId737" ref="C371"/>
    <hyperlink r:id="rId738" ref="F371"/>
    <hyperlink r:id="rId739" ref="C372"/>
    <hyperlink r:id="rId740" ref="F372"/>
    <hyperlink r:id="rId741" ref="C373"/>
    <hyperlink r:id="rId742" ref="F373"/>
    <hyperlink r:id="rId743" ref="C374"/>
    <hyperlink r:id="rId744" ref="F374"/>
    <hyperlink r:id="rId745" ref="C375"/>
    <hyperlink r:id="rId746" ref="F375"/>
    <hyperlink r:id="rId747" ref="C376"/>
    <hyperlink r:id="rId748" ref="F376"/>
    <hyperlink r:id="rId749" ref="C377"/>
    <hyperlink r:id="rId750" ref="F377"/>
    <hyperlink r:id="rId751" ref="C378"/>
    <hyperlink r:id="rId752" ref="F378"/>
    <hyperlink r:id="rId753" ref="C379"/>
    <hyperlink r:id="rId754" ref="F379"/>
    <hyperlink r:id="rId755" ref="C380"/>
    <hyperlink r:id="rId756" ref="F380"/>
    <hyperlink r:id="rId757" ref="C381"/>
    <hyperlink r:id="rId758" ref="F381"/>
    <hyperlink r:id="rId759" ref="C382"/>
    <hyperlink r:id="rId760" ref="F382"/>
    <hyperlink r:id="rId761" ref="C383"/>
    <hyperlink r:id="rId762" ref="F383"/>
    <hyperlink r:id="rId763" ref="C384"/>
    <hyperlink r:id="rId764" ref="F384"/>
    <hyperlink r:id="rId765" ref="C385"/>
    <hyperlink r:id="rId766" ref="F385"/>
    <hyperlink r:id="rId767" ref="C386"/>
    <hyperlink r:id="rId768" ref="F386"/>
    <hyperlink r:id="rId769" ref="C387"/>
    <hyperlink r:id="rId770" ref="F387"/>
    <hyperlink r:id="rId771" ref="C388"/>
    <hyperlink r:id="rId772" ref="F388"/>
    <hyperlink r:id="rId773" ref="C389"/>
    <hyperlink r:id="rId774" ref="F389"/>
    <hyperlink r:id="rId775" ref="C390"/>
    <hyperlink r:id="rId776" ref="F390"/>
    <hyperlink r:id="rId777" ref="C391"/>
    <hyperlink r:id="rId778" ref="F391"/>
    <hyperlink r:id="rId779" ref="C392"/>
    <hyperlink r:id="rId780" ref="F392"/>
    <hyperlink r:id="rId781" ref="C393"/>
    <hyperlink r:id="rId782" ref="F393"/>
    <hyperlink r:id="rId783" ref="C394"/>
    <hyperlink r:id="rId784" ref="F394"/>
    <hyperlink r:id="rId785" ref="C395"/>
    <hyperlink r:id="rId786" ref="F395"/>
    <hyperlink r:id="rId787" ref="C396"/>
    <hyperlink r:id="rId788" ref="F396"/>
    <hyperlink r:id="rId789" ref="C397"/>
    <hyperlink r:id="rId790" ref="F397"/>
    <hyperlink r:id="rId791" ref="C398"/>
    <hyperlink r:id="rId792" ref="F398"/>
    <hyperlink r:id="rId793" ref="C399"/>
    <hyperlink r:id="rId794" ref="F399"/>
    <hyperlink r:id="rId795" ref="C400"/>
    <hyperlink r:id="rId796" ref="F400"/>
    <hyperlink r:id="rId797" ref="C401"/>
    <hyperlink r:id="rId798" ref="F401"/>
    <hyperlink r:id="rId799" ref="C402"/>
    <hyperlink r:id="rId800" ref="F402"/>
    <hyperlink r:id="rId801" ref="C403"/>
    <hyperlink r:id="rId802" ref="F403"/>
    <hyperlink r:id="rId803" ref="C404"/>
    <hyperlink r:id="rId804" ref="F404"/>
    <hyperlink r:id="rId805" ref="C405"/>
    <hyperlink r:id="rId806" ref="F405"/>
    <hyperlink r:id="rId807" ref="C406"/>
    <hyperlink r:id="rId808" ref="F406"/>
    <hyperlink r:id="rId809" ref="C407"/>
    <hyperlink r:id="rId810" ref="F407"/>
    <hyperlink r:id="rId811" ref="C408"/>
    <hyperlink r:id="rId812" ref="F408"/>
    <hyperlink r:id="rId813" ref="C409"/>
    <hyperlink r:id="rId814" ref="F409"/>
    <hyperlink r:id="rId815" ref="C410"/>
    <hyperlink r:id="rId816" ref="F410"/>
    <hyperlink r:id="rId817" ref="C411"/>
    <hyperlink r:id="rId818" ref="F411"/>
    <hyperlink r:id="rId819" ref="C412"/>
    <hyperlink r:id="rId820" ref="F412"/>
    <hyperlink r:id="rId821" ref="C413"/>
    <hyperlink r:id="rId822" ref="F413"/>
    <hyperlink r:id="rId823" ref="C414"/>
    <hyperlink r:id="rId824" ref="F414"/>
    <hyperlink r:id="rId825" ref="C415"/>
    <hyperlink r:id="rId826" ref="F415"/>
    <hyperlink r:id="rId827" ref="C416"/>
    <hyperlink r:id="rId828" ref="F416"/>
    <hyperlink r:id="rId829" ref="C417"/>
    <hyperlink r:id="rId830" ref="F417"/>
    <hyperlink r:id="rId831" ref="C418"/>
    <hyperlink r:id="rId832" ref="F418"/>
    <hyperlink r:id="rId833" ref="C419"/>
    <hyperlink r:id="rId834" ref="F419"/>
    <hyperlink r:id="rId835" ref="C420"/>
    <hyperlink r:id="rId836" ref="F420"/>
    <hyperlink r:id="rId837" ref="C421"/>
    <hyperlink r:id="rId838" ref="F421"/>
    <hyperlink r:id="rId839" ref="C422"/>
    <hyperlink r:id="rId840" ref="F422"/>
    <hyperlink r:id="rId841" ref="C423"/>
    <hyperlink r:id="rId842" ref="F423"/>
    <hyperlink r:id="rId843" ref="C424"/>
    <hyperlink r:id="rId844" ref="F424"/>
    <hyperlink r:id="rId845" ref="C425"/>
    <hyperlink r:id="rId846" ref="F425"/>
    <hyperlink r:id="rId847" ref="C426"/>
    <hyperlink r:id="rId848" ref="F426"/>
    <hyperlink r:id="rId849" ref="C427"/>
    <hyperlink r:id="rId850" ref="F427"/>
    <hyperlink r:id="rId851" ref="C428"/>
    <hyperlink r:id="rId852" ref="F428"/>
    <hyperlink r:id="rId853" ref="C429"/>
    <hyperlink r:id="rId854" ref="F429"/>
    <hyperlink r:id="rId855" ref="C430"/>
    <hyperlink r:id="rId856" ref="F430"/>
    <hyperlink r:id="rId857" ref="C431"/>
    <hyperlink r:id="rId858" ref="F431"/>
    <hyperlink r:id="rId859" ref="C432"/>
    <hyperlink r:id="rId860" ref="F432"/>
    <hyperlink r:id="rId861" ref="C433"/>
    <hyperlink r:id="rId862" ref="F433"/>
    <hyperlink r:id="rId863" ref="C434"/>
    <hyperlink r:id="rId864" ref="F434"/>
    <hyperlink r:id="rId865" ref="C435"/>
    <hyperlink r:id="rId866" ref="F435"/>
    <hyperlink r:id="rId867" ref="C436"/>
    <hyperlink r:id="rId868" ref="F436"/>
    <hyperlink r:id="rId869" ref="C437"/>
    <hyperlink r:id="rId870" ref="F437"/>
    <hyperlink r:id="rId871" ref="C438"/>
    <hyperlink r:id="rId872" ref="F438"/>
    <hyperlink r:id="rId873" ref="C439"/>
    <hyperlink r:id="rId874" ref="F439"/>
    <hyperlink r:id="rId875" ref="C440"/>
    <hyperlink r:id="rId876" ref="F440"/>
    <hyperlink r:id="rId877" ref="C441"/>
    <hyperlink r:id="rId878" ref="F441"/>
    <hyperlink r:id="rId879" ref="C442"/>
    <hyperlink r:id="rId880" ref="F442"/>
    <hyperlink r:id="rId881" ref="C443"/>
    <hyperlink r:id="rId882" ref="F443"/>
    <hyperlink r:id="rId883" ref="C444"/>
    <hyperlink r:id="rId884" ref="F444"/>
    <hyperlink r:id="rId885" ref="C445"/>
    <hyperlink r:id="rId886" ref="F445"/>
    <hyperlink r:id="rId887" ref="C446"/>
    <hyperlink r:id="rId888" ref="F446"/>
    <hyperlink r:id="rId889" ref="C447"/>
    <hyperlink r:id="rId890" ref="F447"/>
    <hyperlink r:id="rId891" ref="C448"/>
    <hyperlink r:id="rId892" ref="F448"/>
    <hyperlink r:id="rId893" ref="C449"/>
    <hyperlink r:id="rId894" ref="F449"/>
    <hyperlink r:id="rId895" ref="C450"/>
    <hyperlink r:id="rId896" ref="F450"/>
    <hyperlink r:id="rId897" ref="C451"/>
    <hyperlink r:id="rId898" ref="F451"/>
    <hyperlink r:id="rId899" ref="C452"/>
    <hyperlink r:id="rId900" ref="F452"/>
    <hyperlink r:id="rId901" ref="C453"/>
    <hyperlink r:id="rId902" ref="F453"/>
    <hyperlink r:id="rId903" ref="C454"/>
    <hyperlink r:id="rId904" ref="F454"/>
    <hyperlink r:id="rId905" ref="C455"/>
    <hyperlink r:id="rId906" ref="F455"/>
    <hyperlink r:id="rId907" ref="C456"/>
    <hyperlink r:id="rId908" ref="F456"/>
    <hyperlink r:id="rId909" ref="C457"/>
    <hyperlink r:id="rId910" ref="F457"/>
    <hyperlink r:id="rId911" ref="C458"/>
    <hyperlink r:id="rId912" ref="F458"/>
    <hyperlink r:id="rId913" ref="C459"/>
    <hyperlink r:id="rId914" ref="F459"/>
    <hyperlink r:id="rId915" ref="C460"/>
    <hyperlink r:id="rId916" ref="F460"/>
    <hyperlink r:id="rId917" ref="C461"/>
    <hyperlink r:id="rId918" ref="F461"/>
    <hyperlink r:id="rId919" ref="C462"/>
    <hyperlink r:id="rId920" ref="F462"/>
    <hyperlink r:id="rId921" ref="C463"/>
    <hyperlink r:id="rId922" ref="F463"/>
    <hyperlink r:id="rId923" ref="C464"/>
    <hyperlink r:id="rId924" ref="F464"/>
    <hyperlink r:id="rId925" ref="C465"/>
    <hyperlink r:id="rId926" ref="F465"/>
    <hyperlink r:id="rId927" ref="C466"/>
    <hyperlink r:id="rId928" ref="F466"/>
    <hyperlink r:id="rId929" ref="C467"/>
    <hyperlink r:id="rId930" ref="F467"/>
    <hyperlink r:id="rId931" ref="C468"/>
    <hyperlink r:id="rId932" ref="F468"/>
    <hyperlink r:id="rId933" ref="C469"/>
    <hyperlink r:id="rId934" ref="F469"/>
    <hyperlink r:id="rId935" ref="C470"/>
    <hyperlink r:id="rId936" ref="F470"/>
    <hyperlink r:id="rId937" ref="C471"/>
    <hyperlink r:id="rId938" ref="F471"/>
    <hyperlink r:id="rId939" ref="C472"/>
    <hyperlink r:id="rId940" ref="F472"/>
    <hyperlink r:id="rId941" ref="C473"/>
    <hyperlink r:id="rId942" ref="F473"/>
    <hyperlink r:id="rId943" ref="C474"/>
    <hyperlink r:id="rId944" ref="F474"/>
    <hyperlink r:id="rId945" ref="C475"/>
    <hyperlink r:id="rId946" ref="F475"/>
    <hyperlink r:id="rId947" ref="C476"/>
    <hyperlink r:id="rId948" ref="F476"/>
    <hyperlink r:id="rId949" ref="C477"/>
    <hyperlink r:id="rId950" ref="F477"/>
    <hyperlink r:id="rId951" ref="C478"/>
    <hyperlink r:id="rId952" ref="F478"/>
    <hyperlink r:id="rId953" ref="C479"/>
    <hyperlink r:id="rId954" ref="F479"/>
    <hyperlink r:id="rId955" ref="C480"/>
    <hyperlink r:id="rId956" ref="F480"/>
    <hyperlink r:id="rId957" ref="C481"/>
    <hyperlink r:id="rId958" ref="F481"/>
    <hyperlink r:id="rId959" ref="C482"/>
    <hyperlink r:id="rId960" ref="F482"/>
    <hyperlink r:id="rId961" ref="C483"/>
    <hyperlink r:id="rId962" ref="F483"/>
    <hyperlink r:id="rId963" ref="C484"/>
    <hyperlink r:id="rId964" ref="F484"/>
    <hyperlink r:id="rId965" ref="C485"/>
    <hyperlink r:id="rId966" ref="F485"/>
    <hyperlink r:id="rId967" ref="C486"/>
    <hyperlink r:id="rId968" ref="F486"/>
    <hyperlink r:id="rId969" ref="C487"/>
    <hyperlink r:id="rId970" ref="F487"/>
    <hyperlink r:id="rId971" ref="C488"/>
    <hyperlink r:id="rId972" ref="F488"/>
    <hyperlink r:id="rId973" ref="C489"/>
    <hyperlink r:id="rId974" ref="F489"/>
    <hyperlink r:id="rId975" ref="C490"/>
    <hyperlink r:id="rId976" ref="F490"/>
    <hyperlink r:id="rId977" ref="C491"/>
    <hyperlink r:id="rId978" ref="F491"/>
    <hyperlink r:id="rId979" ref="C492"/>
    <hyperlink r:id="rId980" ref="F492"/>
    <hyperlink r:id="rId981" ref="C493"/>
    <hyperlink r:id="rId982" ref="F493"/>
    <hyperlink r:id="rId983" ref="C494"/>
    <hyperlink r:id="rId984" ref="F494"/>
    <hyperlink r:id="rId985" ref="C495"/>
    <hyperlink r:id="rId986" ref="F495"/>
    <hyperlink r:id="rId987" ref="C496"/>
    <hyperlink r:id="rId988" ref="F496"/>
    <hyperlink r:id="rId989" ref="C497"/>
    <hyperlink r:id="rId990" ref="F497"/>
    <hyperlink r:id="rId991" ref="C498"/>
    <hyperlink r:id="rId992" ref="F498"/>
    <hyperlink r:id="rId993" ref="C499"/>
    <hyperlink r:id="rId994" ref="F499"/>
    <hyperlink r:id="rId995" ref="C500"/>
    <hyperlink r:id="rId996" ref="F500"/>
    <hyperlink r:id="rId997" ref="C501"/>
    <hyperlink r:id="rId998" ref="F501"/>
    <hyperlink r:id="rId999" ref="C502"/>
    <hyperlink r:id="rId1000" ref="F502"/>
    <hyperlink r:id="rId1001" ref="C503"/>
    <hyperlink r:id="rId1002" ref="F503"/>
    <hyperlink r:id="rId1003" ref="C504"/>
    <hyperlink r:id="rId1004" ref="F504"/>
    <hyperlink r:id="rId1005" ref="C505"/>
    <hyperlink r:id="rId1006" ref="F505"/>
    <hyperlink r:id="rId1007" ref="C506"/>
    <hyperlink r:id="rId1008" ref="F506"/>
    <hyperlink r:id="rId1009" ref="C507"/>
    <hyperlink r:id="rId1010" ref="F507"/>
    <hyperlink r:id="rId1011" ref="C508"/>
    <hyperlink r:id="rId1012" ref="F508"/>
    <hyperlink r:id="rId1013" ref="C509"/>
    <hyperlink r:id="rId1014" ref="F509"/>
    <hyperlink r:id="rId1015" ref="C510"/>
    <hyperlink r:id="rId1016" ref="F510"/>
    <hyperlink r:id="rId1017" ref="C511"/>
    <hyperlink r:id="rId1018" ref="F511"/>
    <hyperlink r:id="rId1019" ref="C512"/>
    <hyperlink r:id="rId1020" ref="F512"/>
    <hyperlink r:id="rId1021" ref="C513"/>
    <hyperlink r:id="rId1022" ref="F513"/>
    <hyperlink r:id="rId1023" ref="C514"/>
    <hyperlink r:id="rId1024" ref="F514"/>
    <hyperlink r:id="rId1025" ref="C515"/>
    <hyperlink r:id="rId1026" ref="F515"/>
    <hyperlink r:id="rId1027" ref="C516"/>
    <hyperlink r:id="rId1028" ref="F516"/>
    <hyperlink r:id="rId1029" ref="C517"/>
    <hyperlink r:id="rId1030" ref="F517"/>
    <hyperlink r:id="rId1031" ref="C518"/>
    <hyperlink r:id="rId1032" ref="F518"/>
    <hyperlink r:id="rId1033" ref="C519"/>
    <hyperlink r:id="rId1034" ref="F519"/>
    <hyperlink r:id="rId1035" ref="C520"/>
    <hyperlink r:id="rId1036" ref="F520"/>
    <hyperlink r:id="rId1037" ref="C521"/>
    <hyperlink r:id="rId1038" ref="F521"/>
    <hyperlink r:id="rId1039" ref="C522"/>
    <hyperlink r:id="rId1040" ref="F522"/>
    <hyperlink r:id="rId1041" ref="C523"/>
    <hyperlink r:id="rId1042" ref="F523"/>
    <hyperlink r:id="rId1043" ref="C524"/>
    <hyperlink r:id="rId1044" ref="F524"/>
    <hyperlink r:id="rId1045" ref="C525"/>
    <hyperlink r:id="rId1046" ref="F525"/>
    <hyperlink r:id="rId1047" ref="C526"/>
    <hyperlink r:id="rId1048" ref="F526"/>
    <hyperlink r:id="rId1049" ref="C527"/>
    <hyperlink r:id="rId1050" ref="F527"/>
    <hyperlink r:id="rId1051" ref="C528"/>
    <hyperlink r:id="rId1052" ref="F528"/>
    <hyperlink r:id="rId1053" ref="C529"/>
    <hyperlink r:id="rId1054" ref="F529"/>
    <hyperlink r:id="rId1055" ref="C530"/>
    <hyperlink r:id="rId1056" ref="F530"/>
    <hyperlink r:id="rId1057" ref="C531"/>
    <hyperlink r:id="rId1058" ref="F531"/>
    <hyperlink r:id="rId1059" ref="C532"/>
    <hyperlink r:id="rId1060" ref="F532"/>
    <hyperlink r:id="rId1061" ref="C533"/>
    <hyperlink r:id="rId1062" ref="F533"/>
    <hyperlink r:id="rId1063" ref="C534"/>
    <hyperlink r:id="rId1064" ref="F534"/>
    <hyperlink r:id="rId1065" ref="C535"/>
    <hyperlink r:id="rId1066" ref="F535"/>
    <hyperlink r:id="rId1067" ref="C536"/>
    <hyperlink r:id="rId1068" ref="F536"/>
    <hyperlink r:id="rId1069" ref="C537"/>
    <hyperlink r:id="rId1070" ref="F537"/>
    <hyperlink r:id="rId1071" ref="C538"/>
    <hyperlink r:id="rId1072" ref="F538"/>
    <hyperlink r:id="rId1073" ref="C539"/>
    <hyperlink r:id="rId1074" ref="F539"/>
    <hyperlink r:id="rId1075" ref="C540"/>
    <hyperlink r:id="rId1076" ref="F540"/>
    <hyperlink r:id="rId1077" ref="C541"/>
    <hyperlink r:id="rId1078" ref="F541"/>
    <hyperlink r:id="rId1079" ref="C542"/>
    <hyperlink r:id="rId1080" ref="F542"/>
    <hyperlink r:id="rId1081" ref="C543"/>
    <hyperlink r:id="rId1082" ref="F543"/>
    <hyperlink r:id="rId1083" ref="C544"/>
    <hyperlink r:id="rId1084" ref="F544"/>
    <hyperlink r:id="rId1085" ref="C545"/>
    <hyperlink r:id="rId1086" ref="F545"/>
    <hyperlink r:id="rId1087" ref="C546"/>
    <hyperlink r:id="rId1088" ref="F546"/>
    <hyperlink r:id="rId1089" ref="C547"/>
    <hyperlink r:id="rId1090" ref="F547"/>
    <hyperlink r:id="rId1091" ref="C548"/>
    <hyperlink r:id="rId1092" ref="F548"/>
    <hyperlink r:id="rId1093" ref="C549"/>
    <hyperlink r:id="rId1094" ref="F549"/>
    <hyperlink r:id="rId1095" ref="C550"/>
    <hyperlink r:id="rId1096" ref="F550"/>
    <hyperlink r:id="rId1097" ref="C551"/>
    <hyperlink r:id="rId1098" ref="F551"/>
    <hyperlink r:id="rId1099" ref="C552"/>
    <hyperlink r:id="rId1100" ref="F552"/>
    <hyperlink r:id="rId1101" ref="C553"/>
    <hyperlink r:id="rId1102" ref="F553"/>
    <hyperlink r:id="rId1103" ref="C554"/>
    <hyperlink r:id="rId1104" ref="F554"/>
    <hyperlink r:id="rId1105" ref="C555"/>
    <hyperlink r:id="rId1106" ref="F555"/>
    <hyperlink r:id="rId1107" ref="C556"/>
    <hyperlink r:id="rId1108" ref="F556"/>
    <hyperlink r:id="rId1109" ref="C557"/>
    <hyperlink r:id="rId1110" ref="F557"/>
    <hyperlink r:id="rId1111" ref="C558"/>
    <hyperlink r:id="rId1112" ref="F558"/>
    <hyperlink r:id="rId1113" ref="C559"/>
    <hyperlink r:id="rId1114" ref="F559"/>
    <hyperlink r:id="rId1115" ref="C560"/>
    <hyperlink r:id="rId1116" ref="F560"/>
    <hyperlink r:id="rId1117" ref="C561"/>
    <hyperlink r:id="rId1118" ref="F561"/>
    <hyperlink r:id="rId1119" ref="C562"/>
    <hyperlink r:id="rId1120" ref="F562"/>
    <hyperlink r:id="rId1121" ref="C564"/>
    <hyperlink r:id="rId1122" ref="F564"/>
    <hyperlink r:id="rId1123" ref="C565"/>
    <hyperlink r:id="rId1124" ref="F565"/>
    <hyperlink r:id="rId1125" ref="C566"/>
    <hyperlink r:id="rId1126" ref="F566"/>
    <hyperlink r:id="rId1127" ref="C567"/>
    <hyperlink r:id="rId1128" ref="F567"/>
    <hyperlink r:id="rId1129" ref="C568"/>
    <hyperlink r:id="rId1130" ref="F568"/>
    <hyperlink r:id="rId1131" ref="C569"/>
    <hyperlink r:id="rId1132" ref="F569"/>
    <hyperlink r:id="rId1133" ref="C570"/>
    <hyperlink r:id="rId1134" ref="F570"/>
    <hyperlink r:id="rId1135" ref="C571"/>
    <hyperlink r:id="rId1136" ref="F571"/>
    <hyperlink r:id="rId1137" ref="C572"/>
    <hyperlink r:id="rId1138" ref="F572"/>
    <hyperlink r:id="rId1139" ref="C573"/>
    <hyperlink r:id="rId1140" ref="F573"/>
    <hyperlink r:id="rId1141" ref="C574"/>
    <hyperlink r:id="rId1142" ref="F574"/>
    <hyperlink r:id="rId1143" ref="C575"/>
    <hyperlink r:id="rId1144" ref="F575"/>
    <hyperlink r:id="rId1145" ref="C576"/>
    <hyperlink r:id="rId1146" ref="F576"/>
    <hyperlink r:id="rId1147" ref="C577"/>
    <hyperlink r:id="rId1148" ref="F577"/>
    <hyperlink r:id="rId1149" ref="C578"/>
    <hyperlink r:id="rId1150" ref="F578"/>
    <hyperlink r:id="rId1151" ref="C579"/>
    <hyperlink r:id="rId1152" ref="F579"/>
    <hyperlink r:id="rId1153" ref="C580"/>
    <hyperlink r:id="rId1154" ref="F580"/>
    <hyperlink r:id="rId1155" ref="C581"/>
    <hyperlink r:id="rId1156" ref="F581"/>
    <hyperlink r:id="rId1157" ref="C582"/>
    <hyperlink r:id="rId1158" ref="F582"/>
    <hyperlink r:id="rId1159" ref="C583"/>
    <hyperlink r:id="rId1160" ref="F583"/>
    <hyperlink r:id="rId1161" ref="C584"/>
    <hyperlink r:id="rId1162" ref="F584"/>
    <hyperlink r:id="rId1163" ref="C585"/>
    <hyperlink r:id="rId1164" ref="F585"/>
    <hyperlink r:id="rId1165" ref="C586"/>
    <hyperlink r:id="rId1166" ref="F586"/>
    <hyperlink r:id="rId1167" ref="C587"/>
    <hyperlink r:id="rId1168" ref="F587"/>
    <hyperlink r:id="rId1169" ref="C588"/>
    <hyperlink r:id="rId1170" ref="F588"/>
    <hyperlink r:id="rId1171" ref="C590"/>
    <hyperlink r:id="rId1172" ref="F590"/>
    <hyperlink r:id="rId1173" ref="C591"/>
    <hyperlink r:id="rId1174" ref="F591"/>
    <hyperlink r:id="rId1175" ref="C592"/>
    <hyperlink r:id="rId1176" ref="F592"/>
    <hyperlink r:id="rId1177" ref="C593"/>
    <hyperlink r:id="rId1178" ref="F593"/>
    <hyperlink r:id="rId1179" ref="C594"/>
    <hyperlink r:id="rId1180" ref="F594"/>
    <hyperlink r:id="rId1181" ref="C595"/>
    <hyperlink r:id="rId1182" ref="F595"/>
    <hyperlink r:id="rId1183" ref="C596"/>
    <hyperlink r:id="rId1184" ref="F596"/>
    <hyperlink r:id="rId1185" ref="C597"/>
    <hyperlink r:id="rId1186" ref="F597"/>
    <hyperlink r:id="rId1187" ref="C598"/>
    <hyperlink r:id="rId1188" ref="F598"/>
    <hyperlink r:id="rId1189" ref="C599"/>
    <hyperlink r:id="rId1190" ref="F599"/>
    <hyperlink r:id="rId1191" ref="C600"/>
    <hyperlink r:id="rId1192" ref="F600"/>
    <hyperlink r:id="rId1193" ref="C601"/>
    <hyperlink r:id="rId1194" ref="F601"/>
    <hyperlink r:id="rId1195" ref="C602"/>
    <hyperlink r:id="rId1196" ref="F602"/>
    <hyperlink r:id="rId1197" ref="C603"/>
    <hyperlink r:id="rId1198" ref="F603"/>
    <hyperlink r:id="rId1199" ref="C604"/>
    <hyperlink r:id="rId1200" ref="F604"/>
    <hyperlink r:id="rId1201" ref="C605"/>
    <hyperlink r:id="rId1202" ref="F605"/>
    <hyperlink r:id="rId1203" ref="C606"/>
    <hyperlink r:id="rId1204" ref="F606"/>
    <hyperlink r:id="rId1205" ref="C607"/>
    <hyperlink r:id="rId1206" ref="F607"/>
    <hyperlink r:id="rId1207" ref="C608"/>
    <hyperlink r:id="rId1208" ref="F608"/>
    <hyperlink r:id="rId1209" ref="C609"/>
    <hyperlink r:id="rId1210" ref="F609"/>
    <hyperlink r:id="rId1211" ref="C610"/>
    <hyperlink r:id="rId1212" ref="F610"/>
    <hyperlink r:id="rId1213" ref="C611"/>
    <hyperlink r:id="rId1214" ref="F611"/>
    <hyperlink r:id="rId1215" ref="C612"/>
    <hyperlink r:id="rId1216" ref="F612"/>
    <hyperlink r:id="rId1217" ref="C613"/>
    <hyperlink r:id="rId1218" ref="F613"/>
    <hyperlink r:id="rId1219" ref="C614"/>
    <hyperlink r:id="rId1220" ref="F614"/>
    <hyperlink r:id="rId1221" ref="C615"/>
    <hyperlink r:id="rId1222" ref="F615"/>
    <hyperlink r:id="rId1223" ref="C616"/>
    <hyperlink r:id="rId1224" ref="F616"/>
    <hyperlink r:id="rId1225" ref="C617"/>
    <hyperlink r:id="rId1226" ref="F617"/>
    <hyperlink r:id="rId1227" ref="C618"/>
    <hyperlink r:id="rId1228" ref="F618"/>
    <hyperlink r:id="rId1229" ref="C619"/>
    <hyperlink r:id="rId1230" ref="F619"/>
    <hyperlink r:id="rId1231" ref="C620"/>
    <hyperlink r:id="rId1232" ref="F620"/>
    <hyperlink r:id="rId1233" ref="C621"/>
    <hyperlink r:id="rId1234" ref="F621"/>
    <hyperlink r:id="rId1235" ref="C622"/>
    <hyperlink r:id="rId1236" ref="F622"/>
    <hyperlink r:id="rId1237" ref="C623"/>
    <hyperlink r:id="rId1238" ref="F623"/>
    <hyperlink r:id="rId1239" ref="C624"/>
    <hyperlink r:id="rId1240" ref="F624"/>
    <hyperlink r:id="rId1241" ref="C625"/>
    <hyperlink r:id="rId1242" ref="F625"/>
    <hyperlink r:id="rId1243" ref="C626"/>
    <hyperlink r:id="rId1244" ref="F626"/>
    <hyperlink r:id="rId1245" ref="C627"/>
    <hyperlink r:id="rId1246" ref="F627"/>
    <hyperlink r:id="rId1247" ref="C628"/>
    <hyperlink r:id="rId1248" ref="F628"/>
    <hyperlink r:id="rId1249" ref="C629"/>
    <hyperlink r:id="rId1250" ref="F629"/>
    <hyperlink r:id="rId1251" ref="C630"/>
    <hyperlink r:id="rId1252" ref="F630"/>
    <hyperlink r:id="rId1253" ref="C631"/>
    <hyperlink r:id="rId1254" ref="F631"/>
    <hyperlink r:id="rId1255" ref="C632"/>
    <hyperlink r:id="rId1256" ref="F632"/>
    <hyperlink r:id="rId1257" ref="C633"/>
    <hyperlink r:id="rId1258" ref="F633"/>
    <hyperlink r:id="rId1259" ref="C634"/>
    <hyperlink r:id="rId1260" ref="F634"/>
    <hyperlink r:id="rId1261" ref="C635"/>
    <hyperlink r:id="rId1262" ref="F635"/>
    <hyperlink r:id="rId1263" ref="C636"/>
    <hyperlink r:id="rId1264" ref="F636"/>
    <hyperlink r:id="rId1265" ref="C637"/>
    <hyperlink r:id="rId1266" ref="F637"/>
    <hyperlink r:id="rId1267" ref="C638"/>
    <hyperlink r:id="rId1268" ref="F638"/>
    <hyperlink r:id="rId1269" ref="C639"/>
    <hyperlink r:id="rId1270" ref="F639"/>
    <hyperlink r:id="rId1271" ref="C640"/>
    <hyperlink r:id="rId1272" ref="F640"/>
    <hyperlink r:id="rId1273" ref="C641"/>
    <hyperlink r:id="rId1274" ref="F641"/>
    <hyperlink r:id="rId1275" ref="C642"/>
    <hyperlink r:id="rId1276" ref="F642"/>
    <hyperlink r:id="rId1277" ref="C643"/>
    <hyperlink r:id="rId1278" ref="F643"/>
    <hyperlink r:id="rId1279" ref="C644"/>
    <hyperlink r:id="rId1280" ref="F644"/>
    <hyperlink r:id="rId1281" ref="C645"/>
    <hyperlink r:id="rId1282" ref="F645"/>
    <hyperlink r:id="rId1283" ref="C646"/>
    <hyperlink r:id="rId1284" ref="F646"/>
    <hyperlink r:id="rId1285" ref="C647"/>
    <hyperlink r:id="rId1286" ref="F647"/>
    <hyperlink r:id="rId1287" ref="C648"/>
    <hyperlink r:id="rId1288" ref="F648"/>
    <hyperlink r:id="rId1289" ref="C649"/>
    <hyperlink r:id="rId1290" ref="F649"/>
    <hyperlink r:id="rId1291" ref="C650"/>
    <hyperlink r:id="rId1292" ref="F650"/>
    <hyperlink r:id="rId1293" ref="C651"/>
    <hyperlink r:id="rId1294" ref="F651"/>
    <hyperlink r:id="rId1295" ref="C652"/>
    <hyperlink r:id="rId1296" ref="F652"/>
    <hyperlink r:id="rId1297" ref="C653"/>
    <hyperlink r:id="rId1298" ref="F653"/>
    <hyperlink r:id="rId1299" ref="C654"/>
    <hyperlink r:id="rId1300" ref="F654"/>
    <hyperlink r:id="rId1301" ref="C655"/>
    <hyperlink r:id="rId1302" ref="F655"/>
    <hyperlink r:id="rId1303" ref="C656"/>
    <hyperlink r:id="rId1304" ref="F656"/>
    <hyperlink r:id="rId1305" ref="C657"/>
    <hyperlink r:id="rId1306" ref="F657"/>
    <hyperlink r:id="rId1307" ref="C658"/>
    <hyperlink r:id="rId1308" ref="F658"/>
    <hyperlink r:id="rId1309" ref="C659"/>
    <hyperlink r:id="rId1310" ref="F659"/>
    <hyperlink r:id="rId1311" ref="C660"/>
    <hyperlink r:id="rId1312" ref="F660"/>
    <hyperlink r:id="rId1313" ref="C661"/>
    <hyperlink r:id="rId1314" ref="F661"/>
    <hyperlink r:id="rId1315" ref="C662"/>
    <hyperlink r:id="rId1316" ref="F662"/>
    <hyperlink r:id="rId1317" ref="C663"/>
    <hyperlink r:id="rId1318" ref="F663"/>
    <hyperlink r:id="rId1319" ref="C664"/>
    <hyperlink r:id="rId1320" ref="F664"/>
    <hyperlink r:id="rId1321" ref="C665"/>
    <hyperlink r:id="rId1322" ref="F665"/>
    <hyperlink r:id="rId1323" ref="C666"/>
    <hyperlink r:id="rId1324" ref="F666"/>
    <hyperlink r:id="rId1325" ref="C667"/>
    <hyperlink r:id="rId1326" ref="F667"/>
    <hyperlink r:id="rId1327" ref="C668"/>
    <hyperlink r:id="rId1328" ref="F668"/>
    <hyperlink r:id="rId1329" ref="C669"/>
    <hyperlink r:id="rId1330" ref="F669"/>
    <hyperlink r:id="rId1331" ref="C670"/>
    <hyperlink r:id="rId1332" ref="F670"/>
    <hyperlink r:id="rId1333" ref="C671"/>
    <hyperlink r:id="rId1334" ref="F671"/>
    <hyperlink r:id="rId1335" ref="C672"/>
    <hyperlink r:id="rId1336" ref="F672"/>
    <hyperlink r:id="rId1337" ref="C673"/>
    <hyperlink r:id="rId1338" ref="F673"/>
    <hyperlink r:id="rId1339" ref="C674"/>
    <hyperlink r:id="rId1340" ref="F674"/>
    <hyperlink r:id="rId1341" ref="C675"/>
    <hyperlink r:id="rId1342" ref="F675"/>
    <hyperlink r:id="rId1343" ref="C676"/>
    <hyperlink r:id="rId1344" ref="F676"/>
    <hyperlink r:id="rId1345" ref="C677"/>
    <hyperlink r:id="rId1346" ref="F677"/>
    <hyperlink r:id="rId1347" ref="C678"/>
    <hyperlink r:id="rId1348" ref="F678"/>
    <hyperlink r:id="rId1349" ref="C679"/>
    <hyperlink r:id="rId1350" ref="F679"/>
    <hyperlink r:id="rId1351" ref="C680"/>
    <hyperlink r:id="rId1352" ref="F680"/>
    <hyperlink r:id="rId1353" ref="C681"/>
    <hyperlink r:id="rId1354" ref="F681"/>
    <hyperlink r:id="rId1355" ref="C682"/>
    <hyperlink r:id="rId1356" ref="F682"/>
    <hyperlink r:id="rId1357" ref="C683"/>
    <hyperlink r:id="rId1358" ref="F683"/>
    <hyperlink r:id="rId1359" ref="C684"/>
    <hyperlink r:id="rId1360" ref="F684"/>
    <hyperlink r:id="rId1361" ref="C685"/>
    <hyperlink r:id="rId1362" ref="F685"/>
    <hyperlink r:id="rId1363" ref="C686"/>
    <hyperlink r:id="rId1364" ref="F686"/>
    <hyperlink r:id="rId1365" ref="C687"/>
    <hyperlink r:id="rId1366" ref="F687"/>
    <hyperlink r:id="rId1367" ref="C688"/>
    <hyperlink r:id="rId1368" ref="F688"/>
    <hyperlink r:id="rId1369" ref="C689"/>
    <hyperlink r:id="rId1370" ref="F689"/>
    <hyperlink r:id="rId1371" ref="C690"/>
    <hyperlink r:id="rId1372" ref="F690"/>
    <hyperlink r:id="rId1373" ref="C691"/>
    <hyperlink r:id="rId1374" ref="F691"/>
    <hyperlink r:id="rId1375" ref="C692"/>
    <hyperlink r:id="rId1376" ref="F692"/>
    <hyperlink r:id="rId1377" ref="C693"/>
    <hyperlink r:id="rId1378" ref="F693"/>
    <hyperlink r:id="rId1379" ref="C694"/>
    <hyperlink r:id="rId1380" ref="F694"/>
    <hyperlink r:id="rId1381" ref="C695"/>
    <hyperlink r:id="rId1382" ref="F695"/>
    <hyperlink r:id="rId1383" ref="C696"/>
    <hyperlink r:id="rId1384" ref="F696"/>
    <hyperlink r:id="rId1385" ref="C697"/>
    <hyperlink r:id="rId1386" ref="F697"/>
    <hyperlink r:id="rId1387" ref="C698"/>
    <hyperlink r:id="rId1388" ref="F698"/>
    <hyperlink r:id="rId1389" ref="C699"/>
    <hyperlink r:id="rId1390" ref="F699"/>
    <hyperlink r:id="rId1391" ref="C700"/>
    <hyperlink r:id="rId1392" ref="F700"/>
    <hyperlink r:id="rId1393" ref="C701"/>
    <hyperlink r:id="rId1394" ref="F701"/>
    <hyperlink r:id="rId1395" ref="C702"/>
    <hyperlink r:id="rId1396" ref="F702"/>
    <hyperlink r:id="rId1397" ref="C703"/>
    <hyperlink r:id="rId1398" ref="F703"/>
    <hyperlink r:id="rId1399" ref="C704"/>
    <hyperlink r:id="rId1400" ref="F704"/>
    <hyperlink r:id="rId1401" ref="C705"/>
    <hyperlink r:id="rId1402" ref="F705"/>
    <hyperlink r:id="rId1403" ref="C706"/>
    <hyperlink r:id="rId1404" ref="F706"/>
    <hyperlink r:id="rId1405" ref="C707"/>
    <hyperlink r:id="rId1406" ref="F707"/>
    <hyperlink r:id="rId1407" ref="C708"/>
    <hyperlink r:id="rId1408" ref="F708"/>
    <hyperlink r:id="rId1409" ref="C709"/>
    <hyperlink r:id="rId1410" ref="F709"/>
    <hyperlink r:id="rId1411" ref="C710"/>
    <hyperlink r:id="rId1412" ref="F710"/>
    <hyperlink r:id="rId1413" ref="C711"/>
    <hyperlink r:id="rId1414" ref="F711"/>
    <hyperlink r:id="rId1415" ref="C712"/>
    <hyperlink r:id="rId1416" ref="F712"/>
    <hyperlink r:id="rId1417" ref="C713"/>
    <hyperlink r:id="rId1418" ref="F713"/>
    <hyperlink r:id="rId1419" ref="C714"/>
    <hyperlink r:id="rId1420" ref="F714"/>
    <hyperlink r:id="rId1421" ref="C715"/>
    <hyperlink r:id="rId1422" ref="F715"/>
    <hyperlink r:id="rId1423" ref="C716"/>
    <hyperlink r:id="rId1424" ref="F716"/>
    <hyperlink r:id="rId1425" ref="C717"/>
    <hyperlink r:id="rId1426" ref="F717"/>
    <hyperlink r:id="rId1427" ref="C718"/>
    <hyperlink r:id="rId1428" ref="F718"/>
    <hyperlink r:id="rId1429" ref="C719"/>
    <hyperlink r:id="rId1430" ref="F719"/>
    <hyperlink r:id="rId1431" ref="C720"/>
    <hyperlink r:id="rId1432" ref="F720"/>
    <hyperlink r:id="rId1433" ref="C721"/>
    <hyperlink r:id="rId1434" ref="F721"/>
    <hyperlink r:id="rId1435" ref="C722"/>
    <hyperlink r:id="rId1436" ref="F722"/>
    <hyperlink r:id="rId1437" ref="C723"/>
    <hyperlink r:id="rId1438" ref="F723"/>
    <hyperlink r:id="rId1439" ref="C724"/>
    <hyperlink r:id="rId1440" ref="F724"/>
    <hyperlink r:id="rId1441" ref="C725"/>
    <hyperlink r:id="rId1442" ref="F725"/>
    <hyperlink r:id="rId1443" ref="C726"/>
    <hyperlink r:id="rId1444" ref="F726"/>
    <hyperlink r:id="rId1445" ref="C727"/>
    <hyperlink r:id="rId1446" ref="F727"/>
    <hyperlink r:id="rId1447" ref="C728"/>
    <hyperlink r:id="rId1448" ref="F728"/>
    <hyperlink r:id="rId1449" ref="C729"/>
    <hyperlink r:id="rId1450" ref="F729"/>
    <hyperlink r:id="rId1451" ref="C730"/>
    <hyperlink r:id="rId1452" ref="F730"/>
    <hyperlink r:id="rId1453" ref="C731"/>
    <hyperlink r:id="rId1454" ref="F731"/>
    <hyperlink r:id="rId1455" ref="C732"/>
    <hyperlink r:id="rId1456" ref="F732"/>
    <hyperlink r:id="rId1457" ref="C733"/>
    <hyperlink r:id="rId1458" ref="F733"/>
    <hyperlink r:id="rId1459" ref="C734"/>
    <hyperlink r:id="rId1460" ref="F734"/>
    <hyperlink r:id="rId1461" ref="C735"/>
    <hyperlink r:id="rId1462" ref="F735"/>
    <hyperlink r:id="rId1463" ref="C736"/>
    <hyperlink r:id="rId1464" ref="F736"/>
    <hyperlink r:id="rId1465" ref="C737"/>
    <hyperlink r:id="rId1466" ref="F737"/>
    <hyperlink r:id="rId1467" ref="C738"/>
    <hyperlink r:id="rId1468" ref="F738"/>
    <hyperlink r:id="rId1469" ref="C739"/>
    <hyperlink r:id="rId1470" ref="F739"/>
    <hyperlink r:id="rId1471" ref="C740"/>
    <hyperlink r:id="rId1472" ref="F740"/>
    <hyperlink r:id="rId1473" ref="C741"/>
    <hyperlink r:id="rId1474" ref="F741"/>
    <hyperlink r:id="rId1475" ref="C742"/>
    <hyperlink r:id="rId1476" ref="F742"/>
    <hyperlink r:id="rId1477" ref="C743"/>
    <hyperlink r:id="rId1478" ref="F743"/>
    <hyperlink r:id="rId1479" ref="C744"/>
    <hyperlink r:id="rId1480" ref="F744"/>
    <hyperlink r:id="rId1481" ref="C745"/>
    <hyperlink r:id="rId1482" ref="F745"/>
    <hyperlink r:id="rId1483" ref="C746"/>
    <hyperlink r:id="rId1484" ref="F746"/>
    <hyperlink r:id="rId1485" ref="C747"/>
    <hyperlink r:id="rId1486" ref="F747"/>
    <hyperlink r:id="rId1487" ref="C748"/>
    <hyperlink r:id="rId1488" ref="F748"/>
    <hyperlink r:id="rId1489" ref="C749"/>
    <hyperlink r:id="rId1490" ref="F749"/>
    <hyperlink r:id="rId1491" ref="C750"/>
    <hyperlink r:id="rId1492" ref="F750"/>
    <hyperlink r:id="rId1493" ref="C751"/>
    <hyperlink r:id="rId1494" ref="F751"/>
    <hyperlink r:id="rId1495" ref="C752"/>
    <hyperlink r:id="rId1496" ref="F752"/>
    <hyperlink r:id="rId1497" ref="C753"/>
    <hyperlink r:id="rId1498" ref="F753"/>
    <hyperlink r:id="rId1499" ref="C754"/>
    <hyperlink r:id="rId1500" ref="F754"/>
    <hyperlink r:id="rId1501" ref="C755"/>
    <hyperlink r:id="rId1502" ref="F755"/>
    <hyperlink r:id="rId1503" ref="C756"/>
    <hyperlink r:id="rId1504" ref="F756"/>
    <hyperlink r:id="rId1505" ref="C757"/>
    <hyperlink r:id="rId1506" ref="F757"/>
    <hyperlink r:id="rId1507" ref="C758"/>
    <hyperlink r:id="rId1508" ref="F758"/>
    <hyperlink r:id="rId1509" ref="C759"/>
    <hyperlink r:id="rId1510" ref="F759"/>
    <hyperlink r:id="rId1511" ref="C760"/>
    <hyperlink r:id="rId1512" ref="F760"/>
    <hyperlink r:id="rId1513" ref="C761"/>
    <hyperlink r:id="rId1514" ref="F761"/>
    <hyperlink r:id="rId1515" ref="C762"/>
    <hyperlink r:id="rId1516" ref="F762"/>
    <hyperlink r:id="rId1517" ref="C763"/>
    <hyperlink r:id="rId1518" ref="F763"/>
    <hyperlink r:id="rId1519" ref="C764"/>
    <hyperlink r:id="rId1520" ref="F764"/>
    <hyperlink r:id="rId1521" ref="C765"/>
    <hyperlink r:id="rId1522" ref="F765"/>
    <hyperlink r:id="rId1523" ref="C766"/>
    <hyperlink r:id="rId1524" ref="F766"/>
    <hyperlink r:id="rId1525" ref="C767"/>
    <hyperlink r:id="rId1526" ref="F767"/>
    <hyperlink r:id="rId1527" ref="C768"/>
    <hyperlink r:id="rId1528" ref="F768"/>
    <hyperlink r:id="rId1529" ref="C769"/>
    <hyperlink r:id="rId1530" ref="F769"/>
    <hyperlink r:id="rId1531" ref="C770"/>
    <hyperlink r:id="rId1532" ref="F770"/>
    <hyperlink r:id="rId1533" ref="C771"/>
    <hyperlink r:id="rId1534" ref="F771"/>
    <hyperlink r:id="rId1535" ref="C772"/>
    <hyperlink r:id="rId1536" ref="F772"/>
    <hyperlink r:id="rId1537" ref="C773"/>
    <hyperlink r:id="rId1538" ref="F773"/>
    <hyperlink r:id="rId1539" ref="C774"/>
    <hyperlink r:id="rId1540" ref="F774"/>
    <hyperlink r:id="rId1541" ref="C775"/>
    <hyperlink r:id="rId1542" ref="F775"/>
    <hyperlink r:id="rId1543" ref="C776"/>
    <hyperlink r:id="rId1544" ref="F776"/>
    <hyperlink r:id="rId1545" ref="C777"/>
    <hyperlink r:id="rId1546" ref="F777"/>
    <hyperlink r:id="rId1547" ref="C778"/>
    <hyperlink r:id="rId1548" ref="F778"/>
    <hyperlink r:id="rId1549" ref="C779"/>
    <hyperlink r:id="rId1550" ref="F779"/>
    <hyperlink r:id="rId1551" ref="C780"/>
    <hyperlink r:id="rId1552" ref="F780"/>
    <hyperlink r:id="rId1553" ref="C781"/>
    <hyperlink r:id="rId1554" ref="F781"/>
    <hyperlink r:id="rId1555" ref="C782"/>
    <hyperlink r:id="rId1556" ref="F782"/>
    <hyperlink r:id="rId1557" ref="C783"/>
    <hyperlink r:id="rId1558" ref="F783"/>
    <hyperlink r:id="rId1559" ref="C784"/>
    <hyperlink r:id="rId1560" ref="F784"/>
    <hyperlink r:id="rId1561" ref="C785"/>
    <hyperlink r:id="rId1562" ref="F785"/>
    <hyperlink r:id="rId1563" ref="C786"/>
    <hyperlink r:id="rId1564" ref="F786"/>
    <hyperlink r:id="rId1565" ref="C787"/>
    <hyperlink r:id="rId1566" ref="F787"/>
    <hyperlink r:id="rId1567" ref="C788"/>
    <hyperlink r:id="rId1568" ref="F788"/>
    <hyperlink r:id="rId1569" ref="C789"/>
    <hyperlink r:id="rId1570" ref="F789"/>
    <hyperlink r:id="rId1571" ref="C790"/>
    <hyperlink r:id="rId1572" ref="F790"/>
    <hyperlink r:id="rId1573" ref="C791"/>
    <hyperlink r:id="rId1574" ref="F791"/>
    <hyperlink r:id="rId1575" ref="C792"/>
    <hyperlink r:id="rId1576" ref="F792"/>
    <hyperlink r:id="rId1577" ref="C793"/>
    <hyperlink r:id="rId1578" ref="F793"/>
    <hyperlink r:id="rId1579" ref="C794"/>
    <hyperlink r:id="rId1580" ref="F794"/>
    <hyperlink r:id="rId1581" ref="C795"/>
    <hyperlink r:id="rId1582" ref="F795"/>
    <hyperlink r:id="rId1583" ref="C796"/>
    <hyperlink r:id="rId1584" ref="F796"/>
    <hyperlink r:id="rId1585" ref="C797"/>
    <hyperlink r:id="rId1586" ref="F797"/>
    <hyperlink r:id="rId1587" ref="C798"/>
    <hyperlink r:id="rId1588" ref="F798"/>
    <hyperlink r:id="rId1589" ref="C799"/>
    <hyperlink r:id="rId1590" ref="F799"/>
    <hyperlink r:id="rId1591" ref="C800"/>
    <hyperlink r:id="rId1592" ref="F800"/>
    <hyperlink r:id="rId1593" ref="C801"/>
    <hyperlink r:id="rId1594" ref="F801"/>
    <hyperlink r:id="rId1595" ref="C802"/>
    <hyperlink r:id="rId1596" ref="F802"/>
    <hyperlink r:id="rId1597" ref="C803"/>
    <hyperlink r:id="rId1598" ref="F803"/>
    <hyperlink r:id="rId1599" ref="C804"/>
    <hyperlink r:id="rId1600" ref="F804"/>
    <hyperlink r:id="rId1601" ref="C805"/>
    <hyperlink r:id="rId1602" ref="F805"/>
    <hyperlink r:id="rId1603" ref="C806"/>
    <hyperlink r:id="rId1604" ref="F806"/>
    <hyperlink r:id="rId1605" ref="C807"/>
    <hyperlink r:id="rId1606" ref="F807"/>
    <hyperlink r:id="rId1607" ref="C808"/>
    <hyperlink r:id="rId1608" ref="F808"/>
    <hyperlink r:id="rId1609" ref="C809"/>
    <hyperlink r:id="rId1610" ref="F809"/>
    <hyperlink r:id="rId1611" ref="C810"/>
    <hyperlink r:id="rId1612" ref="F810"/>
    <hyperlink r:id="rId1613" ref="C811"/>
    <hyperlink r:id="rId1614" ref="F811"/>
    <hyperlink r:id="rId1615" ref="C812"/>
    <hyperlink r:id="rId1616" ref="F812"/>
    <hyperlink r:id="rId1617" ref="C813"/>
    <hyperlink r:id="rId1618" ref="F813"/>
    <hyperlink r:id="rId1619" ref="C814"/>
    <hyperlink r:id="rId1620" ref="F814"/>
    <hyperlink r:id="rId1621" ref="C815"/>
    <hyperlink r:id="rId1622" ref="F815"/>
    <hyperlink r:id="rId1623" ref="C816"/>
    <hyperlink r:id="rId1624" ref="F816"/>
    <hyperlink r:id="rId1625" ref="C817"/>
    <hyperlink r:id="rId1626" ref="F817"/>
    <hyperlink r:id="rId1627" ref="C818"/>
    <hyperlink r:id="rId1628" ref="F818"/>
    <hyperlink r:id="rId1629" ref="C819"/>
    <hyperlink r:id="rId1630" ref="F819"/>
    <hyperlink r:id="rId1631" ref="C820"/>
    <hyperlink r:id="rId1632" ref="F820"/>
    <hyperlink r:id="rId1633" ref="C821"/>
    <hyperlink r:id="rId1634" ref="F821"/>
    <hyperlink r:id="rId1635" ref="C822"/>
    <hyperlink r:id="rId1636" ref="F822"/>
    <hyperlink r:id="rId1637" ref="C823"/>
    <hyperlink r:id="rId1638" ref="F823"/>
    <hyperlink r:id="rId1639" ref="C824"/>
    <hyperlink r:id="rId1640" ref="F824"/>
    <hyperlink r:id="rId1641" ref="C825"/>
    <hyperlink r:id="rId1642" ref="F825"/>
    <hyperlink r:id="rId1643" ref="C826"/>
    <hyperlink r:id="rId1644" ref="F826"/>
    <hyperlink r:id="rId1645" ref="C827"/>
    <hyperlink r:id="rId1646" ref="F827"/>
    <hyperlink r:id="rId1647" ref="C828"/>
    <hyperlink r:id="rId1648" ref="F828"/>
    <hyperlink r:id="rId1649" ref="C829"/>
    <hyperlink r:id="rId1650" ref="F829"/>
    <hyperlink r:id="rId1651" ref="C830"/>
    <hyperlink r:id="rId1652" ref="F830"/>
    <hyperlink r:id="rId1653" ref="C831"/>
    <hyperlink r:id="rId1654" ref="F831"/>
    <hyperlink r:id="rId1655" ref="C832"/>
    <hyperlink r:id="rId1656" ref="F832"/>
    <hyperlink r:id="rId1657" ref="C833"/>
    <hyperlink r:id="rId1658" ref="F833"/>
    <hyperlink r:id="rId1659" ref="C834"/>
    <hyperlink r:id="rId1660" ref="F834"/>
    <hyperlink r:id="rId1661" ref="C835"/>
    <hyperlink r:id="rId1662" ref="F835"/>
    <hyperlink r:id="rId1663" ref="C836"/>
    <hyperlink r:id="rId1664" ref="F836"/>
    <hyperlink r:id="rId1665" ref="C837"/>
    <hyperlink r:id="rId1666" ref="F837"/>
    <hyperlink r:id="rId1667" ref="C838"/>
    <hyperlink r:id="rId1668" ref="F838"/>
    <hyperlink r:id="rId1669" ref="C839"/>
    <hyperlink r:id="rId1670" ref="F839"/>
    <hyperlink r:id="rId1671" ref="C840"/>
    <hyperlink r:id="rId1672" ref="F840"/>
    <hyperlink r:id="rId1673" ref="C841"/>
    <hyperlink r:id="rId1674" ref="F841"/>
    <hyperlink r:id="rId1675" ref="C842"/>
    <hyperlink r:id="rId1676" ref="F842"/>
    <hyperlink r:id="rId1677" ref="C843"/>
    <hyperlink r:id="rId1678" ref="F843"/>
    <hyperlink r:id="rId1679" ref="C844"/>
    <hyperlink r:id="rId1680" ref="F844"/>
    <hyperlink r:id="rId1681" ref="C845"/>
    <hyperlink r:id="rId1682" ref="F845"/>
    <hyperlink r:id="rId1683" ref="C846"/>
    <hyperlink r:id="rId1684" ref="F846"/>
    <hyperlink r:id="rId1685" ref="C847"/>
    <hyperlink r:id="rId1686" ref="F847"/>
    <hyperlink r:id="rId1687" ref="C848"/>
    <hyperlink r:id="rId1688" ref="F848"/>
    <hyperlink r:id="rId1689" ref="C849"/>
    <hyperlink r:id="rId1690" ref="F849"/>
    <hyperlink r:id="rId1691" ref="C850"/>
    <hyperlink r:id="rId1692" ref="F850"/>
    <hyperlink r:id="rId1693" ref="C851"/>
    <hyperlink r:id="rId1694" ref="F851"/>
    <hyperlink r:id="rId1695" ref="C852"/>
    <hyperlink r:id="rId1696" ref="F852"/>
    <hyperlink r:id="rId1697" ref="C853"/>
    <hyperlink r:id="rId1698" ref="F853"/>
    <hyperlink r:id="rId1699" ref="C854"/>
    <hyperlink r:id="rId1700" ref="F854"/>
    <hyperlink r:id="rId1701" ref="C855"/>
    <hyperlink r:id="rId1702" ref="F855"/>
    <hyperlink r:id="rId1703" ref="C856"/>
    <hyperlink r:id="rId1704" ref="F856"/>
    <hyperlink r:id="rId1705" ref="C857"/>
    <hyperlink r:id="rId1706" ref="F857"/>
    <hyperlink r:id="rId1707" ref="C858"/>
    <hyperlink r:id="rId1708" ref="F858"/>
    <hyperlink r:id="rId1709" ref="C859"/>
    <hyperlink r:id="rId1710" ref="F859"/>
    <hyperlink r:id="rId1711" ref="C860"/>
    <hyperlink r:id="rId1712" ref="F860"/>
    <hyperlink r:id="rId1713" ref="C861"/>
    <hyperlink r:id="rId1714" ref="F861"/>
    <hyperlink r:id="rId1715" ref="C862"/>
    <hyperlink r:id="rId1716" ref="F862"/>
    <hyperlink r:id="rId1717" ref="C863"/>
    <hyperlink r:id="rId1718" ref="F863"/>
    <hyperlink r:id="rId1719" ref="C864"/>
    <hyperlink r:id="rId1720" ref="F864"/>
    <hyperlink r:id="rId1721" ref="C865"/>
    <hyperlink r:id="rId1722" ref="F865"/>
    <hyperlink r:id="rId1723" ref="C866"/>
    <hyperlink r:id="rId1724" ref="F866"/>
    <hyperlink r:id="rId1725" ref="C867"/>
    <hyperlink r:id="rId1726" ref="F867"/>
    <hyperlink r:id="rId1727" ref="C868"/>
    <hyperlink r:id="rId1728" ref="F868"/>
    <hyperlink r:id="rId1729" ref="C869"/>
    <hyperlink r:id="rId1730" ref="F869"/>
    <hyperlink r:id="rId1731" ref="C870"/>
    <hyperlink r:id="rId1732" ref="F870"/>
    <hyperlink r:id="rId1733" ref="C871"/>
    <hyperlink r:id="rId1734" ref="F871"/>
    <hyperlink r:id="rId1735" ref="C872"/>
    <hyperlink r:id="rId1736" ref="F872"/>
    <hyperlink r:id="rId1737" ref="C873"/>
    <hyperlink r:id="rId1738" ref="F873"/>
    <hyperlink r:id="rId1739" ref="C874"/>
    <hyperlink r:id="rId1740" ref="F874"/>
    <hyperlink r:id="rId1741" ref="C875"/>
    <hyperlink r:id="rId1742" ref="F875"/>
    <hyperlink r:id="rId1743" ref="C876"/>
    <hyperlink r:id="rId1744" ref="F876"/>
    <hyperlink r:id="rId1745" ref="C877"/>
    <hyperlink r:id="rId1746" ref="F877"/>
    <hyperlink r:id="rId1747" ref="C878"/>
    <hyperlink r:id="rId1748" ref="F878"/>
    <hyperlink r:id="rId1749" ref="C879"/>
    <hyperlink r:id="rId1750" ref="F879"/>
    <hyperlink r:id="rId1751" ref="C880"/>
    <hyperlink r:id="rId1752" ref="F880"/>
    <hyperlink r:id="rId1753" ref="C881"/>
    <hyperlink r:id="rId1754" ref="F881"/>
    <hyperlink r:id="rId1755" ref="C882"/>
    <hyperlink r:id="rId1756" ref="F882"/>
    <hyperlink r:id="rId1757" ref="C883"/>
    <hyperlink r:id="rId1758" ref="F883"/>
    <hyperlink r:id="rId1759" ref="C884"/>
    <hyperlink r:id="rId1760" ref="F884"/>
    <hyperlink r:id="rId1761" ref="C885"/>
    <hyperlink r:id="rId1762" ref="F885"/>
    <hyperlink r:id="rId1763" ref="C886"/>
    <hyperlink r:id="rId1764" ref="F886"/>
    <hyperlink r:id="rId1765" ref="C887"/>
    <hyperlink r:id="rId1766" ref="F887"/>
    <hyperlink r:id="rId1767" ref="C888"/>
    <hyperlink r:id="rId1768" ref="F888"/>
    <hyperlink r:id="rId1769" ref="C889"/>
    <hyperlink r:id="rId1770" ref="F889"/>
    <hyperlink r:id="rId1771" ref="C890"/>
    <hyperlink r:id="rId1772" ref="F890"/>
    <hyperlink r:id="rId1773" ref="C891"/>
    <hyperlink r:id="rId1774" ref="F891"/>
    <hyperlink r:id="rId1775" ref="C892"/>
    <hyperlink r:id="rId1776" ref="F892"/>
    <hyperlink r:id="rId1777" ref="C893"/>
    <hyperlink r:id="rId1778" ref="F893"/>
    <hyperlink r:id="rId1779" ref="C894"/>
    <hyperlink r:id="rId1780" ref="F894"/>
    <hyperlink r:id="rId1781" ref="C895"/>
    <hyperlink r:id="rId1782" ref="F895"/>
    <hyperlink r:id="rId1783" ref="C896"/>
    <hyperlink r:id="rId1784" ref="F896"/>
    <hyperlink r:id="rId1785" ref="C897"/>
    <hyperlink r:id="rId1786" ref="F897"/>
    <hyperlink r:id="rId1787" ref="C898"/>
    <hyperlink r:id="rId1788" ref="F898"/>
    <hyperlink r:id="rId1789" ref="C899"/>
    <hyperlink r:id="rId1790" ref="F899"/>
    <hyperlink r:id="rId1791" ref="C900"/>
    <hyperlink r:id="rId1792" ref="F900"/>
    <hyperlink r:id="rId1793" ref="C901"/>
    <hyperlink r:id="rId1794" ref="F901"/>
    <hyperlink r:id="rId1795" ref="C902"/>
    <hyperlink r:id="rId1796" ref="F902"/>
    <hyperlink r:id="rId1797" ref="C903"/>
    <hyperlink r:id="rId1798" ref="F903"/>
    <hyperlink r:id="rId1799" ref="C904"/>
    <hyperlink r:id="rId1800" ref="F904"/>
    <hyperlink r:id="rId1801" ref="C905"/>
    <hyperlink r:id="rId1802" ref="F905"/>
    <hyperlink r:id="rId1803" ref="C906"/>
    <hyperlink r:id="rId1804" ref="F906"/>
    <hyperlink r:id="rId1805" ref="C907"/>
    <hyperlink r:id="rId1806" ref="F907"/>
    <hyperlink r:id="rId1807" ref="C908"/>
    <hyperlink r:id="rId1808" ref="F908"/>
    <hyperlink r:id="rId1809" ref="C909"/>
    <hyperlink r:id="rId1810" ref="F909"/>
    <hyperlink r:id="rId1811" ref="C910"/>
    <hyperlink r:id="rId1812" ref="F910"/>
    <hyperlink r:id="rId1813" ref="C911"/>
    <hyperlink r:id="rId1814" ref="F911"/>
    <hyperlink r:id="rId1815" ref="C912"/>
    <hyperlink r:id="rId1816" ref="F912"/>
    <hyperlink r:id="rId1817" ref="C913"/>
    <hyperlink r:id="rId1818" ref="F913"/>
    <hyperlink r:id="rId1819" ref="C914"/>
    <hyperlink r:id="rId1820" ref="F914"/>
    <hyperlink r:id="rId1821" ref="C915"/>
    <hyperlink r:id="rId1822" ref="F915"/>
    <hyperlink r:id="rId1823" ref="C916"/>
    <hyperlink r:id="rId1824" ref="F916"/>
    <hyperlink r:id="rId1825" ref="C917"/>
    <hyperlink r:id="rId1826" ref="F917"/>
    <hyperlink r:id="rId1827" ref="C918"/>
    <hyperlink r:id="rId1828" ref="F918"/>
    <hyperlink r:id="rId1829" ref="C919"/>
    <hyperlink r:id="rId1830" ref="F919"/>
    <hyperlink r:id="rId1831" ref="C920"/>
    <hyperlink r:id="rId1832" ref="F920"/>
    <hyperlink r:id="rId1833" ref="C921"/>
    <hyperlink r:id="rId1834" ref="F921"/>
    <hyperlink r:id="rId1835" ref="C922"/>
    <hyperlink r:id="rId1836" ref="F922"/>
    <hyperlink r:id="rId1837" ref="C923"/>
    <hyperlink r:id="rId1838" ref="F923"/>
    <hyperlink r:id="rId1839" ref="C924"/>
    <hyperlink r:id="rId1840" ref="F924"/>
    <hyperlink r:id="rId1841" ref="C925"/>
    <hyperlink r:id="rId1842" ref="F925"/>
    <hyperlink r:id="rId1843" ref="C926"/>
    <hyperlink r:id="rId1844" ref="F926"/>
    <hyperlink r:id="rId1845" ref="C927"/>
    <hyperlink r:id="rId1846" ref="F927"/>
    <hyperlink r:id="rId1847" ref="C928"/>
    <hyperlink r:id="rId1848" ref="F928"/>
    <hyperlink r:id="rId1849" ref="C929"/>
    <hyperlink r:id="rId1850" ref="F929"/>
    <hyperlink r:id="rId1851" ref="C930"/>
    <hyperlink r:id="rId1852" ref="F930"/>
    <hyperlink r:id="rId1853" ref="C931"/>
    <hyperlink r:id="rId1854" ref="F931"/>
    <hyperlink r:id="rId1855" ref="C932"/>
    <hyperlink r:id="rId1856" ref="F932"/>
    <hyperlink r:id="rId1857" ref="C933"/>
    <hyperlink r:id="rId1858" ref="F933"/>
    <hyperlink r:id="rId1859" ref="C934"/>
    <hyperlink r:id="rId1860" ref="F934"/>
    <hyperlink r:id="rId1861" ref="C935"/>
    <hyperlink r:id="rId1862" ref="F935"/>
    <hyperlink r:id="rId1863" ref="C936"/>
    <hyperlink r:id="rId1864" ref="F936"/>
    <hyperlink r:id="rId1865" ref="C937"/>
    <hyperlink r:id="rId1866" ref="F937"/>
    <hyperlink r:id="rId1867" ref="C938"/>
    <hyperlink r:id="rId1868" ref="F938"/>
    <hyperlink r:id="rId1869" ref="C939"/>
    <hyperlink r:id="rId1870" ref="F939"/>
    <hyperlink r:id="rId1871" ref="C940"/>
    <hyperlink r:id="rId1872" ref="F940"/>
    <hyperlink r:id="rId1873" ref="C941"/>
    <hyperlink r:id="rId1874" ref="F941"/>
    <hyperlink r:id="rId1875" ref="C942"/>
    <hyperlink r:id="rId1876" ref="F942"/>
    <hyperlink r:id="rId1877" ref="C943"/>
    <hyperlink r:id="rId1878" ref="F943"/>
    <hyperlink r:id="rId1879" ref="C944"/>
    <hyperlink r:id="rId1880" ref="F944"/>
    <hyperlink r:id="rId1881" ref="C945"/>
    <hyperlink r:id="rId1882" ref="F945"/>
    <hyperlink r:id="rId1883" ref="C946"/>
    <hyperlink r:id="rId1884" ref="F946"/>
    <hyperlink r:id="rId1885" ref="C947"/>
    <hyperlink r:id="rId1886" ref="F947"/>
    <hyperlink r:id="rId1887" ref="C948"/>
    <hyperlink r:id="rId1888" ref="F948"/>
    <hyperlink r:id="rId1889" ref="C949"/>
    <hyperlink r:id="rId1890" ref="F949"/>
    <hyperlink r:id="rId1891" ref="C950"/>
    <hyperlink r:id="rId1892" ref="F950"/>
    <hyperlink r:id="rId1893" ref="C951"/>
    <hyperlink r:id="rId1894" ref="F951"/>
    <hyperlink r:id="rId1895" ref="C952"/>
    <hyperlink r:id="rId1896" ref="F952"/>
    <hyperlink r:id="rId1897" ref="C953"/>
    <hyperlink r:id="rId1898" ref="F953"/>
    <hyperlink r:id="rId1899" ref="C954"/>
    <hyperlink r:id="rId1900" ref="F954"/>
    <hyperlink r:id="rId1901" ref="C955"/>
    <hyperlink r:id="rId1902" ref="F955"/>
    <hyperlink r:id="rId1903" ref="C956"/>
    <hyperlink r:id="rId1904" ref="F956"/>
    <hyperlink r:id="rId1905" ref="C957"/>
    <hyperlink r:id="rId1906" ref="F957"/>
    <hyperlink r:id="rId1907" ref="C958"/>
    <hyperlink r:id="rId1908" ref="F958"/>
    <hyperlink r:id="rId1909" ref="C959"/>
    <hyperlink r:id="rId1910" ref="F959"/>
    <hyperlink r:id="rId1911" ref="C960"/>
    <hyperlink r:id="rId1912" ref="F960"/>
    <hyperlink r:id="rId1913" ref="C961"/>
    <hyperlink r:id="rId1914" ref="F961"/>
    <hyperlink r:id="rId1915" ref="C962"/>
    <hyperlink r:id="rId1916" ref="F962"/>
    <hyperlink r:id="rId1917" ref="C963"/>
    <hyperlink r:id="rId1918" ref="F963"/>
    <hyperlink r:id="rId1919" ref="C964"/>
    <hyperlink r:id="rId1920" ref="F964"/>
    <hyperlink r:id="rId1921" ref="C965"/>
    <hyperlink r:id="rId1922" ref="F965"/>
    <hyperlink r:id="rId1923" ref="C966"/>
    <hyperlink r:id="rId1924" ref="F966"/>
    <hyperlink r:id="rId1925" ref="C967"/>
    <hyperlink r:id="rId1926" ref="F967"/>
    <hyperlink r:id="rId1927" ref="C968"/>
    <hyperlink r:id="rId1928" ref="F968"/>
    <hyperlink r:id="rId1929" ref="C969"/>
    <hyperlink r:id="rId1930" ref="F969"/>
    <hyperlink r:id="rId1931" ref="C970"/>
    <hyperlink r:id="rId1932" ref="F970"/>
    <hyperlink r:id="rId1933" ref="C971"/>
    <hyperlink r:id="rId1934" ref="F971"/>
    <hyperlink r:id="rId1935" ref="C972"/>
    <hyperlink r:id="rId1936" ref="F972"/>
    <hyperlink r:id="rId1937" ref="C973"/>
    <hyperlink r:id="rId1938" ref="F973"/>
    <hyperlink r:id="rId1939" ref="C974"/>
    <hyperlink r:id="rId1940" ref="F974"/>
    <hyperlink r:id="rId1941" ref="C975"/>
    <hyperlink r:id="rId1942" ref="F975"/>
    <hyperlink r:id="rId1943" ref="C976"/>
    <hyperlink r:id="rId1944" ref="F976"/>
    <hyperlink r:id="rId1945" ref="C977"/>
    <hyperlink r:id="rId1946" ref="F977"/>
    <hyperlink r:id="rId1947" ref="C978"/>
    <hyperlink r:id="rId1948" ref="F978"/>
    <hyperlink r:id="rId1949" ref="C979"/>
    <hyperlink r:id="rId1950" ref="F979"/>
    <hyperlink r:id="rId1951" ref="C980"/>
    <hyperlink r:id="rId1952" ref="F980"/>
    <hyperlink r:id="rId1953" ref="C981"/>
    <hyperlink r:id="rId1954" ref="F981"/>
    <hyperlink r:id="rId1955" ref="C982"/>
    <hyperlink r:id="rId1956" ref="F982"/>
    <hyperlink r:id="rId1957" ref="C983"/>
    <hyperlink r:id="rId1958" ref="F983"/>
    <hyperlink r:id="rId1959" ref="C984"/>
    <hyperlink r:id="rId1960" ref="F984"/>
    <hyperlink r:id="rId1961" ref="C985"/>
    <hyperlink r:id="rId1962" ref="F985"/>
    <hyperlink r:id="rId1963" ref="C986"/>
    <hyperlink r:id="rId1964" ref="F986"/>
    <hyperlink r:id="rId1965" ref="C987"/>
    <hyperlink r:id="rId1966" ref="F987"/>
    <hyperlink r:id="rId1967" ref="C988"/>
    <hyperlink r:id="rId1968" ref="F988"/>
    <hyperlink r:id="rId1969" ref="C989"/>
    <hyperlink r:id="rId1970" ref="F989"/>
    <hyperlink r:id="rId1971" ref="C990"/>
    <hyperlink r:id="rId1972" ref="F990"/>
    <hyperlink r:id="rId1973" ref="C991"/>
    <hyperlink r:id="rId1974" ref="F991"/>
    <hyperlink r:id="rId1975" ref="C992"/>
    <hyperlink r:id="rId1976" ref="F992"/>
    <hyperlink r:id="rId1977" ref="C993"/>
    <hyperlink r:id="rId1978" ref="F993"/>
    <hyperlink r:id="rId1979" ref="C994"/>
    <hyperlink r:id="rId1980" ref="F994"/>
    <hyperlink r:id="rId1981" ref="C995"/>
    <hyperlink r:id="rId1982" ref="F995"/>
    <hyperlink r:id="rId1983" ref="C996"/>
    <hyperlink r:id="rId1984" ref="F996"/>
    <hyperlink r:id="rId1985" ref="C997"/>
    <hyperlink r:id="rId1986" ref="F997"/>
    <hyperlink r:id="rId1987" ref="C998"/>
    <hyperlink r:id="rId1988" ref="F998"/>
    <hyperlink r:id="rId1989" ref="C999"/>
    <hyperlink r:id="rId1990" ref="F999"/>
    <hyperlink r:id="rId1991" ref="C1000"/>
    <hyperlink r:id="rId1992" ref="F1000"/>
    <hyperlink r:id="rId1993" ref="C1001"/>
    <hyperlink r:id="rId1994" ref="F1001"/>
    <hyperlink r:id="rId1995" ref="C1002"/>
    <hyperlink r:id="rId1996" ref="F1002"/>
    <hyperlink r:id="rId1997" ref="C1003"/>
    <hyperlink r:id="rId1998" ref="F1003"/>
    <hyperlink r:id="rId1999" ref="C1004"/>
    <hyperlink r:id="rId2000" ref="F1004"/>
    <hyperlink r:id="rId2001" ref="C1005"/>
    <hyperlink r:id="rId2002" ref="F1005"/>
    <hyperlink r:id="rId2003" ref="C1006"/>
    <hyperlink r:id="rId2004" ref="F1006"/>
    <hyperlink r:id="rId2005" ref="C1007"/>
    <hyperlink r:id="rId2006" ref="F1007"/>
    <hyperlink r:id="rId2007" ref="C1008"/>
    <hyperlink r:id="rId2008" ref="F1008"/>
    <hyperlink r:id="rId2009" ref="C1009"/>
    <hyperlink r:id="rId2010" ref="F1009"/>
    <hyperlink r:id="rId2011" ref="C1010"/>
    <hyperlink r:id="rId2012" ref="F1010"/>
    <hyperlink r:id="rId2013" ref="C1011"/>
    <hyperlink r:id="rId2014" ref="F1011"/>
    <hyperlink r:id="rId2015" ref="C1012"/>
    <hyperlink r:id="rId2016" ref="F1012"/>
    <hyperlink r:id="rId2017" ref="C1013"/>
    <hyperlink r:id="rId2018" ref="F1013"/>
    <hyperlink r:id="rId2019" ref="C1014"/>
    <hyperlink r:id="rId2020" ref="F1014"/>
    <hyperlink r:id="rId2021" ref="C1015"/>
    <hyperlink r:id="rId2022" ref="F1015"/>
    <hyperlink r:id="rId2023" ref="C1016"/>
    <hyperlink r:id="rId2024" ref="F1016"/>
    <hyperlink r:id="rId2025" ref="C1017"/>
    <hyperlink r:id="rId2026" ref="F1017"/>
    <hyperlink r:id="rId2027" ref="C1018"/>
    <hyperlink r:id="rId2028" ref="F1018"/>
    <hyperlink r:id="rId2029" ref="C1019"/>
    <hyperlink r:id="rId2030" ref="F1019"/>
    <hyperlink r:id="rId2031" ref="C1020"/>
    <hyperlink r:id="rId2032" ref="F1020"/>
    <hyperlink r:id="rId2033" ref="C1021"/>
    <hyperlink r:id="rId2034" ref="F1021"/>
    <hyperlink r:id="rId2035" ref="C1022"/>
    <hyperlink r:id="rId2036" ref="F1022"/>
    <hyperlink r:id="rId2037" ref="C1023"/>
    <hyperlink r:id="rId2038" ref="F1023"/>
    <hyperlink r:id="rId2039" ref="C1024"/>
    <hyperlink r:id="rId2040" ref="F1024"/>
    <hyperlink r:id="rId2041" ref="C1025"/>
    <hyperlink r:id="rId2042" ref="F1025"/>
    <hyperlink r:id="rId2043" ref="C1026"/>
    <hyperlink r:id="rId2044" ref="F1026"/>
    <hyperlink r:id="rId2045" ref="C1027"/>
    <hyperlink r:id="rId2046" ref="F1027"/>
    <hyperlink r:id="rId2047" ref="C1028"/>
    <hyperlink r:id="rId2048" ref="F1028"/>
    <hyperlink r:id="rId2049" ref="C1029"/>
    <hyperlink r:id="rId2050" ref="F1029"/>
    <hyperlink r:id="rId2051" ref="C1030"/>
    <hyperlink r:id="rId2052" ref="F1030"/>
    <hyperlink r:id="rId2053" ref="C1031"/>
    <hyperlink r:id="rId2054" ref="F1031"/>
    <hyperlink r:id="rId2055" ref="C1032"/>
    <hyperlink r:id="rId2056" ref="F1032"/>
    <hyperlink r:id="rId2057" ref="C1033"/>
    <hyperlink r:id="rId2058" ref="F1033"/>
    <hyperlink r:id="rId2059" ref="C1034"/>
    <hyperlink r:id="rId2060" ref="F1034"/>
    <hyperlink r:id="rId2061" ref="C1035"/>
    <hyperlink r:id="rId2062" ref="F1035"/>
    <hyperlink r:id="rId2063" ref="C1036"/>
    <hyperlink r:id="rId2064" ref="F1036"/>
    <hyperlink r:id="rId2065" ref="C1037"/>
    <hyperlink r:id="rId2066" ref="F1037"/>
    <hyperlink r:id="rId2067" ref="A1038"/>
    <hyperlink r:id="rId2068" ref="C1039"/>
    <hyperlink r:id="rId2069" ref="F1039"/>
    <hyperlink r:id="rId2070" ref="C1040"/>
    <hyperlink r:id="rId2071" ref="F1040"/>
    <hyperlink r:id="rId2072" ref="C1041"/>
    <hyperlink r:id="rId2073" ref="F1041"/>
    <hyperlink r:id="rId2074" ref="C1042"/>
    <hyperlink r:id="rId2075" ref="F1042"/>
    <hyperlink r:id="rId2076" ref="C1043"/>
    <hyperlink r:id="rId2077" ref="F1043"/>
    <hyperlink r:id="rId2078" ref="C1044"/>
    <hyperlink r:id="rId2079" ref="F1044"/>
    <hyperlink r:id="rId2080" ref="C1045"/>
    <hyperlink r:id="rId2081" ref="F1045"/>
    <hyperlink r:id="rId2082" ref="C1046"/>
    <hyperlink r:id="rId2083" ref="F1046"/>
    <hyperlink r:id="rId2084" ref="C1047"/>
    <hyperlink r:id="rId2085" ref="F1047"/>
    <hyperlink r:id="rId2086" ref="C1048"/>
    <hyperlink r:id="rId2087" ref="F1048"/>
    <hyperlink r:id="rId2088" ref="C1049"/>
    <hyperlink r:id="rId2089" ref="F1049"/>
    <hyperlink r:id="rId2090" ref="C1050"/>
    <hyperlink r:id="rId2091" ref="F1050"/>
    <hyperlink r:id="rId2092" ref="C1051"/>
    <hyperlink r:id="rId2093" ref="F1051"/>
    <hyperlink r:id="rId2094" ref="C1052"/>
    <hyperlink r:id="rId2095" ref="F1052"/>
    <hyperlink r:id="rId2096" ref="C1053"/>
    <hyperlink r:id="rId2097" ref="F1053"/>
    <hyperlink r:id="rId2098" ref="C1054"/>
    <hyperlink r:id="rId2099" ref="F1054"/>
    <hyperlink r:id="rId2100" ref="C1055"/>
    <hyperlink r:id="rId2101" ref="F1055"/>
    <hyperlink r:id="rId2102" ref="C1057"/>
    <hyperlink r:id="rId2103" ref="F1057"/>
    <hyperlink r:id="rId2104" ref="C1058"/>
    <hyperlink r:id="rId2105" ref="F1058"/>
    <hyperlink r:id="rId2106" ref="C1059"/>
    <hyperlink r:id="rId2107" ref="F1059"/>
    <hyperlink r:id="rId2108" ref="C1061"/>
    <hyperlink r:id="rId2109" ref="F1061"/>
    <hyperlink r:id="rId2110" ref="C1062"/>
    <hyperlink r:id="rId2111" ref="F1062"/>
    <hyperlink r:id="rId2112" ref="C1063"/>
    <hyperlink r:id="rId2113" ref="F1063"/>
    <hyperlink r:id="rId2114" ref="C1064"/>
    <hyperlink r:id="rId2115" ref="F1064"/>
    <hyperlink r:id="rId2116" ref="C1065"/>
    <hyperlink r:id="rId2117" ref="F1065"/>
    <hyperlink r:id="rId2118" ref="C1066"/>
    <hyperlink r:id="rId2119" ref="F1066"/>
    <hyperlink r:id="rId2120" ref="C1067"/>
    <hyperlink r:id="rId2121" ref="F1067"/>
    <hyperlink r:id="rId2122" ref="C1068"/>
    <hyperlink r:id="rId2123" ref="F1068"/>
    <hyperlink r:id="rId2124" ref="C1069"/>
    <hyperlink r:id="rId2125" ref="F1069"/>
    <hyperlink r:id="rId2126" ref="C1070"/>
    <hyperlink r:id="rId2127" ref="F1070"/>
    <hyperlink r:id="rId2128" ref="C1071"/>
    <hyperlink r:id="rId2129" ref="F1071"/>
    <hyperlink r:id="rId2130" ref="C1072"/>
    <hyperlink r:id="rId2131" ref="F1072"/>
    <hyperlink r:id="rId2132" ref="C1073"/>
    <hyperlink r:id="rId2133" ref="F1073"/>
    <hyperlink r:id="rId2134" ref="C1074"/>
    <hyperlink r:id="rId2135" ref="F1074"/>
    <hyperlink r:id="rId2136" ref="C1075"/>
    <hyperlink r:id="rId2137" ref="F1075"/>
    <hyperlink r:id="rId2138" ref="C1076"/>
    <hyperlink r:id="rId2139" ref="F1076"/>
    <hyperlink r:id="rId2140" ref="C1077"/>
    <hyperlink r:id="rId2141" ref="F1077"/>
    <hyperlink r:id="rId2142" ref="C1078"/>
    <hyperlink r:id="rId2143" ref="F1078"/>
    <hyperlink r:id="rId2144" ref="C1080"/>
    <hyperlink r:id="rId2145" ref="F1080"/>
    <hyperlink r:id="rId2146" ref="C1081"/>
    <hyperlink r:id="rId2147" ref="F1081"/>
    <hyperlink r:id="rId2148" ref="C1082"/>
    <hyperlink r:id="rId2149" ref="F1082"/>
    <hyperlink r:id="rId2150" ref="C1083"/>
    <hyperlink r:id="rId2151" ref="F1083"/>
    <hyperlink r:id="rId2152" ref="C1084"/>
    <hyperlink r:id="rId2153" ref="F1084"/>
    <hyperlink r:id="rId2154" ref="C1085"/>
    <hyperlink r:id="rId2155" ref="F1085"/>
    <hyperlink r:id="rId2156" ref="C1086"/>
    <hyperlink r:id="rId2157" ref="F1086"/>
    <hyperlink r:id="rId2158" ref="C1087"/>
    <hyperlink r:id="rId2159" ref="F1087"/>
    <hyperlink r:id="rId2160" ref="C1088"/>
    <hyperlink r:id="rId2161" ref="F1088"/>
    <hyperlink r:id="rId2162" ref="C1089"/>
    <hyperlink r:id="rId2163" ref="F1089"/>
    <hyperlink r:id="rId2164" ref="C1090"/>
    <hyperlink r:id="rId2165" ref="F1090"/>
    <hyperlink r:id="rId2166" ref="C1091"/>
    <hyperlink r:id="rId2167" ref="F1091"/>
    <hyperlink r:id="rId2168" ref="C1092"/>
    <hyperlink r:id="rId2169" ref="F1092"/>
    <hyperlink r:id="rId2170" ref="C1093"/>
    <hyperlink r:id="rId2171" ref="F1093"/>
    <hyperlink r:id="rId2172" ref="C1094"/>
    <hyperlink r:id="rId2173" ref="F1094"/>
    <hyperlink r:id="rId2174" ref="C1095"/>
    <hyperlink r:id="rId2175" ref="F1095"/>
    <hyperlink r:id="rId2176" ref="C1096"/>
    <hyperlink r:id="rId2177" ref="F1096"/>
    <hyperlink r:id="rId2178" ref="C1097"/>
    <hyperlink r:id="rId2179" ref="F1097"/>
    <hyperlink r:id="rId2180" ref="C1098"/>
    <hyperlink r:id="rId2181" ref="F1098"/>
    <hyperlink r:id="rId2182" ref="C1099"/>
    <hyperlink r:id="rId2183" ref="F1099"/>
    <hyperlink r:id="rId2184" ref="C1100"/>
    <hyperlink r:id="rId2185" ref="F1100"/>
    <hyperlink r:id="rId2186" ref="C1101"/>
    <hyperlink r:id="rId2187" ref="F1101"/>
    <hyperlink r:id="rId2188" ref="C1102"/>
    <hyperlink r:id="rId2189" ref="F1102"/>
    <hyperlink r:id="rId2190" ref="C1103"/>
    <hyperlink r:id="rId2191" ref="F1103"/>
    <hyperlink r:id="rId2192" ref="C1104"/>
    <hyperlink r:id="rId2193" ref="F1104"/>
    <hyperlink r:id="rId2194" ref="C1105"/>
    <hyperlink r:id="rId2195" ref="F1105"/>
    <hyperlink r:id="rId2196" ref="C1106"/>
    <hyperlink r:id="rId2197" ref="F1106"/>
    <hyperlink r:id="rId2198" ref="C1107"/>
    <hyperlink r:id="rId2199" ref="F1107"/>
    <hyperlink r:id="rId2200" ref="C1108"/>
    <hyperlink r:id="rId2201" ref="F1108"/>
    <hyperlink r:id="rId2202" ref="C1109"/>
    <hyperlink r:id="rId2203" ref="F1109"/>
    <hyperlink r:id="rId2204" ref="C1110"/>
    <hyperlink r:id="rId2205" ref="F1110"/>
    <hyperlink r:id="rId2206" ref="C1111"/>
    <hyperlink r:id="rId2207" ref="F1111"/>
    <hyperlink r:id="rId2208" ref="C1112"/>
    <hyperlink r:id="rId2209" ref="F1112"/>
    <hyperlink r:id="rId2210" ref="C1113"/>
    <hyperlink r:id="rId2211" ref="F1113"/>
    <hyperlink r:id="rId2212" ref="C1114"/>
    <hyperlink r:id="rId2213" ref="F1114"/>
    <hyperlink r:id="rId2214" ref="C1115"/>
    <hyperlink r:id="rId2215" ref="F1115"/>
    <hyperlink r:id="rId2216" ref="C1116"/>
    <hyperlink r:id="rId2217" ref="F1116"/>
    <hyperlink r:id="rId2218" ref="C1117"/>
    <hyperlink r:id="rId2219" ref="F1117"/>
    <hyperlink r:id="rId2220" ref="C1118"/>
    <hyperlink r:id="rId2221" ref="F1118"/>
    <hyperlink r:id="rId2222" ref="C1119"/>
    <hyperlink r:id="rId2223" ref="F1119"/>
    <hyperlink r:id="rId2224" ref="C1120"/>
    <hyperlink r:id="rId2225" ref="F1120"/>
    <hyperlink r:id="rId2226" ref="C1121"/>
    <hyperlink r:id="rId2227" ref="F1121"/>
    <hyperlink r:id="rId2228" ref="C1122"/>
    <hyperlink r:id="rId2229" ref="F1122"/>
    <hyperlink r:id="rId2230" ref="C1123"/>
    <hyperlink r:id="rId2231" ref="F1123"/>
    <hyperlink r:id="rId2232" ref="C1124"/>
    <hyperlink r:id="rId2233" ref="F1124"/>
    <hyperlink r:id="rId2234" ref="C1125"/>
    <hyperlink r:id="rId2235" ref="F1125"/>
    <hyperlink r:id="rId2236" ref="C1126"/>
    <hyperlink r:id="rId2237" ref="F1126"/>
    <hyperlink r:id="rId2238" ref="C1128"/>
    <hyperlink r:id="rId2239" ref="F1128"/>
    <hyperlink r:id="rId2240" ref="C1129"/>
    <hyperlink r:id="rId2241" ref="F1129"/>
    <hyperlink r:id="rId2242" ref="C1130"/>
    <hyperlink r:id="rId2243" ref="F1130"/>
    <hyperlink r:id="rId2244" ref="C1131"/>
    <hyperlink r:id="rId2245" ref="F1131"/>
    <hyperlink r:id="rId2246" ref="C1132"/>
    <hyperlink r:id="rId2247" ref="F1132"/>
    <hyperlink r:id="rId2248" ref="C1133"/>
    <hyperlink r:id="rId2249" ref="F1133"/>
    <hyperlink r:id="rId2250" ref="C1134"/>
    <hyperlink r:id="rId2251" ref="F1134"/>
    <hyperlink r:id="rId2252" ref="C1135"/>
    <hyperlink r:id="rId2253" ref="F1135"/>
    <hyperlink r:id="rId2254" ref="C1136"/>
    <hyperlink r:id="rId2255" ref="F1136"/>
    <hyperlink r:id="rId2256" ref="C1137"/>
    <hyperlink r:id="rId2257" ref="F1137"/>
    <hyperlink r:id="rId2258" ref="C1138"/>
    <hyperlink r:id="rId2259" ref="F1138"/>
    <hyperlink r:id="rId2260" ref="C1139"/>
    <hyperlink r:id="rId2261" ref="F1139"/>
    <hyperlink r:id="rId2262" ref="C1140"/>
    <hyperlink r:id="rId2263" ref="F1140"/>
    <hyperlink r:id="rId2264" ref="C1141"/>
    <hyperlink r:id="rId2265" ref="F1141"/>
    <hyperlink r:id="rId2266" ref="C1142"/>
    <hyperlink r:id="rId2267" ref="F1142"/>
    <hyperlink r:id="rId2268" ref="C1143"/>
    <hyperlink r:id="rId2269" ref="F1143"/>
    <hyperlink r:id="rId2270" ref="C1144"/>
    <hyperlink r:id="rId2271" ref="F1144"/>
    <hyperlink r:id="rId2272" ref="C1145"/>
    <hyperlink r:id="rId2273" ref="F1145"/>
    <hyperlink r:id="rId2274" ref="C1146"/>
    <hyperlink r:id="rId2275" ref="F1146"/>
    <hyperlink r:id="rId2276" ref="C1147"/>
    <hyperlink r:id="rId2277" ref="F1147"/>
    <hyperlink r:id="rId2278" ref="C1148"/>
    <hyperlink r:id="rId2279" ref="F1148"/>
    <hyperlink r:id="rId2280" ref="C1149"/>
    <hyperlink r:id="rId2281" ref="F1149"/>
    <hyperlink r:id="rId2282" ref="C1150"/>
    <hyperlink r:id="rId2283" ref="F1150"/>
    <hyperlink r:id="rId2284" ref="C1151"/>
    <hyperlink r:id="rId2285" ref="F1151"/>
    <hyperlink r:id="rId2286" ref="C1152"/>
    <hyperlink r:id="rId2287" ref="F1152"/>
    <hyperlink r:id="rId2288" ref="C1153"/>
    <hyperlink r:id="rId2289" ref="F1153"/>
    <hyperlink r:id="rId2290" ref="C1154"/>
    <hyperlink r:id="rId2291" ref="F1154"/>
    <hyperlink r:id="rId2292" ref="C1155"/>
    <hyperlink r:id="rId2293" ref="F1155"/>
    <hyperlink r:id="rId2294" ref="C1156"/>
    <hyperlink r:id="rId2295" ref="F1156"/>
    <hyperlink r:id="rId2296" ref="C1157"/>
    <hyperlink r:id="rId2297" ref="F1157"/>
    <hyperlink r:id="rId2298" ref="C1158"/>
    <hyperlink r:id="rId2299" ref="F1158"/>
    <hyperlink r:id="rId2300" ref="C1159"/>
    <hyperlink r:id="rId2301" ref="F1159"/>
    <hyperlink r:id="rId2302" ref="C1160"/>
    <hyperlink r:id="rId2303" ref="F1160"/>
    <hyperlink r:id="rId2304" ref="C1161"/>
    <hyperlink r:id="rId2305" ref="F1161"/>
    <hyperlink r:id="rId2306" ref="C1162"/>
    <hyperlink r:id="rId2307" ref="F1162"/>
    <hyperlink r:id="rId2308" ref="C1163"/>
    <hyperlink r:id="rId2309" ref="F1163"/>
    <hyperlink r:id="rId2310" ref="C1164"/>
    <hyperlink r:id="rId2311" ref="F1164"/>
    <hyperlink r:id="rId2312" ref="C1165"/>
    <hyperlink r:id="rId2313" ref="F1165"/>
    <hyperlink r:id="rId2314" ref="C1166"/>
    <hyperlink r:id="rId2315" ref="F1166"/>
    <hyperlink r:id="rId2316" ref="C1167"/>
    <hyperlink r:id="rId2317" ref="F1167"/>
    <hyperlink r:id="rId2318" ref="C1168"/>
    <hyperlink r:id="rId2319" ref="F1168"/>
    <hyperlink r:id="rId2320" ref="C1169"/>
    <hyperlink r:id="rId2321" ref="F1169"/>
    <hyperlink r:id="rId2322" ref="C1170"/>
    <hyperlink r:id="rId2323" ref="F1170"/>
    <hyperlink r:id="rId2324" ref="C1171"/>
    <hyperlink r:id="rId2325" ref="F1171"/>
    <hyperlink r:id="rId2326" ref="C1172"/>
    <hyperlink r:id="rId2327" ref="F1172"/>
    <hyperlink r:id="rId2328" ref="C1173"/>
    <hyperlink r:id="rId2329" ref="F1173"/>
    <hyperlink r:id="rId2330" ref="C1174"/>
    <hyperlink r:id="rId2331" ref="F1174"/>
    <hyperlink r:id="rId2332" ref="C1175"/>
    <hyperlink r:id="rId2333" ref="F1175"/>
    <hyperlink r:id="rId2334" ref="C1176"/>
    <hyperlink r:id="rId2335" ref="F1176"/>
    <hyperlink r:id="rId2336" ref="C1177"/>
    <hyperlink r:id="rId2337" ref="F1177"/>
    <hyperlink r:id="rId2338" ref="C1178"/>
    <hyperlink r:id="rId2339" ref="F1178"/>
    <hyperlink r:id="rId2340" ref="C1179"/>
    <hyperlink r:id="rId2341" ref="F1179"/>
    <hyperlink r:id="rId2342" ref="C1180"/>
    <hyperlink r:id="rId2343" ref="F1180"/>
    <hyperlink r:id="rId2344" ref="C1181"/>
    <hyperlink r:id="rId2345" ref="F1181"/>
    <hyperlink r:id="rId2346" ref="C1182"/>
    <hyperlink r:id="rId2347" ref="F1182"/>
    <hyperlink r:id="rId2348" ref="C1183"/>
    <hyperlink r:id="rId2349" ref="F1183"/>
  </hyperlinks>
  <drawing r:id="rId23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v>
      </c>
      <c r="C1" s="1" t="s">
        <v>3</v>
      </c>
      <c r="D1" s="1" t="s">
        <v>4</v>
      </c>
      <c r="E1" s="1" t="s">
        <v>6</v>
      </c>
      <c r="F1" s="1" t="s">
        <v>7</v>
      </c>
      <c r="G1" s="1" t="s">
        <v>8</v>
      </c>
      <c r="H1" s="1" t="s">
        <v>10</v>
      </c>
      <c r="I1" s="5"/>
      <c r="J1" s="5"/>
      <c r="K1" s="5"/>
      <c r="L1" s="5"/>
      <c r="M1" s="5"/>
      <c r="N1" s="5"/>
      <c r="O1" s="5"/>
      <c r="P1" s="5"/>
      <c r="Q1" s="5"/>
      <c r="R1" s="5"/>
      <c r="S1" s="5"/>
      <c r="T1" s="5"/>
      <c r="U1" s="5"/>
      <c r="V1" s="5"/>
      <c r="W1" s="5"/>
      <c r="X1" s="5"/>
      <c r="Y1" s="5"/>
      <c r="Z1" s="5"/>
    </row>
    <row r="2">
      <c r="A2" s="6" t="s">
        <v>49</v>
      </c>
      <c r="B2" s="6"/>
      <c r="C2" s="6"/>
      <c r="D2" s="6"/>
      <c r="E2" s="6"/>
      <c r="F2" s="6"/>
      <c r="G2" s="6"/>
      <c r="H2" s="6"/>
    </row>
    <row r="3">
      <c r="A3" s="6">
        <v>1.0</v>
      </c>
      <c r="B3" s="6" t="s">
        <v>50</v>
      </c>
      <c r="C3" s="12" t="s">
        <v>51</v>
      </c>
      <c r="D3" s="6" t="s">
        <v>49</v>
      </c>
      <c r="E3" s="6" t="s">
        <v>78</v>
      </c>
      <c r="F3" s="12" t="s">
        <v>79</v>
      </c>
      <c r="G3" s="6" t="s">
        <v>98</v>
      </c>
      <c r="H3" s="6" t="s">
        <v>102</v>
      </c>
    </row>
    <row r="4">
      <c r="A4" s="6">
        <v>2.0</v>
      </c>
      <c r="B4" s="6" t="s">
        <v>50</v>
      </c>
      <c r="C4" s="12" t="s">
        <v>51</v>
      </c>
      <c r="D4" s="6" t="s">
        <v>49</v>
      </c>
      <c r="E4" s="6" t="s">
        <v>78</v>
      </c>
      <c r="F4" s="12" t="s">
        <v>79</v>
      </c>
      <c r="G4" s="6">
        <v>8.5615326079527E14</v>
      </c>
      <c r="H4" s="6" t="s">
        <v>106</v>
      </c>
    </row>
    <row r="5">
      <c r="A5" s="6">
        <v>3.0</v>
      </c>
      <c r="B5" s="6" t="s">
        <v>110</v>
      </c>
      <c r="C5" s="12" t="s">
        <v>112</v>
      </c>
      <c r="D5" s="6" t="s">
        <v>49</v>
      </c>
      <c r="E5" s="6" t="s">
        <v>121</v>
      </c>
      <c r="F5" s="12" t="s">
        <v>79</v>
      </c>
      <c r="G5" s="6" t="s">
        <v>126</v>
      </c>
      <c r="H5" s="6" t="s">
        <v>127</v>
      </c>
    </row>
    <row r="6">
      <c r="A6" s="6">
        <v>4.0</v>
      </c>
      <c r="B6" s="6" t="s">
        <v>50</v>
      </c>
      <c r="C6" s="12" t="s">
        <v>51</v>
      </c>
      <c r="D6" s="6" t="s">
        <v>49</v>
      </c>
      <c r="E6" s="6" t="s">
        <v>78</v>
      </c>
      <c r="F6" s="12" t="s">
        <v>79</v>
      </c>
      <c r="G6" s="6" t="s">
        <v>130</v>
      </c>
      <c r="H6" s="6" t="s">
        <v>102</v>
      </c>
    </row>
    <row r="7">
      <c r="A7" s="6">
        <v>5.0</v>
      </c>
      <c r="B7" s="6" t="s">
        <v>110</v>
      </c>
      <c r="C7" s="12" t="s">
        <v>112</v>
      </c>
      <c r="D7" s="6" t="s">
        <v>49</v>
      </c>
      <c r="E7" s="6" t="s">
        <v>121</v>
      </c>
      <c r="F7" s="12" t="s">
        <v>79</v>
      </c>
      <c r="G7" s="6">
        <v>2.54241065618026E15</v>
      </c>
      <c r="H7" s="6" t="s">
        <v>134</v>
      </c>
    </row>
    <row r="8">
      <c r="A8" s="6">
        <v>6.0</v>
      </c>
      <c r="B8" s="6" t="s">
        <v>50</v>
      </c>
      <c r="C8" s="12" t="s">
        <v>51</v>
      </c>
      <c r="D8" s="6" t="s">
        <v>49</v>
      </c>
      <c r="E8" s="6" t="s">
        <v>78</v>
      </c>
      <c r="F8" s="12" t="s">
        <v>79</v>
      </c>
      <c r="G8" s="6" t="s">
        <v>139</v>
      </c>
      <c r="H8" s="6" t="s">
        <v>102</v>
      </c>
    </row>
    <row r="9">
      <c r="A9" s="6">
        <v>7.0</v>
      </c>
      <c r="B9" s="6" t="s">
        <v>110</v>
      </c>
      <c r="C9" s="12" t="s">
        <v>112</v>
      </c>
      <c r="D9" s="6" t="s">
        <v>49</v>
      </c>
      <c r="E9" s="6" t="s">
        <v>142</v>
      </c>
      <c r="F9" s="12" t="s">
        <v>79</v>
      </c>
      <c r="G9" s="6" t="s">
        <v>145</v>
      </c>
      <c r="H9" s="6" t="s">
        <v>134</v>
      </c>
    </row>
    <row r="10">
      <c r="A10" s="6">
        <v>8.0</v>
      </c>
      <c r="B10" s="6" t="s">
        <v>110</v>
      </c>
      <c r="C10" s="12" t="s">
        <v>112</v>
      </c>
      <c r="D10" s="6" t="s">
        <v>49</v>
      </c>
      <c r="E10" s="6" t="s">
        <v>142</v>
      </c>
      <c r="F10" s="12" t="s">
        <v>79</v>
      </c>
      <c r="G10" s="6" t="s">
        <v>153</v>
      </c>
      <c r="H10" s="6" t="s">
        <v>127</v>
      </c>
    </row>
    <row r="11">
      <c r="A11" s="6">
        <v>9.0</v>
      </c>
      <c r="B11" s="6" t="s">
        <v>50</v>
      </c>
      <c r="C11" s="12" t="s">
        <v>109</v>
      </c>
      <c r="D11" s="6" t="s">
        <v>49</v>
      </c>
      <c r="E11" s="6" t="s">
        <v>163</v>
      </c>
      <c r="F11" s="12" t="s">
        <v>79</v>
      </c>
      <c r="G11" s="6" t="s">
        <v>164</v>
      </c>
      <c r="H11" s="6" t="s">
        <v>165</v>
      </c>
    </row>
    <row r="12">
      <c r="A12" s="6">
        <v>10.0</v>
      </c>
      <c r="B12" s="6" t="s">
        <v>110</v>
      </c>
      <c r="C12" s="12" t="s">
        <v>112</v>
      </c>
      <c r="D12" s="6" t="s">
        <v>49</v>
      </c>
      <c r="E12" s="6" t="s">
        <v>142</v>
      </c>
      <c r="F12" s="12" t="s">
        <v>79</v>
      </c>
      <c r="G12" s="6" t="s">
        <v>171</v>
      </c>
      <c r="H12" s="6" t="s">
        <v>127</v>
      </c>
    </row>
    <row r="13">
      <c r="A13" s="6">
        <v>11.0</v>
      </c>
      <c r="B13" s="6" t="s">
        <v>110</v>
      </c>
      <c r="C13" s="12" t="s">
        <v>112</v>
      </c>
      <c r="D13" s="6" t="s">
        <v>49</v>
      </c>
      <c r="E13" s="6" t="s">
        <v>173</v>
      </c>
      <c r="F13" s="12" t="s">
        <v>79</v>
      </c>
      <c r="G13" s="6" t="s">
        <v>176</v>
      </c>
      <c r="H13" s="6" t="s">
        <v>134</v>
      </c>
    </row>
    <row r="14">
      <c r="A14" s="6">
        <v>12.0</v>
      </c>
      <c r="B14" s="6" t="s">
        <v>110</v>
      </c>
      <c r="C14" s="12" t="s">
        <v>112</v>
      </c>
      <c r="D14" s="6" t="s">
        <v>49</v>
      </c>
      <c r="E14" s="6" t="s">
        <v>121</v>
      </c>
      <c r="F14" s="12" t="s">
        <v>79</v>
      </c>
      <c r="G14" s="6" t="s">
        <v>185</v>
      </c>
      <c r="H14" s="6" t="s">
        <v>134</v>
      </c>
    </row>
    <row r="15">
      <c r="A15" s="6">
        <v>13.0</v>
      </c>
      <c r="B15" s="6" t="s">
        <v>110</v>
      </c>
      <c r="C15" s="12" t="s">
        <v>112</v>
      </c>
      <c r="D15" s="6" t="s">
        <v>49</v>
      </c>
      <c r="E15" s="6" t="s">
        <v>173</v>
      </c>
      <c r="F15" s="12" t="s">
        <v>79</v>
      </c>
      <c r="G15" s="6" t="s">
        <v>188</v>
      </c>
      <c r="H15" s="6" t="s">
        <v>127</v>
      </c>
    </row>
    <row r="16">
      <c r="A16" s="6">
        <v>14.0</v>
      </c>
      <c r="B16" s="6" t="s">
        <v>189</v>
      </c>
      <c r="C16" s="12" t="s">
        <v>79</v>
      </c>
      <c r="D16" s="6" t="s">
        <v>49</v>
      </c>
      <c r="E16" s="6" t="s">
        <v>190</v>
      </c>
      <c r="F16" s="12" t="s">
        <v>79</v>
      </c>
      <c r="G16" s="6" t="s">
        <v>192</v>
      </c>
      <c r="H16" s="6" t="s">
        <v>195</v>
      </c>
    </row>
    <row r="17">
      <c r="A17" s="6">
        <v>15.0</v>
      </c>
      <c r="B17" s="6" t="s">
        <v>189</v>
      </c>
      <c r="C17" s="12" t="s">
        <v>79</v>
      </c>
      <c r="D17" s="6" t="s">
        <v>49</v>
      </c>
      <c r="E17" s="6" t="s">
        <v>199</v>
      </c>
      <c r="F17" s="12" t="s">
        <v>79</v>
      </c>
      <c r="G17" s="6" t="s">
        <v>201</v>
      </c>
      <c r="H17" s="6" t="s">
        <v>195</v>
      </c>
    </row>
    <row r="18">
      <c r="A18" s="6">
        <v>16.0</v>
      </c>
      <c r="B18" s="6" t="s">
        <v>110</v>
      </c>
      <c r="C18" s="12" t="s">
        <v>112</v>
      </c>
      <c r="D18" s="6" t="s">
        <v>49</v>
      </c>
      <c r="E18" s="6" t="s">
        <v>142</v>
      </c>
      <c r="F18" s="12" t="s">
        <v>79</v>
      </c>
      <c r="G18" s="6" t="s">
        <v>203</v>
      </c>
      <c r="H18" s="6" t="s">
        <v>134</v>
      </c>
    </row>
    <row r="19">
      <c r="A19" s="6">
        <v>17.0</v>
      </c>
      <c r="B19" s="6" t="s">
        <v>50</v>
      </c>
      <c r="C19" s="12" t="s">
        <v>207</v>
      </c>
      <c r="D19" s="6" t="s">
        <v>49</v>
      </c>
      <c r="E19" s="6" t="s">
        <v>213</v>
      </c>
      <c r="F19" s="12" t="s">
        <v>79</v>
      </c>
      <c r="G19" s="6" t="s">
        <v>216</v>
      </c>
      <c r="H19" s="6" t="s">
        <v>217</v>
      </c>
    </row>
    <row r="20">
      <c r="A20" s="6">
        <v>18.0</v>
      </c>
      <c r="B20" s="6" t="s">
        <v>50</v>
      </c>
      <c r="C20" s="12" t="s">
        <v>207</v>
      </c>
      <c r="D20" s="6" t="s">
        <v>49</v>
      </c>
      <c r="E20" s="6" t="s">
        <v>213</v>
      </c>
      <c r="F20" s="12" t="s">
        <v>79</v>
      </c>
      <c r="G20" s="6" t="s">
        <v>221</v>
      </c>
      <c r="H20" s="6" t="s">
        <v>224</v>
      </c>
    </row>
    <row r="21">
      <c r="A21" s="6">
        <v>19.0</v>
      </c>
      <c r="B21" s="6" t="s">
        <v>110</v>
      </c>
      <c r="C21" s="12" t="s">
        <v>112</v>
      </c>
      <c r="D21" s="6" t="s">
        <v>49</v>
      </c>
      <c r="E21" s="6" t="s">
        <v>142</v>
      </c>
      <c r="F21" s="12" t="s">
        <v>79</v>
      </c>
      <c r="G21" s="6">
        <v>2.02422103563419E15</v>
      </c>
      <c r="H21" s="6" t="s">
        <v>127</v>
      </c>
    </row>
    <row r="22">
      <c r="A22" s="6">
        <v>20.0</v>
      </c>
      <c r="B22" s="6" t="s">
        <v>110</v>
      </c>
      <c r="C22" s="12" t="s">
        <v>112</v>
      </c>
      <c r="D22" s="6" t="s">
        <v>49</v>
      </c>
      <c r="E22" s="6" t="s">
        <v>230</v>
      </c>
      <c r="F22" s="12" t="s">
        <v>79</v>
      </c>
      <c r="G22" s="6" t="s">
        <v>231</v>
      </c>
      <c r="H22" s="6" t="s">
        <v>232</v>
      </c>
    </row>
    <row r="23">
      <c r="A23" s="6">
        <v>21.0</v>
      </c>
      <c r="B23" s="6" t="s">
        <v>50</v>
      </c>
      <c r="C23" s="12" t="s">
        <v>233</v>
      </c>
      <c r="D23" s="6" t="s">
        <v>49</v>
      </c>
      <c r="E23" s="6" t="s">
        <v>245</v>
      </c>
      <c r="F23" s="12" t="s">
        <v>79</v>
      </c>
      <c r="G23" s="6" t="s">
        <v>247</v>
      </c>
      <c r="H23" s="6" t="s">
        <v>195</v>
      </c>
    </row>
    <row r="24">
      <c r="A24" s="6">
        <v>22.0</v>
      </c>
      <c r="B24" s="6" t="s">
        <v>50</v>
      </c>
      <c r="C24" s="12" t="s">
        <v>51</v>
      </c>
      <c r="D24" s="6" t="s">
        <v>49</v>
      </c>
      <c r="E24" s="6" t="s">
        <v>78</v>
      </c>
      <c r="F24" s="12" t="s">
        <v>79</v>
      </c>
      <c r="G24" s="6" t="s">
        <v>250</v>
      </c>
      <c r="H24" s="6" t="s">
        <v>102</v>
      </c>
    </row>
    <row r="25">
      <c r="A25" s="6">
        <v>23.0</v>
      </c>
      <c r="B25" s="6" t="s">
        <v>251</v>
      </c>
      <c r="C25" s="12" t="s">
        <v>207</v>
      </c>
      <c r="D25" s="6" t="s">
        <v>49</v>
      </c>
      <c r="E25" s="6" t="s">
        <v>253</v>
      </c>
      <c r="F25" s="12" t="s">
        <v>79</v>
      </c>
      <c r="G25" s="6" t="s">
        <v>256</v>
      </c>
      <c r="H25" s="6" t="s">
        <v>195</v>
      </c>
    </row>
    <row r="26">
      <c r="A26" s="6">
        <v>24.0</v>
      </c>
      <c r="B26" s="6" t="s">
        <v>50</v>
      </c>
      <c r="C26" s="12" t="s">
        <v>51</v>
      </c>
      <c r="D26" s="6" t="s">
        <v>49</v>
      </c>
      <c r="E26" s="6" t="s">
        <v>78</v>
      </c>
      <c r="F26" s="12" t="s">
        <v>79</v>
      </c>
      <c r="G26" s="6" t="s">
        <v>260</v>
      </c>
      <c r="H26" s="6" t="s">
        <v>102</v>
      </c>
    </row>
    <row r="27">
      <c r="A27" s="6">
        <v>25.0</v>
      </c>
      <c r="B27" s="6" t="s">
        <v>50</v>
      </c>
      <c r="C27" s="12" t="s">
        <v>51</v>
      </c>
      <c r="D27" s="6" t="s">
        <v>49</v>
      </c>
      <c r="E27" s="6" t="s">
        <v>78</v>
      </c>
      <c r="F27" s="12" t="s">
        <v>79</v>
      </c>
      <c r="G27" s="6" t="s">
        <v>265</v>
      </c>
      <c r="H27" s="6" t="s">
        <v>267</v>
      </c>
    </row>
    <row r="28">
      <c r="A28" s="6">
        <v>26.0</v>
      </c>
      <c r="B28" s="6" t="s">
        <v>110</v>
      </c>
      <c r="C28" s="12" t="s">
        <v>112</v>
      </c>
      <c r="D28" s="6" t="s">
        <v>49</v>
      </c>
      <c r="E28" s="6" t="s">
        <v>142</v>
      </c>
      <c r="F28" s="12" t="s">
        <v>79</v>
      </c>
      <c r="G28" s="6" t="s">
        <v>271</v>
      </c>
      <c r="H28" s="6" t="s">
        <v>127</v>
      </c>
    </row>
    <row r="29">
      <c r="A29" s="6">
        <v>27.0</v>
      </c>
      <c r="B29" s="6" t="s">
        <v>50</v>
      </c>
      <c r="C29" s="12" t="s">
        <v>51</v>
      </c>
      <c r="D29" s="6" t="s">
        <v>49</v>
      </c>
      <c r="E29" s="6" t="s">
        <v>78</v>
      </c>
      <c r="F29" s="12" t="s">
        <v>79</v>
      </c>
      <c r="G29" s="6" t="s">
        <v>275</v>
      </c>
      <c r="H29" s="6" t="s">
        <v>276</v>
      </c>
    </row>
    <row r="30">
      <c r="A30" s="6">
        <v>28.0</v>
      </c>
      <c r="B30" s="6" t="s">
        <v>110</v>
      </c>
      <c r="C30" s="12" t="s">
        <v>112</v>
      </c>
      <c r="D30" s="6" t="s">
        <v>49</v>
      </c>
      <c r="E30" s="6" t="s">
        <v>277</v>
      </c>
      <c r="F30" s="12" t="s">
        <v>79</v>
      </c>
      <c r="G30" s="6" t="s">
        <v>280</v>
      </c>
      <c r="H30" s="6" t="s">
        <v>195</v>
      </c>
    </row>
    <row r="31">
      <c r="A31" s="6">
        <v>29.0</v>
      </c>
      <c r="B31" s="6" t="s">
        <v>50</v>
      </c>
      <c r="C31" s="12" t="s">
        <v>207</v>
      </c>
      <c r="D31" s="6" t="s">
        <v>49</v>
      </c>
      <c r="E31" s="6" t="s">
        <v>213</v>
      </c>
      <c r="F31" s="12" t="s">
        <v>79</v>
      </c>
      <c r="G31" s="6" t="s">
        <v>287</v>
      </c>
      <c r="H31" s="6" t="s">
        <v>224</v>
      </c>
    </row>
    <row r="32">
      <c r="A32" s="6">
        <v>30.0</v>
      </c>
      <c r="B32" s="6" t="s">
        <v>50</v>
      </c>
      <c r="C32" s="12" t="s">
        <v>207</v>
      </c>
      <c r="D32" s="6" t="s">
        <v>49</v>
      </c>
      <c r="E32" s="6" t="s">
        <v>213</v>
      </c>
      <c r="F32" s="12" t="s">
        <v>79</v>
      </c>
      <c r="G32" s="6" t="s">
        <v>289</v>
      </c>
      <c r="H32" s="6" t="s">
        <v>290</v>
      </c>
    </row>
    <row r="33">
      <c r="A33" s="6">
        <v>31.0</v>
      </c>
      <c r="B33" s="6" t="s">
        <v>110</v>
      </c>
      <c r="C33" s="12" t="s">
        <v>112</v>
      </c>
      <c r="D33" s="6" t="s">
        <v>49</v>
      </c>
      <c r="E33" s="6" t="s">
        <v>142</v>
      </c>
      <c r="F33" s="12" t="s">
        <v>79</v>
      </c>
      <c r="G33" s="6" t="s">
        <v>298</v>
      </c>
      <c r="H33" s="6" t="s">
        <v>134</v>
      </c>
    </row>
    <row r="34">
      <c r="A34" s="6">
        <v>32.0</v>
      </c>
      <c r="B34" s="6" t="s">
        <v>110</v>
      </c>
      <c r="C34" s="12" t="s">
        <v>79</v>
      </c>
      <c r="D34" s="6" t="s">
        <v>49</v>
      </c>
      <c r="E34" s="6" t="s">
        <v>142</v>
      </c>
      <c r="F34" s="12" t="s">
        <v>79</v>
      </c>
      <c r="G34" s="6" t="s">
        <v>302</v>
      </c>
      <c r="H34" s="6" t="s">
        <v>127</v>
      </c>
    </row>
    <row r="35">
      <c r="A35" s="6">
        <v>33.0</v>
      </c>
      <c r="B35" s="6" t="s">
        <v>50</v>
      </c>
      <c r="C35" s="12" t="s">
        <v>207</v>
      </c>
      <c r="D35" s="6" t="s">
        <v>49</v>
      </c>
      <c r="E35" s="6" t="s">
        <v>213</v>
      </c>
      <c r="F35" s="12" t="s">
        <v>79</v>
      </c>
      <c r="G35" s="6" t="s">
        <v>306</v>
      </c>
      <c r="H35" s="6" t="s">
        <v>217</v>
      </c>
    </row>
    <row r="36">
      <c r="A36" s="6">
        <v>34.0</v>
      </c>
      <c r="B36" s="6" t="s">
        <v>50</v>
      </c>
      <c r="C36" s="12" t="s">
        <v>207</v>
      </c>
      <c r="D36" s="6" t="s">
        <v>49</v>
      </c>
      <c r="E36" s="6" t="s">
        <v>213</v>
      </c>
      <c r="F36" s="12" t="s">
        <v>79</v>
      </c>
      <c r="G36" s="6" t="s">
        <v>310</v>
      </c>
      <c r="H36" s="6" t="s">
        <v>217</v>
      </c>
    </row>
    <row r="37">
      <c r="A37" s="6">
        <v>35.0</v>
      </c>
      <c r="B37" s="6" t="s">
        <v>50</v>
      </c>
      <c r="C37" s="12" t="s">
        <v>51</v>
      </c>
      <c r="D37" s="6" t="s">
        <v>49</v>
      </c>
      <c r="E37" s="6" t="s">
        <v>78</v>
      </c>
      <c r="F37" s="12" t="s">
        <v>79</v>
      </c>
      <c r="G37" s="6" t="s">
        <v>313</v>
      </c>
      <c r="H37" s="6" t="s">
        <v>102</v>
      </c>
    </row>
    <row r="38">
      <c r="A38" s="6">
        <v>36.0</v>
      </c>
      <c r="B38" s="6" t="s">
        <v>189</v>
      </c>
      <c r="C38" s="12" t="s">
        <v>79</v>
      </c>
      <c r="D38" s="6" t="s">
        <v>49</v>
      </c>
      <c r="E38" s="6" t="s">
        <v>199</v>
      </c>
      <c r="F38" s="12" t="s">
        <v>79</v>
      </c>
      <c r="G38" s="6" t="s">
        <v>316</v>
      </c>
      <c r="H38" s="6" t="s">
        <v>195</v>
      </c>
    </row>
    <row r="39">
      <c r="A39" s="6">
        <v>37.0</v>
      </c>
      <c r="B39" s="6" t="s">
        <v>50</v>
      </c>
      <c r="C39" s="12" t="s">
        <v>109</v>
      </c>
      <c r="D39" s="6" t="s">
        <v>49</v>
      </c>
      <c r="E39" s="6" t="s">
        <v>163</v>
      </c>
      <c r="F39" s="12" t="s">
        <v>79</v>
      </c>
      <c r="G39" s="6">
        <v>9.01843082691478E14</v>
      </c>
      <c r="H39" s="6" t="s">
        <v>320</v>
      </c>
    </row>
    <row r="40">
      <c r="A40" s="6">
        <v>38.0</v>
      </c>
      <c r="B40" s="6" t="s">
        <v>50</v>
      </c>
      <c r="C40" s="12" t="s">
        <v>207</v>
      </c>
      <c r="D40" s="6" t="s">
        <v>49</v>
      </c>
      <c r="E40" s="6" t="s">
        <v>213</v>
      </c>
      <c r="F40" s="12" t="s">
        <v>79</v>
      </c>
      <c r="G40" s="6" t="s">
        <v>324</v>
      </c>
      <c r="H40" s="6" t="s">
        <v>217</v>
      </c>
    </row>
    <row r="41">
      <c r="A41" s="6">
        <v>39.0</v>
      </c>
      <c r="B41" s="6" t="s">
        <v>110</v>
      </c>
      <c r="C41" s="12" t="s">
        <v>42</v>
      </c>
      <c r="D41" s="6" t="s">
        <v>49</v>
      </c>
      <c r="E41" s="6" t="s">
        <v>277</v>
      </c>
      <c r="F41" s="12" t="s">
        <v>79</v>
      </c>
      <c r="G41" s="6" t="s">
        <v>333</v>
      </c>
      <c r="H41" s="6" t="s">
        <v>224</v>
      </c>
    </row>
    <row r="42">
      <c r="A42" s="6">
        <v>40.0</v>
      </c>
      <c r="B42" s="6" t="s">
        <v>110</v>
      </c>
      <c r="C42" s="12" t="s">
        <v>112</v>
      </c>
      <c r="D42" s="6" t="s">
        <v>49</v>
      </c>
      <c r="E42" s="6" t="s">
        <v>277</v>
      </c>
      <c r="F42" s="12" t="s">
        <v>79</v>
      </c>
      <c r="G42" s="6" t="s">
        <v>339</v>
      </c>
      <c r="H42" s="6" t="s">
        <v>341</v>
      </c>
    </row>
    <row r="43">
      <c r="A43" s="6">
        <v>41.0</v>
      </c>
      <c r="B43" s="6" t="s">
        <v>50</v>
      </c>
      <c r="C43" s="12" t="s">
        <v>207</v>
      </c>
      <c r="D43" s="6" t="s">
        <v>49</v>
      </c>
      <c r="E43" s="6" t="s">
        <v>213</v>
      </c>
      <c r="F43" s="12" t="s">
        <v>79</v>
      </c>
      <c r="G43" s="6" t="s">
        <v>348</v>
      </c>
      <c r="H43" s="6" t="s">
        <v>290</v>
      </c>
    </row>
    <row r="44">
      <c r="A44" s="6">
        <v>42.0</v>
      </c>
      <c r="B44" s="6" t="s">
        <v>110</v>
      </c>
      <c r="C44" s="12" t="s">
        <v>112</v>
      </c>
      <c r="D44" s="6" t="s">
        <v>49</v>
      </c>
      <c r="E44" s="6" t="s">
        <v>230</v>
      </c>
      <c r="F44" s="12" t="s">
        <v>79</v>
      </c>
      <c r="G44" s="6" t="s">
        <v>352</v>
      </c>
      <c r="H44" s="6" t="s">
        <v>353</v>
      </c>
    </row>
    <row r="45">
      <c r="A45" s="6">
        <v>43.0</v>
      </c>
      <c r="B45" s="6" t="s">
        <v>110</v>
      </c>
      <c r="C45" s="12" t="s">
        <v>79</v>
      </c>
      <c r="D45" s="6" t="s">
        <v>49</v>
      </c>
      <c r="E45" s="6" t="s">
        <v>142</v>
      </c>
      <c r="F45" s="12" t="s">
        <v>79</v>
      </c>
      <c r="G45" s="6" t="s">
        <v>355</v>
      </c>
      <c r="H45" s="6" t="s">
        <v>127</v>
      </c>
    </row>
    <row r="46">
      <c r="A46" s="6">
        <v>44.0</v>
      </c>
      <c r="B46" s="6" t="s">
        <v>50</v>
      </c>
      <c r="C46" s="12" t="s">
        <v>51</v>
      </c>
      <c r="D46" s="6" t="s">
        <v>49</v>
      </c>
      <c r="E46" s="6" t="s">
        <v>78</v>
      </c>
      <c r="F46" s="12" t="s">
        <v>79</v>
      </c>
      <c r="G46" s="6" t="s">
        <v>360</v>
      </c>
      <c r="H46" s="6" t="s">
        <v>106</v>
      </c>
    </row>
    <row r="47">
      <c r="A47" s="6">
        <v>45.0</v>
      </c>
      <c r="B47" s="6" t="s">
        <v>110</v>
      </c>
      <c r="C47" s="12" t="s">
        <v>112</v>
      </c>
      <c r="D47" s="6" t="s">
        <v>49</v>
      </c>
      <c r="E47" s="6" t="s">
        <v>173</v>
      </c>
      <c r="F47" s="12" t="s">
        <v>79</v>
      </c>
      <c r="G47" s="6">
        <v>9.8598314446729E14</v>
      </c>
      <c r="H47" s="6" t="s">
        <v>195</v>
      </c>
    </row>
    <row r="48">
      <c r="A48" s="6">
        <v>46.0</v>
      </c>
      <c r="B48" s="6" t="s">
        <v>110</v>
      </c>
      <c r="C48" s="12" t="s">
        <v>112</v>
      </c>
      <c r="D48" s="6" t="s">
        <v>49</v>
      </c>
      <c r="E48" s="6" t="s">
        <v>230</v>
      </c>
      <c r="F48" s="12" t="s">
        <v>79</v>
      </c>
      <c r="G48" s="6" t="s">
        <v>365</v>
      </c>
      <c r="H48" s="6" t="s">
        <v>366</v>
      </c>
    </row>
    <row r="49">
      <c r="A49" s="6">
        <v>47.0</v>
      </c>
      <c r="B49" s="6" t="s">
        <v>110</v>
      </c>
      <c r="C49" s="12" t="s">
        <v>112</v>
      </c>
      <c r="D49" s="6" t="s">
        <v>49</v>
      </c>
      <c r="E49" s="6" t="s">
        <v>277</v>
      </c>
      <c r="F49" s="12" t="s">
        <v>79</v>
      </c>
      <c r="G49" s="6" t="s">
        <v>370</v>
      </c>
      <c r="H49" s="6" t="s">
        <v>224</v>
      </c>
    </row>
    <row r="50">
      <c r="A50" s="6">
        <v>48.0</v>
      </c>
      <c r="B50" s="6" t="s">
        <v>110</v>
      </c>
      <c r="C50" s="12" t="s">
        <v>112</v>
      </c>
      <c r="D50" s="6" t="s">
        <v>49</v>
      </c>
      <c r="E50" s="6" t="s">
        <v>277</v>
      </c>
      <c r="F50" s="12" t="s">
        <v>79</v>
      </c>
      <c r="G50" s="6">
        <v>9.89254544137529E14</v>
      </c>
      <c r="H50" s="6" t="s">
        <v>224</v>
      </c>
    </row>
    <row r="51">
      <c r="A51" s="6">
        <v>49.0</v>
      </c>
      <c r="B51" s="6" t="s">
        <v>50</v>
      </c>
      <c r="C51" s="12" t="s">
        <v>51</v>
      </c>
      <c r="D51" s="6" t="s">
        <v>49</v>
      </c>
      <c r="E51" s="6" t="s">
        <v>78</v>
      </c>
      <c r="F51" s="12" t="s">
        <v>79</v>
      </c>
      <c r="G51" s="6" t="s">
        <v>374</v>
      </c>
      <c r="H51" s="6" t="s">
        <v>375</v>
      </c>
    </row>
    <row r="52">
      <c r="A52" s="6">
        <v>50.0</v>
      </c>
      <c r="B52" s="6" t="s">
        <v>50</v>
      </c>
      <c r="C52" s="12" t="s">
        <v>51</v>
      </c>
      <c r="D52" s="6" t="s">
        <v>49</v>
      </c>
      <c r="E52" s="6" t="s">
        <v>78</v>
      </c>
      <c r="F52" s="12" t="s">
        <v>79</v>
      </c>
      <c r="G52" s="6" t="s">
        <v>376</v>
      </c>
      <c r="H52" s="6" t="s">
        <v>276</v>
      </c>
    </row>
    <row r="53">
      <c r="A53" s="6">
        <v>51.0</v>
      </c>
      <c r="B53" s="6" t="s">
        <v>50</v>
      </c>
      <c r="C53" s="12" t="s">
        <v>109</v>
      </c>
      <c r="D53" s="6" t="s">
        <v>49</v>
      </c>
      <c r="E53" s="6" t="s">
        <v>163</v>
      </c>
      <c r="F53" s="12" t="s">
        <v>79</v>
      </c>
      <c r="G53" s="6">
        <v>1.08976701018733E15</v>
      </c>
      <c r="H53" s="6" t="s">
        <v>267</v>
      </c>
    </row>
    <row r="54">
      <c r="A54" s="6">
        <v>52.0</v>
      </c>
      <c r="B54" s="6" t="s">
        <v>110</v>
      </c>
      <c r="C54" s="12" t="s">
        <v>112</v>
      </c>
      <c r="D54" s="6" t="s">
        <v>49</v>
      </c>
      <c r="E54" s="6" t="s">
        <v>230</v>
      </c>
      <c r="F54" s="12" t="s">
        <v>79</v>
      </c>
      <c r="G54" s="6" t="s">
        <v>384</v>
      </c>
      <c r="H54" s="6" t="s">
        <v>232</v>
      </c>
    </row>
    <row r="55">
      <c r="A55" s="6">
        <v>53.0</v>
      </c>
      <c r="B55" s="6" t="s">
        <v>110</v>
      </c>
      <c r="C55" s="12" t="s">
        <v>112</v>
      </c>
      <c r="D55" s="6" t="s">
        <v>49</v>
      </c>
      <c r="E55" s="6" t="s">
        <v>277</v>
      </c>
      <c r="F55" s="12" t="s">
        <v>79</v>
      </c>
      <c r="G55" s="6" t="s">
        <v>392</v>
      </c>
      <c r="H55" s="6" t="s">
        <v>224</v>
      </c>
    </row>
    <row r="56">
      <c r="A56" s="6">
        <v>54.0</v>
      </c>
      <c r="B56" s="6" t="s">
        <v>50</v>
      </c>
      <c r="C56" s="12" t="s">
        <v>51</v>
      </c>
      <c r="D56" s="6" t="s">
        <v>49</v>
      </c>
      <c r="E56" s="6" t="s">
        <v>78</v>
      </c>
      <c r="F56" s="12" t="s">
        <v>79</v>
      </c>
      <c r="G56" s="6" t="s">
        <v>393</v>
      </c>
      <c r="H56" s="6" t="s">
        <v>276</v>
      </c>
    </row>
    <row r="57">
      <c r="A57" s="6">
        <v>55.0</v>
      </c>
      <c r="B57" s="6" t="s">
        <v>110</v>
      </c>
      <c r="C57" s="12" t="s">
        <v>112</v>
      </c>
      <c r="D57" s="6" t="s">
        <v>49</v>
      </c>
      <c r="E57" s="6" t="s">
        <v>277</v>
      </c>
      <c r="F57" s="12" t="s">
        <v>79</v>
      </c>
      <c r="G57" s="6" t="s">
        <v>395</v>
      </c>
      <c r="H57" s="6" t="s">
        <v>224</v>
      </c>
    </row>
    <row r="58">
      <c r="A58" s="6">
        <v>56.0</v>
      </c>
      <c r="B58" s="6" t="s">
        <v>50</v>
      </c>
      <c r="C58" s="12" t="s">
        <v>51</v>
      </c>
      <c r="D58" s="6" t="s">
        <v>49</v>
      </c>
      <c r="E58" s="6" t="s">
        <v>78</v>
      </c>
      <c r="F58" s="12" t="s">
        <v>79</v>
      </c>
      <c r="G58" s="6">
        <v>1.59967260182075E15</v>
      </c>
      <c r="H58" s="6" t="s">
        <v>276</v>
      </c>
    </row>
    <row r="59">
      <c r="A59" s="6">
        <v>57.0</v>
      </c>
      <c r="B59" s="6" t="s">
        <v>110</v>
      </c>
      <c r="C59" s="12" t="s">
        <v>112</v>
      </c>
      <c r="D59" s="6" t="s">
        <v>49</v>
      </c>
      <c r="E59" s="6" t="s">
        <v>230</v>
      </c>
      <c r="F59" s="12" t="s">
        <v>79</v>
      </c>
      <c r="G59" s="6" t="s">
        <v>398</v>
      </c>
      <c r="H59" s="6" t="s">
        <v>267</v>
      </c>
    </row>
    <row r="60">
      <c r="A60" s="6">
        <v>58.0</v>
      </c>
      <c r="B60" s="6" t="s">
        <v>50</v>
      </c>
      <c r="C60" s="12" t="s">
        <v>51</v>
      </c>
      <c r="D60" s="6" t="s">
        <v>49</v>
      </c>
      <c r="E60" s="6" t="s">
        <v>78</v>
      </c>
      <c r="F60" s="12" t="s">
        <v>79</v>
      </c>
      <c r="G60" s="6" t="s">
        <v>402</v>
      </c>
      <c r="H60" s="6" t="s">
        <v>320</v>
      </c>
    </row>
    <row r="61">
      <c r="A61" s="6">
        <v>59.0</v>
      </c>
      <c r="B61" s="6" t="s">
        <v>50</v>
      </c>
      <c r="C61" s="12" t="s">
        <v>51</v>
      </c>
      <c r="D61" s="6" t="s">
        <v>49</v>
      </c>
      <c r="E61" s="6" t="s">
        <v>78</v>
      </c>
      <c r="F61" s="12" t="s">
        <v>79</v>
      </c>
      <c r="G61" s="6">
        <v>8.92341760353033E14</v>
      </c>
      <c r="H61" s="6" t="s">
        <v>276</v>
      </c>
    </row>
    <row r="62">
      <c r="A62" s="6">
        <v>60.0</v>
      </c>
      <c r="B62" s="6" t="s">
        <v>50</v>
      </c>
      <c r="C62" s="12" t="s">
        <v>207</v>
      </c>
      <c r="D62" s="6" t="s">
        <v>49</v>
      </c>
      <c r="E62" s="6" t="s">
        <v>213</v>
      </c>
      <c r="F62" s="12" t="s">
        <v>79</v>
      </c>
      <c r="G62" s="6" t="s">
        <v>407</v>
      </c>
      <c r="H62" s="6" t="s">
        <v>217</v>
      </c>
    </row>
    <row r="63">
      <c r="A63" s="6">
        <v>61.0</v>
      </c>
      <c r="B63" s="6" t="s">
        <v>50</v>
      </c>
      <c r="C63" s="12" t="s">
        <v>51</v>
      </c>
      <c r="D63" s="6" t="s">
        <v>49</v>
      </c>
      <c r="E63" s="6" t="s">
        <v>78</v>
      </c>
      <c r="F63" s="12" t="s">
        <v>79</v>
      </c>
      <c r="G63" s="6" t="s">
        <v>411</v>
      </c>
      <c r="H63" s="6" t="s">
        <v>276</v>
      </c>
    </row>
    <row r="64">
      <c r="A64" s="6">
        <v>62.0</v>
      </c>
      <c r="B64" s="6" t="s">
        <v>110</v>
      </c>
      <c r="C64" s="12" t="s">
        <v>42</v>
      </c>
      <c r="D64" s="6" t="s">
        <v>49</v>
      </c>
      <c r="E64" s="6" t="s">
        <v>277</v>
      </c>
      <c r="F64" s="12" t="s">
        <v>79</v>
      </c>
      <c r="G64" s="6" t="s">
        <v>415</v>
      </c>
      <c r="H64" s="6" t="s">
        <v>195</v>
      </c>
    </row>
    <row r="65">
      <c r="A65" s="6">
        <v>63.0</v>
      </c>
      <c r="B65" s="6" t="s">
        <v>110</v>
      </c>
      <c r="C65" s="12" t="s">
        <v>112</v>
      </c>
      <c r="D65" s="6" t="s">
        <v>49</v>
      </c>
      <c r="E65" s="6" t="s">
        <v>230</v>
      </c>
      <c r="F65" s="12" t="s">
        <v>79</v>
      </c>
      <c r="G65" s="6" t="s">
        <v>418</v>
      </c>
      <c r="H65" s="6" t="s">
        <v>267</v>
      </c>
    </row>
    <row r="66">
      <c r="A66" s="6">
        <v>64.0</v>
      </c>
      <c r="B66" s="6" t="s">
        <v>110</v>
      </c>
      <c r="C66" s="12" t="s">
        <v>112</v>
      </c>
      <c r="D66" s="6" t="s">
        <v>49</v>
      </c>
      <c r="E66" s="6" t="s">
        <v>142</v>
      </c>
      <c r="F66" s="12" t="s">
        <v>79</v>
      </c>
      <c r="G66" s="6" t="s">
        <v>419</v>
      </c>
      <c r="H66" s="6" t="s">
        <v>134</v>
      </c>
    </row>
    <row r="67">
      <c r="A67" s="6">
        <v>65.0</v>
      </c>
      <c r="B67" s="6" t="s">
        <v>50</v>
      </c>
      <c r="C67" s="12" t="s">
        <v>109</v>
      </c>
      <c r="D67" s="6" t="s">
        <v>49</v>
      </c>
      <c r="E67" s="6" t="s">
        <v>163</v>
      </c>
      <c r="F67" s="12" t="s">
        <v>79</v>
      </c>
      <c r="G67" s="6" t="s">
        <v>425</v>
      </c>
      <c r="H67" s="6" t="s">
        <v>320</v>
      </c>
    </row>
    <row r="68">
      <c r="A68" s="6">
        <v>66.0</v>
      </c>
      <c r="B68" s="6" t="s">
        <v>189</v>
      </c>
      <c r="C68" s="12" t="s">
        <v>79</v>
      </c>
      <c r="D68" s="6" t="s">
        <v>49</v>
      </c>
      <c r="E68" s="6" t="s">
        <v>199</v>
      </c>
      <c r="F68" s="12" t="s">
        <v>79</v>
      </c>
      <c r="G68" s="6">
        <v>1.03922583226305E15</v>
      </c>
      <c r="H68" s="6" t="s">
        <v>366</v>
      </c>
    </row>
    <row r="69">
      <c r="A69" s="6">
        <v>67.0</v>
      </c>
      <c r="B69" s="6" t="s">
        <v>189</v>
      </c>
      <c r="C69" s="12" t="s">
        <v>79</v>
      </c>
      <c r="D69" s="6" t="s">
        <v>49</v>
      </c>
      <c r="E69" s="6" t="s">
        <v>199</v>
      </c>
      <c r="F69" s="12" t="s">
        <v>79</v>
      </c>
      <c r="G69" s="6" t="s">
        <v>434</v>
      </c>
      <c r="H69" s="6" t="s">
        <v>366</v>
      </c>
    </row>
    <row r="70">
      <c r="A70" s="6">
        <v>68.0</v>
      </c>
      <c r="B70" s="6" t="s">
        <v>50</v>
      </c>
      <c r="C70" s="12" t="s">
        <v>207</v>
      </c>
      <c r="D70" s="6" t="s">
        <v>49</v>
      </c>
      <c r="E70" s="6" t="s">
        <v>213</v>
      </c>
      <c r="F70" s="12" t="s">
        <v>79</v>
      </c>
      <c r="G70" s="6" t="s">
        <v>437</v>
      </c>
      <c r="H70" s="6" t="s">
        <v>217</v>
      </c>
    </row>
    <row r="71">
      <c r="A71" s="6">
        <v>69.0</v>
      </c>
      <c r="B71" s="6" t="s">
        <v>110</v>
      </c>
      <c r="C71" s="12" t="s">
        <v>112</v>
      </c>
      <c r="D71" s="6" t="s">
        <v>49</v>
      </c>
      <c r="E71" s="6" t="s">
        <v>277</v>
      </c>
      <c r="F71" s="12" t="s">
        <v>79</v>
      </c>
      <c r="G71" s="6" t="s">
        <v>441</v>
      </c>
      <c r="H71" s="6" t="s">
        <v>217</v>
      </c>
    </row>
    <row r="72">
      <c r="A72" s="6">
        <v>70.0</v>
      </c>
      <c r="B72" s="6" t="s">
        <v>110</v>
      </c>
      <c r="C72" s="12" t="s">
        <v>112</v>
      </c>
      <c r="D72" s="6" t="s">
        <v>49</v>
      </c>
      <c r="E72" s="6" t="s">
        <v>277</v>
      </c>
      <c r="F72" s="12" t="s">
        <v>79</v>
      </c>
      <c r="G72" s="6" t="s">
        <v>446</v>
      </c>
      <c r="H72" s="6" t="s">
        <v>447</v>
      </c>
    </row>
    <row r="73">
      <c r="A73" s="6">
        <v>71.0</v>
      </c>
      <c r="B73" s="6" t="s">
        <v>110</v>
      </c>
      <c r="C73" s="12" t="s">
        <v>112</v>
      </c>
      <c r="D73" s="6" t="s">
        <v>49</v>
      </c>
      <c r="E73" s="6" t="s">
        <v>230</v>
      </c>
      <c r="F73" s="12" t="s">
        <v>79</v>
      </c>
      <c r="G73" s="6">
        <v>9.27176769778047E14</v>
      </c>
      <c r="H73" s="6" t="s">
        <v>353</v>
      </c>
    </row>
    <row r="74">
      <c r="A74" s="6">
        <v>72.0</v>
      </c>
      <c r="B74" s="6" t="s">
        <v>189</v>
      </c>
      <c r="C74" s="12" t="s">
        <v>79</v>
      </c>
      <c r="D74" s="6" t="s">
        <v>49</v>
      </c>
      <c r="E74" s="6" t="s">
        <v>199</v>
      </c>
      <c r="F74" s="12" t="s">
        <v>79</v>
      </c>
      <c r="G74" s="6" t="s">
        <v>453</v>
      </c>
      <c r="H74" s="6" t="s">
        <v>366</v>
      </c>
    </row>
    <row r="75">
      <c r="A75" s="6">
        <v>73.0</v>
      </c>
      <c r="B75" s="6" t="s">
        <v>110</v>
      </c>
      <c r="C75" s="12" t="s">
        <v>112</v>
      </c>
      <c r="D75" s="6" t="s">
        <v>49</v>
      </c>
      <c r="E75" s="6" t="s">
        <v>142</v>
      </c>
      <c r="F75" s="12" t="s">
        <v>79</v>
      </c>
      <c r="G75" s="6" t="s">
        <v>457</v>
      </c>
      <c r="H75" s="6" t="s">
        <v>134</v>
      </c>
    </row>
    <row r="76">
      <c r="A76" s="6">
        <v>74.0</v>
      </c>
      <c r="B76" s="6" t="s">
        <v>50</v>
      </c>
      <c r="C76" s="12" t="s">
        <v>207</v>
      </c>
      <c r="D76" s="6" t="s">
        <v>49</v>
      </c>
      <c r="E76" s="6" t="s">
        <v>461</v>
      </c>
      <c r="F76" s="12" t="s">
        <v>79</v>
      </c>
      <c r="G76" s="6">
        <v>8.81301011489206E14</v>
      </c>
      <c r="H76" s="6" t="s">
        <v>195</v>
      </c>
    </row>
    <row r="77">
      <c r="A77" s="6">
        <v>75.0</v>
      </c>
      <c r="B77" s="6" t="s">
        <v>110</v>
      </c>
      <c r="C77" s="12" t="s">
        <v>79</v>
      </c>
      <c r="D77" s="6" t="s">
        <v>49</v>
      </c>
      <c r="E77" s="6" t="s">
        <v>142</v>
      </c>
      <c r="F77" s="12" t="s">
        <v>79</v>
      </c>
      <c r="G77" s="6" t="s">
        <v>463</v>
      </c>
      <c r="H77" s="6" t="s">
        <v>127</v>
      </c>
    </row>
    <row r="78">
      <c r="A78" s="6">
        <v>76.0</v>
      </c>
      <c r="B78" s="6" t="s">
        <v>110</v>
      </c>
      <c r="C78" s="12" t="s">
        <v>112</v>
      </c>
      <c r="D78" s="6" t="s">
        <v>49</v>
      </c>
      <c r="E78" s="6" t="s">
        <v>461</v>
      </c>
      <c r="F78" s="12" t="s">
        <v>79</v>
      </c>
      <c r="G78" s="6" t="s">
        <v>465</v>
      </c>
      <c r="H78" s="6" t="s">
        <v>232</v>
      </c>
    </row>
    <row r="79">
      <c r="A79" s="6">
        <v>77.0</v>
      </c>
      <c r="B79" s="6" t="s">
        <v>189</v>
      </c>
      <c r="C79" s="12" t="s">
        <v>79</v>
      </c>
      <c r="D79" s="6" t="s">
        <v>49</v>
      </c>
      <c r="E79" s="6" t="s">
        <v>471</v>
      </c>
      <c r="F79" s="12" t="s">
        <v>79</v>
      </c>
      <c r="G79" s="6" t="s">
        <v>472</v>
      </c>
      <c r="H79" s="6" t="s">
        <v>473</v>
      </c>
    </row>
    <row r="80">
      <c r="A80" s="6">
        <v>78.0</v>
      </c>
      <c r="B80" s="6" t="s">
        <v>110</v>
      </c>
      <c r="C80" s="12" t="s">
        <v>112</v>
      </c>
      <c r="D80" s="6" t="s">
        <v>49</v>
      </c>
      <c r="E80" s="6" t="s">
        <v>475</v>
      </c>
      <c r="F80" s="12" t="s">
        <v>79</v>
      </c>
      <c r="G80" s="6" t="s">
        <v>478</v>
      </c>
      <c r="H80" s="6" t="s">
        <v>447</v>
      </c>
    </row>
    <row r="81">
      <c r="A81" s="6">
        <v>79.0</v>
      </c>
      <c r="B81" s="6" t="s">
        <v>110</v>
      </c>
      <c r="C81" s="12" t="s">
        <v>112</v>
      </c>
      <c r="D81" s="6" t="s">
        <v>49</v>
      </c>
      <c r="E81" s="6" t="s">
        <v>475</v>
      </c>
      <c r="F81" s="12" t="s">
        <v>79</v>
      </c>
      <c r="G81" s="6" t="s">
        <v>481</v>
      </c>
      <c r="H81" s="6" t="s">
        <v>224</v>
      </c>
    </row>
    <row r="82">
      <c r="A82" s="6">
        <v>80.0</v>
      </c>
      <c r="B82" s="6" t="s">
        <v>110</v>
      </c>
      <c r="C82" s="12" t="s">
        <v>112</v>
      </c>
      <c r="D82" s="6" t="s">
        <v>49</v>
      </c>
      <c r="E82" s="6" t="s">
        <v>461</v>
      </c>
      <c r="F82" s="12" t="s">
        <v>79</v>
      </c>
      <c r="G82" s="6" t="s">
        <v>485</v>
      </c>
      <c r="H82" s="6" t="s">
        <v>353</v>
      </c>
    </row>
    <row r="83">
      <c r="A83" s="6">
        <v>81.0</v>
      </c>
      <c r="B83" s="6" t="s">
        <v>50</v>
      </c>
      <c r="C83" s="12" t="s">
        <v>51</v>
      </c>
      <c r="D83" s="6" t="s">
        <v>49</v>
      </c>
      <c r="E83" s="6" t="s">
        <v>487</v>
      </c>
      <c r="F83" s="12" t="s">
        <v>79</v>
      </c>
      <c r="G83" s="6" t="s">
        <v>489</v>
      </c>
      <c r="H83" s="6" t="s">
        <v>102</v>
      </c>
    </row>
    <row r="84">
      <c r="A84" s="6">
        <v>82.0</v>
      </c>
      <c r="B84" s="6" t="s">
        <v>50</v>
      </c>
      <c r="C84" s="12" t="s">
        <v>51</v>
      </c>
      <c r="D84" s="6" t="s">
        <v>49</v>
      </c>
      <c r="E84" s="6" t="s">
        <v>78</v>
      </c>
      <c r="F84" s="12" t="s">
        <v>79</v>
      </c>
      <c r="G84" s="6" t="s">
        <v>491</v>
      </c>
      <c r="H84" s="6" t="s">
        <v>320</v>
      </c>
    </row>
    <row r="85">
      <c r="A85" s="6">
        <v>83.0</v>
      </c>
      <c r="B85" s="6" t="s">
        <v>110</v>
      </c>
      <c r="C85" s="12" t="s">
        <v>112</v>
      </c>
      <c r="D85" s="6" t="s">
        <v>49</v>
      </c>
      <c r="E85" s="6" t="s">
        <v>461</v>
      </c>
      <c r="F85" s="12" t="s">
        <v>79</v>
      </c>
      <c r="G85" s="6" t="s">
        <v>495</v>
      </c>
      <c r="H85" s="6" t="s">
        <v>232</v>
      </c>
    </row>
    <row r="86">
      <c r="A86" s="6">
        <v>84.0</v>
      </c>
      <c r="B86" s="6" t="s">
        <v>110</v>
      </c>
      <c r="C86" s="12" t="s">
        <v>112</v>
      </c>
      <c r="D86" s="6" t="s">
        <v>49</v>
      </c>
      <c r="E86" s="6" t="s">
        <v>475</v>
      </c>
      <c r="F86" s="12" t="s">
        <v>79</v>
      </c>
      <c r="G86" s="6" t="s">
        <v>498</v>
      </c>
      <c r="H86" s="6" t="s">
        <v>195</v>
      </c>
    </row>
    <row r="87">
      <c r="A87" s="6">
        <v>85.0</v>
      </c>
      <c r="B87" s="6" t="s">
        <v>110</v>
      </c>
      <c r="C87" s="12" t="s">
        <v>42</v>
      </c>
      <c r="D87" s="6" t="s">
        <v>49</v>
      </c>
      <c r="E87" s="6" t="s">
        <v>475</v>
      </c>
      <c r="F87" s="12" t="s">
        <v>79</v>
      </c>
      <c r="G87" s="6" t="s">
        <v>504</v>
      </c>
      <c r="H87" s="6" t="s">
        <v>505</v>
      </c>
    </row>
    <row r="88">
      <c r="A88" s="6">
        <v>86.0</v>
      </c>
      <c r="B88" s="6" t="s">
        <v>50</v>
      </c>
      <c r="C88" s="12" t="s">
        <v>207</v>
      </c>
      <c r="D88" s="6" t="s">
        <v>49</v>
      </c>
      <c r="E88" s="6" t="s">
        <v>507</v>
      </c>
      <c r="F88" s="12" t="s">
        <v>79</v>
      </c>
      <c r="G88" s="6">
        <v>9.73023035754663E14</v>
      </c>
      <c r="H88" s="6" t="s">
        <v>195</v>
      </c>
    </row>
    <row r="89">
      <c r="A89" s="6">
        <v>87.0</v>
      </c>
      <c r="B89" s="6" t="s">
        <v>110</v>
      </c>
      <c r="C89" s="12" t="s">
        <v>112</v>
      </c>
      <c r="D89" s="6" t="s">
        <v>49</v>
      </c>
      <c r="E89" s="6" t="s">
        <v>461</v>
      </c>
      <c r="F89" s="12" t="s">
        <v>79</v>
      </c>
      <c r="G89" s="6" t="s">
        <v>508</v>
      </c>
      <c r="H89" s="6" t="s">
        <v>366</v>
      </c>
    </row>
    <row r="90">
      <c r="A90" s="6">
        <v>88.0</v>
      </c>
      <c r="B90" s="6" t="s">
        <v>110</v>
      </c>
      <c r="C90" s="12" t="s">
        <v>79</v>
      </c>
      <c r="D90" s="6" t="s">
        <v>49</v>
      </c>
      <c r="E90" s="6" t="s">
        <v>511</v>
      </c>
      <c r="F90" s="12" t="s">
        <v>79</v>
      </c>
      <c r="G90" s="6" t="s">
        <v>513</v>
      </c>
      <c r="H90" s="6" t="s">
        <v>127</v>
      </c>
    </row>
    <row r="91">
      <c r="A91" s="6">
        <v>89.0</v>
      </c>
      <c r="B91" s="6" t="s">
        <v>110</v>
      </c>
      <c r="C91" s="12" t="s">
        <v>112</v>
      </c>
      <c r="D91" s="6" t="s">
        <v>49</v>
      </c>
      <c r="E91" s="6" t="s">
        <v>516</v>
      </c>
      <c r="F91" s="12" t="s">
        <v>79</v>
      </c>
      <c r="G91" s="6" t="s">
        <v>517</v>
      </c>
      <c r="H91" s="6" t="s">
        <v>505</v>
      </c>
    </row>
    <row r="92">
      <c r="A92" s="6">
        <v>90.0</v>
      </c>
      <c r="B92" s="6" t="s">
        <v>50</v>
      </c>
      <c r="C92" s="12" t="s">
        <v>233</v>
      </c>
      <c r="D92" s="6" t="s">
        <v>49</v>
      </c>
      <c r="E92" s="6" t="s">
        <v>521</v>
      </c>
      <c r="F92" s="12" t="s">
        <v>79</v>
      </c>
      <c r="G92" s="6" t="s">
        <v>524</v>
      </c>
      <c r="H92" s="6" t="s">
        <v>290</v>
      </c>
    </row>
    <row r="93">
      <c r="A93" s="6">
        <v>91.0</v>
      </c>
      <c r="B93" s="6" t="s">
        <v>50</v>
      </c>
      <c r="C93" s="12" t="s">
        <v>51</v>
      </c>
      <c r="D93" s="6" t="s">
        <v>49</v>
      </c>
      <c r="E93" s="6" t="s">
        <v>487</v>
      </c>
      <c r="F93" s="12" t="s">
        <v>79</v>
      </c>
      <c r="G93" s="6" t="s">
        <v>527</v>
      </c>
      <c r="H93" s="6" t="s">
        <v>102</v>
      </c>
    </row>
    <row r="94">
      <c r="A94" s="6">
        <v>92.0</v>
      </c>
      <c r="B94" s="6" t="s">
        <v>189</v>
      </c>
      <c r="C94" s="12" t="s">
        <v>79</v>
      </c>
      <c r="D94" s="6" t="s">
        <v>49</v>
      </c>
      <c r="E94" s="6" t="s">
        <v>471</v>
      </c>
      <c r="F94" s="12" t="s">
        <v>79</v>
      </c>
      <c r="G94" s="6">
        <v>1.06345792662281E15</v>
      </c>
      <c r="H94" s="6" t="s">
        <v>366</v>
      </c>
    </row>
    <row r="95">
      <c r="A95" s="6">
        <v>93.0</v>
      </c>
      <c r="B95" s="6" t="s">
        <v>110</v>
      </c>
      <c r="C95" s="12" t="s">
        <v>79</v>
      </c>
      <c r="D95" s="6" t="s">
        <v>49</v>
      </c>
      <c r="E95" s="6" t="s">
        <v>511</v>
      </c>
      <c r="F95" s="12" t="s">
        <v>79</v>
      </c>
      <c r="G95" s="6" t="s">
        <v>529</v>
      </c>
      <c r="H95" s="6" t="s">
        <v>127</v>
      </c>
    </row>
    <row r="96">
      <c r="A96" s="6">
        <v>94.0</v>
      </c>
      <c r="B96" s="6" t="s">
        <v>50</v>
      </c>
      <c r="C96" s="12" t="s">
        <v>51</v>
      </c>
      <c r="D96" s="6" t="s">
        <v>49</v>
      </c>
      <c r="E96" s="6" t="s">
        <v>487</v>
      </c>
      <c r="F96" s="12" t="s">
        <v>79</v>
      </c>
      <c r="G96" s="6" t="s">
        <v>535</v>
      </c>
      <c r="H96" s="6" t="s">
        <v>320</v>
      </c>
    </row>
    <row r="97">
      <c r="A97" s="6">
        <v>95.0</v>
      </c>
      <c r="B97" s="6" t="s">
        <v>189</v>
      </c>
      <c r="C97" s="12" t="s">
        <v>79</v>
      </c>
      <c r="D97" s="6" t="s">
        <v>49</v>
      </c>
      <c r="E97" s="6" t="s">
        <v>540</v>
      </c>
      <c r="F97" s="12" t="s">
        <v>79</v>
      </c>
      <c r="G97" s="6" t="s">
        <v>541</v>
      </c>
      <c r="H97" s="6" t="s">
        <v>195</v>
      </c>
    </row>
    <row r="98">
      <c r="A98" s="6">
        <v>96.0</v>
      </c>
      <c r="B98" s="6" t="s">
        <v>50</v>
      </c>
      <c r="C98" s="12" t="s">
        <v>207</v>
      </c>
      <c r="D98" s="6" t="s">
        <v>49</v>
      </c>
      <c r="E98" s="6" t="s">
        <v>507</v>
      </c>
      <c r="F98" s="12" t="s">
        <v>79</v>
      </c>
      <c r="G98" s="6" t="s">
        <v>543</v>
      </c>
      <c r="H98" s="6" t="s">
        <v>217</v>
      </c>
    </row>
    <row r="99">
      <c r="A99" s="6">
        <v>97.0</v>
      </c>
      <c r="B99" s="6" t="s">
        <v>50</v>
      </c>
      <c r="C99" s="12" t="s">
        <v>233</v>
      </c>
      <c r="D99" s="6" t="s">
        <v>49</v>
      </c>
      <c r="E99" s="6" t="s">
        <v>521</v>
      </c>
      <c r="F99" s="12" t="s">
        <v>79</v>
      </c>
      <c r="G99" s="6" t="s">
        <v>547</v>
      </c>
      <c r="H99" s="6" t="s">
        <v>290</v>
      </c>
    </row>
    <row r="100">
      <c r="A100" s="6">
        <v>98.0</v>
      </c>
      <c r="B100" s="6" t="s">
        <v>110</v>
      </c>
      <c r="C100" s="12" t="s">
        <v>112</v>
      </c>
      <c r="D100" s="6" t="s">
        <v>49</v>
      </c>
      <c r="E100" s="6" t="s">
        <v>461</v>
      </c>
      <c r="F100" s="12" t="s">
        <v>79</v>
      </c>
      <c r="G100" s="6" t="s">
        <v>551</v>
      </c>
      <c r="H100" s="6" t="s">
        <v>353</v>
      </c>
    </row>
    <row r="101">
      <c r="A101" s="6">
        <v>99.0</v>
      </c>
      <c r="B101" s="6" t="s">
        <v>50</v>
      </c>
      <c r="C101" s="12" t="s">
        <v>51</v>
      </c>
      <c r="D101" s="6" t="s">
        <v>49</v>
      </c>
      <c r="E101" s="6" t="s">
        <v>487</v>
      </c>
      <c r="F101" s="12" t="s">
        <v>79</v>
      </c>
      <c r="G101" s="6" t="s">
        <v>554</v>
      </c>
      <c r="H101" s="6" t="s">
        <v>320</v>
      </c>
    </row>
    <row r="102">
      <c r="A102" s="6">
        <v>100.0</v>
      </c>
      <c r="B102" s="6" t="s">
        <v>50</v>
      </c>
      <c r="C102" s="12" t="s">
        <v>51</v>
      </c>
      <c r="D102" s="6" t="s">
        <v>49</v>
      </c>
      <c r="E102" s="6" t="s">
        <v>487</v>
      </c>
      <c r="F102" s="12" t="s">
        <v>79</v>
      </c>
      <c r="G102" s="6">
        <v>1.25449425010768E15</v>
      </c>
      <c r="H102" s="6" t="s">
        <v>320</v>
      </c>
    </row>
    <row r="103">
      <c r="A103" s="6">
        <v>101.0</v>
      </c>
      <c r="B103" s="6" t="s">
        <v>50</v>
      </c>
      <c r="C103" s="12" t="s">
        <v>51</v>
      </c>
      <c r="D103" s="6" t="s">
        <v>49</v>
      </c>
      <c r="E103" s="6" t="s">
        <v>487</v>
      </c>
      <c r="F103" s="12" t="s">
        <v>79</v>
      </c>
      <c r="G103" s="6" t="s">
        <v>561</v>
      </c>
      <c r="H103" s="6" t="s">
        <v>102</v>
      </c>
    </row>
    <row r="104">
      <c r="A104" s="6">
        <v>102.0</v>
      </c>
      <c r="B104" s="6" t="s">
        <v>50</v>
      </c>
      <c r="C104" s="12" t="s">
        <v>207</v>
      </c>
      <c r="D104" s="6" t="s">
        <v>49</v>
      </c>
      <c r="E104" s="6" t="s">
        <v>461</v>
      </c>
      <c r="F104" s="12" t="s">
        <v>79</v>
      </c>
      <c r="G104" s="6" t="s">
        <v>563</v>
      </c>
      <c r="H104" s="6" t="s">
        <v>195</v>
      </c>
    </row>
    <row r="105">
      <c r="A105" s="6">
        <v>103.0</v>
      </c>
      <c r="B105" s="6" t="s">
        <v>110</v>
      </c>
      <c r="C105" s="12" t="s">
        <v>112</v>
      </c>
      <c r="D105" s="6" t="s">
        <v>49</v>
      </c>
      <c r="E105" s="6" t="s">
        <v>516</v>
      </c>
      <c r="F105" s="12" t="s">
        <v>79</v>
      </c>
      <c r="G105" s="6">
        <v>9.16443948178613E14</v>
      </c>
      <c r="H105" s="6" t="s">
        <v>566</v>
      </c>
    </row>
    <row r="106">
      <c r="A106" s="6">
        <v>104.0</v>
      </c>
      <c r="B106" s="6" t="s">
        <v>50</v>
      </c>
      <c r="C106" s="12" t="s">
        <v>109</v>
      </c>
      <c r="D106" s="6" t="s">
        <v>49</v>
      </c>
      <c r="E106" s="6" t="s">
        <v>568</v>
      </c>
      <c r="F106" s="12" t="s">
        <v>79</v>
      </c>
      <c r="G106" s="6" t="s">
        <v>570</v>
      </c>
      <c r="H106" s="6" t="s">
        <v>106</v>
      </c>
    </row>
    <row r="107">
      <c r="A107" s="6">
        <v>105.0</v>
      </c>
      <c r="B107" s="6" t="s">
        <v>110</v>
      </c>
      <c r="C107" s="12" t="s">
        <v>112</v>
      </c>
      <c r="D107" s="6" t="s">
        <v>49</v>
      </c>
      <c r="E107" s="6" t="s">
        <v>475</v>
      </c>
      <c r="F107" s="12" t="s">
        <v>79</v>
      </c>
      <c r="G107" s="6" t="s">
        <v>573</v>
      </c>
      <c r="H107" s="6" t="s">
        <v>447</v>
      </c>
    </row>
    <row r="108">
      <c r="A108" s="6">
        <v>106.0</v>
      </c>
      <c r="B108" s="6" t="s">
        <v>110</v>
      </c>
      <c r="C108" s="12" t="s">
        <v>112</v>
      </c>
      <c r="D108" s="6" t="s">
        <v>49</v>
      </c>
      <c r="E108" s="6" t="s">
        <v>516</v>
      </c>
      <c r="F108" s="12" t="s">
        <v>79</v>
      </c>
      <c r="G108" s="6" t="s">
        <v>577</v>
      </c>
      <c r="H108" s="6" t="s">
        <v>447</v>
      </c>
    </row>
    <row r="109">
      <c r="A109" s="6">
        <v>107.0</v>
      </c>
      <c r="B109" s="6" t="s">
        <v>110</v>
      </c>
      <c r="C109" s="12" t="s">
        <v>112</v>
      </c>
      <c r="D109" s="6" t="s">
        <v>49</v>
      </c>
      <c r="E109" s="6" t="s">
        <v>516</v>
      </c>
      <c r="F109" s="12" t="s">
        <v>79</v>
      </c>
      <c r="G109" s="6" t="s">
        <v>578</v>
      </c>
      <c r="H109" s="6" t="s">
        <v>217</v>
      </c>
    </row>
    <row r="110">
      <c r="A110" s="6">
        <v>108.0</v>
      </c>
      <c r="B110" s="6" t="s">
        <v>50</v>
      </c>
      <c r="C110" s="12" t="s">
        <v>207</v>
      </c>
      <c r="D110" s="6" t="s">
        <v>49</v>
      </c>
      <c r="E110" s="6" t="s">
        <v>507</v>
      </c>
      <c r="F110" s="12" t="s">
        <v>79</v>
      </c>
      <c r="G110" s="6" t="s">
        <v>579</v>
      </c>
      <c r="H110" s="6" t="s">
        <v>195</v>
      </c>
    </row>
    <row r="111">
      <c r="A111" s="6">
        <v>109.0</v>
      </c>
      <c r="B111" s="6" t="s">
        <v>110</v>
      </c>
      <c r="C111" s="12" t="s">
        <v>112</v>
      </c>
      <c r="D111" s="6" t="s">
        <v>49</v>
      </c>
      <c r="E111" s="6" t="s">
        <v>511</v>
      </c>
      <c r="F111" s="12" t="s">
        <v>79</v>
      </c>
      <c r="G111" s="6" t="s">
        <v>586</v>
      </c>
      <c r="H111" s="6" t="s">
        <v>127</v>
      </c>
    </row>
    <row r="112">
      <c r="A112" s="6">
        <v>110.0</v>
      </c>
      <c r="B112" s="6" t="s">
        <v>110</v>
      </c>
      <c r="C112" s="12" t="s">
        <v>112</v>
      </c>
      <c r="D112" s="6" t="s">
        <v>49</v>
      </c>
      <c r="E112" s="6" t="s">
        <v>516</v>
      </c>
      <c r="F112" s="12" t="s">
        <v>79</v>
      </c>
      <c r="G112" s="6" t="s">
        <v>589</v>
      </c>
      <c r="H112" s="6" t="s">
        <v>566</v>
      </c>
    </row>
    <row r="113">
      <c r="A113" s="6">
        <v>111.0</v>
      </c>
      <c r="B113" s="6" t="s">
        <v>50</v>
      </c>
      <c r="C113" s="12" t="s">
        <v>207</v>
      </c>
      <c r="D113" s="6" t="s">
        <v>49</v>
      </c>
      <c r="E113" s="6" t="s">
        <v>507</v>
      </c>
      <c r="F113" s="12" t="s">
        <v>79</v>
      </c>
      <c r="G113" s="6" t="s">
        <v>595</v>
      </c>
      <c r="H113" s="6" t="s">
        <v>195</v>
      </c>
    </row>
    <row r="114">
      <c r="A114" s="6">
        <v>112.0</v>
      </c>
      <c r="B114" s="6" t="s">
        <v>110</v>
      </c>
      <c r="C114" s="12" t="s">
        <v>112</v>
      </c>
      <c r="D114" s="6" t="s">
        <v>49</v>
      </c>
      <c r="E114" s="6" t="s">
        <v>516</v>
      </c>
      <c r="F114" s="12" t="s">
        <v>79</v>
      </c>
      <c r="G114" s="6">
        <v>9.00674893114668E14</v>
      </c>
      <c r="H114" s="6" t="s">
        <v>447</v>
      </c>
    </row>
    <row r="115">
      <c r="A115" s="6">
        <v>113.0</v>
      </c>
      <c r="B115" s="6" t="s">
        <v>50</v>
      </c>
      <c r="C115" s="12" t="s">
        <v>207</v>
      </c>
      <c r="D115" s="6" t="s">
        <v>49</v>
      </c>
      <c r="E115" s="6" t="s">
        <v>461</v>
      </c>
      <c r="F115" s="12" t="s">
        <v>79</v>
      </c>
      <c r="G115" s="6" t="s">
        <v>599</v>
      </c>
      <c r="H115" s="6" t="s">
        <v>195</v>
      </c>
    </row>
    <row r="116">
      <c r="A116" s="6">
        <v>114.0</v>
      </c>
      <c r="B116" s="6" t="s">
        <v>110</v>
      </c>
      <c r="C116" s="12" t="s">
        <v>112</v>
      </c>
      <c r="D116" s="6" t="s">
        <v>49</v>
      </c>
      <c r="E116" s="6" t="s">
        <v>516</v>
      </c>
      <c r="F116" s="12" t="s">
        <v>79</v>
      </c>
      <c r="G116" s="6" t="s">
        <v>602</v>
      </c>
      <c r="H116" s="6" t="s">
        <v>217</v>
      </c>
    </row>
    <row r="117">
      <c r="A117" s="6">
        <v>115.0</v>
      </c>
      <c r="B117" s="6" t="s">
        <v>50</v>
      </c>
      <c r="C117" s="12" t="s">
        <v>51</v>
      </c>
      <c r="D117" s="6" t="s">
        <v>49</v>
      </c>
      <c r="E117" s="6" t="s">
        <v>487</v>
      </c>
      <c r="F117" s="12" t="s">
        <v>79</v>
      </c>
      <c r="G117" s="6">
        <v>2.10877872003414E15</v>
      </c>
      <c r="H117" s="6" t="s">
        <v>320</v>
      </c>
    </row>
    <row r="118">
      <c r="A118" s="6">
        <v>116.0</v>
      </c>
      <c r="B118" s="6" t="s">
        <v>110</v>
      </c>
      <c r="C118" s="12" t="s">
        <v>112</v>
      </c>
      <c r="D118" s="6" t="s">
        <v>49</v>
      </c>
      <c r="E118" s="6" t="s">
        <v>516</v>
      </c>
      <c r="F118" s="12" t="s">
        <v>79</v>
      </c>
      <c r="G118" s="6">
        <v>9.55524650921317E14</v>
      </c>
      <c r="H118" s="6" t="s">
        <v>447</v>
      </c>
    </row>
    <row r="119">
      <c r="A119" s="6">
        <v>117.0</v>
      </c>
      <c r="B119" s="6" t="s">
        <v>110</v>
      </c>
      <c r="C119" s="12" t="s">
        <v>112</v>
      </c>
      <c r="D119" s="6" t="s">
        <v>49</v>
      </c>
      <c r="E119" s="6" t="s">
        <v>516</v>
      </c>
      <c r="F119" s="12" t="s">
        <v>79</v>
      </c>
      <c r="G119" s="6" t="s">
        <v>608</v>
      </c>
      <c r="H119" s="6" t="s">
        <v>447</v>
      </c>
    </row>
    <row r="120">
      <c r="A120" s="6">
        <v>118.0</v>
      </c>
      <c r="B120" s="6" t="s">
        <v>110</v>
      </c>
      <c r="C120" s="12" t="s">
        <v>112</v>
      </c>
      <c r="D120" s="6" t="s">
        <v>49</v>
      </c>
      <c r="E120" s="6" t="s">
        <v>516</v>
      </c>
      <c r="F120" s="12" t="s">
        <v>79</v>
      </c>
      <c r="G120" s="6" t="s">
        <v>611</v>
      </c>
      <c r="H120" s="6" t="s">
        <v>447</v>
      </c>
    </row>
    <row r="121">
      <c r="A121" s="6">
        <v>119.0</v>
      </c>
      <c r="B121" s="6" t="s">
        <v>110</v>
      </c>
      <c r="C121" s="12" t="s">
        <v>79</v>
      </c>
      <c r="D121" s="6" t="s">
        <v>49</v>
      </c>
      <c r="E121" s="6" t="s">
        <v>511</v>
      </c>
      <c r="F121" s="12" t="s">
        <v>79</v>
      </c>
      <c r="G121" s="6" t="s">
        <v>614</v>
      </c>
      <c r="H121" s="6" t="s">
        <v>127</v>
      </c>
    </row>
    <row r="122">
      <c r="A122" s="6">
        <v>120.0</v>
      </c>
      <c r="B122" s="6" t="s">
        <v>110</v>
      </c>
      <c r="C122" s="12" t="s">
        <v>112</v>
      </c>
      <c r="D122" s="6" t="s">
        <v>49</v>
      </c>
      <c r="E122" s="6" t="s">
        <v>475</v>
      </c>
      <c r="F122" s="12" t="s">
        <v>79</v>
      </c>
      <c r="G122" s="6" t="s">
        <v>617</v>
      </c>
      <c r="H122" s="6" t="s">
        <v>505</v>
      </c>
    </row>
    <row r="123">
      <c r="A123" s="6">
        <v>121.0</v>
      </c>
      <c r="B123" s="6" t="s">
        <v>50</v>
      </c>
      <c r="C123" s="12" t="s">
        <v>51</v>
      </c>
      <c r="D123" s="6" t="s">
        <v>49</v>
      </c>
      <c r="E123" s="6" t="s">
        <v>487</v>
      </c>
      <c r="F123" s="12" t="s">
        <v>79</v>
      </c>
      <c r="G123" s="6" t="s">
        <v>622</v>
      </c>
      <c r="H123" s="6" t="s">
        <v>267</v>
      </c>
    </row>
    <row r="124">
      <c r="A124" s="6">
        <v>122.0</v>
      </c>
      <c r="B124" s="6" t="s">
        <v>110</v>
      </c>
      <c r="C124" s="12" t="s">
        <v>112</v>
      </c>
      <c r="D124" s="6" t="s">
        <v>49</v>
      </c>
      <c r="E124" s="6" t="s">
        <v>516</v>
      </c>
      <c r="F124" s="12" t="s">
        <v>79</v>
      </c>
      <c r="G124" s="6" t="s">
        <v>625</v>
      </c>
      <c r="H124" s="6" t="s">
        <v>505</v>
      </c>
    </row>
    <row r="125">
      <c r="A125" s="6">
        <v>123.0</v>
      </c>
      <c r="B125" s="6" t="s">
        <v>189</v>
      </c>
      <c r="C125" s="12" t="s">
        <v>79</v>
      </c>
      <c r="D125" s="6" t="s">
        <v>49</v>
      </c>
      <c r="E125" s="6" t="s">
        <v>540</v>
      </c>
      <c r="F125" s="12" t="s">
        <v>79</v>
      </c>
      <c r="G125" s="6" t="s">
        <v>629</v>
      </c>
      <c r="H125" s="6" t="s">
        <v>195</v>
      </c>
    </row>
    <row r="126">
      <c r="A126" s="6">
        <v>124.0</v>
      </c>
      <c r="B126" s="6" t="s">
        <v>110</v>
      </c>
      <c r="C126" s="12" t="s">
        <v>112</v>
      </c>
      <c r="D126" s="6" t="s">
        <v>49</v>
      </c>
      <c r="E126" s="6" t="s">
        <v>475</v>
      </c>
      <c r="F126" s="12" t="s">
        <v>79</v>
      </c>
      <c r="G126" s="6" t="s">
        <v>635</v>
      </c>
      <c r="H126" s="6" t="s">
        <v>217</v>
      </c>
    </row>
    <row r="127">
      <c r="A127" s="6">
        <v>125.0</v>
      </c>
      <c r="B127" s="6" t="s">
        <v>50</v>
      </c>
      <c r="C127" s="12" t="s">
        <v>51</v>
      </c>
      <c r="D127" s="6" t="s">
        <v>49</v>
      </c>
      <c r="E127" s="6" t="s">
        <v>487</v>
      </c>
      <c r="F127" s="12" t="s">
        <v>79</v>
      </c>
      <c r="G127" s="6" t="s">
        <v>636</v>
      </c>
      <c r="H127" s="6" t="s">
        <v>320</v>
      </c>
    </row>
    <row r="128">
      <c r="A128" s="6">
        <v>126.0</v>
      </c>
      <c r="B128" s="6" t="s">
        <v>110</v>
      </c>
      <c r="C128" s="12" t="s">
        <v>112</v>
      </c>
      <c r="D128" s="6" t="s">
        <v>49</v>
      </c>
      <c r="E128" s="6" t="s">
        <v>516</v>
      </c>
      <c r="F128" s="12" t="s">
        <v>79</v>
      </c>
      <c r="G128" s="6" t="s">
        <v>642</v>
      </c>
      <c r="H128" s="6" t="s">
        <v>505</v>
      </c>
    </row>
    <row r="129">
      <c r="A129" s="6">
        <v>127.0</v>
      </c>
      <c r="B129" s="6" t="s">
        <v>110</v>
      </c>
      <c r="C129" s="12" t="s">
        <v>112</v>
      </c>
      <c r="D129" s="6" t="s">
        <v>49</v>
      </c>
      <c r="E129" s="6" t="s">
        <v>516</v>
      </c>
      <c r="F129" s="12" t="s">
        <v>79</v>
      </c>
      <c r="G129" s="6" t="s">
        <v>644</v>
      </c>
      <c r="H129" s="6" t="s">
        <v>447</v>
      </c>
    </row>
    <row r="130">
      <c r="A130" s="6">
        <v>128.0</v>
      </c>
      <c r="B130" s="6" t="s">
        <v>50</v>
      </c>
      <c r="C130" s="12" t="s">
        <v>207</v>
      </c>
      <c r="D130" s="6" t="s">
        <v>49</v>
      </c>
      <c r="E130" s="6" t="s">
        <v>461</v>
      </c>
      <c r="F130" s="12" t="s">
        <v>79</v>
      </c>
      <c r="G130" s="6">
        <v>9.79703301750224E14</v>
      </c>
      <c r="H130" s="6" t="s">
        <v>195</v>
      </c>
    </row>
    <row r="131">
      <c r="A131" s="6">
        <v>129.0</v>
      </c>
      <c r="B131" s="6" t="s">
        <v>110</v>
      </c>
      <c r="C131" s="12" t="s">
        <v>112</v>
      </c>
      <c r="D131" s="6" t="s">
        <v>49</v>
      </c>
      <c r="E131" s="6" t="s">
        <v>516</v>
      </c>
      <c r="F131" s="12" t="s">
        <v>79</v>
      </c>
      <c r="G131" s="6" t="s">
        <v>654</v>
      </c>
      <c r="H131" s="6" t="s">
        <v>447</v>
      </c>
    </row>
    <row r="132">
      <c r="A132" s="6">
        <v>130.0</v>
      </c>
      <c r="B132" s="6" t="s">
        <v>110</v>
      </c>
      <c r="C132" s="12" t="s">
        <v>112</v>
      </c>
      <c r="D132" s="6" t="s">
        <v>49</v>
      </c>
      <c r="E132" s="6" t="s">
        <v>516</v>
      </c>
      <c r="F132" s="12" t="s">
        <v>79</v>
      </c>
      <c r="G132" s="6" t="s">
        <v>660</v>
      </c>
      <c r="H132" s="6" t="s">
        <v>447</v>
      </c>
    </row>
    <row r="133">
      <c r="A133" s="6">
        <v>131.0</v>
      </c>
      <c r="B133" s="6" t="s">
        <v>110</v>
      </c>
      <c r="C133" s="12" t="s">
        <v>112</v>
      </c>
      <c r="D133" s="6" t="s">
        <v>49</v>
      </c>
      <c r="E133" s="6" t="s">
        <v>516</v>
      </c>
      <c r="F133" s="12" t="s">
        <v>79</v>
      </c>
      <c r="G133" s="6" t="s">
        <v>663</v>
      </c>
      <c r="H133" s="6" t="s">
        <v>447</v>
      </c>
    </row>
    <row r="134">
      <c r="A134" s="6">
        <v>132.0</v>
      </c>
      <c r="B134" s="6" t="s">
        <v>110</v>
      </c>
      <c r="C134" s="12" t="s">
        <v>112</v>
      </c>
      <c r="D134" s="6" t="s">
        <v>49</v>
      </c>
      <c r="E134" s="6" t="s">
        <v>516</v>
      </c>
      <c r="F134" s="12" t="s">
        <v>79</v>
      </c>
      <c r="G134" s="6" t="s">
        <v>667</v>
      </c>
      <c r="H134" s="6" t="s">
        <v>447</v>
      </c>
    </row>
    <row r="135">
      <c r="A135" s="6">
        <v>133.0</v>
      </c>
      <c r="B135" s="6" t="s">
        <v>50</v>
      </c>
      <c r="C135" s="12" t="s">
        <v>51</v>
      </c>
      <c r="D135" s="6" t="s">
        <v>49</v>
      </c>
      <c r="E135" s="6" t="s">
        <v>487</v>
      </c>
      <c r="F135" s="12" t="s">
        <v>79</v>
      </c>
      <c r="G135" s="6" t="s">
        <v>671</v>
      </c>
      <c r="H135" s="6" t="s">
        <v>102</v>
      </c>
    </row>
    <row r="136">
      <c r="A136" s="6">
        <v>134.0</v>
      </c>
      <c r="B136" s="6" t="s">
        <v>110</v>
      </c>
      <c r="C136" s="12" t="s">
        <v>112</v>
      </c>
      <c r="D136" s="6" t="s">
        <v>49</v>
      </c>
      <c r="E136" s="6" t="s">
        <v>516</v>
      </c>
      <c r="F136" s="12" t="s">
        <v>79</v>
      </c>
      <c r="G136" s="6">
        <v>1.03250345966836E15</v>
      </c>
      <c r="H136" s="6" t="s">
        <v>217</v>
      </c>
    </row>
    <row r="137">
      <c r="A137" s="6">
        <v>135.0</v>
      </c>
      <c r="B137" s="6" t="s">
        <v>50</v>
      </c>
      <c r="C137" s="12" t="s">
        <v>51</v>
      </c>
      <c r="D137" s="6" t="s">
        <v>49</v>
      </c>
      <c r="E137" s="6" t="s">
        <v>487</v>
      </c>
      <c r="F137" s="12" t="s">
        <v>79</v>
      </c>
      <c r="G137" s="6" t="s">
        <v>678</v>
      </c>
      <c r="H137" s="6" t="s">
        <v>320</v>
      </c>
    </row>
    <row r="138">
      <c r="A138" s="6">
        <v>136.0</v>
      </c>
      <c r="B138" s="6" t="s">
        <v>110</v>
      </c>
      <c r="C138" s="12" t="s">
        <v>112</v>
      </c>
      <c r="D138" s="6" t="s">
        <v>49</v>
      </c>
      <c r="E138" s="6" t="s">
        <v>516</v>
      </c>
      <c r="F138" s="12" t="s">
        <v>79</v>
      </c>
      <c r="G138" s="6" t="s">
        <v>680</v>
      </c>
      <c r="H138" s="6" t="s">
        <v>447</v>
      </c>
    </row>
    <row r="139">
      <c r="A139" s="6">
        <v>137.0</v>
      </c>
      <c r="B139" s="6" t="s">
        <v>110</v>
      </c>
      <c r="C139" s="12" t="s">
        <v>112</v>
      </c>
      <c r="D139" s="6" t="s">
        <v>49</v>
      </c>
      <c r="E139" s="6" t="s">
        <v>475</v>
      </c>
      <c r="F139" s="12" t="s">
        <v>79</v>
      </c>
      <c r="G139" s="6" t="s">
        <v>683</v>
      </c>
      <c r="H139" s="6" t="s">
        <v>566</v>
      </c>
    </row>
    <row r="140">
      <c r="A140" s="6">
        <v>138.0</v>
      </c>
      <c r="B140" s="6" t="s">
        <v>110</v>
      </c>
      <c r="C140" s="12" t="s">
        <v>112</v>
      </c>
      <c r="D140" s="6" t="s">
        <v>49</v>
      </c>
      <c r="E140" s="6" t="s">
        <v>461</v>
      </c>
      <c r="F140" s="12" t="s">
        <v>79</v>
      </c>
      <c r="G140" s="6" t="s">
        <v>687</v>
      </c>
      <c r="H140" s="6" t="s">
        <v>366</v>
      </c>
    </row>
    <row r="141">
      <c r="A141" s="6">
        <v>139.0</v>
      </c>
      <c r="B141" s="6" t="s">
        <v>110</v>
      </c>
      <c r="C141" s="12" t="s">
        <v>112</v>
      </c>
      <c r="D141" s="6" t="s">
        <v>49</v>
      </c>
      <c r="E141" s="6" t="s">
        <v>516</v>
      </c>
      <c r="F141" s="12" t="s">
        <v>79</v>
      </c>
      <c r="G141" s="6" t="s">
        <v>689</v>
      </c>
      <c r="H141" s="6" t="s">
        <v>505</v>
      </c>
    </row>
    <row r="142">
      <c r="A142" s="6">
        <v>140.0</v>
      </c>
      <c r="B142" s="6" t="s">
        <v>50</v>
      </c>
      <c r="C142" s="12" t="s">
        <v>233</v>
      </c>
      <c r="D142" s="6" t="s">
        <v>49</v>
      </c>
      <c r="E142" s="6" t="s">
        <v>507</v>
      </c>
      <c r="F142" s="12" t="s">
        <v>79</v>
      </c>
      <c r="G142" s="6" t="s">
        <v>693</v>
      </c>
      <c r="H142" s="6" t="s">
        <v>217</v>
      </c>
    </row>
    <row r="143">
      <c r="A143" s="6">
        <v>141.0</v>
      </c>
      <c r="B143" s="6" t="s">
        <v>50</v>
      </c>
      <c r="C143" s="12" t="s">
        <v>51</v>
      </c>
      <c r="D143" s="6" t="s">
        <v>49</v>
      </c>
      <c r="E143" s="6" t="s">
        <v>487</v>
      </c>
      <c r="F143" s="12" t="s">
        <v>79</v>
      </c>
      <c r="G143" s="6" t="s">
        <v>696</v>
      </c>
      <c r="H143" s="6" t="s">
        <v>320</v>
      </c>
    </row>
    <row r="144">
      <c r="A144" s="6">
        <v>142.0</v>
      </c>
      <c r="B144" s="6" t="s">
        <v>50</v>
      </c>
      <c r="C144" s="12" t="s">
        <v>207</v>
      </c>
      <c r="D144" s="6" t="s">
        <v>49</v>
      </c>
      <c r="E144" s="6" t="s">
        <v>507</v>
      </c>
      <c r="F144" s="12" t="s">
        <v>79</v>
      </c>
      <c r="G144" s="6" t="s">
        <v>698</v>
      </c>
      <c r="H144" s="6" t="s">
        <v>290</v>
      </c>
    </row>
    <row r="145">
      <c r="A145" s="6">
        <v>143.0</v>
      </c>
      <c r="B145" s="6" t="s">
        <v>110</v>
      </c>
      <c r="C145" s="12" t="s">
        <v>112</v>
      </c>
      <c r="D145" s="6" t="s">
        <v>49</v>
      </c>
      <c r="E145" s="6" t="s">
        <v>516</v>
      </c>
      <c r="F145" s="12" t="s">
        <v>79</v>
      </c>
      <c r="G145" s="6" t="s">
        <v>705</v>
      </c>
      <c r="H145" s="6" t="s">
        <v>217</v>
      </c>
    </row>
    <row r="146">
      <c r="A146" s="6">
        <v>144.0</v>
      </c>
      <c r="B146" s="6" t="s">
        <v>50</v>
      </c>
      <c r="C146" s="12" t="s">
        <v>79</v>
      </c>
      <c r="D146" s="6" t="s">
        <v>49</v>
      </c>
      <c r="E146" s="6" t="s">
        <v>706</v>
      </c>
      <c r="F146" s="12" t="s">
        <v>79</v>
      </c>
      <c r="G146" s="6" t="s">
        <v>707</v>
      </c>
      <c r="H146" s="6" t="s">
        <v>195</v>
      </c>
    </row>
    <row r="147">
      <c r="A147" s="6">
        <v>145.0</v>
      </c>
      <c r="B147" s="6" t="s">
        <v>110</v>
      </c>
      <c r="C147" s="12" t="s">
        <v>112</v>
      </c>
      <c r="D147" s="6" t="s">
        <v>49</v>
      </c>
      <c r="E147" s="6" t="s">
        <v>475</v>
      </c>
      <c r="F147" s="12" t="s">
        <v>79</v>
      </c>
      <c r="G147" s="6" t="s">
        <v>711</v>
      </c>
      <c r="H147" s="6" t="s">
        <v>566</v>
      </c>
    </row>
    <row r="148">
      <c r="A148" s="6">
        <v>146.0</v>
      </c>
      <c r="B148" s="6" t="s">
        <v>50</v>
      </c>
      <c r="C148" s="12" t="s">
        <v>51</v>
      </c>
      <c r="D148" s="6" t="s">
        <v>49</v>
      </c>
      <c r="E148" s="6" t="s">
        <v>487</v>
      </c>
      <c r="F148" s="12" t="s">
        <v>79</v>
      </c>
      <c r="G148" s="6" t="s">
        <v>713</v>
      </c>
      <c r="H148" s="6" t="s">
        <v>320</v>
      </c>
    </row>
    <row r="149">
      <c r="A149" s="6">
        <v>147.0</v>
      </c>
      <c r="B149" s="6" t="s">
        <v>50</v>
      </c>
      <c r="C149" s="12" t="s">
        <v>207</v>
      </c>
      <c r="D149" s="6" t="s">
        <v>49</v>
      </c>
      <c r="E149" s="6" t="s">
        <v>507</v>
      </c>
      <c r="F149" s="12" t="s">
        <v>79</v>
      </c>
      <c r="G149" s="6">
        <v>9.92265330526519E14</v>
      </c>
      <c r="H149" s="6" t="s">
        <v>195</v>
      </c>
    </row>
    <row r="150">
      <c r="A150" s="6">
        <v>148.0</v>
      </c>
      <c r="B150" s="6" t="s">
        <v>189</v>
      </c>
      <c r="C150" s="12" t="s">
        <v>79</v>
      </c>
      <c r="D150" s="6" t="s">
        <v>49</v>
      </c>
      <c r="E150" s="6" t="s">
        <v>719</v>
      </c>
      <c r="F150" s="12" t="s">
        <v>79</v>
      </c>
      <c r="G150" s="6" t="s">
        <v>720</v>
      </c>
      <c r="H150" s="6" t="s">
        <v>217</v>
      </c>
    </row>
    <row r="151">
      <c r="A151" s="6">
        <v>149.0</v>
      </c>
      <c r="B151" s="6" t="s">
        <v>50</v>
      </c>
      <c r="C151" s="12" t="s">
        <v>207</v>
      </c>
      <c r="D151" s="6" t="s">
        <v>49</v>
      </c>
      <c r="E151" s="6" t="s">
        <v>461</v>
      </c>
      <c r="F151" s="12" t="s">
        <v>79</v>
      </c>
      <c r="G151" s="6">
        <v>1.60012446498043E15</v>
      </c>
      <c r="H151" s="6" t="s">
        <v>195</v>
      </c>
    </row>
    <row r="152">
      <c r="A152" s="6">
        <v>150.0</v>
      </c>
      <c r="B152" s="6" t="s">
        <v>50</v>
      </c>
      <c r="C152" s="12" t="s">
        <v>233</v>
      </c>
      <c r="D152" s="6" t="s">
        <v>49</v>
      </c>
      <c r="E152" s="6" t="s">
        <v>461</v>
      </c>
      <c r="F152" s="12" t="s">
        <v>79</v>
      </c>
      <c r="G152" s="6">
        <v>9.33156899114724E14</v>
      </c>
      <c r="H152" s="6" t="s">
        <v>217</v>
      </c>
    </row>
    <row r="153">
      <c r="A153" s="6">
        <v>151.0</v>
      </c>
      <c r="B153" s="6" t="s">
        <v>189</v>
      </c>
      <c r="C153" s="12" t="s">
        <v>79</v>
      </c>
      <c r="D153" s="6" t="s">
        <v>49</v>
      </c>
      <c r="E153" s="6" t="s">
        <v>719</v>
      </c>
      <c r="F153" s="12" t="s">
        <v>79</v>
      </c>
      <c r="G153" s="6" t="s">
        <v>728</v>
      </c>
      <c r="H153" s="6" t="s">
        <v>195</v>
      </c>
    </row>
    <row r="154">
      <c r="A154" s="6">
        <v>152.0</v>
      </c>
      <c r="B154" s="6" t="s">
        <v>50</v>
      </c>
      <c r="C154" s="12" t="s">
        <v>233</v>
      </c>
      <c r="D154" s="6" t="s">
        <v>49</v>
      </c>
      <c r="E154" s="6" t="s">
        <v>461</v>
      </c>
      <c r="F154" s="12" t="s">
        <v>79</v>
      </c>
      <c r="G154" s="6" t="s">
        <v>732</v>
      </c>
      <c r="H154" s="6" t="s">
        <v>217</v>
      </c>
    </row>
    <row r="155">
      <c r="A155" s="6">
        <v>153.0</v>
      </c>
      <c r="B155" s="6" t="s">
        <v>50</v>
      </c>
      <c r="C155" s="12" t="s">
        <v>79</v>
      </c>
      <c r="D155" s="6" t="s">
        <v>49</v>
      </c>
      <c r="E155" s="6" t="s">
        <v>735</v>
      </c>
      <c r="F155" s="12" t="s">
        <v>79</v>
      </c>
      <c r="G155" s="6" t="s">
        <v>737</v>
      </c>
      <c r="H155" s="6" t="s">
        <v>195</v>
      </c>
    </row>
    <row r="156">
      <c r="A156" s="6">
        <v>154.0</v>
      </c>
      <c r="B156" s="6" t="s">
        <v>50</v>
      </c>
      <c r="C156" s="12" t="s">
        <v>51</v>
      </c>
      <c r="D156" s="6" t="s">
        <v>49</v>
      </c>
      <c r="E156" s="6" t="s">
        <v>487</v>
      </c>
      <c r="F156" s="12" t="s">
        <v>79</v>
      </c>
      <c r="G156" s="6" t="s">
        <v>739</v>
      </c>
      <c r="H156" s="6" t="s">
        <v>320</v>
      </c>
    </row>
    <row r="157">
      <c r="A157" s="6">
        <v>155.0</v>
      </c>
      <c r="B157" s="6" t="s">
        <v>189</v>
      </c>
      <c r="C157" s="12" t="s">
        <v>79</v>
      </c>
      <c r="D157" s="6" t="s">
        <v>49</v>
      </c>
      <c r="E157" s="6" t="s">
        <v>719</v>
      </c>
      <c r="F157" s="12" t="s">
        <v>79</v>
      </c>
      <c r="G157" s="6" t="s">
        <v>744</v>
      </c>
      <c r="H157" s="6" t="s">
        <v>366</v>
      </c>
    </row>
    <row r="158">
      <c r="A158" s="6">
        <v>156.0</v>
      </c>
      <c r="B158" s="6" t="s">
        <v>50</v>
      </c>
      <c r="C158" s="12" t="s">
        <v>51</v>
      </c>
      <c r="D158" s="6" t="s">
        <v>49</v>
      </c>
      <c r="E158" s="6" t="s">
        <v>487</v>
      </c>
      <c r="F158" s="12" t="s">
        <v>79</v>
      </c>
      <c r="G158" s="6" t="s">
        <v>745</v>
      </c>
      <c r="H158" s="6" t="s">
        <v>320</v>
      </c>
    </row>
    <row r="159">
      <c r="A159" s="6">
        <v>157.0</v>
      </c>
      <c r="B159" s="6" t="s">
        <v>189</v>
      </c>
      <c r="C159" s="12" t="s">
        <v>79</v>
      </c>
      <c r="D159" s="6" t="s">
        <v>49</v>
      </c>
      <c r="E159" s="6" t="s">
        <v>719</v>
      </c>
      <c r="F159" s="12" t="s">
        <v>79</v>
      </c>
      <c r="G159" s="6" t="s">
        <v>752</v>
      </c>
      <c r="H159" s="6" t="s">
        <v>217</v>
      </c>
    </row>
    <row r="160">
      <c r="A160" s="6">
        <v>158.0</v>
      </c>
      <c r="B160" s="6" t="s">
        <v>110</v>
      </c>
      <c r="C160" s="12" t="s">
        <v>112</v>
      </c>
      <c r="D160" s="6" t="s">
        <v>49</v>
      </c>
      <c r="E160" s="6" t="s">
        <v>516</v>
      </c>
      <c r="F160" s="12" t="s">
        <v>79</v>
      </c>
      <c r="G160" s="6" t="s">
        <v>759</v>
      </c>
      <c r="H160" s="6" t="s">
        <v>195</v>
      </c>
    </row>
    <row r="161">
      <c r="A161" s="20" t="s">
        <v>761</v>
      </c>
      <c r="B161" s="20" t="s">
        <v>767</v>
      </c>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0" t="s">
        <v>772</v>
      </c>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6">
        <v>159.0</v>
      </c>
      <c r="B163" s="6" t="s">
        <v>50</v>
      </c>
      <c r="C163" s="12" t="s">
        <v>779</v>
      </c>
      <c r="D163" s="6" t="s">
        <v>772</v>
      </c>
      <c r="E163" s="6" t="s">
        <v>788</v>
      </c>
      <c r="F163" s="12" t="s">
        <v>789</v>
      </c>
      <c r="G163" s="6" t="s">
        <v>808</v>
      </c>
      <c r="H163" s="6" t="s">
        <v>809</v>
      </c>
    </row>
    <row r="164">
      <c r="A164" s="6">
        <v>160.0</v>
      </c>
      <c r="B164" s="6" t="s">
        <v>811</v>
      </c>
      <c r="C164" s="12" t="s">
        <v>812</v>
      </c>
      <c r="D164" s="6" t="s">
        <v>772</v>
      </c>
      <c r="E164" s="6" t="s">
        <v>822</v>
      </c>
      <c r="F164" s="12" t="s">
        <v>789</v>
      </c>
      <c r="G164" s="6" t="s">
        <v>823</v>
      </c>
      <c r="H164" s="6" t="s">
        <v>809</v>
      </c>
    </row>
    <row r="165">
      <c r="A165" s="6">
        <v>161.0</v>
      </c>
      <c r="B165" s="6" t="s">
        <v>251</v>
      </c>
      <c r="C165" s="12" t="s">
        <v>824</v>
      </c>
      <c r="D165" s="6" t="s">
        <v>772</v>
      </c>
      <c r="E165" s="6" t="s">
        <v>831</v>
      </c>
      <c r="F165" s="12" t="s">
        <v>789</v>
      </c>
      <c r="G165" s="6" t="s">
        <v>832</v>
      </c>
      <c r="H165" s="6" t="s">
        <v>833</v>
      </c>
    </row>
    <row r="166">
      <c r="A166" s="6">
        <v>162.0</v>
      </c>
      <c r="B166" s="6" t="s">
        <v>50</v>
      </c>
      <c r="C166" s="12" t="s">
        <v>836</v>
      </c>
      <c r="D166" s="6" t="s">
        <v>772</v>
      </c>
      <c r="E166" s="6" t="s">
        <v>843</v>
      </c>
      <c r="F166" s="12" t="s">
        <v>789</v>
      </c>
      <c r="G166" s="6" t="s">
        <v>845</v>
      </c>
      <c r="H166" s="6" t="s">
        <v>848</v>
      </c>
    </row>
    <row r="167">
      <c r="A167" s="6">
        <v>163.0</v>
      </c>
      <c r="B167" s="6" t="s">
        <v>850</v>
      </c>
      <c r="C167" s="12" t="s">
        <v>852</v>
      </c>
      <c r="D167" s="6" t="s">
        <v>772</v>
      </c>
      <c r="E167" s="6" t="s">
        <v>859</v>
      </c>
      <c r="F167" s="12" t="s">
        <v>789</v>
      </c>
      <c r="G167" s="6" t="s">
        <v>860</v>
      </c>
      <c r="H167" s="6" t="s">
        <v>861</v>
      </c>
    </row>
    <row r="168">
      <c r="A168" s="6">
        <v>164.0</v>
      </c>
      <c r="B168" s="6" t="s">
        <v>850</v>
      </c>
      <c r="C168" s="12" t="s">
        <v>852</v>
      </c>
      <c r="D168" s="6" t="s">
        <v>772</v>
      </c>
      <c r="E168" s="6" t="s">
        <v>859</v>
      </c>
      <c r="F168" s="12" t="s">
        <v>789</v>
      </c>
      <c r="G168" s="6">
        <v>8.23578803636287E14</v>
      </c>
      <c r="H168" s="6" t="s">
        <v>867</v>
      </c>
    </row>
    <row r="169">
      <c r="A169" s="6">
        <v>165.0</v>
      </c>
      <c r="B169" s="6" t="s">
        <v>189</v>
      </c>
      <c r="C169" s="12" t="s">
        <v>870</v>
      </c>
      <c r="D169" s="6" t="s">
        <v>772</v>
      </c>
      <c r="E169" s="6" t="s">
        <v>875</v>
      </c>
      <c r="F169" s="12" t="s">
        <v>789</v>
      </c>
      <c r="G169" s="6">
        <v>9.03217772057284E14</v>
      </c>
      <c r="H169" s="6" t="s">
        <v>878</v>
      </c>
    </row>
    <row r="170">
      <c r="A170" s="6">
        <v>166.0</v>
      </c>
      <c r="B170" s="6" t="s">
        <v>189</v>
      </c>
      <c r="C170" s="12" t="s">
        <v>870</v>
      </c>
      <c r="D170" s="6" t="s">
        <v>772</v>
      </c>
      <c r="E170" s="6" t="s">
        <v>875</v>
      </c>
      <c r="F170" s="12" t="s">
        <v>789</v>
      </c>
      <c r="G170" s="6" t="s">
        <v>880</v>
      </c>
      <c r="H170" s="6" t="s">
        <v>848</v>
      </c>
    </row>
    <row r="171">
      <c r="A171" s="6">
        <v>167.0</v>
      </c>
      <c r="B171" s="6" t="s">
        <v>50</v>
      </c>
      <c r="C171" s="12" t="s">
        <v>870</v>
      </c>
      <c r="D171" s="6" t="s">
        <v>772</v>
      </c>
      <c r="E171" s="6" t="s">
        <v>883</v>
      </c>
      <c r="F171" s="12" t="s">
        <v>789</v>
      </c>
      <c r="G171" s="6">
        <v>8.08906338427102E14</v>
      </c>
      <c r="H171" s="6" t="s">
        <v>885</v>
      </c>
    </row>
    <row r="172">
      <c r="A172" s="6">
        <v>168.0</v>
      </c>
      <c r="B172" s="6" t="s">
        <v>251</v>
      </c>
      <c r="C172" s="12" t="s">
        <v>886</v>
      </c>
      <c r="D172" s="6" t="s">
        <v>772</v>
      </c>
      <c r="E172" s="6" t="s">
        <v>894</v>
      </c>
      <c r="F172" s="12" t="s">
        <v>789</v>
      </c>
      <c r="G172" s="6">
        <v>6.81348218359931E14</v>
      </c>
      <c r="H172" s="6" t="s">
        <v>895</v>
      </c>
    </row>
    <row r="173">
      <c r="A173" s="6">
        <v>169.0</v>
      </c>
      <c r="B173" s="6" t="s">
        <v>251</v>
      </c>
      <c r="C173" s="12" t="s">
        <v>886</v>
      </c>
      <c r="D173" s="6" t="s">
        <v>772</v>
      </c>
      <c r="E173" s="6" t="s">
        <v>904</v>
      </c>
      <c r="F173" s="12" t="s">
        <v>789</v>
      </c>
      <c r="G173" s="6" t="s">
        <v>905</v>
      </c>
      <c r="H173" s="6" t="s">
        <v>861</v>
      </c>
    </row>
    <row r="174">
      <c r="A174" s="6">
        <v>170.0</v>
      </c>
      <c r="B174" s="6" t="s">
        <v>251</v>
      </c>
      <c r="C174" s="12" t="s">
        <v>886</v>
      </c>
      <c r="D174" s="6" t="s">
        <v>772</v>
      </c>
      <c r="E174" s="6" t="s">
        <v>894</v>
      </c>
      <c r="F174" s="12" t="s">
        <v>789</v>
      </c>
      <c r="G174" s="6" t="s">
        <v>908</v>
      </c>
      <c r="H174" s="6" t="s">
        <v>909</v>
      </c>
    </row>
    <row r="175">
      <c r="A175" s="6">
        <v>171.0</v>
      </c>
      <c r="B175" s="6" t="s">
        <v>50</v>
      </c>
      <c r="C175" s="12" t="s">
        <v>870</v>
      </c>
      <c r="D175" s="6" t="s">
        <v>772</v>
      </c>
      <c r="E175" s="6" t="s">
        <v>883</v>
      </c>
      <c r="F175" s="12" t="s">
        <v>789</v>
      </c>
      <c r="G175" s="6" t="s">
        <v>913</v>
      </c>
      <c r="H175" s="6" t="s">
        <v>861</v>
      </c>
    </row>
    <row r="176">
      <c r="A176" s="6">
        <v>172.0</v>
      </c>
      <c r="B176" s="6" t="s">
        <v>251</v>
      </c>
      <c r="C176" s="12" t="s">
        <v>886</v>
      </c>
      <c r="D176" s="6" t="s">
        <v>772</v>
      </c>
      <c r="E176" s="6" t="s">
        <v>904</v>
      </c>
      <c r="F176" s="12" t="s">
        <v>789</v>
      </c>
      <c r="G176" s="6" t="s">
        <v>915</v>
      </c>
      <c r="H176" s="6" t="s">
        <v>917</v>
      </c>
    </row>
    <row r="177">
      <c r="A177" s="6">
        <v>173.0</v>
      </c>
      <c r="B177" s="6" t="s">
        <v>251</v>
      </c>
      <c r="C177" s="12" t="s">
        <v>886</v>
      </c>
      <c r="D177" s="6" t="s">
        <v>772</v>
      </c>
      <c r="E177" s="6" t="s">
        <v>921</v>
      </c>
      <c r="F177" s="12" t="s">
        <v>789</v>
      </c>
      <c r="G177" s="6" t="s">
        <v>923</v>
      </c>
      <c r="H177" s="6" t="s">
        <v>925</v>
      </c>
    </row>
    <row r="178">
      <c r="A178" s="6">
        <v>174.0</v>
      </c>
      <c r="B178" s="6" t="s">
        <v>50</v>
      </c>
      <c r="C178" s="12" t="s">
        <v>836</v>
      </c>
      <c r="D178" s="6" t="s">
        <v>772</v>
      </c>
      <c r="E178" s="6" t="s">
        <v>843</v>
      </c>
      <c r="F178" s="12" t="s">
        <v>789</v>
      </c>
      <c r="G178" s="6">
        <v>9.00738569119821E14</v>
      </c>
      <c r="H178" s="6" t="s">
        <v>861</v>
      </c>
    </row>
    <row r="179">
      <c r="A179" s="6">
        <v>175.0</v>
      </c>
      <c r="B179" s="6" t="s">
        <v>251</v>
      </c>
      <c r="C179" s="12" t="s">
        <v>886</v>
      </c>
      <c r="D179" s="6" t="s">
        <v>772</v>
      </c>
      <c r="E179" s="6" t="s">
        <v>894</v>
      </c>
      <c r="F179" s="12" t="s">
        <v>789</v>
      </c>
      <c r="G179" s="6" t="s">
        <v>931</v>
      </c>
      <c r="H179" s="6" t="s">
        <v>861</v>
      </c>
    </row>
    <row r="180">
      <c r="A180" s="6">
        <v>176.0</v>
      </c>
      <c r="B180" s="6" t="s">
        <v>251</v>
      </c>
      <c r="C180" s="12" t="s">
        <v>886</v>
      </c>
      <c r="D180" s="6" t="s">
        <v>772</v>
      </c>
      <c r="E180" s="6" t="s">
        <v>894</v>
      </c>
      <c r="F180" s="12" t="s">
        <v>789</v>
      </c>
      <c r="G180" s="6" t="s">
        <v>933</v>
      </c>
      <c r="H180" s="6" t="s">
        <v>878</v>
      </c>
    </row>
    <row r="181">
      <c r="A181" s="6">
        <v>177.0</v>
      </c>
      <c r="B181" s="6" t="s">
        <v>251</v>
      </c>
      <c r="C181" s="12" t="s">
        <v>886</v>
      </c>
      <c r="D181" s="6" t="s">
        <v>772</v>
      </c>
      <c r="E181" s="6" t="s">
        <v>921</v>
      </c>
      <c r="F181" s="12" t="s">
        <v>789</v>
      </c>
      <c r="G181" s="6">
        <v>8.60923420209406E14</v>
      </c>
      <c r="H181" s="6" t="s">
        <v>861</v>
      </c>
    </row>
    <row r="182">
      <c r="A182" s="20" t="s">
        <v>44</v>
      </c>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6">
        <v>178.0</v>
      </c>
      <c r="B183" s="6" t="s">
        <v>811</v>
      </c>
      <c r="C183" s="12" t="s">
        <v>942</v>
      </c>
      <c r="D183" s="6" t="s">
        <v>44</v>
      </c>
      <c r="E183" s="6" t="s">
        <v>950</v>
      </c>
      <c r="F183" s="12" t="s">
        <v>951</v>
      </c>
      <c r="G183" s="6" t="s">
        <v>970</v>
      </c>
      <c r="H183" s="6" t="s">
        <v>971</v>
      </c>
    </row>
    <row r="184">
      <c r="A184" s="6">
        <v>179.0</v>
      </c>
      <c r="B184" s="6" t="s">
        <v>811</v>
      </c>
      <c r="C184" s="12" t="s">
        <v>942</v>
      </c>
      <c r="D184" s="6" t="s">
        <v>44</v>
      </c>
      <c r="E184" s="6" t="s">
        <v>974</v>
      </c>
      <c r="F184" s="12" t="s">
        <v>951</v>
      </c>
      <c r="G184" s="6" t="s">
        <v>977</v>
      </c>
      <c r="H184" s="6" t="s">
        <v>979</v>
      </c>
    </row>
    <row r="185">
      <c r="A185" s="6">
        <v>180.0</v>
      </c>
      <c r="B185" s="6" t="s">
        <v>50</v>
      </c>
      <c r="C185" s="12" t="s">
        <v>982</v>
      </c>
      <c r="D185" s="6" t="s">
        <v>44</v>
      </c>
      <c r="E185" s="6" t="s">
        <v>988</v>
      </c>
      <c r="F185" s="12" t="s">
        <v>951</v>
      </c>
      <c r="G185" s="6" t="s">
        <v>990</v>
      </c>
      <c r="H185" s="6" t="s">
        <v>991</v>
      </c>
    </row>
    <row r="186">
      <c r="A186" s="6">
        <v>181.0</v>
      </c>
      <c r="B186" s="6" t="s">
        <v>811</v>
      </c>
      <c r="C186" s="12" t="s">
        <v>995</v>
      </c>
      <c r="D186" s="6" t="s">
        <v>44</v>
      </c>
      <c r="E186" s="6" t="s">
        <v>998</v>
      </c>
      <c r="F186" s="12" t="s">
        <v>951</v>
      </c>
      <c r="G186" s="6" t="s">
        <v>999</v>
      </c>
      <c r="H186" s="6" t="s">
        <v>1000</v>
      </c>
    </row>
    <row r="187">
      <c r="A187" s="6">
        <v>182.0</v>
      </c>
      <c r="B187" s="6" t="s">
        <v>1001</v>
      </c>
      <c r="C187" s="12" t="s">
        <v>1002</v>
      </c>
      <c r="D187" s="6" t="s">
        <v>44</v>
      </c>
      <c r="E187" s="6" t="s">
        <v>1010</v>
      </c>
      <c r="F187" s="12" t="s">
        <v>951</v>
      </c>
      <c r="G187" s="6" t="s">
        <v>1012</v>
      </c>
      <c r="H187" s="6" t="s">
        <v>1013</v>
      </c>
    </row>
    <row r="188">
      <c r="A188" s="6">
        <v>183.0</v>
      </c>
      <c r="B188" s="6" t="s">
        <v>50</v>
      </c>
      <c r="C188" s="12" t="s">
        <v>942</v>
      </c>
      <c r="D188" s="6" t="s">
        <v>44</v>
      </c>
      <c r="E188" s="6" t="s">
        <v>1018</v>
      </c>
      <c r="F188" s="12" t="s">
        <v>951</v>
      </c>
      <c r="G188" s="6" t="s">
        <v>1020</v>
      </c>
      <c r="H188" s="6" t="s">
        <v>1021</v>
      </c>
    </row>
    <row r="189">
      <c r="A189" s="6">
        <v>184.0</v>
      </c>
      <c r="B189" s="6" t="s">
        <v>1001</v>
      </c>
      <c r="C189" s="12" t="s">
        <v>1022</v>
      </c>
      <c r="D189" s="6" t="s">
        <v>44</v>
      </c>
      <c r="E189" s="6" t="s">
        <v>1028</v>
      </c>
      <c r="F189" s="12" t="s">
        <v>951</v>
      </c>
      <c r="G189" s="6" t="s">
        <v>1029</v>
      </c>
      <c r="H189" s="6" t="s">
        <v>1031</v>
      </c>
    </row>
    <row r="190">
      <c r="A190" s="6">
        <v>185.0</v>
      </c>
      <c r="B190" s="6" t="s">
        <v>50</v>
      </c>
      <c r="C190" s="12" t="s">
        <v>1002</v>
      </c>
      <c r="D190" s="6" t="s">
        <v>44</v>
      </c>
      <c r="E190" s="6" t="s">
        <v>1037</v>
      </c>
      <c r="F190" s="12" t="s">
        <v>951</v>
      </c>
      <c r="G190" s="6" t="s">
        <v>1038</v>
      </c>
      <c r="H190" s="6" t="s">
        <v>1039</v>
      </c>
    </row>
    <row r="191">
      <c r="A191" s="6">
        <v>186.0</v>
      </c>
      <c r="B191" s="6" t="s">
        <v>50</v>
      </c>
      <c r="C191" s="12" t="s">
        <v>1041</v>
      </c>
      <c r="D191" s="6" t="s">
        <v>1048</v>
      </c>
      <c r="E191" s="6" t="s">
        <v>1049</v>
      </c>
      <c r="F191" s="12" t="s">
        <v>951</v>
      </c>
      <c r="G191" s="6" t="s">
        <v>1050</v>
      </c>
      <c r="H191" s="6" t="s">
        <v>1052</v>
      </c>
    </row>
    <row r="192">
      <c r="A192" s="6">
        <v>187.0</v>
      </c>
      <c r="B192" s="6" t="s">
        <v>1001</v>
      </c>
      <c r="C192" s="12" t="s">
        <v>1002</v>
      </c>
      <c r="D192" s="6" t="s">
        <v>44</v>
      </c>
      <c r="E192" s="6" t="s">
        <v>1059</v>
      </c>
      <c r="F192" s="12" t="s">
        <v>951</v>
      </c>
      <c r="G192" s="6" t="s">
        <v>1060</v>
      </c>
      <c r="H192" s="6" t="s">
        <v>1061</v>
      </c>
    </row>
    <row r="193">
      <c r="A193" s="6">
        <v>188.0</v>
      </c>
      <c r="B193" s="6" t="s">
        <v>811</v>
      </c>
      <c r="C193" s="12" t="s">
        <v>995</v>
      </c>
      <c r="D193" s="6" t="s">
        <v>44</v>
      </c>
      <c r="E193" s="6" t="s">
        <v>1063</v>
      </c>
      <c r="F193" s="12" t="s">
        <v>951</v>
      </c>
      <c r="G193" s="6" t="s">
        <v>1064</v>
      </c>
      <c r="H193" s="6" t="s">
        <v>1066</v>
      </c>
    </row>
    <row r="194">
      <c r="A194" s="6">
        <v>189.0</v>
      </c>
      <c r="B194" s="6" t="s">
        <v>811</v>
      </c>
      <c r="C194" s="12" t="s">
        <v>1041</v>
      </c>
      <c r="D194" s="6" t="s">
        <v>1048</v>
      </c>
      <c r="E194" s="6" t="s">
        <v>1071</v>
      </c>
      <c r="F194" s="12" t="s">
        <v>951</v>
      </c>
      <c r="G194" s="6" t="s">
        <v>1072</v>
      </c>
      <c r="H194" s="6" t="s">
        <v>1073</v>
      </c>
    </row>
    <row r="195">
      <c r="A195" s="6">
        <v>190.0</v>
      </c>
      <c r="B195" s="6" t="s">
        <v>251</v>
      </c>
      <c r="C195" s="12" t="s">
        <v>982</v>
      </c>
      <c r="D195" s="6" t="s">
        <v>44</v>
      </c>
      <c r="E195" s="6" t="s">
        <v>1074</v>
      </c>
      <c r="F195" s="12" t="s">
        <v>951</v>
      </c>
      <c r="G195" s="6" t="s">
        <v>1075</v>
      </c>
      <c r="H195" s="6" t="s">
        <v>991</v>
      </c>
    </row>
    <row r="196">
      <c r="A196" s="6">
        <v>191.0</v>
      </c>
      <c r="B196" s="6" t="s">
        <v>50</v>
      </c>
      <c r="C196" s="12" t="s">
        <v>995</v>
      </c>
      <c r="D196" s="6" t="s">
        <v>44</v>
      </c>
      <c r="E196" s="6" t="s">
        <v>1080</v>
      </c>
      <c r="F196" s="12" t="s">
        <v>951</v>
      </c>
      <c r="G196" s="6" t="s">
        <v>1082</v>
      </c>
      <c r="H196" s="6" t="s">
        <v>1000</v>
      </c>
    </row>
    <row r="197">
      <c r="A197" s="6">
        <v>192.0</v>
      </c>
      <c r="B197" s="6" t="s">
        <v>811</v>
      </c>
      <c r="C197" s="12" t="s">
        <v>942</v>
      </c>
      <c r="D197" s="6" t="s">
        <v>44</v>
      </c>
      <c r="E197" s="6" t="s">
        <v>1085</v>
      </c>
      <c r="F197" s="12" t="s">
        <v>951</v>
      </c>
      <c r="G197" s="6" t="s">
        <v>1088</v>
      </c>
      <c r="H197" s="6" t="s">
        <v>1089</v>
      </c>
    </row>
    <row r="198">
      <c r="A198" s="6">
        <v>193.0</v>
      </c>
      <c r="B198" s="6" t="s">
        <v>1001</v>
      </c>
      <c r="C198" s="12" t="s">
        <v>1002</v>
      </c>
      <c r="D198" s="6" t="s">
        <v>44</v>
      </c>
      <c r="E198" s="6" t="s">
        <v>1093</v>
      </c>
      <c r="F198" s="12" t="s">
        <v>951</v>
      </c>
      <c r="G198" s="6" t="s">
        <v>1094</v>
      </c>
      <c r="H198" s="6" t="s">
        <v>1095</v>
      </c>
    </row>
    <row r="199">
      <c r="A199" s="6">
        <v>194.0</v>
      </c>
      <c r="B199" s="6" t="s">
        <v>811</v>
      </c>
      <c r="C199" s="12" t="s">
        <v>942</v>
      </c>
      <c r="D199" s="6" t="s">
        <v>44</v>
      </c>
      <c r="E199" s="6" t="s">
        <v>1098</v>
      </c>
      <c r="F199" s="12" t="s">
        <v>951</v>
      </c>
      <c r="G199" s="6" t="s">
        <v>1099</v>
      </c>
      <c r="H199" s="6" t="s">
        <v>1100</v>
      </c>
    </row>
    <row r="200">
      <c r="A200" s="6">
        <v>195.0</v>
      </c>
      <c r="B200" s="6" t="s">
        <v>50</v>
      </c>
      <c r="C200" s="12" t="s">
        <v>995</v>
      </c>
      <c r="D200" s="6" t="s">
        <v>44</v>
      </c>
      <c r="E200" s="6" t="s">
        <v>1102</v>
      </c>
      <c r="F200" s="12" t="s">
        <v>951</v>
      </c>
      <c r="G200" s="6" t="s">
        <v>1106</v>
      </c>
      <c r="H200" s="6" t="s">
        <v>1107</v>
      </c>
    </row>
    <row r="201">
      <c r="A201" s="6">
        <v>196.0</v>
      </c>
      <c r="B201" s="6" t="s">
        <v>50</v>
      </c>
      <c r="C201" s="12" t="s">
        <v>942</v>
      </c>
      <c r="D201" s="6" t="s">
        <v>44</v>
      </c>
      <c r="E201" s="6" t="s">
        <v>1112</v>
      </c>
      <c r="F201" s="12" t="s">
        <v>951</v>
      </c>
      <c r="G201" s="6" t="s">
        <v>1113</v>
      </c>
      <c r="H201" s="6" t="s">
        <v>1100</v>
      </c>
    </row>
    <row r="202">
      <c r="A202" s="6">
        <v>197.0</v>
      </c>
      <c r="B202" s="6" t="s">
        <v>1001</v>
      </c>
      <c r="C202" s="12" t="s">
        <v>1114</v>
      </c>
      <c r="D202" s="6" t="s">
        <v>44</v>
      </c>
      <c r="E202" s="6" t="s">
        <v>1120</v>
      </c>
      <c r="F202" s="12" t="s">
        <v>951</v>
      </c>
      <c r="G202" s="6">
        <v>9.91036303768566E14</v>
      </c>
      <c r="H202" s="6" t="s">
        <v>1121</v>
      </c>
    </row>
    <row r="203">
      <c r="A203" s="6">
        <v>198.0</v>
      </c>
      <c r="B203" s="6" t="s">
        <v>850</v>
      </c>
      <c r="C203" s="12" t="s">
        <v>1041</v>
      </c>
      <c r="D203" s="6" t="s">
        <v>1048</v>
      </c>
      <c r="E203" s="6" t="s">
        <v>1126</v>
      </c>
      <c r="F203" s="12" t="s">
        <v>951</v>
      </c>
      <c r="G203" s="6" t="s">
        <v>1128</v>
      </c>
      <c r="H203" s="6" t="s">
        <v>1129</v>
      </c>
    </row>
    <row r="204">
      <c r="A204" s="6">
        <v>199.0</v>
      </c>
      <c r="B204" s="6" t="s">
        <v>811</v>
      </c>
      <c r="C204" s="12" t="s">
        <v>995</v>
      </c>
      <c r="D204" s="6" t="s">
        <v>44</v>
      </c>
      <c r="E204" s="6" t="s">
        <v>998</v>
      </c>
      <c r="F204" s="12" t="s">
        <v>951</v>
      </c>
      <c r="G204" s="6" t="s">
        <v>1132</v>
      </c>
      <c r="H204" s="6" t="s">
        <v>1000</v>
      </c>
    </row>
    <row r="205">
      <c r="A205" s="6">
        <v>200.0</v>
      </c>
      <c r="B205" s="6" t="s">
        <v>1001</v>
      </c>
      <c r="C205" s="12" t="s">
        <v>982</v>
      </c>
      <c r="D205" s="6" t="s">
        <v>44</v>
      </c>
      <c r="E205" s="6" t="s">
        <v>1135</v>
      </c>
      <c r="F205" s="12" t="s">
        <v>951</v>
      </c>
      <c r="G205" s="6" t="s">
        <v>1137</v>
      </c>
      <c r="H205" s="6" t="s">
        <v>991</v>
      </c>
    </row>
    <row r="206">
      <c r="A206" s="6">
        <v>201.0</v>
      </c>
      <c r="B206" s="6" t="s">
        <v>1001</v>
      </c>
      <c r="C206" s="12" t="s">
        <v>982</v>
      </c>
      <c r="D206" s="6" t="s">
        <v>44</v>
      </c>
      <c r="E206" s="6" t="s">
        <v>1138</v>
      </c>
      <c r="F206" s="12" t="s">
        <v>951</v>
      </c>
      <c r="G206" s="6" t="s">
        <v>1139</v>
      </c>
      <c r="H206" s="6" t="s">
        <v>1140</v>
      </c>
    </row>
    <row r="207">
      <c r="A207" s="6">
        <v>202.0</v>
      </c>
      <c r="B207" s="6" t="s">
        <v>811</v>
      </c>
      <c r="C207" s="12" t="s">
        <v>995</v>
      </c>
      <c r="D207" s="6" t="s">
        <v>44</v>
      </c>
      <c r="E207" s="6" t="s">
        <v>1141</v>
      </c>
      <c r="F207" s="12" t="s">
        <v>951</v>
      </c>
      <c r="G207" s="6" t="s">
        <v>1145</v>
      </c>
      <c r="H207" s="6" t="s">
        <v>1146</v>
      </c>
    </row>
    <row r="208">
      <c r="A208" s="6">
        <v>203.0</v>
      </c>
      <c r="B208" s="6" t="s">
        <v>811</v>
      </c>
      <c r="C208" s="12" t="s">
        <v>995</v>
      </c>
      <c r="D208" s="6" t="s">
        <v>44</v>
      </c>
      <c r="E208" s="6" t="s">
        <v>1148</v>
      </c>
      <c r="F208" s="12" t="s">
        <v>951</v>
      </c>
      <c r="G208" s="6" t="s">
        <v>1150</v>
      </c>
      <c r="H208" s="6" t="s">
        <v>1151</v>
      </c>
    </row>
    <row r="209">
      <c r="A209" s="6">
        <v>204.0</v>
      </c>
      <c r="B209" s="6" t="s">
        <v>811</v>
      </c>
      <c r="C209" s="12" t="s">
        <v>1002</v>
      </c>
      <c r="D209" s="6" t="s">
        <v>44</v>
      </c>
      <c r="E209" s="6" t="s">
        <v>1153</v>
      </c>
      <c r="F209" s="12" t="s">
        <v>951</v>
      </c>
      <c r="G209" s="6" t="s">
        <v>1156</v>
      </c>
      <c r="H209" s="6" t="s">
        <v>1052</v>
      </c>
    </row>
    <row r="210">
      <c r="A210" s="6">
        <v>205.0</v>
      </c>
      <c r="B210" s="6" t="s">
        <v>251</v>
      </c>
      <c r="C210" s="12" t="s">
        <v>982</v>
      </c>
      <c r="D210" s="6" t="s">
        <v>44</v>
      </c>
      <c r="E210" s="6" t="s">
        <v>1160</v>
      </c>
      <c r="F210" s="12" t="s">
        <v>951</v>
      </c>
      <c r="G210" s="6" t="s">
        <v>1161</v>
      </c>
      <c r="H210" s="6" t="s">
        <v>1162</v>
      </c>
    </row>
    <row r="211">
      <c r="A211" s="6">
        <v>206.0</v>
      </c>
      <c r="B211" s="6" t="s">
        <v>50</v>
      </c>
      <c r="C211" s="12" t="s">
        <v>942</v>
      </c>
      <c r="D211" s="6" t="s">
        <v>44</v>
      </c>
      <c r="E211" s="6" t="s">
        <v>1163</v>
      </c>
      <c r="F211" s="12" t="s">
        <v>951</v>
      </c>
      <c r="G211" s="6" t="s">
        <v>1164</v>
      </c>
      <c r="H211" s="6" t="s">
        <v>1165</v>
      </c>
    </row>
    <row r="212">
      <c r="A212" s="6">
        <v>207.0</v>
      </c>
      <c r="B212" s="6" t="s">
        <v>50</v>
      </c>
      <c r="C212" s="12" t="s">
        <v>942</v>
      </c>
      <c r="D212" s="6" t="s">
        <v>44</v>
      </c>
      <c r="E212" s="6" t="s">
        <v>1170</v>
      </c>
      <c r="F212" s="12" t="s">
        <v>951</v>
      </c>
      <c r="G212" s="6" t="s">
        <v>1172</v>
      </c>
      <c r="H212" s="6" t="s">
        <v>1173</v>
      </c>
    </row>
    <row r="213">
      <c r="A213" s="6">
        <v>208.0</v>
      </c>
      <c r="B213" s="6" t="s">
        <v>1001</v>
      </c>
      <c r="C213" s="12" t="s">
        <v>982</v>
      </c>
      <c r="D213" s="6" t="s">
        <v>44</v>
      </c>
      <c r="E213" s="6" t="s">
        <v>1174</v>
      </c>
      <c r="F213" s="12" t="s">
        <v>951</v>
      </c>
      <c r="G213" s="6" t="s">
        <v>1176</v>
      </c>
      <c r="H213" s="6" t="s">
        <v>1178</v>
      </c>
    </row>
    <row r="214">
      <c r="A214" s="6">
        <v>209.0</v>
      </c>
      <c r="B214" s="6" t="s">
        <v>1001</v>
      </c>
      <c r="C214" s="12" t="s">
        <v>1002</v>
      </c>
      <c r="D214" s="6" t="s">
        <v>44</v>
      </c>
      <c r="E214" s="6" t="s">
        <v>1181</v>
      </c>
      <c r="F214" s="12" t="s">
        <v>951</v>
      </c>
      <c r="G214" s="6" t="s">
        <v>1183</v>
      </c>
      <c r="H214" s="6" t="s">
        <v>1184</v>
      </c>
    </row>
    <row r="215">
      <c r="A215" s="6">
        <v>210.0</v>
      </c>
      <c r="B215" s="6" t="s">
        <v>50</v>
      </c>
      <c r="C215" s="12" t="s">
        <v>1185</v>
      </c>
      <c r="D215" s="6" t="s">
        <v>44</v>
      </c>
      <c r="E215" s="6" t="s">
        <v>1192</v>
      </c>
      <c r="F215" s="12" t="s">
        <v>951</v>
      </c>
      <c r="G215" s="6" t="s">
        <v>1193</v>
      </c>
      <c r="H215" s="6" t="s">
        <v>1194</v>
      </c>
    </row>
    <row r="216">
      <c r="A216" s="6">
        <v>211.0</v>
      </c>
      <c r="B216" s="6" t="s">
        <v>50</v>
      </c>
      <c r="C216" s="12" t="s">
        <v>995</v>
      </c>
      <c r="D216" s="6" t="s">
        <v>44</v>
      </c>
      <c r="E216" s="6" t="s">
        <v>1204</v>
      </c>
      <c r="F216" s="12" t="s">
        <v>951</v>
      </c>
      <c r="G216" s="6" t="s">
        <v>1207</v>
      </c>
      <c r="H216" s="6" t="s">
        <v>1208</v>
      </c>
    </row>
    <row r="217">
      <c r="A217" s="6">
        <v>212.0</v>
      </c>
      <c r="B217" s="6" t="s">
        <v>50</v>
      </c>
      <c r="C217" s="12" t="s">
        <v>1002</v>
      </c>
      <c r="D217" s="6" t="s">
        <v>44</v>
      </c>
      <c r="E217" s="6" t="s">
        <v>1209</v>
      </c>
      <c r="F217" s="12" t="s">
        <v>951</v>
      </c>
      <c r="G217" s="6" t="s">
        <v>1210</v>
      </c>
      <c r="H217" s="6" t="s">
        <v>1211</v>
      </c>
    </row>
    <row r="218">
      <c r="A218" s="6">
        <v>213.0</v>
      </c>
      <c r="B218" s="6" t="s">
        <v>811</v>
      </c>
      <c r="C218" s="12" t="s">
        <v>995</v>
      </c>
      <c r="D218" s="6" t="s">
        <v>44</v>
      </c>
      <c r="E218" s="6" t="s">
        <v>998</v>
      </c>
      <c r="F218" s="12" t="s">
        <v>951</v>
      </c>
      <c r="G218" s="6" t="s">
        <v>1215</v>
      </c>
      <c r="H218" s="6" t="s">
        <v>1151</v>
      </c>
    </row>
    <row r="219">
      <c r="A219" s="6">
        <v>214.0</v>
      </c>
      <c r="B219" s="6" t="s">
        <v>50</v>
      </c>
      <c r="C219" s="12" t="s">
        <v>942</v>
      </c>
      <c r="D219" s="6" t="s">
        <v>44</v>
      </c>
      <c r="E219" s="6" t="s">
        <v>1219</v>
      </c>
      <c r="F219" s="12" t="s">
        <v>951</v>
      </c>
      <c r="G219" s="6" t="s">
        <v>1220</v>
      </c>
      <c r="H219" s="6" t="s">
        <v>1221</v>
      </c>
    </row>
    <row r="220">
      <c r="A220" s="6">
        <v>215.0</v>
      </c>
      <c r="B220" s="6" t="s">
        <v>1001</v>
      </c>
      <c r="C220" s="12" t="s">
        <v>1002</v>
      </c>
      <c r="D220" s="6" t="s">
        <v>44</v>
      </c>
      <c r="E220" s="6" t="s">
        <v>1223</v>
      </c>
      <c r="F220" s="12" t="s">
        <v>951</v>
      </c>
      <c r="G220" s="6" t="s">
        <v>1226</v>
      </c>
      <c r="H220" s="6" t="s">
        <v>1031</v>
      </c>
    </row>
    <row r="221">
      <c r="A221" s="6">
        <v>216.0</v>
      </c>
      <c r="B221" s="6" t="s">
        <v>1001</v>
      </c>
      <c r="C221" s="12" t="s">
        <v>1022</v>
      </c>
      <c r="D221" s="6" t="s">
        <v>44</v>
      </c>
      <c r="E221" s="6" t="s">
        <v>1229</v>
      </c>
      <c r="F221" s="12" t="s">
        <v>951</v>
      </c>
      <c r="G221" s="6" t="s">
        <v>1230</v>
      </c>
      <c r="H221" s="6" t="s">
        <v>1233</v>
      </c>
    </row>
    <row r="222">
      <c r="A222" s="6">
        <v>217.0</v>
      </c>
      <c r="B222" s="6" t="s">
        <v>1001</v>
      </c>
      <c r="C222" s="12" t="s">
        <v>1235</v>
      </c>
      <c r="D222" s="6" t="s">
        <v>44</v>
      </c>
      <c r="E222" s="6" t="s">
        <v>1243</v>
      </c>
      <c r="F222" s="12" t="s">
        <v>951</v>
      </c>
      <c r="G222" s="6" t="s">
        <v>1245</v>
      </c>
      <c r="H222" s="6" t="s">
        <v>1031</v>
      </c>
    </row>
    <row r="223">
      <c r="A223" s="6">
        <v>218.0</v>
      </c>
      <c r="B223" s="6" t="s">
        <v>50</v>
      </c>
      <c r="C223" s="12" t="s">
        <v>1185</v>
      </c>
      <c r="D223" s="6" t="s">
        <v>44</v>
      </c>
      <c r="E223" s="6" t="s">
        <v>1246</v>
      </c>
      <c r="F223" s="12" t="s">
        <v>951</v>
      </c>
      <c r="G223" s="6" t="s">
        <v>1249</v>
      </c>
      <c r="H223" s="6" t="s">
        <v>1129</v>
      </c>
    </row>
    <row r="224">
      <c r="A224" s="6">
        <v>219.0</v>
      </c>
      <c r="B224" s="6" t="s">
        <v>1001</v>
      </c>
      <c r="C224" s="12" t="s">
        <v>1252</v>
      </c>
      <c r="D224" s="6" t="s">
        <v>44</v>
      </c>
      <c r="E224" s="6" t="s">
        <v>1260</v>
      </c>
      <c r="F224" s="12" t="s">
        <v>951</v>
      </c>
      <c r="G224" s="6">
        <v>1.08628025392737E15</v>
      </c>
      <c r="H224" s="6" t="s">
        <v>1211</v>
      </c>
    </row>
    <row r="225">
      <c r="A225" s="6">
        <v>220.0</v>
      </c>
      <c r="B225" s="6" t="s">
        <v>1001</v>
      </c>
      <c r="C225" s="12" t="s">
        <v>982</v>
      </c>
      <c r="D225" s="6" t="s">
        <v>44</v>
      </c>
      <c r="E225" s="6" t="s">
        <v>1264</v>
      </c>
      <c r="F225" s="12" t="s">
        <v>951</v>
      </c>
      <c r="G225" s="6" t="s">
        <v>1265</v>
      </c>
      <c r="H225" s="6" t="s">
        <v>1121</v>
      </c>
    </row>
    <row r="226">
      <c r="A226" s="6">
        <v>221.0</v>
      </c>
      <c r="B226" s="6" t="s">
        <v>1001</v>
      </c>
      <c r="C226" s="12" t="s">
        <v>1266</v>
      </c>
      <c r="D226" s="6" t="s">
        <v>44</v>
      </c>
      <c r="E226" s="6" t="s">
        <v>1274</v>
      </c>
      <c r="F226" s="12" t="s">
        <v>951</v>
      </c>
      <c r="G226" s="6" t="s">
        <v>1277</v>
      </c>
      <c r="H226" s="6" t="s">
        <v>1211</v>
      </c>
    </row>
    <row r="227">
      <c r="A227" s="6">
        <v>222.0</v>
      </c>
      <c r="B227" s="6" t="s">
        <v>50</v>
      </c>
      <c r="C227" s="12" t="s">
        <v>942</v>
      </c>
      <c r="D227" s="6" t="s">
        <v>44</v>
      </c>
      <c r="E227" s="6" t="s">
        <v>1282</v>
      </c>
      <c r="F227" s="12" t="s">
        <v>951</v>
      </c>
      <c r="G227" s="6" t="s">
        <v>1283</v>
      </c>
      <c r="H227" s="6" t="s">
        <v>1211</v>
      </c>
    </row>
    <row r="228">
      <c r="A228" s="6">
        <v>223.0</v>
      </c>
      <c r="B228" s="6" t="s">
        <v>1001</v>
      </c>
      <c r="C228" s="12" t="s">
        <v>982</v>
      </c>
      <c r="D228" s="6" t="s">
        <v>44</v>
      </c>
      <c r="E228" s="6" t="s">
        <v>1285</v>
      </c>
      <c r="F228" s="12" t="s">
        <v>951</v>
      </c>
      <c r="G228" s="6" t="s">
        <v>1287</v>
      </c>
      <c r="H228" s="6" t="s">
        <v>979</v>
      </c>
    </row>
    <row r="229">
      <c r="A229" s="6">
        <v>224.0</v>
      </c>
      <c r="B229" s="6" t="s">
        <v>1001</v>
      </c>
      <c r="C229" s="12" t="s">
        <v>1290</v>
      </c>
      <c r="D229" s="6" t="s">
        <v>44</v>
      </c>
      <c r="E229" s="6" t="s">
        <v>1297</v>
      </c>
      <c r="F229" s="12" t="s">
        <v>951</v>
      </c>
      <c r="G229" s="6" t="s">
        <v>1298</v>
      </c>
      <c r="H229" s="6" t="s">
        <v>979</v>
      </c>
    </row>
    <row r="230">
      <c r="A230" s="6">
        <v>225.0</v>
      </c>
      <c r="B230" s="6" t="s">
        <v>1001</v>
      </c>
      <c r="C230" s="12" t="s">
        <v>1114</v>
      </c>
      <c r="D230" s="6" t="s">
        <v>44</v>
      </c>
      <c r="E230" s="6" t="s">
        <v>1303</v>
      </c>
      <c r="F230" s="12" t="s">
        <v>951</v>
      </c>
      <c r="G230" s="6" t="s">
        <v>1304</v>
      </c>
      <c r="H230" s="6" t="s">
        <v>1305</v>
      </c>
    </row>
    <row r="231">
      <c r="A231" s="6">
        <v>226.0</v>
      </c>
      <c r="B231" s="6" t="s">
        <v>50</v>
      </c>
      <c r="C231" s="12" t="s">
        <v>982</v>
      </c>
      <c r="D231" s="6" t="s">
        <v>44</v>
      </c>
      <c r="E231" s="6" t="s">
        <v>1308</v>
      </c>
      <c r="F231" s="12" t="s">
        <v>951</v>
      </c>
      <c r="G231" s="6" t="s">
        <v>1309</v>
      </c>
      <c r="H231" s="6" t="s">
        <v>1121</v>
      </c>
    </row>
    <row r="232">
      <c r="A232" s="6">
        <v>227.0</v>
      </c>
      <c r="B232" s="6" t="s">
        <v>1001</v>
      </c>
      <c r="C232" s="12" t="s">
        <v>982</v>
      </c>
      <c r="D232" s="6" t="s">
        <v>44</v>
      </c>
      <c r="E232" s="6" t="s">
        <v>1313</v>
      </c>
      <c r="F232" s="12" t="s">
        <v>951</v>
      </c>
      <c r="G232" s="6" t="s">
        <v>1315</v>
      </c>
      <c r="H232" s="6" t="s">
        <v>1121</v>
      </c>
    </row>
    <row r="233">
      <c r="A233" s="6">
        <v>228.0</v>
      </c>
      <c r="B233" s="6" t="s">
        <v>1001</v>
      </c>
      <c r="C233" s="12" t="s">
        <v>1114</v>
      </c>
      <c r="D233" s="6" t="s">
        <v>44</v>
      </c>
      <c r="E233" s="6" t="s">
        <v>1316</v>
      </c>
      <c r="F233" s="12" t="s">
        <v>951</v>
      </c>
      <c r="G233" s="6" t="s">
        <v>1318</v>
      </c>
      <c r="H233" s="6" t="s">
        <v>1319</v>
      </c>
    </row>
    <row r="234">
      <c r="A234" s="6">
        <v>229.0</v>
      </c>
      <c r="B234" s="6" t="s">
        <v>1001</v>
      </c>
      <c r="C234" s="12" t="s">
        <v>1235</v>
      </c>
      <c r="D234" s="6" t="s">
        <v>44</v>
      </c>
      <c r="E234" s="6" t="s">
        <v>1243</v>
      </c>
      <c r="F234" s="12" t="s">
        <v>951</v>
      </c>
      <c r="G234" s="6" t="s">
        <v>1322</v>
      </c>
      <c r="H234" s="6" t="s">
        <v>1211</v>
      </c>
    </row>
    <row r="235">
      <c r="A235" s="6">
        <v>230.0</v>
      </c>
      <c r="B235" s="6" t="s">
        <v>1001</v>
      </c>
      <c r="C235" s="12" t="s">
        <v>1324</v>
      </c>
      <c r="D235" s="6" t="s">
        <v>44</v>
      </c>
      <c r="E235" s="6" t="s">
        <v>1330</v>
      </c>
      <c r="F235" s="12" t="s">
        <v>951</v>
      </c>
      <c r="G235" s="6" t="s">
        <v>1331</v>
      </c>
      <c r="H235" s="6" t="s">
        <v>1332</v>
      </c>
    </row>
    <row r="236">
      <c r="A236" s="6">
        <v>231.0</v>
      </c>
      <c r="B236" s="6" t="s">
        <v>1001</v>
      </c>
      <c r="C236" s="12" t="s">
        <v>1266</v>
      </c>
      <c r="D236" s="6" t="s">
        <v>44</v>
      </c>
      <c r="E236" s="6" t="s">
        <v>1336</v>
      </c>
      <c r="F236" s="12" t="s">
        <v>951</v>
      </c>
      <c r="G236" s="6" t="s">
        <v>1337</v>
      </c>
      <c r="H236" s="6" t="s">
        <v>1211</v>
      </c>
    </row>
    <row r="237">
      <c r="A237" s="6">
        <v>232.0</v>
      </c>
      <c r="B237" s="6" t="s">
        <v>50</v>
      </c>
      <c r="C237" s="12" t="s">
        <v>1339</v>
      </c>
      <c r="D237" s="6" t="s">
        <v>44</v>
      </c>
      <c r="E237" s="6" t="s">
        <v>1345</v>
      </c>
      <c r="F237" s="12" t="s">
        <v>951</v>
      </c>
      <c r="G237" s="6">
        <v>1.00027307639833E15</v>
      </c>
      <c r="H237" s="6" t="s">
        <v>1013</v>
      </c>
    </row>
    <row r="238">
      <c r="A238" s="6">
        <v>233.0</v>
      </c>
      <c r="B238" s="6" t="s">
        <v>50</v>
      </c>
      <c r="C238" s="12" t="s">
        <v>942</v>
      </c>
      <c r="D238" s="6" t="s">
        <v>44</v>
      </c>
      <c r="E238" s="6" t="s">
        <v>1346</v>
      </c>
      <c r="F238" s="12" t="s">
        <v>951</v>
      </c>
      <c r="G238" s="6" t="s">
        <v>1349</v>
      </c>
      <c r="H238" s="6" t="s">
        <v>1351</v>
      </c>
    </row>
    <row r="239">
      <c r="A239" s="6">
        <v>234.0</v>
      </c>
      <c r="B239" s="6" t="s">
        <v>1001</v>
      </c>
      <c r="C239" s="12" t="s">
        <v>982</v>
      </c>
      <c r="D239" s="6" t="s">
        <v>44</v>
      </c>
      <c r="E239" s="6" t="s">
        <v>1352</v>
      </c>
      <c r="F239" s="12" t="s">
        <v>951</v>
      </c>
      <c r="G239" s="6" t="s">
        <v>1354</v>
      </c>
      <c r="H239" s="6" t="s">
        <v>1052</v>
      </c>
    </row>
    <row r="240">
      <c r="A240" s="6">
        <v>235.0</v>
      </c>
      <c r="B240" s="6" t="s">
        <v>50</v>
      </c>
      <c r="C240" s="12" t="s">
        <v>1339</v>
      </c>
      <c r="D240" s="6" t="s">
        <v>44</v>
      </c>
      <c r="E240" s="6" t="s">
        <v>1345</v>
      </c>
      <c r="F240" s="12" t="s">
        <v>951</v>
      </c>
      <c r="G240" s="6">
        <v>1.07963478158896E15</v>
      </c>
      <c r="H240" s="6" t="s">
        <v>1013</v>
      </c>
    </row>
    <row r="241">
      <c r="A241" s="6">
        <v>236.0</v>
      </c>
      <c r="B241" s="6" t="s">
        <v>1001</v>
      </c>
      <c r="C241" s="12" t="s">
        <v>1361</v>
      </c>
      <c r="D241" s="6" t="s">
        <v>44</v>
      </c>
      <c r="E241" s="6" t="s">
        <v>1365</v>
      </c>
      <c r="F241" s="12" t="s">
        <v>951</v>
      </c>
      <c r="G241" s="6" t="s">
        <v>1366</v>
      </c>
      <c r="H241" s="6" t="s">
        <v>1013</v>
      </c>
    </row>
    <row r="242">
      <c r="A242" s="6">
        <v>237.0</v>
      </c>
      <c r="B242" s="6" t="s">
        <v>50</v>
      </c>
      <c r="C242" s="12" t="s">
        <v>982</v>
      </c>
      <c r="D242" s="6" t="s">
        <v>44</v>
      </c>
      <c r="E242" s="6" t="s">
        <v>1368</v>
      </c>
      <c r="F242" s="12" t="s">
        <v>951</v>
      </c>
      <c r="G242" s="6" t="s">
        <v>1369</v>
      </c>
      <c r="H242" s="6" t="s">
        <v>1013</v>
      </c>
    </row>
    <row r="243">
      <c r="A243" s="6">
        <v>238.0</v>
      </c>
      <c r="B243" s="6" t="s">
        <v>1001</v>
      </c>
      <c r="C243" s="12" t="s">
        <v>1185</v>
      </c>
      <c r="D243" s="6" t="s">
        <v>44</v>
      </c>
      <c r="E243" s="6" t="s">
        <v>1374</v>
      </c>
      <c r="F243" s="12" t="s">
        <v>951</v>
      </c>
      <c r="G243" s="6" t="s">
        <v>1378</v>
      </c>
      <c r="H243" s="6" t="s">
        <v>1194</v>
      </c>
    </row>
    <row r="244">
      <c r="A244" s="6">
        <v>239.0</v>
      </c>
      <c r="B244" s="6" t="s">
        <v>1001</v>
      </c>
      <c r="C244" s="12" t="s">
        <v>1339</v>
      </c>
      <c r="D244" s="6" t="s">
        <v>44</v>
      </c>
      <c r="E244" s="6" t="s">
        <v>1380</v>
      </c>
      <c r="F244" s="12" t="s">
        <v>951</v>
      </c>
      <c r="G244" s="6" t="s">
        <v>1381</v>
      </c>
      <c r="H244" s="6" t="s">
        <v>1211</v>
      </c>
    </row>
    <row r="245">
      <c r="A245" s="6">
        <v>240.0</v>
      </c>
      <c r="B245" s="6" t="s">
        <v>50</v>
      </c>
      <c r="C245" s="12" t="s">
        <v>1185</v>
      </c>
      <c r="D245" s="6" t="s">
        <v>44</v>
      </c>
      <c r="E245" s="6" t="s">
        <v>1384</v>
      </c>
      <c r="F245" s="12" t="s">
        <v>951</v>
      </c>
      <c r="G245" s="6" t="s">
        <v>1386</v>
      </c>
      <c r="H245" s="6" t="s">
        <v>1194</v>
      </c>
    </row>
    <row r="246">
      <c r="A246" s="6">
        <v>241.0</v>
      </c>
      <c r="B246" s="6" t="s">
        <v>811</v>
      </c>
      <c r="C246" s="12" t="s">
        <v>942</v>
      </c>
      <c r="D246" s="6" t="s">
        <v>44</v>
      </c>
      <c r="E246" s="6" t="s">
        <v>1390</v>
      </c>
      <c r="F246" s="12" t="s">
        <v>951</v>
      </c>
      <c r="G246" s="6" t="s">
        <v>1391</v>
      </c>
      <c r="H246" s="6" t="s">
        <v>1100</v>
      </c>
    </row>
    <row r="247">
      <c r="A247" s="6">
        <v>242.0</v>
      </c>
      <c r="B247" s="6" t="s">
        <v>50</v>
      </c>
      <c r="C247" s="12" t="s">
        <v>995</v>
      </c>
      <c r="D247" s="6" t="s">
        <v>44</v>
      </c>
      <c r="E247" s="6" t="s">
        <v>1392</v>
      </c>
      <c r="F247" s="12" t="s">
        <v>951</v>
      </c>
      <c r="G247" s="6" t="s">
        <v>1394</v>
      </c>
      <c r="H247" s="6" t="s">
        <v>1396</v>
      </c>
    </row>
    <row r="248">
      <c r="A248" s="6">
        <v>243.0</v>
      </c>
      <c r="B248" s="6" t="s">
        <v>50</v>
      </c>
      <c r="C248" s="12" t="s">
        <v>942</v>
      </c>
      <c r="D248" s="6" t="s">
        <v>44</v>
      </c>
      <c r="E248" s="6" t="s">
        <v>1401</v>
      </c>
      <c r="F248" s="12" t="s">
        <v>951</v>
      </c>
      <c r="G248" s="6" t="s">
        <v>1403</v>
      </c>
      <c r="H248" s="6" t="s">
        <v>1404</v>
      </c>
    </row>
    <row r="249">
      <c r="A249" s="6">
        <v>244.0</v>
      </c>
      <c r="B249" s="6" t="s">
        <v>251</v>
      </c>
      <c r="C249" s="12" t="s">
        <v>942</v>
      </c>
      <c r="D249" s="6" t="s">
        <v>44</v>
      </c>
      <c r="E249" s="6" t="s">
        <v>1405</v>
      </c>
      <c r="F249" s="12" t="s">
        <v>951</v>
      </c>
      <c r="G249" s="6" t="s">
        <v>1406</v>
      </c>
      <c r="H249" s="6" t="s">
        <v>1407</v>
      </c>
    </row>
    <row r="250">
      <c r="A250" s="22" t="s">
        <v>1410</v>
      </c>
      <c r="B250" s="22" t="s">
        <v>767</v>
      </c>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2" t="s">
        <v>1419</v>
      </c>
      <c r="B251" s="22" t="s">
        <v>767</v>
      </c>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2" t="s">
        <v>1421</v>
      </c>
      <c r="B252" s="22" t="s">
        <v>767</v>
      </c>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4" t="s">
        <v>1422</v>
      </c>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6">
        <v>245.0</v>
      </c>
      <c r="B254" s="6" t="s">
        <v>50</v>
      </c>
      <c r="C254" s="12" t="s">
        <v>1428</v>
      </c>
      <c r="D254" s="12" t="s">
        <v>1435</v>
      </c>
      <c r="E254" s="6" t="s">
        <v>1441</v>
      </c>
      <c r="F254" s="12" t="s">
        <v>1442</v>
      </c>
      <c r="G254" s="6">
        <v>8.01842682333548E14</v>
      </c>
      <c r="H254" s="6" t="s">
        <v>1453</v>
      </c>
    </row>
    <row r="255">
      <c r="A255" s="6">
        <v>246.0</v>
      </c>
      <c r="B255" s="6" t="s">
        <v>1001</v>
      </c>
      <c r="C255" s="12" t="s">
        <v>1457</v>
      </c>
      <c r="D255" s="12" t="s">
        <v>1435</v>
      </c>
      <c r="E255" s="6" t="s">
        <v>1462</v>
      </c>
      <c r="F255" s="12" t="s">
        <v>1442</v>
      </c>
      <c r="G255" s="6" t="s">
        <v>1463</v>
      </c>
      <c r="H255" s="6" t="s">
        <v>1464</v>
      </c>
    </row>
    <row r="256">
      <c r="A256" s="6">
        <v>247.0</v>
      </c>
      <c r="B256" s="6" t="s">
        <v>50</v>
      </c>
      <c r="C256" s="12" t="s">
        <v>1457</v>
      </c>
      <c r="D256" s="12" t="s">
        <v>1435</v>
      </c>
      <c r="E256" s="6" t="s">
        <v>1466</v>
      </c>
      <c r="F256" s="12" t="s">
        <v>1442</v>
      </c>
      <c r="G256" s="6" t="s">
        <v>1467</v>
      </c>
      <c r="H256" s="6" t="s">
        <v>1468</v>
      </c>
    </row>
    <row r="257">
      <c r="A257" s="6">
        <v>248.0</v>
      </c>
      <c r="B257" s="6" t="s">
        <v>189</v>
      </c>
      <c r="C257" s="12" t="s">
        <v>1470</v>
      </c>
      <c r="D257" s="12" t="s">
        <v>1435</v>
      </c>
      <c r="E257" s="6" t="s">
        <v>1478</v>
      </c>
      <c r="F257" s="12" t="s">
        <v>1442</v>
      </c>
      <c r="G257" s="6" t="s">
        <v>1479</v>
      </c>
      <c r="H257" s="6" t="s">
        <v>1481</v>
      </c>
    </row>
    <row r="258">
      <c r="A258" s="6">
        <v>249.0</v>
      </c>
      <c r="B258" s="6" t="s">
        <v>50</v>
      </c>
      <c r="C258" s="12" t="s">
        <v>1457</v>
      </c>
      <c r="D258" s="12" t="s">
        <v>1435</v>
      </c>
      <c r="E258" s="6" t="s">
        <v>1466</v>
      </c>
      <c r="F258" s="12" t="s">
        <v>1442</v>
      </c>
      <c r="G258" s="6" t="s">
        <v>1482</v>
      </c>
      <c r="H258" s="6" t="s">
        <v>1483</v>
      </c>
    </row>
    <row r="259">
      <c r="A259" s="6">
        <v>250.0</v>
      </c>
      <c r="B259" s="6" t="s">
        <v>189</v>
      </c>
      <c r="C259" s="12" t="s">
        <v>1470</v>
      </c>
      <c r="D259" s="12" t="s">
        <v>1435</v>
      </c>
      <c r="E259" s="6" t="s">
        <v>1478</v>
      </c>
      <c r="F259" s="12" t="s">
        <v>1442</v>
      </c>
      <c r="G259" s="6">
        <v>7.1538661800517E14</v>
      </c>
      <c r="H259" s="6" t="s">
        <v>1487</v>
      </c>
    </row>
    <row r="260">
      <c r="A260" s="6">
        <v>251.0</v>
      </c>
      <c r="B260" s="6" t="s">
        <v>50</v>
      </c>
      <c r="C260" s="12" t="s">
        <v>1457</v>
      </c>
      <c r="D260" s="12" t="s">
        <v>1435</v>
      </c>
      <c r="E260" s="6" t="s">
        <v>1466</v>
      </c>
      <c r="F260" s="12" t="s">
        <v>1442</v>
      </c>
      <c r="G260" s="6" t="s">
        <v>1489</v>
      </c>
      <c r="H260" s="6" t="s">
        <v>1490</v>
      </c>
    </row>
    <row r="261">
      <c r="A261" s="6">
        <v>252.0</v>
      </c>
      <c r="B261" s="6" t="s">
        <v>1001</v>
      </c>
      <c r="C261" s="12" t="s">
        <v>1457</v>
      </c>
      <c r="D261" s="12" t="s">
        <v>1435</v>
      </c>
      <c r="E261" s="6" t="s">
        <v>1495</v>
      </c>
      <c r="F261" s="12" t="s">
        <v>1442</v>
      </c>
      <c r="G261" s="6" t="s">
        <v>1498</v>
      </c>
      <c r="H261" s="6" t="s">
        <v>1499</v>
      </c>
    </row>
    <row r="262">
      <c r="A262" s="6">
        <v>253.0</v>
      </c>
      <c r="B262" s="6" t="s">
        <v>1001</v>
      </c>
      <c r="C262" s="12" t="s">
        <v>1457</v>
      </c>
      <c r="D262" s="12" t="s">
        <v>1435</v>
      </c>
      <c r="E262" s="6" t="s">
        <v>1495</v>
      </c>
      <c r="F262" s="12" t="s">
        <v>1442</v>
      </c>
      <c r="G262" s="6" t="s">
        <v>1500</v>
      </c>
      <c r="H262" s="6" t="s">
        <v>1501</v>
      </c>
    </row>
    <row r="263">
      <c r="A263" s="6">
        <v>254.0</v>
      </c>
      <c r="B263" s="6" t="s">
        <v>189</v>
      </c>
      <c r="C263" s="12" t="s">
        <v>1505</v>
      </c>
      <c r="D263" s="12" t="s">
        <v>1435</v>
      </c>
      <c r="E263" s="6" t="s">
        <v>1512</v>
      </c>
      <c r="F263" s="12" t="s">
        <v>1442</v>
      </c>
      <c r="G263" s="6" t="s">
        <v>1516</v>
      </c>
      <c r="H263" s="6" t="s">
        <v>1517</v>
      </c>
    </row>
    <row r="264">
      <c r="A264" s="6">
        <v>255.0</v>
      </c>
      <c r="B264" s="6" t="s">
        <v>50</v>
      </c>
      <c r="C264" s="12" t="s">
        <v>1457</v>
      </c>
      <c r="D264" s="12" t="s">
        <v>1435</v>
      </c>
      <c r="E264" s="6" t="s">
        <v>1466</v>
      </c>
      <c r="F264" s="12" t="s">
        <v>1442</v>
      </c>
      <c r="G264" s="6" t="s">
        <v>1518</v>
      </c>
      <c r="H264" s="6" t="s">
        <v>1519</v>
      </c>
    </row>
    <row r="265">
      <c r="A265" s="6">
        <v>256.0</v>
      </c>
      <c r="B265" s="6" t="s">
        <v>1001</v>
      </c>
      <c r="C265" s="12" t="s">
        <v>1457</v>
      </c>
      <c r="D265" s="12" t="s">
        <v>1435</v>
      </c>
      <c r="E265" s="6" t="s">
        <v>1462</v>
      </c>
      <c r="F265" s="12" t="s">
        <v>1442</v>
      </c>
      <c r="G265" s="6">
        <v>1.64473071988574E15</v>
      </c>
      <c r="H265" s="6" t="s">
        <v>1468</v>
      </c>
    </row>
    <row r="266">
      <c r="A266" s="6">
        <v>257.0</v>
      </c>
      <c r="B266" s="6" t="s">
        <v>50</v>
      </c>
      <c r="C266" s="12" t="s">
        <v>1457</v>
      </c>
      <c r="D266" s="12" t="s">
        <v>1435</v>
      </c>
      <c r="E266" s="6" t="s">
        <v>1466</v>
      </c>
      <c r="F266" s="12" t="s">
        <v>1442</v>
      </c>
      <c r="G266" s="6" t="s">
        <v>1523</v>
      </c>
      <c r="H266" s="6" t="s">
        <v>1524</v>
      </c>
    </row>
    <row r="267">
      <c r="A267" s="6">
        <v>258.0</v>
      </c>
      <c r="B267" s="6" t="s">
        <v>50</v>
      </c>
      <c r="C267" s="12" t="s">
        <v>1457</v>
      </c>
      <c r="D267" s="12" t="s">
        <v>1435</v>
      </c>
      <c r="E267" s="6" t="s">
        <v>1466</v>
      </c>
      <c r="F267" s="12" t="s">
        <v>1442</v>
      </c>
      <c r="G267" s="6">
        <v>8.18897714501555E14</v>
      </c>
      <c r="H267" s="6" t="s">
        <v>1526</v>
      </c>
    </row>
    <row r="268">
      <c r="A268" s="6">
        <v>259.0</v>
      </c>
      <c r="B268" s="6" t="s">
        <v>50</v>
      </c>
      <c r="C268" s="12" t="s">
        <v>1457</v>
      </c>
      <c r="D268" s="12" t="s">
        <v>1435</v>
      </c>
      <c r="E268" s="6" t="s">
        <v>1466</v>
      </c>
      <c r="F268" s="12" t="s">
        <v>1442</v>
      </c>
      <c r="G268" s="6" t="s">
        <v>1532</v>
      </c>
      <c r="H268" s="6" t="s">
        <v>1517</v>
      </c>
    </row>
    <row r="269">
      <c r="A269" s="6">
        <v>260.0</v>
      </c>
      <c r="B269" s="6" t="s">
        <v>50</v>
      </c>
      <c r="C269" s="12" t="s">
        <v>1457</v>
      </c>
      <c r="D269" s="12" t="s">
        <v>1435</v>
      </c>
      <c r="E269" s="6" t="s">
        <v>1466</v>
      </c>
      <c r="F269" s="12" t="s">
        <v>1442</v>
      </c>
      <c r="G269" s="6" t="s">
        <v>1533</v>
      </c>
      <c r="H269" s="6" t="s">
        <v>1534</v>
      </c>
    </row>
    <row r="270">
      <c r="A270" s="6">
        <v>261.0</v>
      </c>
      <c r="B270" s="6" t="s">
        <v>189</v>
      </c>
      <c r="C270" s="12" t="s">
        <v>1470</v>
      </c>
      <c r="D270" s="12" t="s">
        <v>1435</v>
      </c>
      <c r="E270" s="6" t="s">
        <v>1478</v>
      </c>
      <c r="F270" s="12" t="s">
        <v>1442</v>
      </c>
      <c r="G270" s="6">
        <v>7.82215241019858E14</v>
      </c>
      <c r="H270" s="6" t="s">
        <v>1539</v>
      </c>
    </row>
    <row r="271">
      <c r="A271" s="6">
        <v>262.0</v>
      </c>
      <c r="B271" s="6" t="s">
        <v>50</v>
      </c>
      <c r="C271" s="12" t="s">
        <v>1457</v>
      </c>
      <c r="D271" s="12" t="s">
        <v>1435</v>
      </c>
      <c r="E271" s="6" t="s">
        <v>1466</v>
      </c>
      <c r="F271" s="12" t="s">
        <v>1442</v>
      </c>
      <c r="G271" s="6" t="s">
        <v>1541</v>
      </c>
      <c r="H271" s="6" t="s">
        <v>1534</v>
      </c>
    </row>
    <row r="272">
      <c r="A272" s="6">
        <v>263.0</v>
      </c>
      <c r="B272" s="6" t="s">
        <v>50</v>
      </c>
      <c r="C272" s="12" t="s">
        <v>1457</v>
      </c>
      <c r="D272" s="12" t="s">
        <v>1435</v>
      </c>
      <c r="E272" s="6" t="s">
        <v>1466</v>
      </c>
      <c r="F272" s="12" t="s">
        <v>1442</v>
      </c>
      <c r="G272" s="6" t="s">
        <v>1545</v>
      </c>
      <c r="H272" s="6" t="s">
        <v>1547</v>
      </c>
    </row>
    <row r="273">
      <c r="A273" s="6">
        <v>264.0</v>
      </c>
      <c r="B273" s="6" t="s">
        <v>50</v>
      </c>
      <c r="C273" s="12" t="s">
        <v>1457</v>
      </c>
      <c r="D273" s="12" t="s">
        <v>1435</v>
      </c>
      <c r="E273" s="6" t="s">
        <v>1466</v>
      </c>
      <c r="F273" s="12" t="s">
        <v>1442</v>
      </c>
      <c r="G273" s="6">
        <v>9.13891994906727E14</v>
      </c>
      <c r="H273" s="6" t="s">
        <v>1551</v>
      </c>
    </row>
    <row r="274">
      <c r="A274" s="6">
        <v>265.0</v>
      </c>
      <c r="B274" s="6" t="s">
        <v>50</v>
      </c>
      <c r="C274" s="12" t="s">
        <v>1457</v>
      </c>
      <c r="D274" s="12" t="s">
        <v>1435</v>
      </c>
      <c r="E274" s="6" t="s">
        <v>1552</v>
      </c>
      <c r="F274" s="12" t="s">
        <v>1442</v>
      </c>
      <c r="G274" s="6" t="s">
        <v>1553</v>
      </c>
      <c r="H274" s="6" t="s">
        <v>1554</v>
      </c>
    </row>
    <row r="275">
      <c r="A275" s="6">
        <v>266.0</v>
      </c>
      <c r="B275" s="6" t="s">
        <v>50</v>
      </c>
      <c r="C275" s="12" t="s">
        <v>1457</v>
      </c>
      <c r="D275" s="12" t="s">
        <v>1435</v>
      </c>
      <c r="E275" s="6" t="s">
        <v>1466</v>
      </c>
      <c r="F275" s="12" t="s">
        <v>1442</v>
      </c>
      <c r="G275" s="6" t="s">
        <v>1559</v>
      </c>
      <c r="H275" s="6" t="s">
        <v>1524</v>
      </c>
    </row>
    <row r="276">
      <c r="A276" s="6">
        <v>267.0</v>
      </c>
      <c r="B276" s="6" t="s">
        <v>50</v>
      </c>
      <c r="C276" s="12" t="s">
        <v>1457</v>
      </c>
      <c r="D276" s="12" t="s">
        <v>1435</v>
      </c>
      <c r="E276" s="6" t="s">
        <v>1466</v>
      </c>
      <c r="F276" s="12" t="s">
        <v>1442</v>
      </c>
      <c r="G276" s="6" t="s">
        <v>1560</v>
      </c>
      <c r="H276" s="6" t="s">
        <v>1547</v>
      </c>
    </row>
    <row r="277">
      <c r="A277" s="6">
        <v>268.0</v>
      </c>
      <c r="B277" s="6" t="s">
        <v>1001</v>
      </c>
      <c r="C277" s="12" t="s">
        <v>1457</v>
      </c>
      <c r="D277" s="12" t="s">
        <v>1435</v>
      </c>
      <c r="E277" s="6" t="s">
        <v>1462</v>
      </c>
      <c r="F277" s="12" t="s">
        <v>1442</v>
      </c>
      <c r="G277" s="6">
        <v>7.60049606800872E14</v>
      </c>
      <c r="H277" s="6" t="s">
        <v>1566</v>
      </c>
    </row>
    <row r="278">
      <c r="A278" s="6">
        <v>269.0</v>
      </c>
      <c r="B278" s="6" t="s">
        <v>50</v>
      </c>
      <c r="C278" s="12" t="s">
        <v>1457</v>
      </c>
      <c r="D278" s="12" t="s">
        <v>1435</v>
      </c>
      <c r="E278" s="6" t="s">
        <v>1466</v>
      </c>
      <c r="F278" s="12" t="s">
        <v>1442</v>
      </c>
      <c r="G278" s="6" t="s">
        <v>1568</v>
      </c>
      <c r="H278" s="6" t="s">
        <v>1526</v>
      </c>
    </row>
    <row r="279">
      <c r="A279" s="6">
        <v>270.0</v>
      </c>
      <c r="B279" s="6" t="s">
        <v>50</v>
      </c>
      <c r="C279" s="12" t="s">
        <v>1457</v>
      </c>
      <c r="D279" s="12" t="s">
        <v>1435</v>
      </c>
      <c r="E279" s="6" t="s">
        <v>1466</v>
      </c>
      <c r="F279" s="12" t="s">
        <v>1442</v>
      </c>
      <c r="G279" s="6">
        <v>1.38422525968563E15</v>
      </c>
      <c r="H279" s="6" t="s">
        <v>1519</v>
      </c>
    </row>
    <row r="280">
      <c r="A280" s="6">
        <v>271.0</v>
      </c>
      <c r="B280" s="6" t="s">
        <v>1001</v>
      </c>
      <c r="C280" s="12" t="s">
        <v>1457</v>
      </c>
      <c r="D280" s="12" t="s">
        <v>1435</v>
      </c>
      <c r="E280" s="6" t="s">
        <v>1462</v>
      </c>
      <c r="F280" s="12" t="s">
        <v>1442</v>
      </c>
      <c r="G280" s="6">
        <v>8.80282651376063E14</v>
      </c>
      <c r="H280" s="6" t="s">
        <v>1519</v>
      </c>
    </row>
    <row r="281">
      <c r="A281" s="6">
        <v>272.0</v>
      </c>
      <c r="B281" s="6" t="s">
        <v>50</v>
      </c>
      <c r="C281" s="12" t="s">
        <v>1457</v>
      </c>
      <c r="D281" s="12" t="s">
        <v>1435</v>
      </c>
      <c r="E281" s="6" t="s">
        <v>1466</v>
      </c>
      <c r="F281" s="12" t="s">
        <v>1442</v>
      </c>
      <c r="G281" s="6" t="s">
        <v>1578</v>
      </c>
      <c r="H281" s="6" t="s">
        <v>1579</v>
      </c>
    </row>
    <row r="282">
      <c r="A282" s="6">
        <v>273.0</v>
      </c>
      <c r="B282" s="6" t="s">
        <v>50</v>
      </c>
      <c r="C282" s="12" t="s">
        <v>1457</v>
      </c>
      <c r="D282" s="12" t="s">
        <v>1435</v>
      </c>
      <c r="E282" s="6" t="s">
        <v>1466</v>
      </c>
      <c r="F282" s="12" t="s">
        <v>1442</v>
      </c>
      <c r="G282" s="6">
        <v>1.70773928047861E15</v>
      </c>
      <c r="H282" s="6" t="s">
        <v>1581</v>
      </c>
    </row>
    <row r="283">
      <c r="A283" s="6">
        <v>274.0</v>
      </c>
      <c r="B283" s="6" t="s">
        <v>1001</v>
      </c>
      <c r="C283" s="12" t="s">
        <v>1457</v>
      </c>
      <c r="D283" s="12" t="s">
        <v>1435</v>
      </c>
      <c r="E283" s="6" t="s">
        <v>1584</v>
      </c>
      <c r="F283" s="12" t="s">
        <v>1442</v>
      </c>
      <c r="G283" s="6">
        <v>8.76891334751098E14</v>
      </c>
      <c r="H283" s="6" t="s">
        <v>1589</v>
      </c>
    </row>
    <row r="284">
      <c r="A284" s="6">
        <v>275.0</v>
      </c>
      <c r="B284" s="6" t="s">
        <v>50</v>
      </c>
      <c r="C284" s="12" t="s">
        <v>1457</v>
      </c>
      <c r="D284" s="12" t="s">
        <v>1435</v>
      </c>
      <c r="E284" s="6" t="s">
        <v>1590</v>
      </c>
      <c r="F284" s="12" t="s">
        <v>1442</v>
      </c>
      <c r="G284" s="6" t="s">
        <v>1591</v>
      </c>
      <c r="H284" s="6" t="s">
        <v>1592</v>
      </c>
    </row>
    <row r="285">
      <c r="A285" s="6">
        <v>276.0</v>
      </c>
      <c r="B285" s="6" t="s">
        <v>50</v>
      </c>
      <c r="C285" s="12" t="s">
        <v>1457</v>
      </c>
      <c r="D285" s="12" t="s">
        <v>1435</v>
      </c>
      <c r="E285" s="6" t="s">
        <v>1590</v>
      </c>
      <c r="F285" s="12" t="s">
        <v>1442</v>
      </c>
      <c r="G285" s="6" t="s">
        <v>1596</v>
      </c>
      <c r="H285" s="6" t="s">
        <v>1598</v>
      </c>
    </row>
    <row r="286">
      <c r="A286" s="6">
        <v>277.0</v>
      </c>
      <c r="B286" s="6" t="s">
        <v>50</v>
      </c>
      <c r="C286" s="12" t="s">
        <v>1457</v>
      </c>
      <c r="D286" s="12" t="s">
        <v>1435</v>
      </c>
      <c r="E286" s="6" t="s">
        <v>1600</v>
      </c>
      <c r="F286" s="12" t="s">
        <v>1442</v>
      </c>
      <c r="G286" s="6" t="s">
        <v>1601</v>
      </c>
      <c r="H286" s="6" t="s">
        <v>1517</v>
      </c>
    </row>
    <row r="287">
      <c r="A287" s="6">
        <v>278.0</v>
      </c>
      <c r="B287" s="6" t="s">
        <v>50</v>
      </c>
      <c r="C287" s="12" t="s">
        <v>1457</v>
      </c>
      <c r="D287" s="12" t="s">
        <v>1435</v>
      </c>
      <c r="E287" s="6" t="s">
        <v>1590</v>
      </c>
      <c r="F287" s="12" t="s">
        <v>1442</v>
      </c>
      <c r="G287" s="6" t="s">
        <v>1603</v>
      </c>
      <c r="H287" s="6" t="s">
        <v>1606</v>
      </c>
    </row>
    <row r="288">
      <c r="A288" s="6">
        <v>279.0</v>
      </c>
      <c r="B288" s="6" t="s">
        <v>50</v>
      </c>
      <c r="C288" s="12" t="s">
        <v>1457</v>
      </c>
      <c r="D288" s="12" t="s">
        <v>1435</v>
      </c>
      <c r="E288" s="6" t="s">
        <v>1590</v>
      </c>
      <c r="F288" s="12" t="s">
        <v>1442</v>
      </c>
      <c r="G288" s="6" t="s">
        <v>1611</v>
      </c>
      <c r="H288" s="6" t="s">
        <v>1517</v>
      </c>
    </row>
    <row r="289">
      <c r="A289" s="6">
        <v>280.0</v>
      </c>
      <c r="B289" s="6" t="s">
        <v>50</v>
      </c>
      <c r="C289" s="12" t="s">
        <v>1457</v>
      </c>
      <c r="D289" s="12" t="s">
        <v>1435</v>
      </c>
      <c r="E289" s="6" t="s">
        <v>1590</v>
      </c>
      <c r="F289" s="12" t="s">
        <v>1442</v>
      </c>
      <c r="G289" s="6">
        <v>8.73859842325876E14</v>
      </c>
      <c r="H289" s="6" t="s">
        <v>1606</v>
      </c>
    </row>
    <row r="290">
      <c r="A290" s="6">
        <v>281.0</v>
      </c>
      <c r="B290" s="6" t="s">
        <v>50</v>
      </c>
      <c r="C290" s="12" t="s">
        <v>1457</v>
      </c>
      <c r="D290" s="12" t="s">
        <v>1435</v>
      </c>
      <c r="E290" s="6" t="s">
        <v>1600</v>
      </c>
      <c r="F290" s="12" t="s">
        <v>1442</v>
      </c>
      <c r="G290" s="6" t="s">
        <v>1617</v>
      </c>
      <c r="H290" s="6" t="s">
        <v>1554</v>
      </c>
    </row>
    <row r="291">
      <c r="A291" s="6">
        <v>282.0</v>
      </c>
      <c r="B291" s="6" t="s">
        <v>1001</v>
      </c>
      <c r="C291" s="12" t="s">
        <v>1457</v>
      </c>
      <c r="D291" s="12" t="s">
        <v>1435</v>
      </c>
      <c r="E291" s="6" t="s">
        <v>1619</v>
      </c>
      <c r="F291" s="12" t="s">
        <v>1442</v>
      </c>
      <c r="G291" s="6" t="s">
        <v>1620</v>
      </c>
      <c r="H291" s="6" t="s">
        <v>1606</v>
      </c>
    </row>
    <row r="292">
      <c r="A292" s="24" t="s">
        <v>1622</v>
      </c>
      <c r="B292" s="24" t="s">
        <v>767</v>
      </c>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sheetData>
  <hyperlinks>
    <hyperlink r:id="rId1" ref="C3"/>
    <hyperlink r:id="rId2" ref="F3"/>
    <hyperlink r:id="rId3" ref="C4"/>
    <hyperlink r:id="rId4" ref="F4"/>
    <hyperlink r:id="rId5" ref="C5"/>
    <hyperlink r:id="rId6" ref="F5"/>
    <hyperlink r:id="rId7" ref="C6"/>
    <hyperlink r:id="rId8" ref="F6"/>
    <hyperlink r:id="rId9" ref="C7"/>
    <hyperlink r:id="rId10" ref="F7"/>
    <hyperlink r:id="rId11" ref="C8"/>
    <hyperlink r:id="rId12" ref="F8"/>
    <hyperlink r:id="rId13" ref="C9"/>
    <hyperlink r:id="rId14" ref="F9"/>
    <hyperlink r:id="rId15" ref="C10"/>
    <hyperlink r:id="rId16" ref="F10"/>
    <hyperlink r:id="rId17" ref="C11"/>
    <hyperlink r:id="rId18" ref="F11"/>
    <hyperlink r:id="rId19" ref="C12"/>
    <hyperlink r:id="rId20" ref="F12"/>
    <hyperlink r:id="rId21" ref="C13"/>
    <hyperlink r:id="rId22" ref="F13"/>
    <hyperlink r:id="rId23" ref="C14"/>
    <hyperlink r:id="rId24" ref="F14"/>
    <hyperlink r:id="rId25" ref="C15"/>
    <hyperlink r:id="rId26" ref="F15"/>
    <hyperlink r:id="rId27" ref="C16"/>
    <hyperlink r:id="rId28" ref="F16"/>
    <hyperlink r:id="rId29" ref="C17"/>
    <hyperlink r:id="rId30" ref="F17"/>
    <hyperlink r:id="rId31" ref="C18"/>
    <hyperlink r:id="rId32" ref="F18"/>
    <hyperlink r:id="rId33" ref="C19"/>
    <hyperlink r:id="rId34" ref="F19"/>
    <hyperlink r:id="rId35" ref="C20"/>
    <hyperlink r:id="rId36" ref="F20"/>
    <hyperlink r:id="rId37" ref="C21"/>
    <hyperlink r:id="rId38" ref="F21"/>
    <hyperlink r:id="rId39" ref="C22"/>
    <hyperlink r:id="rId40" ref="F22"/>
    <hyperlink r:id="rId41" ref="C23"/>
    <hyperlink r:id="rId42" ref="F23"/>
    <hyperlink r:id="rId43" ref="C24"/>
    <hyperlink r:id="rId44" ref="F24"/>
    <hyperlink r:id="rId45" ref="C25"/>
    <hyperlink r:id="rId46" ref="F25"/>
    <hyperlink r:id="rId47" ref="C26"/>
    <hyperlink r:id="rId48" ref="F26"/>
    <hyperlink r:id="rId49" ref="C27"/>
    <hyperlink r:id="rId50" ref="F27"/>
    <hyperlink r:id="rId51" ref="C28"/>
    <hyperlink r:id="rId52" ref="F28"/>
    <hyperlink r:id="rId53" ref="C29"/>
    <hyperlink r:id="rId54" ref="F29"/>
    <hyperlink r:id="rId55" ref="C30"/>
    <hyperlink r:id="rId56" ref="F30"/>
    <hyperlink r:id="rId57" ref="C31"/>
    <hyperlink r:id="rId58" ref="F31"/>
    <hyperlink r:id="rId59" ref="C32"/>
    <hyperlink r:id="rId60" ref="F32"/>
    <hyperlink r:id="rId61" ref="C33"/>
    <hyperlink r:id="rId62" ref="F33"/>
    <hyperlink r:id="rId63" ref="C34"/>
    <hyperlink r:id="rId64" ref="F34"/>
    <hyperlink r:id="rId65" ref="C35"/>
    <hyperlink r:id="rId66" ref="F35"/>
    <hyperlink r:id="rId67" ref="C36"/>
    <hyperlink r:id="rId68" ref="F36"/>
    <hyperlink r:id="rId69" ref="C37"/>
    <hyperlink r:id="rId70" ref="F37"/>
    <hyperlink r:id="rId71" ref="C38"/>
    <hyperlink r:id="rId72" ref="F38"/>
    <hyperlink r:id="rId73" ref="C39"/>
    <hyperlink r:id="rId74" ref="F39"/>
    <hyperlink r:id="rId75" ref="C40"/>
    <hyperlink r:id="rId76" ref="F40"/>
    <hyperlink r:id="rId77" ref="C41"/>
    <hyperlink r:id="rId78" ref="F41"/>
    <hyperlink r:id="rId79" ref="C42"/>
    <hyperlink r:id="rId80" ref="F42"/>
    <hyperlink r:id="rId81" ref="C43"/>
    <hyperlink r:id="rId82" ref="F43"/>
    <hyperlink r:id="rId83" ref="C44"/>
    <hyperlink r:id="rId84" ref="F44"/>
    <hyperlink r:id="rId85" ref="C45"/>
    <hyperlink r:id="rId86" ref="F45"/>
    <hyperlink r:id="rId87" ref="C46"/>
    <hyperlink r:id="rId88" ref="F46"/>
    <hyperlink r:id="rId89" ref="C47"/>
    <hyperlink r:id="rId90" ref="F47"/>
    <hyperlink r:id="rId91" ref="C48"/>
    <hyperlink r:id="rId92" ref="F48"/>
    <hyperlink r:id="rId93" ref="C49"/>
    <hyperlink r:id="rId94" ref="F49"/>
    <hyperlink r:id="rId95" ref="C50"/>
    <hyperlink r:id="rId96" ref="F50"/>
    <hyperlink r:id="rId97" ref="C51"/>
    <hyperlink r:id="rId98" ref="F51"/>
    <hyperlink r:id="rId99" ref="C52"/>
    <hyperlink r:id="rId100" ref="F52"/>
    <hyperlink r:id="rId101" ref="C53"/>
    <hyperlink r:id="rId102" ref="F53"/>
    <hyperlink r:id="rId103" ref="C54"/>
    <hyperlink r:id="rId104" ref="F54"/>
    <hyperlink r:id="rId105" ref="C55"/>
    <hyperlink r:id="rId106" ref="F55"/>
    <hyperlink r:id="rId107" ref="C56"/>
    <hyperlink r:id="rId108" ref="F56"/>
    <hyperlink r:id="rId109" ref="C57"/>
    <hyperlink r:id="rId110" ref="F57"/>
    <hyperlink r:id="rId111" ref="C58"/>
    <hyperlink r:id="rId112" ref="F58"/>
    <hyperlink r:id="rId113" ref="C59"/>
    <hyperlink r:id="rId114" ref="F59"/>
    <hyperlink r:id="rId115" ref="C60"/>
    <hyperlink r:id="rId116" ref="F60"/>
    <hyperlink r:id="rId117" ref="C61"/>
    <hyperlink r:id="rId118" ref="F61"/>
    <hyperlink r:id="rId119" ref="C62"/>
    <hyperlink r:id="rId120" ref="F62"/>
    <hyperlink r:id="rId121" ref="C63"/>
    <hyperlink r:id="rId122" ref="F63"/>
    <hyperlink r:id="rId123" ref="C64"/>
    <hyperlink r:id="rId124" ref="F64"/>
    <hyperlink r:id="rId125" ref="C65"/>
    <hyperlink r:id="rId126" ref="F65"/>
    <hyperlink r:id="rId127" ref="C66"/>
    <hyperlink r:id="rId128" ref="F66"/>
    <hyperlink r:id="rId129" ref="C67"/>
    <hyperlink r:id="rId130" ref="F67"/>
    <hyperlink r:id="rId131" ref="C68"/>
    <hyperlink r:id="rId132" ref="F68"/>
    <hyperlink r:id="rId133" ref="C69"/>
    <hyperlink r:id="rId134" ref="F69"/>
    <hyperlink r:id="rId135" ref="C70"/>
    <hyperlink r:id="rId136" ref="F70"/>
    <hyperlink r:id="rId137" ref="C71"/>
    <hyperlink r:id="rId138" ref="F71"/>
    <hyperlink r:id="rId139" ref="C72"/>
    <hyperlink r:id="rId140" ref="F72"/>
    <hyperlink r:id="rId141" ref="C73"/>
    <hyperlink r:id="rId142" ref="F73"/>
    <hyperlink r:id="rId143" ref="C74"/>
    <hyperlink r:id="rId144" ref="F74"/>
    <hyperlink r:id="rId145" ref="C75"/>
    <hyperlink r:id="rId146" ref="F75"/>
    <hyperlink r:id="rId147" ref="C76"/>
    <hyperlink r:id="rId148" ref="F76"/>
    <hyperlink r:id="rId149" ref="C77"/>
    <hyperlink r:id="rId150" ref="F77"/>
    <hyperlink r:id="rId151" ref="C78"/>
    <hyperlink r:id="rId152" ref="F78"/>
    <hyperlink r:id="rId153" ref="C79"/>
    <hyperlink r:id="rId154" ref="F79"/>
    <hyperlink r:id="rId155" ref="C80"/>
    <hyperlink r:id="rId156" ref="F80"/>
    <hyperlink r:id="rId157" ref="C81"/>
    <hyperlink r:id="rId158" ref="F81"/>
    <hyperlink r:id="rId159" ref="C82"/>
    <hyperlink r:id="rId160" ref="F82"/>
    <hyperlink r:id="rId161" ref="C83"/>
    <hyperlink r:id="rId162" ref="F83"/>
    <hyperlink r:id="rId163" ref="C84"/>
    <hyperlink r:id="rId164" ref="F84"/>
    <hyperlink r:id="rId165" ref="C85"/>
    <hyperlink r:id="rId166" ref="F85"/>
    <hyperlink r:id="rId167" ref="C86"/>
    <hyperlink r:id="rId168" ref="F86"/>
    <hyperlink r:id="rId169" ref="C87"/>
    <hyperlink r:id="rId170" ref="F87"/>
    <hyperlink r:id="rId171" ref="C88"/>
    <hyperlink r:id="rId172" ref="F88"/>
    <hyperlink r:id="rId173" ref="C89"/>
    <hyperlink r:id="rId174" ref="F89"/>
    <hyperlink r:id="rId175" ref="C90"/>
    <hyperlink r:id="rId176" ref="F90"/>
    <hyperlink r:id="rId177" ref="C91"/>
    <hyperlink r:id="rId178" ref="F91"/>
    <hyperlink r:id="rId179" ref="C92"/>
    <hyperlink r:id="rId180" ref="F92"/>
    <hyperlink r:id="rId181" ref="C93"/>
    <hyperlink r:id="rId182" ref="F93"/>
    <hyperlink r:id="rId183" ref="C94"/>
    <hyperlink r:id="rId184" ref="F94"/>
    <hyperlink r:id="rId185" ref="C95"/>
    <hyperlink r:id="rId186" ref="F95"/>
    <hyperlink r:id="rId187" ref="C96"/>
    <hyperlink r:id="rId188" ref="F96"/>
    <hyperlink r:id="rId189" ref="C97"/>
    <hyperlink r:id="rId190" ref="F97"/>
    <hyperlink r:id="rId191" ref="C98"/>
    <hyperlink r:id="rId192" ref="F98"/>
    <hyperlink r:id="rId193" ref="C99"/>
    <hyperlink r:id="rId194" ref="F99"/>
    <hyperlink r:id="rId195" ref="C100"/>
    <hyperlink r:id="rId196" ref="F100"/>
    <hyperlink r:id="rId197" ref="C101"/>
    <hyperlink r:id="rId198" ref="F101"/>
    <hyperlink r:id="rId199" ref="C102"/>
    <hyperlink r:id="rId200" ref="F102"/>
    <hyperlink r:id="rId201" ref="C103"/>
    <hyperlink r:id="rId202" ref="F103"/>
    <hyperlink r:id="rId203" ref="C104"/>
    <hyperlink r:id="rId204" ref="F104"/>
    <hyperlink r:id="rId205" ref="C105"/>
    <hyperlink r:id="rId206" ref="F105"/>
    <hyperlink r:id="rId207" ref="C106"/>
    <hyperlink r:id="rId208" ref="F106"/>
    <hyperlink r:id="rId209" ref="C107"/>
    <hyperlink r:id="rId210" ref="F107"/>
    <hyperlink r:id="rId211" ref="C108"/>
    <hyperlink r:id="rId212" ref="F108"/>
    <hyperlink r:id="rId213" ref="C109"/>
    <hyperlink r:id="rId214" ref="F109"/>
    <hyperlink r:id="rId215" ref="C110"/>
    <hyperlink r:id="rId216" ref="F110"/>
    <hyperlink r:id="rId217" ref="C111"/>
    <hyperlink r:id="rId218" ref="F111"/>
    <hyperlink r:id="rId219" ref="C112"/>
    <hyperlink r:id="rId220" ref="F112"/>
    <hyperlink r:id="rId221" ref="C113"/>
    <hyperlink r:id="rId222" ref="F113"/>
    <hyperlink r:id="rId223" ref="C114"/>
    <hyperlink r:id="rId224" ref="F114"/>
    <hyperlink r:id="rId225" ref="C115"/>
    <hyperlink r:id="rId226" ref="F115"/>
    <hyperlink r:id="rId227" ref="C116"/>
    <hyperlink r:id="rId228" ref="F116"/>
    <hyperlink r:id="rId229" ref="C117"/>
    <hyperlink r:id="rId230" ref="F117"/>
    <hyperlink r:id="rId231" ref="C118"/>
    <hyperlink r:id="rId232" ref="F118"/>
    <hyperlink r:id="rId233" ref="C119"/>
    <hyperlink r:id="rId234" ref="F119"/>
    <hyperlink r:id="rId235" ref="C120"/>
    <hyperlink r:id="rId236" ref="F120"/>
    <hyperlink r:id="rId237" ref="C121"/>
    <hyperlink r:id="rId238" ref="F121"/>
    <hyperlink r:id="rId239" ref="C122"/>
    <hyperlink r:id="rId240" ref="F122"/>
    <hyperlink r:id="rId241" ref="C123"/>
    <hyperlink r:id="rId242" ref="F123"/>
    <hyperlink r:id="rId243" ref="C124"/>
    <hyperlink r:id="rId244" ref="F124"/>
    <hyperlink r:id="rId245" ref="C125"/>
    <hyperlink r:id="rId246" ref="F125"/>
    <hyperlink r:id="rId247" ref="C126"/>
    <hyperlink r:id="rId248" ref="F126"/>
    <hyperlink r:id="rId249" ref="C127"/>
    <hyperlink r:id="rId250" ref="F127"/>
    <hyperlink r:id="rId251" ref="C128"/>
    <hyperlink r:id="rId252" ref="F128"/>
    <hyperlink r:id="rId253" ref="C129"/>
    <hyperlink r:id="rId254" ref="F129"/>
    <hyperlink r:id="rId255" ref="C130"/>
    <hyperlink r:id="rId256" ref="F130"/>
    <hyperlink r:id="rId257" ref="C131"/>
    <hyperlink r:id="rId258" ref="F131"/>
    <hyperlink r:id="rId259" ref="C132"/>
    <hyperlink r:id="rId260" ref="F132"/>
    <hyperlink r:id="rId261" ref="C133"/>
    <hyperlink r:id="rId262" ref="F133"/>
    <hyperlink r:id="rId263" ref="C134"/>
    <hyperlink r:id="rId264" ref="F134"/>
    <hyperlink r:id="rId265" ref="C135"/>
    <hyperlink r:id="rId266" ref="F135"/>
    <hyperlink r:id="rId267" ref="C136"/>
    <hyperlink r:id="rId268" ref="F136"/>
    <hyperlink r:id="rId269" ref="C137"/>
    <hyperlink r:id="rId270" ref="F137"/>
    <hyperlink r:id="rId271" ref="C138"/>
    <hyperlink r:id="rId272" ref="F138"/>
    <hyperlink r:id="rId273" ref="C139"/>
    <hyperlink r:id="rId274" ref="F139"/>
    <hyperlink r:id="rId275" ref="C140"/>
    <hyperlink r:id="rId276" ref="F140"/>
    <hyperlink r:id="rId277" ref="C141"/>
    <hyperlink r:id="rId278" ref="F141"/>
    <hyperlink r:id="rId279" ref="C142"/>
    <hyperlink r:id="rId280" ref="F142"/>
    <hyperlink r:id="rId281" ref="C143"/>
    <hyperlink r:id="rId282" ref="F143"/>
    <hyperlink r:id="rId283" ref="C144"/>
    <hyperlink r:id="rId284" ref="F144"/>
    <hyperlink r:id="rId285" ref="C145"/>
    <hyperlink r:id="rId286" ref="F145"/>
    <hyperlink r:id="rId287" ref="C146"/>
    <hyperlink r:id="rId288" ref="F146"/>
    <hyperlink r:id="rId289" ref="C147"/>
    <hyperlink r:id="rId290" ref="F147"/>
    <hyperlink r:id="rId291" ref="C148"/>
    <hyperlink r:id="rId292" ref="F148"/>
    <hyperlink r:id="rId293" ref="C149"/>
    <hyperlink r:id="rId294" ref="F149"/>
    <hyperlink r:id="rId295" ref="C150"/>
    <hyperlink r:id="rId296" ref="F150"/>
    <hyperlink r:id="rId297" ref="C151"/>
    <hyperlink r:id="rId298" ref="F151"/>
    <hyperlink r:id="rId299" ref="C152"/>
    <hyperlink r:id="rId300" ref="F152"/>
    <hyperlink r:id="rId301" ref="C153"/>
    <hyperlink r:id="rId302" ref="F153"/>
    <hyperlink r:id="rId303" ref="C154"/>
    <hyperlink r:id="rId304" ref="F154"/>
    <hyperlink r:id="rId305" ref="C155"/>
    <hyperlink r:id="rId306" ref="F155"/>
    <hyperlink r:id="rId307" ref="C156"/>
    <hyperlink r:id="rId308" ref="F156"/>
    <hyperlink r:id="rId309" ref="C157"/>
    <hyperlink r:id="rId310" ref="F157"/>
    <hyperlink r:id="rId311" ref="C158"/>
    <hyperlink r:id="rId312" ref="F158"/>
    <hyperlink r:id="rId313" ref="C159"/>
    <hyperlink r:id="rId314" ref="F159"/>
    <hyperlink r:id="rId315" ref="C160"/>
    <hyperlink r:id="rId316" ref="F160"/>
    <hyperlink r:id="rId317" ref="C163"/>
    <hyperlink r:id="rId318" ref="F163"/>
    <hyperlink r:id="rId319" ref="C164"/>
    <hyperlink r:id="rId320" ref="F164"/>
    <hyperlink r:id="rId321" ref="C165"/>
    <hyperlink r:id="rId322" ref="F165"/>
    <hyperlink r:id="rId323" ref="C166"/>
    <hyperlink r:id="rId324" ref="F166"/>
    <hyperlink r:id="rId325" ref="C167"/>
    <hyperlink r:id="rId326" ref="F167"/>
    <hyperlink r:id="rId327" ref="C168"/>
    <hyperlink r:id="rId328" ref="F168"/>
    <hyperlink r:id="rId329" ref="C169"/>
    <hyperlink r:id="rId330" ref="F169"/>
    <hyperlink r:id="rId331" ref="C170"/>
    <hyperlink r:id="rId332" ref="F170"/>
    <hyperlink r:id="rId333" ref="C171"/>
    <hyperlink r:id="rId334" ref="F171"/>
    <hyperlink r:id="rId335" ref="C172"/>
    <hyperlink r:id="rId336" ref="F172"/>
    <hyperlink r:id="rId337" ref="C173"/>
    <hyperlink r:id="rId338" ref="F173"/>
    <hyperlink r:id="rId339" ref="C174"/>
    <hyperlink r:id="rId340" ref="F174"/>
    <hyperlink r:id="rId341" ref="C175"/>
    <hyperlink r:id="rId342" ref="F175"/>
    <hyperlink r:id="rId343" ref="C176"/>
    <hyperlink r:id="rId344" ref="F176"/>
    <hyperlink r:id="rId345" ref="C177"/>
    <hyperlink r:id="rId346" ref="F177"/>
    <hyperlink r:id="rId347" ref="C178"/>
    <hyperlink r:id="rId348" ref="F178"/>
    <hyperlink r:id="rId349" ref="C179"/>
    <hyperlink r:id="rId350" ref="F179"/>
    <hyperlink r:id="rId351" ref="C180"/>
    <hyperlink r:id="rId352" ref="F180"/>
    <hyperlink r:id="rId353" ref="C181"/>
    <hyperlink r:id="rId354" ref="F181"/>
    <hyperlink r:id="rId355" ref="C183"/>
    <hyperlink r:id="rId356" ref="F183"/>
    <hyperlink r:id="rId357" ref="C184"/>
    <hyperlink r:id="rId358" ref="F184"/>
    <hyperlink r:id="rId359" ref="C185"/>
    <hyperlink r:id="rId360" ref="F185"/>
    <hyperlink r:id="rId361" ref="C186"/>
    <hyperlink r:id="rId362" ref="F186"/>
    <hyperlink r:id="rId363" ref="C187"/>
    <hyperlink r:id="rId364" ref="F187"/>
    <hyperlink r:id="rId365" ref="C188"/>
    <hyperlink r:id="rId366" ref="F188"/>
    <hyperlink r:id="rId367" ref="C189"/>
    <hyperlink r:id="rId368" ref="F189"/>
    <hyperlink r:id="rId369" ref="C190"/>
    <hyperlink r:id="rId370" ref="F190"/>
    <hyperlink r:id="rId371" ref="C191"/>
    <hyperlink r:id="rId372" ref="F191"/>
    <hyperlink r:id="rId373" ref="C192"/>
    <hyperlink r:id="rId374" ref="F192"/>
    <hyperlink r:id="rId375" ref="C193"/>
    <hyperlink r:id="rId376" ref="F193"/>
    <hyperlink r:id="rId377" ref="C194"/>
    <hyperlink r:id="rId378" ref="F194"/>
    <hyperlink r:id="rId379" ref="C195"/>
    <hyperlink r:id="rId380" ref="F195"/>
    <hyperlink r:id="rId381" ref="C196"/>
    <hyperlink r:id="rId382" ref="F196"/>
    <hyperlink r:id="rId383" ref="C197"/>
    <hyperlink r:id="rId384" ref="F197"/>
    <hyperlink r:id="rId385" ref="C198"/>
    <hyperlink r:id="rId386" ref="F198"/>
    <hyperlink r:id="rId387" ref="C199"/>
    <hyperlink r:id="rId388" ref="F199"/>
    <hyperlink r:id="rId389" ref="C200"/>
    <hyperlink r:id="rId390" ref="F200"/>
    <hyperlink r:id="rId391" ref="C201"/>
    <hyperlink r:id="rId392" ref="F201"/>
    <hyperlink r:id="rId393" ref="C202"/>
    <hyperlink r:id="rId394" ref="F202"/>
    <hyperlink r:id="rId395" ref="C203"/>
    <hyperlink r:id="rId396" ref="F203"/>
    <hyperlink r:id="rId397" ref="C204"/>
    <hyperlink r:id="rId398" ref="F204"/>
    <hyperlink r:id="rId399" ref="C205"/>
    <hyperlink r:id="rId400" ref="F205"/>
    <hyperlink r:id="rId401" ref="C206"/>
    <hyperlink r:id="rId402" ref="F206"/>
    <hyperlink r:id="rId403" ref="C207"/>
    <hyperlink r:id="rId404" ref="F207"/>
    <hyperlink r:id="rId405" ref="C208"/>
    <hyperlink r:id="rId406" ref="F208"/>
    <hyperlink r:id="rId407" ref="C209"/>
    <hyperlink r:id="rId408" ref="F209"/>
    <hyperlink r:id="rId409" ref="C210"/>
    <hyperlink r:id="rId410" ref="F210"/>
    <hyperlink r:id="rId411" ref="C211"/>
    <hyperlink r:id="rId412" ref="F211"/>
    <hyperlink r:id="rId413" ref="C212"/>
    <hyperlink r:id="rId414" ref="F212"/>
    <hyperlink r:id="rId415" ref="C213"/>
    <hyperlink r:id="rId416" ref="F213"/>
    <hyperlink r:id="rId417" ref="C214"/>
    <hyperlink r:id="rId418" ref="F214"/>
    <hyperlink r:id="rId419" ref="C215"/>
    <hyperlink r:id="rId420" ref="F215"/>
    <hyperlink r:id="rId421" ref="C216"/>
    <hyperlink r:id="rId422" ref="F216"/>
    <hyperlink r:id="rId423" ref="C217"/>
    <hyperlink r:id="rId424" ref="F217"/>
    <hyperlink r:id="rId425" ref="C218"/>
    <hyperlink r:id="rId426" ref="F218"/>
    <hyperlink r:id="rId427" ref="C219"/>
    <hyperlink r:id="rId428" ref="F219"/>
    <hyperlink r:id="rId429" ref="C220"/>
    <hyperlink r:id="rId430" ref="F220"/>
    <hyperlink r:id="rId431" ref="C221"/>
    <hyperlink r:id="rId432" ref="F221"/>
    <hyperlink r:id="rId433" ref="C222"/>
    <hyperlink r:id="rId434" ref="F222"/>
    <hyperlink r:id="rId435" ref="C223"/>
    <hyperlink r:id="rId436" ref="F223"/>
    <hyperlink r:id="rId437" ref="C224"/>
    <hyperlink r:id="rId438" ref="F224"/>
    <hyperlink r:id="rId439" ref="C225"/>
    <hyperlink r:id="rId440" ref="F225"/>
    <hyperlink r:id="rId441" ref="C226"/>
    <hyperlink r:id="rId442" ref="F226"/>
    <hyperlink r:id="rId443" ref="C227"/>
    <hyperlink r:id="rId444" ref="F227"/>
    <hyperlink r:id="rId445" ref="C228"/>
    <hyperlink r:id="rId446" ref="F228"/>
    <hyperlink r:id="rId447" ref="C229"/>
    <hyperlink r:id="rId448" ref="F229"/>
    <hyperlink r:id="rId449" ref="C230"/>
    <hyperlink r:id="rId450" ref="F230"/>
    <hyperlink r:id="rId451" ref="C231"/>
    <hyperlink r:id="rId452" ref="F231"/>
    <hyperlink r:id="rId453" ref="C232"/>
    <hyperlink r:id="rId454" ref="F232"/>
    <hyperlink r:id="rId455" ref="C233"/>
    <hyperlink r:id="rId456" ref="F233"/>
    <hyperlink r:id="rId457" ref="C234"/>
    <hyperlink r:id="rId458" ref="F234"/>
    <hyperlink r:id="rId459" ref="C235"/>
    <hyperlink r:id="rId460" ref="F235"/>
    <hyperlink r:id="rId461" ref="C236"/>
    <hyperlink r:id="rId462" ref="F236"/>
    <hyperlink r:id="rId463" ref="C237"/>
    <hyperlink r:id="rId464" ref="F237"/>
    <hyperlink r:id="rId465" ref="C238"/>
    <hyperlink r:id="rId466" ref="F238"/>
    <hyperlink r:id="rId467" ref="C239"/>
    <hyperlink r:id="rId468" ref="F239"/>
    <hyperlink r:id="rId469" ref="C240"/>
    <hyperlink r:id="rId470" ref="F240"/>
    <hyperlink r:id="rId471" ref="C241"/>
    <hyperlink r:id="rId472" ref="F241"/>
    <hyperlink r:id="rId473" ref="C242"/>
    <hyperlink r:id="rId474" ref="F242"/>
    <hyperlink r:id="rId475" ref="C243"/>
    <hyperlink r:id="rId476" ref="F243"/>
    <hyperlink r:id="rId477" ref="C244"/>
    <hyperlink r:id="rId478" ref="F244"/>
    <hyperlink r:id="rId479" ref="C245"/>
    <hyperlink r:id="rId480" ref="F245"/>
    <hyperlink r:id="rId481" ref="C246"/>
    <hyperlink r:id="rId482" ref="F246"/>
    <hyperlink r:id="rId483" ref="C247"/>
    <hyperlink r:id="rId484" ref="F247"/>
    <hyperlink r:id="rId485" ref="C248"/>
    <hyperlink r:id="rId486" ref="F248"/>
    <hyperlink r:id="rId487" ref="C249"/>
    <hyperlink r:id="rId488" ref="F249"/>
    <hyperlink r:id="rId489" ref="C254"/>
    <hyperlink r:id="rId490" ref="D254"/>
    <hyperlink r:id="rId491" ref="F254"/>
    <hyperlink r:id="rId492" ref="C255"/>
    <hyperlink r:id="rId493" ref="D255"/>
    <hyperlink r:id="rId494" ref="F255"/>
    <hyperlink r:id="rId495" ref="C256"/>
    <hyperlink r:id="rId496" ref="D256"/>
    <hyperlink r:id="rId497" ref="F256"/>
    <hyperlink r:id="rId498" ref="C257"/>
    <hyperlink r:id="rId499" ref="D257"/>
    <hyperlink r:id="rId500" ref="F257"/>
    <hyperlink r:id="rId501" ref="C258"/>
    <hyperlink r:id="rId502" ref="D258"/>
    <hyperlink r:id="rId503" ref="F258"/>
    <hyperlink r:id="rId504" ref="C259"/>
    <hyperlink r:id="rId505" ref="D259"/>
    <hyperlink r:id="rId506" ref="F259"/>
    <hyperlink r:id="rId507" ref="C260"/>
    <hyperlink r:id="rId508" ref="D260"/>
    <hyperlink r:id="rId509" ref="F260"/>
    <hyperlink r:id="rId510" ref="C261"/>
    <hyperlink r:id="rId511" ref="D261"/>
    <hyperlink r:id="rId512" ref="F261"/>
    <hyperlink r:id="rId513" ref="C262"/>
    <hyperlink r:id="rId514" ref="D262"/>
    <hyperlink r:id="rId515" ref="F262"/>
    <hyperlink r:id="rId516" ref="C263"/>
    <hyperlink r:id="rId517" ref="D263"/>
    <hyperlink r:id="rId518" ref="F263"/>
    <hyperlink r:id="rId519" ref="C264"/>
    <hyperlink r:id="rId520" ref="D264"/>
    <hyperlink r:id="rId521" ref="F264"/>
    <hyperlink r:id="rId522" ref="C265"/>
    <hyperlink r:id="rId523" ref="D265"/>
    <hyperlink r:id="rId524" ref="F265"/>
    <hyperlink r:id="rId525" ref="C266"/>
    <hyperlink r:id="rId526" ref="D266"/>
    <hyperlink r:id="rId527" ref="F266"/>
    <hyperlink r:id="rId528" ref="C267"/>
    <hyperlink r:id="rId529" ref="D267"/>
    <hyperlink r:id="rId530" ref="F267"/>
    <hyperlink r:id="rId531" ref="C268"/>
    <hyperlink r:id="rId532" ref="D268"/>
    <hyperlink r:id="rId533" ref="F268"/>
    <hyperlink r:id="rId534" ref="C269"/>
    <hyperlink r:id="rId535" ref="D269"/>
    <hyperlink r:id="rId536" ref="F269"/>
    <hyperlink r:id="rId537" ref="C270"/>
    <hyperlink r:id="rId538" ref="D270"/>
    <hyperlink r:id="rId539" ref="F270"/>
    <hyperlink r:id="rId540" ref="C271"/>
    <hyperlink r:id="rId541" ref="D271"/>
    <hyperlink r:id="rId542" ref="F271"/>
    <hyperlink r:id="rId543" ref="C272"/>
    <hyperlink r:id="rId544" ref="D272"/>
    <hyperlink r:id="rId545" ref="F272"/>
    <hyperlink r:id="rId546" ref="C273"/>
    <hyperlink r:id="rId547" ref="D273"/>
    <hyperlink r:id="rId548" ref="F273"/>
    <hyperlink r:id="rId549" ref="C274"/>
    <hyperlink r:id="rId550" ref="D274"/>
    <hyperlink r:id="rId551" ref="F274"/>
    <hyperlink r:id="rId552" ref="C275"/>
    <hyperlink r:id="rId553" ref="D275"/>
    <hyperlink r:id="rId554" ref="F275"/>
    <hyperlink r:id="rId555" ref="C276"/>
    <hyperlink r:id="rId556" ref="D276"/>
    <hyperlink r:id="rId557" ref="F276"/>
    <hyperlink r:id="rId558" ref="C277"/>
    <hyperlink r:id="rId559" ref="D277"/>
    <hyperlink r:id="rId560" ref="F277"/>
    <hyperlink r:id="rId561" ref="C278"/>
    <hyperlink r:id="rId562" ref="D278"/>
    <hyperlink r:id="rId563" ref="F278"/>
    <hyperlink r:id="rId564" ref="C279"/>
    <hyperlink r:id="rId565" ref="D279"/>
    <hyperlink r:id="rId566" ref="F279"/>
    <hyperlink r:id="rId567" ref="C280"/>
    <hyperlink r:id="rId568" ref="D280"/>
    <hyperlink r:id="rId569" ref="F280"/>
    <hyperlink r:id="rId570" ref="C281"/>
    <hyperlink r:id="rId571" ref="D281"/>
    <hyperlink r:id="rId572" ref="F281"/>
    <hyperlink r:id="rId573" ref="C282"/>
    <hyperlink r:id="rId574" ref="D282"/>
    <hyperlink r:id="rId575" ref="F282"/>
    <hyperlink r:id="rId576" ref="C283"/>
    <hyperlink r:id="rId577" ref="D283"/>
    <hyperlink r:id="rId578" ref="F283"/>
    <hyperlink r:id="rId579" ref="C284"/>
    <hyperlink r:id="rId580" ref="D284"/>
    <hyperlink r:id="rId581" ref="F284"/>
    <hyperlink r:id="rId582" ref="C285"/>
    <hyperlink r:id="rId583" ref="D285"/>
    <hyperlink r:id="rId584" ref="F285"/>
    <hyperlink r:id="rId585" ref="C286"/>
    <hyperlink r:id="rId586" ref="D286"/>
    <hyperlink r:id="rId587" ref="F286"/>
    <hyperlink r:id="rId588" ref="C287"/>
    <hyperlink r:id="rId589" ref="D287"/>
    <hyperlink r:id="rId590" ref="F287"/>
    <hyperlink r:id="rId591" ref="C288"/>
    <hyperlink r:id="rId592" ref="D288"/>
    <hyperlink r:id="rId593" ref="F288"/>
    <hyperlink r:id="rId594" ref="C289"/>
    <hyperlink r:id="rId595" ref="D289"/>
    <hyperlink r:id="rId596" ref="F289"/>
    <hyperlink r:id="rId597" ref="C290"/>
    <hyperlink r:id="rId598" ref="D290"/>
    <hyperlink r:id="rId599" ref="F290"/>
    <hyperlink r:id="rId600" ref="C291"/>
    <hyperlink r:id="rId601" ref="D291"/>
    <hyperlink r:id="rId602" ref="F291"/>
  </hyperlinks>
  <drawing r:id="rId60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38"/>
  </cols>
  <sheetData>
    <row r="1">
      <c r="A1" s="1" t="s">
        <v>1</v>
      </c>
      <c r="B1" s="1" t="s">
        <v>20</v>
      </c>
      <c r="C1" s="1" t="s">
        <v>22</v>
      </c>
      <c r="D1" s="1" t="s">
        <v>24</v>
      </c>
      <c r="E1" s="1" t="s">
        <v>26</v>
      </c>
      <c r="F1" s="1" t="s">
        <v>28</v>
      </c>
      <c r="G1" s="1" t="s">
        <v>30</v>
      </c>
      <c r="H1" s="1" t="s">
        <v>32</v>
      </c>
      <c r="I1" s="1" t="s">
        <v>34</v>
      </c>
      <c r="J1" s="1" t="s">
        <v>36</v>
      </c>
      <c r="K1" s="1" t="s">
        <v>38</v>
      </c>
      <c r="L1" s="1" t="s">
        <v>40</v>
      </c>
      <c r="M1" s="1" t="s">
        <v>21</v>
      </c>
      <c r="N1" s="1" t="s">
        <v>43</v>
      </c>
      <c r="O1" s="1" t="s">
        <v>37</v>
      </c>
      <c r="P1" s="1" t="s">
        <v>39</v>
      </c>
      <c r="Q1" s="5"/>
      <c r="R1" s="5"/>
      <c r="S1" s="5"/>
      <c r="T1" s="5"/>
      <c r="U1" s="5"/>
      <c r="V1" s="5"/>
      <c r="W1" s="5"/>
      <c r="X1" s="5"/>
      <c r="Y1" s="5"/>
      <c r="Z1" s="5"/>
    </row>
    <row r="2">
      <c r="A2" s="6" t="s">
        <v>45</v>
      </c>
      <c r="B2" s="6">
        <v>1.0</v>
      </c>
      <c r="F2" s="6" t="s">
        <v>46</v>
      </c>
      <c r="G2" s="6" t="s">
        <v>47</v>
      </c>
      <c r="H2" s="6" t="s">
        <v>48</v>
      </c>
      <c r="I2" s="6">
        <v>6.0</v>
      </c>
      <c r="J2" s="6">
        <v>0.0</v>
      </c>
      <c r="K2" s="9" t="str">
        <f>HYPERLINK("https://www.instagram.com/p/Dajx_9ljI3S/","Open Post")</f>
        <v>Open Post</v>
      </c>
      <c r="L2" s="6" t="s">
        <v>56</v>
      </c>
      <c r="M2" s="6" t="s">
        <v>55</v>
      </c>
      <c r="N2" s="6" t="s">
        <v>58</v>
      </c>
      <c r="O2" s="6" t="s">
        <v>59</v>
      </c>
      <c r="P2" s="6" t="s">
        <v>61</v>
      </c>
    </row>
    <row r="3">
      <c r="A3" s="6" t="s">
        <v>45</v>
      </c>
      <c r="B3" s="6">
        <v>2.0</v>
      </c>
      <c r="F3" s="6" t="s">
        <v>65</v>
      </c>
      <c r="G3" s="6" t="s">
        <v>66</v>
      </c>
      <c r="H3" s="6" t="s">
        <v>48</v>
      </c>
      <c r="I3" s="6">
        <v>56.0</v>
      </c>
      <c r="J3" s="6" t="s">
        <v>48</v>
      </c>
      <c r="K3" s="9" t="str">
        <f>HYPERLINK("https://www.instagram.com/reel/DaCspxMNE-S/","Open Reel")</f>
        <v>Open Reel</v>
      </c>
      <c r="L3" s="6" t="s">
        <v>73</v>
      </c>
      <c r="M3" s="6" t="s">
        <v>74</v>
      </c>
      <c r="N3" s="6" t="s">
        <v>75</v>
      </c>
      <c r="O3" s="6" t="s">
        <v>68</v>
      </c>
      <c r="P3" s="6" t="s">
        <v>76</v>
      </c>
    </row>
    <row r="4">
      <c r="A4" s="6" t="s">
        <v>45</v>
      </c>
      <c r="B4" s="6">
        <v>3.0</v>
      </c>
      <c r="F4" s="6" t="s">
        <v>65</v>
      </c>
      <c r="G4" s="6" t="s">
        <v>77</v>
      </c>
      <c r="H4" s="6" t="s">
        <v>48</v>
      </c>
      <c r="I4" s="6">
        <v>88.0</v>
      </c>
      <c r="J4" s="6" t="s">
        <v>48</v>
      </c>
      <c r="K4" s="9" t="str">
        <f>HYPERLINK("https://www.instagram.com/reel/DYfCk60sBwr/?utm_source=ig_web_copy_link&amp;stkn=MzRlODBiNWFlZA==","Open Reel")</f>
        <v>Open Reel</v>
      </c>
      <c r="L4" s="6" t="s">
        <v>81</v>
      </c>
      <c r="M4" s="6" t="s">
        <v>55</v>
      </c>
      <c r="N4" s="6" t="s">
        <v>82</v>
      </c>
      <c r="O4" s="6" t="s">
        <v>68</v>
      </c>
      <c r="P4" s="6" t="s">
        <v>83</v>
      </c>
    </row>
    <row r="5">
      <c r="A5" s="6" t="s">
        <v>45</v>
      </c>
      <c r="B5" s="6">
        <v>4.0</v>
      </c>
      <c r="F5" s="6" t="s">
        <v>65</v>
      </c>
      <c r="G5" s="6" t="s">
        <v>85</v>
      </c>
      <c r="H5" s="6" t="s">
        <v>48</v>
      </c>
      <c r="I5" s="6" t="s">
        <v>48</v>
      </c>
      <c r="J5" s="6" t="s">
        <v>48</v>
      </c>
      <c r="K5" s="9" t="str">
        <f>HYPERLINK("https://www.instagram.com/reel/DXrlR7kDOe3/?utm_source=ig_web_copy_link&amp;stkn=MzRlODBiNWFlZA==","Open Reel")</f>
        <v>Open Reel</v>
      </c>
      <c r="L5" s="6" t="s">
        <v>87</v>
      </c>
      <c r="M5" s="6" t="s">
        <v>88</v>
      </c>
      <c r="N5" s="6" t="s">
        <v>89</v>
      </c>
      <c r="O5" s="6" t="s">
        <v>68</v>
      </c>
      <c r="P5" s="6" t="s">
        <v>90</v>
      </c>
    </row>
    <row r="6">
      <c r="A6" s="6" t="s">
        <v>45</v>
      </c>
      <c r="B6" s="6">
        <v>5.0</v>
      </c>
      <c r="F6" s="6" t="s">
        <v>46</v>
      </c>
      <c r="G6" s="6" t="s">
        <v>93</v>
      </c>
      <c r="H6" s="6" t="s">
        <v>48</v>
      </c>
      <c r="I6" s="6">
        <v>30.0</v>
      </c>
      <c r="J6" s="6">
        <v>0.0</v>
      </c>
      <c r="K6" s="9" t="str">
        <f>HYPERLINK("https://www.instagram.com/p/DXg6fNMjdyW/","Open Post")</f>
        <v>Open Post</v>
      </c>
      <c r="L6" s="6" t="s">
        <v>97</v>
      </c>
      <c r="M6" s="6" t="s">
        <v>99</v>
      </c>
      <c r="N6" s="6" t="s">
        <v>101</v>
      </c>
      <c r="O6" s="6" t="s">
        <v>59</v>
      </c>
      <c r="P6" s="6" t="s">
        <v>103</v>
      </c>
    </row>
    <row r="7">
      <c r="A7" s="6" t="s">
        <v>45</v>
      </c>
      <c r="B7" s="6">
        <v>6.0</v>
      </c>
      <c r="F7" s="6" t="s">
        <v>65</v>
      </c>
      <c r="G7" s="6" t="s">
        <v>104</v>
      </c>
      <c r="H7" s="6" t="s">
        <v>48</v>
      </c>
      <c r="I7" s="6">
        <v>21.0</v>
      </c>
      <c r="J7" s="6" t="s">
        <v>48</v>
      </c>
      <c r="K7" s="9" t="str">
        <f>HYPERLINK("https://www.instagram.com/reel/DWYZAq2CiPz/?utm_source=ig_web_copy_link&amp;stkn=MzRlODBiNWFlZA==","Open Reel")</f>
        <v>Open Reel</v>
      </c>
      <c r="L7" s="6" t="s">
        <v>113</v>
      </c>
      <c r="M7" s="6" t="s">
        <v>114</v>
      </c>
      <c r="N7" s="6" t="s">
        <v>115</v>
      </c>
      <c r="O7" s="6" t="s">
        <v>68</v>
      </c>
      <c r="P7" s="6" t="s">
        <v>116</v>
      </c>
    </row>
    <row r="8">
      <c r="A8" s="6" t="s">
        <v>45</v>
      </c>
      <c r="B8" s="6">
        <v>7.0</v>
      </c>
      <c r="F8" s="6" t="s">
        <v>46</v>
      </c>
      <c r="G8" s="6" t="s">
        <v>117</v>
      </c>
      <c r="H8" s="6" t="s">
        <v>48</v>
      </c>
      <c r="I8" s="6">
        <v>55.0</v>
      </c>
      <c r="J8" s="6">
        <v>2.0</v>
      </c>
      <c r="K8" s="9" t="str">
        <f>HYPERLINK("https://www.instagram.com/p/DVqh2PuDD_c/","Open Post")</f>
        <v>Open Post</v>
      </c>
      <c r="L8" s="6" t="s">
        <v>124</v>
      </c>
      <c r="M8" s="6" t="s">
        <v>55</v>
      </c>
      <c r="N8" s="6" t="s">
        <v>125</v>
      </c>
      <c r="O8" s="6" t="s">
        <v>59</v>
      </c>
      <c r="P8" s="6" t="s">
        <v>128</v>
      </c>
    </row>
    <row r="9">
      <c r="A9" s="6" t="s">
        <v>45</v>
      </c>
      <c r="B9" s="6">
        <v>8.0</v>
      </c>
      <c r="F9" s="6" t="s">
        <v>46</v>
      </c>
      <c r="G9" s="6" t="s">
        <v>129</v>
      </c>
      <c r="H9" s="6" t="s">
        <v>48</v>
      </c>
      <c r="I9" s="6">
        <v>12.0</v>
      </c>
      <c r="J9" s="6">
        <v>0.0</v>
      </c>
      <c r="K9" s="9" t="str">
        <f>HYPERLINK("https://www.instagram.com/p/DVgNg2tiA78/","Open Post")</f>
        <v>Open Post</v>
      </c>
      <c r="L9" s="6" t="s">
        <v>133</v>
      </c>
      <c r="M9" s="6" t="s">
        <v>135</v>
      </c>
      <c r="N9" s="6" t="s">
        <v>137</v>
      </c>
      <c r="O9" s="6" t="s">
        <v>59</v>
      </c>
      <c r="P9" s="6" t="s">
        <v>138</v>
      </c>
    </row>
    <row r="10">
      <c r="A10" s="6" t="s">
        <v>45</v>
      </c>
      <c r="B10" s="6">
        <v>9.0</v>
      </c>
      <c r="F10" s="6" t="s">
        <v>65</v>
      </c>
      <c r="G10" s="6" t="s">
        <v>77</v>
      </c>
      <c r="H10" s="6" t="s">
        <v>48</v>
      </c>
      <c r="I10" s="6">
        <v>39.0</v>
      </c>
      <c r="J10" s="6" t="s">
        <v>48</v>
      </c>
      <c r="K10" s="9" t="str">
        <f>HYPERLINK("https://www.instagram.com/reel/DUQRPyIgrD2/?utm_source=ig_web_copy_link&amp;stkn=MzRlODBiNWFlZA==","Open Reel")</f>
        <v>Open Reel</v>
      </c>
      <c r="L10" s="6" t="s">
        <v>149</v>
      </c>
      <c r="M10" s="6" t="s">
        <v>55</v>
      </c>
      <c r="N10" s="6" t="s">
        <v>151</v>
      </c>
      <c r="O10" s="6" t="s">
        <v>68</v>
      </c>
      <c r="P10" s="6" t="s">
        <v>152</v>
      </c>
    </row>
    <row r="11">
      <c r="A11" s="6" t="s">
        <v>45</v>
      </c>
      <c r="B11" s="6">
        <v>10.0</v>
      </c>
      <c r="F11" s="6" t="s">
        <v>65</v>
      </c>
      <c r="G11" s="6" t="s">
        <v>66</v>
      </c>
      <c r="H11" s="6" t="s">
        <v>48</v>
      </c>
      <c r="I11" s="6">
        <v>14.0</v>
      </c>
      <c r="J11" s="6" t="s">
        <v>48</v>
      </c>
      <c r="K11" s="9" t="str">
        <f>HYPERLINK("https://www.instagram.com/reel/DUAo8GSjdJw/?utm_source=ig_web_copy_link&amp;stkn=MzRlODBiNWFlZA==","Open Reel")</f>
        <v>Open Reel</v>
      </c>
      <c r="L11" s="6" t="s">
        <v>159</v>
      </c>
      <c r="M11" s="6" t="s">
        <v>160</v>
      </c>
      <c r="N11" s="6" t="s">
        <v>161</v>
      </c>
      <c r="O11" s="6" t="s">
        <v>68</v>
      </c>
      <c r="P11" s="6" t="s">
        <v>162</v>
      </c>
    </row>
    <row r="12">
      <c r="A12" s="6" t="s">
        <v>45</v>
      </c>
      <c r="B12" s="6">
        <v>11.0</v>
      </c>
      <c r="F12" s="6" t="s">
        <v>46</v>
      </c>
      <c r="G12" s="6" t="s">
        <v>117</v>
      </c>
      <c r="H12" s="6" t="s">
        <v>48</v>
      </c>
      <c r="I12" s="6" t="s">
        <v>48</v>
      </c>
      <c r="J12" s="6" t="s">
        <v>48</v>
      </c>
      <c r="K12" s="9" t="str">
        <f>HYPERLINK("https://www.instagram.com/p/DSTNuEKkQju/","Open Post")</f>
        <v>Open Post</v>
      </c>
      <c r="L12" s="6" t="s">
        <v>168</v>
      </c>
      <c r="M12" s="6" t="s">
        <v>55</v>
      </c>
      <c r="N12" s="6" t="s">
        <v>169</v>
      </c>
      <c r="O12" s="6" t="s">
        <v>59</v>
      </c>
      <c r="P12" s="6" t="s">
        <v>170</v>
      </c>
    </row>
    <row r="13">
      <c r="A13" s="6" t="s">
        <v>45</v>
      </c>
      <c r="B13" s="6">
        <v>12.0</v>
      </c>
      <c r="F13" s="6" t="s">
        <v>65</v>
      </c>
      <c r="G13" s="6" t="s">
        <v>172</v>
      </c>
      <c r="H13" s="6" t="s">
        <v>48</v>
      </c>
      <c r="I13" s="6">
        <v>5.0</v>
      </c>
      <c r="J13" s="6" t="s">
        <v>48</v>
      </c>
      <c r="K13" s="9" t="str">
        <f>HYPERLINK("https://www.instagram.com/reel/DRwU3ZPgXy9/?utm_source=ig_web_copy_link&amp;stkn=MzRlODBiNWFlZA==","Open Reel")</f>
        <v>Open Reel</v>
      </c>
      <c r="L13" s="6" t="s">
        <v>181</v>
      </c>
      <c r="M13" s="6" t="s">
        <v>183</v>
      </c>
      <c r="N13" s="6" t="s">
        <v>186</v>
      </c>
      <c r="O13" s="6" t="s">
        <v>68</v>
      </c>
      <c r="P13" s="6" t="s">
        <v>187</v>
      </c>
    </row>
    <row r="14">
      <c r="A14" s="6" t="s">
        <v>45</v>
      </c>
      <c r="B14" s="6">
        <v>13.0</v>
      </c>
      <c r="F14" s="6" t="s">
        <v>65</v>
      </c>
      <c r="G14" s="6" t="s">
        <v>172</v>
      </c>
      <c r="H14" s="6" t="s">
        <v>48</v>
      </c>
      <c r="I14" s="6">
        <v>30.0</v>
      </c>
      <c r="J14" s="6" t="s">
        <v>48</v>
      </c>
      <c r="K14" s="9" t="str">
        <f>HYPERLINK("https://www.instagram.com/reel/DRhhmyvjxfe/?utm_source=ig_web_copy_link&amp;stkn=MzRlODBiNWFlZA==","Open Reel")</f>
        <v>Open Reel</v>
      </c>
      <c r="L14" s="6" t="s">
        <v>193</v>
      </c>
      <c r="M14" s="6" t="s">
        <v>194</v>
      </c>
      <c r="N14" s="6" t="s">
        <v>196</v>
      </c>
      <c r="O14" s="6" t="s">
        <v>68</v>
      </c>
      <c r="P14" s="6" t="s">
        <v>197</v>
      </c>
    </row>
    <row r="15">
      <c r="A15" s="6" t="s">
        <v>45</v>
      </c>
      <c r="B15" s="6">
        <v>14.0</v>
      </c>
      <c r="F15" s="6" t="s">
        <v>65</v>
      </c>
      <c r="G15" s="6" t="s">
        <v>198</v>
      </c>
      <c r="H15" s="6" t="s">
        <v>48</v>
      </c>
      <c r="I15" s="6" t="s">
        <v>48</v>
      </c>
      <c r="J15" s="6" t="s">
        <v>48</v>
      </c>
      <c r="K15" s="9" t="str">
        <f>HYPERLINK("https://www.instagram.com/reel/DRnJ4dIgjHf/?utm_source=ig_web_copy_link&amp;stkn=MzRlODBiNWFlZA==","Open Reel")</f>
        <v>Open Reel</v>
      </c>
      <c r="L15" s="6" t="s">
        <v>204</v>
      </c>
      <c r="M15" s="6" t="s">
        <v>205</v>
      </c>
      <c r="N15" s="6" t="s">
        <v>206</v>
      </c>
      <c r="O15" s="6" t="s">
        <v>68</v>
      </c>
      <c r="P15" s="6" t="s">
        <v>208</v>
      </c>
    </row>
    <row r="16">
      <c r="A16" s="6" t="s">
        <v>45</v>
      </c>
      <c r="B16" s="6">
        <v>15.0</v>
      </c>
      <c r="F16" s="6" t="s">
        <v>46</v>
      </c>
      <c r="G16" s="6" t="s">
        <v>209</v>
      </c>
      <c r="H16" s="6" t="s">
        <v>48</v>
      </c>
      <c r="I16" s="6" t="s">
        <v>48</v>
      </c>
      <c r="J16" s="6" t="s">
        <v>48</v>
      </c>
      <c r="K16" s="9" t="str">
        <f>HYPERLINK("https://www.instagram.com/p/DRPmVSUkQTG/","Open Post")</f>
        <v>Open Post</v>
      </c>
      <c r="L16" s="6" t="s">
        <v>210</v>
      </c>
      <c r="M16" s="6" t="s">
        <v>55</v>
      </c>
      <c r="N16" s="6" t="s">
        <v>211</v>
      </c>
      <c r="O16" s="6" t="s">
        <v>59</v>
      </c>
      <c r="P16" s="6" t="s">
        <v>212</v>
      </c>
    </row>
    <row r="17">
      <c r="A17" s="6" t="s">
        <v>45</v>
      </c>
      <c r="B17" s="6">
        <v>16.0</v>
      </c>
      <c r="F17" s="6" t="s">
        <v>46</v>
      </c>
      <c r="G17" s="6" t="s">
        <v>117</v>
      </c>
      <c r="H17" s="6" t="s">
        <v>48</v>
      </c>
      <c r="I17" s="6">
        <v>0.0</v>
      </c>
      <c r="J17" s="6" t="s">
        <v>48</v>
      </c>
      <c r="K17" s="9" t="str">
        <f>HYPERLINK("https://www.instagram.com/p/DROy7HNEcGj/","Open Post")</f>
        <v>Open Post</v>
      </c>
      <c r="L17" s="6" t="s">
        <v>223</v>
      </c>
      <c r="M17" s="6" t="s">
        <v>55</v>
      </c>
      <c r="N17" s="6" t="s">
        <v>225</v>
      </c>
      <c r="O17" s="6" t="s">
        <v>59</v>
      </c>
      <c r="P17" s="6" t="s">
        <v>226</v>
      </c>
    </row>
    <row r="18">
      <c r="A18" s="6" t="s">
        <v>45</v>
      </c>
      <c r="B18" s="6">
        <v>17.0</v>
      </c>
      <c r="F18" s="6" t="s">
        <v>65</v>
      </c>
      <c r="G18" s="6" t="s">
        <v>172</v>
      </c>
      <c r="H18" s="6" t="s">
        <v>48</v>
      </c>
      <c r="I18" s="6">
        <v>4.0</v>
      </c>
      <c r="J18" s="6" t="s">
        <v>48</v>
      </c>
      <c r="K18" s="9" t="str">
        <f>HYPERLINK("https://www.instagram.com/reel/DQ_bXMZjYap/?utm_source=ig_web_copy_link&amp;stkn=MzRlODBiNWFlZA==","Open Reel")</f>
        <v>Open Reel</v>
      </c>
      <c r="L18" s="6" t="s">
        <v>234</v>
      </c>
      <c r="M18" s="6" t="s">
        <v>235</v>
      </c>
      <c r="N18" s="6" t="s">
        <v>236</v>
      </c>
      <c r="O18" s="6" t="s">
        <v>68</v>
      </c>
      <c r="P18" s="6" t="s">
        <v>237</v>
      </c>
    </row>
    <row r="19">
      <c r="A19" s="6" t="s">
        <v>45</v>
      </c>
      <c r="B19" s="6">
        <v>18.0</v>
      </c>
      <c r="F19" s="6" t="s">
        <v>46</v>
      </c>
      <c r="G19" s="6" t="s">
        <v>238</v>
      </c>
      <c r="H19" s="6" t="s">
        <v>48</v>
      </c>
      <c r="I19" s="6">
        <v>15.0</v>
      </c>
      <c r="J19" s="6">
        <v>0.0</v>
      </c>
      <c r="K19" s="9" t="str">
        <f>HYPERLINK("https://www.instagram.com/p/DQMmf7YiD2W/","Open Post")</f>
        <v>Open Post</v>
      </c>
      <c r="L19" s="6" t="s">
        <v>243</v>
      </c>
      <c r="M19" s="6" t="s">
        <v>55</v>
      </c>
      <c r="N19" s="6" t="s">
        <v>244</v>
      </c>
      <c r="O19" s="6" t="s">
        <v>59</v>
      </c>
      <c r="P19" s="6" t="s">
        <v>246</v>
      </c>
    </row>
    <row r="20">
      <c r="A20" s="6" t="s">
        <v>45</v>
      </c>
      <c r="B20" s="6">
        <v>19.0</v>
      </c>
      <c r="F20" s="6" t="s">
        <v>65</v>
      </c>
      <c r="G20" s="6" t="s">
        <v>77</v>
      </c>
      <c r="H20" s="6" t="s">
        <v>48</v>
      </c>
      <c r="I20" s="6">
        <v>15.0</v>
      </c>
      <c r="J20" s="6" t="s">
        <v>48</v>
      </c>
      <c r="K20" s="9" t="str">
        <f>HYPERLINK("https://www.instagram.com/reel/DPgob9KjAVr/?utm_source=ig_web_copy_link&amp;stkn=MzRlODBiNWFlZA==","Open Reel")</f>
        <v>Open Reel</v>
      </c>
      <c r="L20" s="6" t="s">
        <v>252</v>
      </c>
      <c r="M20" s="6" t="s">
        <v>254</v>
      </c>
      <c r="N20" s="6" t="s">
        <v>255</v>
      </c>
      <c r="O20" s="6" t="s">
        <v>68</v>
      </c>
      <c r="P20" s="6" t="s">
        <v>257</v>
      </c>
    </row>
    <row r="21">
      <c r="A21" s="6" t="s">
        <v>45</v>
      </c>
      <c r="B21" s="6">
        <v>20.0</v>
      </c>
      <c r="F21" s="6" t="s">
        <v>46</v>
      </c>
      <c r="G21" s="6" t="s">
        <v>258</v>
      </c>
      <c r="H21" s="6" t="s">
        <v>48</v>
      </c>
      <c r="I21" s="6" t="s">
        <v>48</v>
      </c>
      <c r="J21" s="6" t="s">
        <v>48</v>
      </c>
      <c r="K21" s="9" t="str">
        <f>HYPERLINK("https://www.instagram.com/p/DPXOsuWDKrE/","Open Post")</f>
        <v>Open Post</v>
      </c>
      <c r="L21" s="6" t="s">
        <v>266</v>
      </c>
      <c r="M21" s="6" t="s">
        <v>55</v>
      </c>
      <c r="N21" s="6" t="s">
        <v>268</v>
      </c>
      <c r="O21" s="6" t="s">
        <v>59</v>
      </c>
      <c r="P21" s="6" t="s">
        <v>269</v>
      </c>
    </row>
    <row r="22">
      <c r="A22" s="6" t="s">
        <v>45</v>
      </c>
      <c r="B22" s="6">
        <v>21.0</v>
      </c>
      <c r="F22" s="6" t="s">
        <v>65</v>
      </c>
      <c r="G22" s="6" t="s">
        <v>77</v>
      </c>
      <c r="H22" s="6" t="s">
        <v>48</v>
      </c>
      <c r="I22" s="6">
        <v>14.0</v>
      </c>
      <c r="J22" s="6" t="s">
        <v>48</v>
      </c>
      <c r="K22" s="9" t="str">
        <f>HYPERLINK("https://www.instagram.com/reel/DPTfy74jG7u/","Open Reel")</f>
        <v>Open Reel</v>
      </c>
      <c r="L22" s="6" t="s">
        <v>278</v>
      </c>
      <c r="M22" s="6" t="s">
        <v>279</v>
      </c>
      <c r="N22" s="6" t="s">
        <v>281</v>
      </c>
      <c r="O22" s="6" t="s">
        <v>68</v>
      </c>
      <c r="P22" s="6" t="s">
        <v>282</v>
      </c>
    </row>
    <row r="23">
      <c r="A23" s="6" t="s">
        <v>45</v>
      </c>
      <c r="B23" s="6">
        <v>22.0</v>
      </c>
      <c r="F23" s="6" t="s">
        <v>46</v>
      </c>
      <c r="G23" s="6" t="s">
        <v>283</v>
      </c>
      <c r="H23" s="6" t="s">
        <v>48</v>
      </c>
      <c r="I23" s="6" t="s">
        <v>48</v>
      </c>
      <c r="J23" s="6" t="s">
        <v>48</v>
      </c>
      <c r="K23" s="9" t="str">
        <f>HYPERLINK("https://www.instagram.com/p/DOtZFMXDH6s/","Open Post")</f>
        <v>Open Post</v>
      </c>
      <c r="L23" s="6" t="s">
        <v>292</v>
      </c>
      <c r="M23" s="6" t="s">
        <v>55</v>
      </c>
      <c r="N23" s="6" t="s">
        <v>293</v>
      </c>
      <c r="O23" s="6" t="s">
        <v>59</v>
      </c>
      <c r="P23" s="6" t="s">
        <v>295</v>
      </c>
    </row>
    <row r="25">
      <c r="A25" s="6" t="s">
        <v>297</v>
      </c>
      <c r="B25" s="6">
        <v>1.0</v>
      </c>
      <c r="F25" s="6" t="s">
        <v>65</v>
      </c>
      <c r="G25" s="6" t="s">
        <v>300</v>
      </c>
      <c r="H25" s="6" t="s">
        <v>48</v>
      </c>
      <c r="I25" s="6" t="s">
        <v>301</v>
      </c>
      <c r="J25" s="6" t="s">
        <v>48</v>
      </c>
      <c r="K25" s="9" t="str">
        <f>HYPERLINK("https://www.instagram.com/reel/Dci8ZFkocwy/","Open Reel")</f>
        <v>Open Reel</v>
      </c>
      <c r="L25" s="6" t="s">
        <v>303</v>
      </c>
      <c r="M25" s="6" t="s">
        <v>304</v>
      </c>
      <c r="N25" s="6" t="s">
        <v>305</v>
      </c>
      <c r="O25" s="6" t="s">
        <v>68</v>
      </c>
      <c r="P25" s="6" t="s">
        <v>307</v>
      </c>
    </row>
    <row r="26">
      <c r="A26" s="6" t="s">
        <v>297</v>
      </c>
      <c r="B26" s="6">
        <v>2.0</v>
      </c>
      <c r="F26" s="6" t="s">
        <v>46</v>
      </c>
      <c r="G26" s="6" t="s">
        <v>117</v>
      </c>
      <c r="H26" s="6" t="s">
        <v>48</v>
      </c>
      <c r="I26" s="6">
        <v>2.0</v>
      </c>
      <c r="J26" s="6">
        <v>0.0</v>
      </c>
      <c r="K26" s="9" t="str">
        <f>HYPERLINK("https://www.instagram.com/p/DciwfmVEWnK/","Open Post")</f>
        <v>Open Post</v>
      </c>
      <c r="L26" s="6" t="s">
        <v>311</v>
      </c>
      <c r="M26" s="6" t="s">
        <v>55</v>
      </c>
      <c r="N26" s="6" t="s">
        <v>312</v>
      </c>
      <c r="O26" s="6" t="s">
        <v>59</v>
      </c>
      <c r="P26" s="6" t="s">
        <v>314</v>
      </c>
    </row>
    <row r="27">
      <c r="A27" s="6" t="s">
        <v>297</v>
      </c>
      <c r="B27" s="6">
        <v>3.0</v>
      </c>
      <c r="F27" s="6" t="s">
        <v>46</v>
      </c>
      <c r="G27" s="6" t="s">
        <v>117</v>
      </c>
      <c r="H27" s="6" t="s">
        <v>48</v>
      </c>
      <c r="I27" s="6">
        <v>11.0</v>
      </c>
      <c r="J27" s="6">
        <v>1.0</v>
      </c>
      <c r="K27" s="9" t="str">
        <f>HYPERLINK("https://www.instagram.com/p/DcY-TvAjMvt/","Open Post")</f>
        <v>Open Post</v>
      </c>
      <c r="L27" s="6" t="s">
        <v>317</v>
      </c>
      <c r="M27" s="6" t="s">
        <v>55</v>
      </c>
      <c r="N27" s="6" t="s">
        <v>318</v>
      </c>
      <c r="O27" s="6" t="s">
        <v>59</v>
      </c>
      <c r="P27" s="6" t="s">
        <v>321</v>
      </c>
    </row>
    <row r="28">
      <c r="A28" s="6" t="s">
        <v>297</v>
      </c>
      <c r="B28" s="6">
        <v>4.0</v>
      </c>
      <c r="F28" s="6" t="s">
        <v>46</v>
      </c>
      <c r="G28" s="6" t="s">
        <v>322</v>
      </c>
      <c r="H28" s="6" t="s">
        <v>48</v>
      </c>
      <c r="I28" s="6">
        <v>3.0</v>
      </c>
      <c r="J28" s="6">
        <v>0.0</v>
      </c>
      <c r="K28" s="9" t="str">
        <f>HYPERLINK("https://www.instagram.com/p/Dbue_BSPZdK/","Open Post")</f>
        <v>Open Post</v>
      </c>
      <c r="L28" s="6" t="s">
        <v>328</v>
      </c>
      <c r="M28" s="6" t="s">
        <v>329</v>
      </c>
      <c r="N28" s="6" t="s">
        <v>330</v>
      </c>
      <c r="O28" s="6" t="s">
        <v>59</v>
      </c>
      <c r="P28" s="6" t="s">
        <v>331</v>
      </c>
    </row>
    <row r="29">
      <c r="A29" s="6" t="s">
        <v>297</v>
      </c>
      <c r="B29" s="6">
        <v>5.0</v>
      </c>
      <c r="F29" s="6" t="s">
        <v>65</v>
      </c>
      <c r="G29" s="6" t="s">
        <v>85</v>
      </c>
      <c r="H29" s="6" t="s">
        <v>48</v>
      </c>
      <c r="I29" s="6">
        <v>91.0</v>
      </c>
      <c r="J29" s="6" t="s">
        <v>48</v>
      </c>
      <c r="K29" s="9" t="str">
        <f>HYPERLINK("https://www.instagram.com/reel/DbbHsZ3zCHH/?utm_source=ig_web_copy_link&amp;stkn=MzRlODBiNWFlZA==","Open Reel")</f>
        <v>Open Reel</v>
      </c>
      <c r="L29" s="6" t="s">
        <v>334</v>
      </c>
      <c r="M29" s="6" t="s">
        <v>55</v>
      </c>
      <c r="N29" s="6" t="s">
        <v>335</v>
      </c>
      <c r="O29" s="6" t="s">
        <v>68</v>
      </c>
      <c r="P29" s="6" t="s">
        <v>336</v>
      </c>
    </row>
    <row r="30">
      <c r="A30" s="6" t="s">
        <v>297</v>
      </c>
      <c r="B30" s="6">
        <v>6.0</v>
      </c>
      <c r="F30" s="6" t="s">
        <v>46</v>
      </c>
      <c r="G30" s="6" t="s">
        <v>337</v>
      </c>
      <c r="H30" s="6" t="s">
        <v>48</v>
      </c>
      <c r="I30" s="6">
        <v>33.0</v>
      </c>
      <c r="J30" s="6">
        <v>3.0</v>
      </c>
      <c r="K30" s="9" t="str">
        <f>HYPERLINK("https://www.instagram.com/p/DbbEZQqkVxv/","Open Post")</f>
        <v>Open Post</v>
      </c>
      <c r="L30" s="6" t="s">
        <v>349</v>
      </c>
      <c r="M30" s="6" t="s">
        <v>55</v>
      </c>
      <c r="N30" s="6" t="s">
        <v>350</v>
      </c>
      <c r="O30" s="6" t="s">
        <v>59</v>
      </c>
      <c r="P30" s="6" t="s">
        <v>351</v>
      </c>
    </row>
    <row r="31">
      <c r="A31" s="6" t="s">
        <v>297</v>
      </c>
      <c r="B31" s="6">
        <v>7.0</v>
      </c>
      <c r="F31" s="6" t="s">
        <v>65</v>
      </c>
      <c r="G31" s="6" t="s">
        <v>228</v>
      </c>
      <c r="H31" s="6" t="s">
        <v>48</v>
      </c>
      <c r="I31" s="6">
        <v>28.0</v>
      </c>
      <c r="J31" s="6" t="s">
        <v>48</v>
      </c>
      <c r="K31" s="9" t="str">
        <f>HYPERLINK("https://www.instagram.com/reel/DbGaBfGhnkb/?utm_source=ig_web_copy_link&amp;stkn=MzRlODBiNWFlZA==","Open Reel")</f>
        <v>Open Reel</v>
      </c>
      <c r="L31" s="6" t="s">
        <v>356</v>
      </c>
      <c r="M31" s="6" t="s">
        <v>357</v>
      </c>
      <c r="N31" s="6" t="s">
        <v>358</v>
      </c>
      <c r="O31" s="6" t="s">
        <v>68</v>
      </c>
      <c r="P31" s="6" t="s">
        <v>359</v>
      </c>
    </row>
    <row r="32">
      <c r="A32" s="6" t="s">
        <v>297</v>
      </c>
      <c r="B32" s="6">
        <v>8.0</v>
      </c>
      <c r="F32" s="6" t="s">
        <v>46</v>
      </c>
      <c r="G32" s="6" t="s">
        <v>117</v>
      </c>
      <c r="H32" s="6" t="s">
        <v>48</v>
      </c>
      <c r="I32" s="6">
        <v>87.0</v>
      </c>
      <c r="J32" s="6">
        <v>4.0</v>
      </c>
      <c r="K32" s="9" t="str">
        <f>HYPERLINK("https://www.instagram.com/p/DbD_l-gkZg_/","Open Post")</f>
        <v>Open Post</v>
      </c>
      <c r="L32" s="6" t="s">
        <v>364</v>
      </c>
      <c r="M32" s="6" t="s">
        <v>55</v>
      </c>
      <c r="N32" s="6" t="s">
        <v>137</v>
      </c>
      <c r="O32" s="6" t="s">
        <v>59</v>
      </c>
      <c r="P32" s="6" t="s">
        <v>138</v>
      </c>
    </row>
    <row r="33">
      <c r="A33" s="6" t="s">
        <v>297</v>
      </c>
      <c r="B33" s="6">
        <v>9.0</v>
      </c>
      <c r="F33" s="6" t="s">
        <v>65</v>
      </c>
      <c r="G33" s="6" t="s">
        <v>369</v>
      </c>
      <c r="H33" s="6" t="s">
        <v>48</v>
      </c>
      <c r="I33" s="6">
        <v>62.0</v>
      </c>
      <c r="J33" s="6" t="s">
        <v>48</v>
      </c>
      <c r="K33" s="9" t="str">
        <f>HYPERLINK("https://www.instagram.com/reel/DbD_L5lR3aN/?utm_source=ig_web_copy_link&amp;stkn=MzRlODBiNWFlZA==","Open Reel")</f>
        <v>Open Reel</v>
      </c>
      <c r="L33" s="6" t="s">
        <v>373</v>
      </c>
      <c r="M33" s="6" t="s">
        <v>55</v>
      </c>
      <c r="N33" s="6" t="s">
        <v>151</v>
      </c>
      <c r="O33" s="6" t="s">
        <v>68</v>
      </c>
      <c r="P33" s="6" t="s">
        <v>152</v>
      </c>
    </row>
    <row r="34">
      <c r="A34" s="6" t="s">
        <v>297</v>
      </c>
      <c r="B34" s="6">
        <v>10.0</v>
      </c>
      <c r="F34" s="6" t="s">
        <v>46</v>
      </c>
      <c r="G34" s="6" t="s">
        <v>117</v>
      </c>
      <c r="H34" s="6" t="s">
        <v>48</v>
      </c>
      <c r="I34" s="6">
        <v>92.0</v>
      </c>
      <c r="J34" s="6">
        <v>10.0</v>
      </c>
      <c r="K34" s="9" t="str">
        <f>HYPERLINK("https://www.instagram.com/p/DbBwcftlQVX/","Open Post")</f>
        <v>Open Post</v>
      </c>
      <c r="L34" s="6" t="s">
        <v>377</v>
      </c>
      <c r="M34" s="6" t="s">
        <v>55</v>
      </c>
      <c r="N34" s="6" t="s">
        <v>378</v>
      </c>
      <c r="O34" s="6" t="s">
        <v>59</v>
      </c>
      <c r="P34" s="6" t="s">
        <v>379</v>
      </c>
    </row>
    <row r="35">
      <c r="A35" s="6" t="s">
        <v>297</v>
      </c>
      <c r="B35" s="6">
        <v>11.0</v>
      </c>
      <c r="F35" s="6" t="s">
        <v>65</v>
      </c>
      <c r="G35" s="6" t="s">
        <v>381</v>
      </c>
      <c r="H35" s="6" t="s">
        <v>48</v>
      </c>
      <c r="I35" s="6">
        <v>209.0</v>
      </c>
      <c r="J35" s="6" t="s">
        <v>48</v>
      </c>
      <c r="K35" s="9" t="str">
        <f>HYPERLINK("https://www.instagram.com/reel/DbBC8T1OLXO/?utm_source=ig_web_copy_link&amp;stkn=MzRlODBiNWFlZA==","Open Reel")</f>
        <v>Open Reel</v>
      </c>
      <c r="L35" s="6" t="s">
        <v>385</v>
      </c>
      <c r="M35" s="6" t="s">
        <v>386</v>
      </c>
      <c r="N35" s="6" t="s">
        <v>387</v>
      </c>
      <c r="O35" s="6" t="s">
        <v>68</v>
      </c>
      <c r="P35" s="6" t="s">
        <v>388</v>
      </c>
    </row>
    <row r="36">
      <c r="A36" s="6" t="s">
        <v>297</v>
      </c>
      <c r="B36" s="6">
        <v>12.0</v>
      </c>
      <c r="F36" s="6" t="s">
        <v>65</v>
      </c>
      <c r="G36" s="6" t="s">
        <v>390</v>
      </c>
      <c r="H36" s="6" t="s">
        <v>48</v>
      </c>
      <c r="I36" s="6">
        <v>220.0</v>
      </c>
      <c r="J36" s="6" t="s">
        <v>48</v>
      </c>
      <c r="K36" s="9" t="str">
        <f>HYPERLINK("https://www.instagram.com/reel/Da0FMKlNAly/?utm_source=ig_web_copy_link&amp;stkn=MzRlODBiNWFlZA==","Open Reel")</f>
        <v>Open Reel</v>
      </c>
      <c r="L36" s="6" t="s">
        <v>394</v>
      </c>
      <c r="M36" s="6" t="s">
        <v>357</v>
      </c>
      <c r="N36" s="6" t="s">
        <v>186</v>
      </c>
      <c r="O36" s="6" t="s">
        <v>68</v>
      </c>
      <c r="P36" s="6" t="s">
        <v>187</v>
      </c>
    </row>
    <row r="37">
      <c r="A37" s="6" t="s">
        <v>297</v>
      </c>
      <c r="B37" s="6">
        <v>13.0</v>
      </c>
      <c r="F37" s="6" t="s">
        <v>65</v>
      </c>
      <c r="G37" s="6" t="s">
        <v>300</v>
      </c>
      <c r="H37" s="6" t="s">
        <v>48</v>
      </c>
      <c r="I37" s="6">
        <v>185.0</v>
      </c>
      <c r="J37" s="6" t="s">
        <v>48</v>
      </c>
      <c r="K37" s="9" t="str">
        <f>HYPERLINK("https://www.instagram.com/reel/DavnbAlxO_Z/","Open Reel")</f>
        <v>Open Reel</v>
      </c>
      <c r="L37" s="6" t="s">
        <v>399</v>
      </c>
      <c r="M37" s="6" t="s">
        <v>400</v>
      </c>
      <c r="N37" s="6" t="s">
        <v>196</v>
      </c>
      <c r="O37" s="6" t="s">
        <v>68</v>
      </c>
      <c r="P37" s="6" t="s">
        <v>197</v>
      </c>
    </row>
    <row r="38">
      <c r="A38" s="6" t="s">
        <v>297</v>
      </c>
      <c r="B38" s="6">
        <v>14.0</v>
      </c>
      <c r="F38" s="6" t="s">
        <v>46</v>
      </c>
      <c r="G38" s="6" t="s">
        <v>117</v>
      </c>
      <c r="H38" s="6" t="s">
        <v>48</v>
      </c>
      <c r="I38" s="6">
        <v>62.0</v>
      </c>
      <c r="J38" s="6">
        <v>2.0</v>
      </c>
      <c r="K38" s="9" t="str">
        <f>HYPERLINK("https://www.instagram.com/p/Dad2845HCzh/","Open Post")</f>
        <v>Open Post</v>
      </c>
      <c r="L38" s="6" t="s">
        <v>404</v>
      </c>
      <c r="M38" s="6" t="s">
        <v>55</v>
      </c>
      <c r="N38" s="6" t="s">
        <v>405</v>
      </c>
      <c r="O38" s="6" t="s">
        <v>59</v>
      </c>
      <c r="P38" s="6" t="s">
        <v>406</v>
      </c>
    </row>
    <row r="39">
      <c r="A39" s="6" t="s">
        <v>297</v>
      </c>
      <c r="B39" s="6">
        <v>15.0</v>
      </c>
      <c r="F39" s="6" t="s">
        <v>65</v>
      </c>
      <c r="G39" s="6" t="s">
        <v>408</v>
      </c>
      <c r="H39" s="6" t="s">
        <v>48</v>
      </c>
      <c r="I39" s="6">
        <v>41.0</v>
      </c>
      <c r="J39" s="6" t="s">
        <v>48</v>
      </c>
      <c r="K39" s="9" t="str">
        <f>HYPERLINK("https://www.instagram.com/reel/DZ9g6SZhAuF/?utm_source=ig_web_copy_link&amp;stkn=MzRlODBiNWFlZA==","Open Reel")</f>
        <v>Open Reel</v>
      </c>
      <c r="L39" s="6" t="s">
        <v>414</v>
      </c>
      <c r="M39" s="6" t="s">
        <v>55</v>
      </c>
      <c r="N39" s="6" t="s">
        <v>416</v>
      </c>
      <c r="O39" s="6" t="s">
        <v>68</v>
      </c>
      <c r="P39" s="6" t="s">
        <v>417</v>
      </c>
    </row>
    <row r="40">
      <c r="A40" s="6" t="s">
        <v>297</v>
      </c>
      <c r="B40" s="6">
        <v>16.0</v>
      </c>
      <c r="F40" s="6" t="s">
        <v>65</v>
      </c>
      <c r="G40" s="6" t="s">
        <v>286</v>
      </c>
      <c r="H40" s="6" t="s">
        <v>48</v>
      </c>
      <c r="I40" s="6">
        <v>11.0</v>
      </c>
      <c r="J40" s="6" t="s">
        <v>48</v>
      </c>
      <c r="K40" s="9" t="str">
        <f>HYPERLINK("https://www.instagram.com/reel/DZnbDoEA45I/?utm_source=ig_web_copy_link&amp;stkn=MzRlODBiNWFlZA==","Open Reel")</f>
        <v>Open Reel</v>
      </c>
      <c r="L40" s="6" t="s">
        <v>420</v>
      </c>
      <c r="M40" s="6" t="s">
        <v>421</v>
      </c>
      <c r="N40" s="6" t="s">
        <v>422</v>
      </c>
      <c r="O40" s="6" t="s">
        <v>68</v>
      </c>
      <c r="P40" s="6" t="s">
        <v>423</v>
      </c>
    </row>
    <row r="41">
      <c r="A41" s="6" t="s">
        <v>297</v>
      </c>
      <c r="B41" s="6">
        <v>17.0</v>
      </c>
      <c r="F41" s="6" t="s">
        <v>46</v>
      </c>
      <c r="G41" s="6" t="s">
        <v>117</v>
      </c>
      <c r="H41" s="6" t="s">
        <v>48</v>
      </c>
      <c r="I41" s="6">
        <v>5.0</v>
      </c>
      <c r="J41" s="6">
        <v>0.0</v>
      </c>
      <c r="K41" s="9" t="str">
        <f>HYPERLINK("https://www.instagram.com/p/DZYSMMuktt1/","Open Post")</f>
        <v>Open Post</v>
      </c>
      <c r="L41" s="6" t="s">
        <v>430</v>
      </c>
      <c r="M41" s="6" t="s">
        <v>55</v>
      </c>
      <c r="N41" s="6" t="s">
        <v>431</v>
      </c>
      <c r="O41" s="6" t="s">
        <v>59</v>
      </c>
      <c r="P41" s="6" t="s">
        <v>432</v>
      </c>
    </row>
    <row r="43">
      <c r="A43" s="6" t="s">
        <v>433</v>
      </c>
      <c r="B43" s="6">
        <v>1.0</v>
      </c>
      <c r="F43" s="6" t="s">
        <v>46</v>
      </c>
      <c r="G43" s="6" t="s">
        <v>117</v>
      </c>
      <c r="H43" s="6" t="s">
        <v>48</v>
      </c>
      <c r="I43" s="6">
        <v>0.0</v>
      </c>
      <c r="J43" s="6" t="s">
        <v>48</v>
      </c>
      <c r="K43" s="9" t="str">
        <f>HYPERLINK("https://www.instagram.com/p/DbVYp8_uoCw/","Open Post")</f>
        <v>Open Post</v>
      </c>
      <c r="L43" s="6" t="s">
        <v>439</v>
      </c>
      <c r="M43" s="6" t="s">
        <v>55</v>
      </c>
      <c r="N43" s="6" t="s">
        <v>58</v>
      </c>
      <c r="O43" s="6" t="s">
        <v>59</v>
      </c>
      <c r="P43" s="6" t="s">
        <v>61</v>
      </c>
    </row>
    <row r="44">
      <c r="A44" s="6" t="s">
        <v>433</v>
      </c>
      <c r="B44" s="6">
        <v>2.0</v>
      </c>
      <c r="F44" s="6" t="s">
        <v>65</v>
      </c>
      <c r="G44" s="6" t="s">
        <v>443</v>
      </c>
      <c r="H44" s="6" t="s">
        <v>48</v>
      </c>
      <c r="I44" s="6">
        <v>5.0</v>
      </c>
      <c r="J44" s="6" t="s">
        <v>48</v>
      </c>
      <c r="K44" s="9" t="str">
        <f>HYPERLINK("https://www.instagram.com/reel/DTlM5g2D2Lz/","Open Reel")</f>
        <v>Open Reel</v>
      </c>
      <c r="L44" s="6" t="s">
        <v>450</v>
      </c>
      <c r="M44" s="6" t="s">
        <v>451</v>
      </c>
      <c r="N44" s="6" t="s">
        <v>75</v>
      </c>
      <c r="O44" s="6" t="s">
        <v>68</v>
      </c>
      <c r="P44" s="6" t="s">
        <v>76</v>
      </c>
    </row>
    <row r="45">
      <c r="A45" s="6" t="s">
        <v>433</v>
      </c>
      <c r="B45" s="6">
        <v>3.0</v>
      </c>
      <c r="F45" s="6" t="s">
        <v>65</v>
      </c>
      <c r="G45" s="6" t="s">
        <v>452</v>
      </c>
      <c r="H45" s="6" t="s">
        <v>48</v>
      </c>
      <c r="I45" s="6" t="s">
        <v>48</v>
      </c>
      <c r="J45" s="6" t="s">
        <v>48</v>
      </c>
      <c r="K45" s="9" t="str">
        <f>HYPERLINK("https://www.instagram.com/reel/DTaQ_OgE_Qr/","Open Reel")</f>
        <v>Open Reel</v>
      </c>
      <c r="L45" s="6" t="s">
        <v>458</v>
      </c>
      <c r="M45" s="6" t="s">
        <v>459</v>
      </c>
      <c r="N45" s="6" t="s">
        <v>82</v>
      </c>
      <c r="O45" s="6" t="s">
        <v>68</v>
      </c>
      <c r="P45" s="6" t="s">
        <v>83</v>
      </c>
    </row>
    <row r="46">
      <c r="A46" s="6" t="s">
        <v>433</v>
      </c>
      <c r="B46" s="6">
        <v>4.0</v>
      </c>
      <c r="C46" s="18"/>
      <c r="F46" s="6" t="s">
        <v>65</v>
      </c>
      <c r="G46" s="6" t="s">
        <v>462</v>
      </c>
      <c r="H46" s="6" t="s">
        <v>48</v>
      </c>
      <c r="I46" s="6" t="s">
        <v>48</v>
      </c>
      <c r="J46" s="6" t="s">
        <v>48</v>
      </c>
      <c r="K46" s="9" t="str">
        <f>HYPERLINK("https://www.instagram.com/reel/DTHbNyREz10/?utm_source=ig_web_copy_link&amp;stkn=MzRlODBiNWFlZA==","Open Reel")</f>
        <v>Open Reel</v>
      </c>
      <c r="L46" s="6" t="s">
        <v>466</v>
      </c>
      <c r="M46" s="6" t="s">
        <v>55</v>
      </c>
      <c r="N46" s="6" t="s">
        <v>89</v>
      </c>
      <c r="O46" s="6" t="s">
        <v>68</v>
      </c>
      <c r="P46" s="6" t="s">
        <v>90</v>
      </c>
    </row>
    <row r="47">
      <c r="A47" s="6" t="s">
        <v>433</v>
      </c>
      <c r="B47" s="6">
        <v>5.0</v>
      </c>
      <c r="F47" s="6" t="s">
        <v>46</v>
      </c>
      <c r="G47" s="6" t="s">
        <v>117</v>
      </c>
      <c r="H47" s="6" t="s">
        <v>48</v>
      </c>
      <c r="I47" s="6">
        <v>14.0</v>
      </c>
      <c r="J47" s="6">
        <v>7.0</v>
      </c>
      <c r="K47" s="9" t="str">
        <f>HYPERLINK("https://www.instagram.com/p/DJRJ3SwomQe/","Open Post")</f>
        <v>Open Post</v>
      </c>
      <c r="L47" s="18" t="s">
        <v>474</v>
      </c>
      <c r="M47" s="6" t="s">
        <v>55</v>
      </c>
      <c r="N47" s="6" t="s">
        <v>101</v>
      </c>
      <c r="O47" s="6" t="s">
        <v>59</v>
      </c>
      <c r="P47" s="6" t="s">
        <v>103</v>
      </c>
    </row>
    <row r="48">
      <c r="A48" s="6" t="s">
        <v>433</v>
      </c>
      <c r="B48" s="6">
        <v>6.0</v>
      </c>
      <c r="F48" s="6" t="s">
        <v>65</v>
      </c>
      <c r="G48" s="6" t="s">
        <v>477</v>
      </c>
      <c r="H48" s="6" t="s">
        <v>48</v>
      </c>
      <c r="I48" s="6">
        <v>7.0</v>
      </c>
      <c r="J48" s="6" t="s">
        <v>48</v>
      </c>
      <c r="K48" s="9" t="str">
        <f>HYPERLINK("https://www.instagram.com/reel/DAO07KhgeJc/?utm_source=ig_web_copy_link&amp;stkn=MzRlODBiNWFlZA==","Open Reel")</f>
        <v>Open Reel</v>
      </c>
      <c r="L48" s="6" t="s">
        <v>483</v>
      </c>
      <c r="M48" s="6" t="s">
        <v>484</v>
      </c>
      <c r="N48" s="6" t="s">
        <v>115</v>
      </c>
      <c r="O48" s="6" t="s">
        <v>68</v>
      </c>
      <c r="P48" s="6" t="s">
        <v>116</v>
      </c>
    </row>
    <row r="49">
      <c r="A49" s="6" t="s">
        <v>433</v>
      </c>
      <c r="B49" s="6">
        <v>7.0</v>
      </c>
      <c r="F49" s="6" t="s">
        <v>46</v>
      </c>
      <c r="G49" s="6" t="s">
        <v>486</v>
      </c>
      <c r="H49" s="6" t="s">
        <v>48</v>
      </c>
      <c r="I49" s="6">
        <v>1.0</v>
      </c>
      <c r="J49" s="6">
        <v>0.0</v>
      </c>
      <c r="K49" s="9" t="str">
        <f>HYPERLINK("https://www.instagram.com/p/C_Z9bZfsudl/","Open Post")</f>
        <v>Open Post</v>
      </c>
      <c r="L49" s="6" t="s">
        <v>492</v>
      </c>
      <c r="M49" s="6" t="s">
        <v>493</v>
      </c>
      <c r="N49" s="6" t="s">
        <v>125</v>
      </c>
      <c r="O49" s="6" t="s">
        <v>59</v>
      </c>
      <c r="P49" s="6" t="s">
        <v>128</v>
      </c>
    </row>
    <row r="50">
      <c r="A50" s="6" t="s">
        <v>433</v>
      </c>
      <c r="B50" s="6">
        <v>8.0</v>
      </c>
      <c r="F50" s="6" t="s">
        <v>65</v>
      </c>
      <c r="G50" s="6" t="s">
        <v>494</v>
      </c>
      <c r="H50" s="6" t="s">
        <v>48</v>
      </c>
      <c r="I50" s="6">
        <v>21.0</v>
      </c>
      <c r="J50" s="6" t="s">
        <v>48</v>
      </c>
      <c r="K50" s="9" t="str">
        <f>HYPERLINK("https://www.instagram.com/reel/C7Ll6yBM7Op/?utm_source=ig_web_copy_link&amp;stkn=MzRlODBiNWFlZA==","Open Reel")</f>
        <v>Open Reel</v>
      </c>
      <c r="L50" s="6" t="s">
        <v>500</v>
      </c>
      <c r="M50" s="6" t="s">
        <v>501</v>
      </c>
      <c r="N50" s="6" t="s">
        <v>502</v>
      </c>
      <c r="O50" s="6" t="s">
        <v>68</v>
      </c>
      <c r="P50" s="6" t="s">
        <v>503</v>
      </c>
    </row>
    <row r="51">
      <c r="A51" s="6" t="s">
        <v>433</v>
      </c>
      <c r="B51" s="6">
        <v>9.0</v>
      </c>
      <c r="F51" s="6" t="s">
        <v>46</v>
      </c>
      <c r="G51" s="6" t="s">
        <v>117</v>
      </c>
      <c r="H51" s="6" t="s">
        <v>48</v>
      </c>
      <c r="I51" s="6" t="s">
        <v>48</v>
      </c>
      <c r="J51" s="6" t="s">
        <v>48</v>
      </c>
      <c r="K51" s="9" t="str">
        <f>HYPERLINK("https://www.instagram.com/p/CyHBhGEsk3M/","Open Post")</f>
        <v>Open Post</v>
      </c>
      <c r="L51" s="6" t="s">
        <v>509</v>
      </c>
      <c r="M51" s="6" t="s">
        <v>55</v>
      </c>
      <c r="N51" s="6" t="s">
        <v>510</v>
      </c>
      <c r="O51" s="6" t="s">
        <v>59</v>
      </c>
      <c r="P51" s="6" t="s">
        <v>512</v>
      </c>
    </row>
    <row r="52">
      <c r="A52" s="6" t="s">
        <v>433</v>
      </c>
      <c r="B52" s="6">
        <v>10.0</v>
      </c>
      <c r="F52" s="6" t="s">
        <v>46</v>
      </c>
      <c r="G52" s="6" t="s">
        <v>515</v>
      </c>
      <c r="H52" s="6" t="s">
        <v>48</v>
      </c>
      <c r="I52" s="6">
        <v>13.0</v>
      </c>
      <c r="J52" s="6">
        <v>2.0</v>
      </c>
      <c r="K52" s="9" t="str">
        <f>HYPERLINK("https://www.instagram.com/p/CvZCFSUppsb/","Open Post")</f>
        <v>Open Post</v>
      </c>
      <c r="L52" s="6" t="s">
        <v>520</v>
      </c>
      <c r="M52" s="6" t="s">
        <v>55</v>
      </c>
      <c r="N52" s="6" t="s">
        <v>378</v>
      </c>
      <c r="O52" s="6" t="s">
        <v>59</v>
      </c>
      <c r="P52" s="6" t="s">
        <v>379</v>
      </c>
    </row>
    <row r="53">
      <c r="A53" s="6" t="s">
        <v>433</v>
      </c>
      <c r="B53" s="6">
        <v>11.0</v>
      </c>
      <c r="F53" s="6" t="s">
        <v>46</v>
      </c>
      <c r="G53" s="6" t="s">
        <v>117</v>
      </c>
      <c r="H53" s="6" t="s">
        <v>48</v>
      </c>
      <c r="I53" s="6" t="s">
        <v>48</v>
      </c>
      <c r="J53" s="6" t="s">
        <v>48</v>
      </c>
      <c r="K53" s="9" t="str">
        <f>HYPERLINK("https://www.instagram.com/p/CvHjeApx6Rc/","Open Post")</f>
        <v>Open Post</v>
      </c>
      <c r="L53" s="6" t="s">
        <v>528</v>
      </c>
      <c r="M53" s="6" t="s">
        <v>55</v>
      </c>
      <c r="N53" s="6" t="s">
        <v>169</v>
      </c>
      <c r="O53" s="6" t="s">
        <v>59</v>
      </c>
      <c r="P53" s="6" t="s">
        <v>170</v>
      </c>
    </row>
    <row r="54">
      <c r="A54" s="6" t="s">
        <v>433</v>
      </c>
      <c r="B54" s="6">
        <v>12.0</v>
      </c>
      <c r="F54" s="6" t="s">
        <v>65</v>
      </c>
      <c r="G54" s="6" t="s">
        <v>443</v>
      </c>
      <c r="H54" s="6" t="s">
        <v>48</v>
      </c>
      <c r="I54" s="6">
        <v>15.0</v>
      </c>
      <c r="J54" s="6" t="s">
        <v>48</v>
      </c>
      <c r="K54" s="9" t="str">
        <f>HYPERLINK("https://www.instagram.com/reel/CtJ3-9ypC4e/","Open Reel")</f>
        <v>Open Reel</v>
      </c>
      <c r="L54" s="6" t="s">
        <v>534</v>
      </c>
      <c r="M54" s="6" t="s">
        <v>536</v>
      </c>
      <c r="N54" s="6" t="s">
        <v>186</v>
      </c>
      <c r="O54" s="6" t="s">
        <v>68</v>
      </c>
      <c r="P54" s="6" t="s">
        <v>187</v>
      </c>
    </row>
    <row r="55">
      <c r="A55" s="6" t="s">
        <v>433</v>
      </c>
      <c r="B55" s="6">
        <v>13.0</v>
      </c>
      <c r="F55" s="6" t="s">
        <v>46</v>
      </c>
      <c r="G55" s="6" t="s">
        <v>539</v>
      </c>
      <c r="H55" s="6" t="s">
        <v>48</v>
      </c>
      <c r="I55" s="6">
        <v>131.0</v>
      </c>
      <c r="J55" s="6">
        <v>8.0</v>
      </c>
      <c r="K55" s="9" t="str">
        <f>HYPERLINK("https://www.instagram.com/p/CrJfUR0unIn/","Open Post")</f>
        <v>Open Post</v>
      </c>
      <c r="L55" s="6" t="s">
        <v>544</v>
      </c>
      <c r="M55" s="6" t="s">
        <v>55</v>
      </c>
      <c r="N55" s="6" t="s">
        <v>545</v>
      </c>
      <c r="O55" s="6" t="s">
        <v>59</v>
      </c>
      <c r="P55" s="6" t="s">
        <v>546</v>
      </c>
    </row>
    <row r="56">
      <c r="A56" s="6" t="s">
        <v>433</v>
      </c>
      <c r="B56" s="6">
        <v>14.0</v>
      </c>
      <c r="F56" s="6" t="s">
        <v>46</v>
      </c>
      <c r="G56" s="6" t="s">
        <v>117</v>
      </c>
      <c r="H56" s="6" t="s">
        <v>48</v>
      </c>
      <c r="I56" s="6">
        <v>2.0</v>
      </c>
      <c r="J56" s="6">
        <v>0.0</v>
      </c>
      <c r="K56" s="9" t="str">
        <f>HYPERLINK("https://www.instagram.com/p/Co2h0pLPFIe/","Open Post")</f>
        <v>Open Post</v>
      </c>
      <c r="L56" s="6" t="s">
        <v>553</v>
      </c>
      <c r="M56" s="6" t="s">
        <v>55</v>
      </c>
      <c r="N56" s="6" t="s">
        <v>405</v>
      </c>
      <c r="O56" s="6" t="s">
        <v>59</v>
      </c>
      <c r="P56" s="6" t="s">
        <v>406</v>
      </c>
    </row>
    <row r="57">
      <c r="A57" s="6" t="s">
        <v>433</v>
      </c>
      <c r="B57" s="6">
        <v>15.0</v>
      </c>
      <c r="F57" s="6" t="s">
        <v>65</v>
      </c>
      <c r="G57" s="6" t="s">
        <v>555</v>
      </c>
      <c r="H57" s="6" t="s">
        <v>48</v>
      </c>
      <c r="I57" s="6">
        <v>8.0</v>
      </c>
      <c r="J57" s="6" t="s">
        <v>48</v>
      </c>
      <c r="K57" s="9" t="str">
        <f>HYPERLINK("https://www.instagram.com/reel/CnWwAMHh3Lz/?utm_source=ig_web_copy_link&amp;stkn=MzRlODBiNWFlZA==","Open Reel")</f>
        <v>Open Reel</v>
      </c>
      <c r="L57" s="6" t="s">
        <v>559</v>
      </c>
      <c r="M57" s="6" t="s">
        <v>560</v>
      </c>
      <c r="N57" s="6" t="s">
        <v>416</v>
      </c>
      <c r="O57" s="6" t="s">
        <v>68</v>
      </c>
      <c r="P57" s="6" t="s">
        <v>417</v>
      </c>
    </row>
    <row r="58">
      <c r="A58" s="6" t="s">
        <v>433</v>
      </c>
      <c r="B58" s="6">
        <v>16.0</v>
      </c>
      <c r="F58" s="6" t="s">
        <v>46</v>
      </c>
      <c r="G58" s="6" t="s">
        <v>562</v>
      </c>
      <c r="H58" s="6" t="s">
        <v>48</v>
      </c>
      <c r="I58" s="6">
        <v>20.0</v>
      </c>
      <c r="J58" s="6">
        <v>1.0</v>
      </c>
      <c r="K58" s="9" t="str">
        <f>HYPERLINK("https://www.instagram.com/p/Cmy2ZQytqUq/","Open Post")</f>
        <v>Open Post</v>
      </c>
      <c r="L58" s="6" t="s">
        <v>567</v>
      </c>
      <c r="M58" s="6" t="s">
        <v>55</v>
      </c>
      <c r="N58" s="6" t="s">
        <v>225</v>
      </c>
      <c r="O58" s="6" t="s">
        <v>59</v>
      </c>
      <c r="P58" s="6" t="s">
        <v>226</v>
      </c>
    </row>
    <row r="59">
      <c r="A59" s="6" t="s">
        <v>433</v>
      </c>
      <c r="B59" s="6">
        <v>17.0</v>
      </c>
      <c r="F59" s="6" t="s">
        <v>46</v>
      </c>
      <c r="G59" s="6" t="s">
        <v>569</v>
      </c>
      <c r="H59" s="6" t="s">
        <v>48</v>
      </c>
      <c r="I59" s="6">
        <v>15.0</v>
      </c>
      <c r="J59" s="6">
        <v>6.0</v>
      </c>
      <c r="K59" s="9" t="str">
        <f>HYPERLINK("https://www.instagram.com/p/Clk5ficPp-X/","Open Post")</f>
        <v>Open Post</v>
      </c>
      <c r="L59" s="6" t="s">
        <v>574</v>
      </c>
      <c r="M59" s="6" t="s">
        <v>55</v>
      </c>
      <c r="N59" s="6" t="s">
        <v>431</v>
      </c>
      <c r="O59" s="6" t="s">
        <v>59</v>
      </c>
      <c r="P59" s="6" t="s">
        <v>432</v>
      </c>
    </row>
    <row r="60">
      <c r="A60" s="6" t="s">
        <v>433</v>
      </c>
      <c r="B60" s="6">
        <v>18.0</v>
      </c>
      <c r="F60" s="6" t="s">
        <v>65</v>
      </c>
      <c r="G60" s="6" t="s">
        <v>172</v>
      </c>
      <c r="H60" s="6" t="s">
        <v>48</v>
      </c>
      <c r="I60" s="6">
        <v>3.0</v>
      </c>
      <c r="J60" s="6" t="s">
        <v>48</v>
      </c>
      <c r="K60" s="9" t="str">
        <f>HYPERLINK("https://www.instagram.com/reel/CkjR1Q3gDYo/?utm_source=ig_web_copy_link&amp;stkn=MzRlODBiNWFlZA==","Open Reel")</f>
        <v>Open Reel</v>
      </c>
      <c r="L60" s="6" t="s">
        <v>581</v>
      </c>
      <c r="M60" s="6" t="s">
        <v>582</v>
      </c>
      <c r="N60" s="6" t="s">
        <v>583</v>
      </c>
      <c r="O60" s="6" t="s">
        <v>68</v>
      </c>
      <c r="P60" s="6" t="s">
        <v>584</v>
      </c>
    </row>
    <row r="61">
      <c r="A61" s="6" t="s">
        <v>433</v>
      </c>
      <c r="B61" s="6">
        <v>19.0</v>
      </c>
      <c r="F61" s="6" t="s">
        <v>46</v>
      </c>
      <c r="G61" s="6" t="s">
        <v>585</v>
      </c>
      <c r="H61" s="6" t="s">
        <v>48</v>
      </c>
      <c r="I61" s="6">
        <v>54.0</v>
      </c>
      <c r="J61" s="6">
        <v>0.0</v>
      </c>
      <c r="K61" s="9" t="str">
        <f>HYPERLINK("https://www.instagram.com/p/ChUX395JTQd/","Open Post")</f>
        <v>Open Post</v>
      </c>
      <c r="L61" s="6" t="s">
        <v>591</v>
      </c>
      <c r="M61" s="6" t="s">
        <v>592</v>
      </c>
      <c r="N61" s="6" t="s">
        <v>593</v>
      </c>
      <c r="O61" s="6" t="s">
        <v>59</v>
      </c>
      <c r="P61" s="6" t="s">
        <v>594</v>
      </c>
    </row>
    <row r="62">
      <c r="A62" s="6" t="s">
        <v>433</v>
      </c>
      <c r="B62" s="6">
        <v>20.0</v>
      </c>
      <c r="F62" s="6" t="s">
        <v>46</v>
      </c>
      <c r="G62" s="6" t="s">
        <v>596</v>
      </c>
      <c r="H62" s="6" t="s">
        <v>48</v>
      </c>
      <c r="I62" s="6">
        <v>6.0</v>
      </c>
      <c r="J62" s="6">
        <v>0.0</v>
      </c>
      <c r="K62" s="9" t="str">
        <f>HYPERLINK("https://www.instagram.com/p/CeaeCY4por5/","Open Post")</f>
        <v>Open Post</v>
      </c>
      <c r="L62" s="6" t="s">
        <v>598</v>
      </c>
      <c r="M62" s="6" t="s">
        <v>55</v>
      </c>
      <c r="N62" s="6" t="s">
        <v>268</v>
      </c>
      <c r="O62" s="6" t="s">
        <v>59</v>
      </c>
      <c r="P62" s="6" t="s">
        <v>269</v>
      </c>
    </row>
    <row r="63">
      <c r="A63" s="6" t="s">
        <v>433</v>
      </c>
      <c r="B63" s="6">
        <v>21.0</v>
      </c>
      <c r="F63" s="6" t="s">
        <v>65</v>
      </c>
      <c r="G63" s="6" t="s">
        <v>600</v>
      </c>
      <c r="H63" s="6" t="s">
        <v>48</v>
      </c>
      <c r="I63" s="6">
        <v>9.0</v>
      </c>
      <c r="J63" s="6" t="s">
        <v>48</v>
      </c>
      <c r="K63" s="9" t="str">
        <f>HYPERLINK("https://www.instagram.com/reel/Cdg_VHCKkpx/?utm_source=ig_web_copy_link&amp;stkn=MzRlODBiNWFlZA==","Open Reel")</f>
        <v>Open Reel</v>
      </c>
      <c r="L63" s="6" t="s">
        <v>605</v>
      </c>
      <c r="M63" s="6" t="s">
        <v>606</v>
      </c>
      <c r="N63" s="6" t="s">
        <v>281</v>
      </c>
      <c r="O63" s="6" t="s">
        <v>68</v>
      </c>
      <c r="P63" s="6" t="s">
        <v>282</v>
      </c>
    </row>
    <row r="64">
      <c r="A64" s="6" t="s">
        <v>433</v>
      </c>
      <c r="B64" s="6">
        <v>22.0</v>
      </c>
      <c r="F64" s="6" t="s">
        <v>46</v>
      </c>
      <c r="G64" s="6" t="s">
        <v>607</v>
      </c>
      <c r="H64" s="6" t="s">
        <v>48</v>
      </c>
      <c r="I64" s="6">
        <v>9.0</v>
      </c>
      <c r="J64" s="6">
        <v>0.0</v>
      </c>
      <c r="K64" s="9" t="str">
        <f>HYPERLINK("https://www.instagram.com/p/CdU6WKCM_g2/","Open Post")</f>
        <v>Open Post</v>
      </c>
      <c r="L64" s="6" t="s">
        <v>610</v>
      </c>
      <c r="M64" s="6" t="s">
        <v>612</v>
      </c>
      <c r="N64" s="6" t="s">
        <v>293</v>
      </c>
      <c r="O64" s="6" t="s">
        <v>59</v>
      </c>
      <c r="P64" s="6" t="s">
        <v>295</v>
      </c>
    </row>
    <row r="65">
      <c r="A65" s="6" t="s">
        <v>433</v>
      </c>
      <c r="B65" s="6">
        <v>23.0</v>
      </c>
      <c r="F65" s="6" t="s">
        <v>65</v>
      </c>
      <c r="G65" s="6" t="s">
        <v>477</v>
      </c>
      <c r="H65" s="6" t="s">
        <v>48</v>
      </c>
      <c r="I65" s="6">
        <v>573.0</v>
      </c>
      <c r="J65" s="6" t="s">
        <v>48</v>
      </c>
      <c r="K65" s="9" t="str">
        <f>HYPERLINK("https://www.instagram.com/reel/CaR_IEIjsMg/?utm_source=ig_web_copy_link","Open Reel")</f>
        <v>Open Reel</v>
      </c>
      <c r="L65" s="6" t="s">
        <v>619</v>
      </c>
      <c r="M65" s="6" t="s">
        <v>620</v>
      </c>
      <c r="N65" s="6" t="s">
        <v>621</v>
      </c>
      <c r="O65" s="6" t="s">
        <v>68</v>
      </c>
      <c r="P65" s="6" t="s">
        <v>623</v>
      </c>
    </row>
    <row r="66">
      <c r="A66" s="6" t="s">
        <v>433</v>
      </c>
      <c r="B66" s="6">
        <v>24.0</v>
      </c>
      <c r="F66" s="6" t="s">
        <v>46</v>
      </c>
      <c r="G66" s="6" t="s">
        <v>624</v>
      </c>
      <c r="H66" s="6" t="s">
        <v>48</v>
      </c>
      <c r="I66" s="6">
        <v>9.0</v>
      </c>
      <c r="J66" s="6">
        <v>0.0</v>
      </c>
      <c r="K66" s="9" t="str">
        <f>HYPERLINK("https://www.instagram.com/p/CYI7al5lcPl/","Open Post")</f>
        <v>Open Post</v>
      </c>
      <c r="L66" s="6" t="s">
        <v>628</v>
      </c>
      <c r="M66" s="6" t="s">
        <v>630</v>
      </c>
      <c r="N66" s="6" t="s">
        <v>631</v>
      </c>
      <c r="O66" s="6" t="s">
        <v>59</v>
      </c>
      <c r="P66" s="6" t="s">
        <v>632</v>
      </c>
    </row>
    <row r="67">
      <c r="A67" s="6" t="s">
        <v>433</v>
      </c>
      <c r="B67" s="6">
        <v>25.0</v>
      </c>
      <c r="F67" s="6" t="s">
        <v>46</v>
      </c>
      <c r="G67" s="6" t="s">
        <v>634</v>
      </c>
      <c r="H67" s="6" t="s">
        <v>48</v>
      </c>
      <c r="I67" s="6">
        <v>22.0</v>
      </c>
      <c r="J67" s="6">
        <v>0.0</v>
      </c>
      <c r="K67" s="9" t="str">
        <f>HYPERLINK("https://www.instagram.com/p/CXgXTtxLPC5/","Open Post")</f>
        <v>Open Post</v>
      </c>
      <c r="L67" s="6" t="s">
        <v>638</v>
      </c>
      <c r="M67" s="6" t="s">
        <v>55</v>
      </c>
      <c r="N67" s="6" t="s">
        <v>639</v>
      </c>
      <c r="O67" s="6" t="s">
        <v>59</v>
      </c>
      <c r="P67" s="6" t="s">
        <v>640</v>
      </c>
    </row>
    <row r="68">
      <c r="A68" s="6" t="s">
        <v>433</v>
      </c>
      <c r="B68" s="6">
        <v>26.0</v>
      </c>
      <c r="F68" s="6" t="s">
        <v>65</v>
      </c>
      <c r="G68" s="6" t="s">
        <v>641</v>
      </c>
      <c r="H68" s="6" t="s">
        <v>48</v>
      </c>
      <c r="I68" s="6">
        <v>22.0</v>
      </c>
      <c r="J68" s="6" t="s">
        <v>48</v>
      </c>
      <c r="K68" s="9" t="str">
        <f>HYPERLINK("https://www.instagram.com/reel/CXYoGz2ohJq/?utm_source=ig_web_copy_link&amp;stkn=MzRlODBiNWFlZA==","Open Reel")</f>
        <v>Open Reel</v>
      </c>
      <c r="L68" s="6" t="s">
        <v>646</v>
      </c>
      <c r="M68" s="6" t="s">
        <v>647</v>
      </c>
      <c r="N68" s="6" t="s">
        <v>649</v>
      </c>
      <c r="O68" s="6" t="s">
        <v>68</v>
      </c>
      <c r="P68" s="6" t="s">
        <v>650</v>
      </c>
    </row>
    <row r="69">
      <c r="A69" s="6" t="s">
        <v>433</v>
      </c>
      <c r="B69" s="6">
        <v>27.0</v>
      </c>
      <c r="F69" s="6" t="s">
        <v>46</v>
      </c>
      <c r="G69" s="6" t="s">
        <v>651</v>
      </c>
      <c r="H69" s="6" t="s">
        <v>48</v>
      </c>
      <c r="I69" s="6">
        <v>28.0</v>
      </c>
      <c r="J69" s="6">
        <v>0.0</v>
      </c>
      <c r="K69" s="9" t="str">
        <f>HYPERLINK("https://www.instagram.com/p/CW8SljpFIn8/","Open Post")</f>
        <v>Open Post</v>
      </c>
      <c r="L69" s="6" t="s">
        <v>657</v>
      </c>
      <c r="M69" s="6" t="s">
        <v>55</v>
      </c>
      <c r="N69" s="6" t="s">
        <v>658</v>
      </c>
      <c r="O69" s="6" t="s">
        <v>59</v>
      </c>
      <c r="P69" s="6" t="s">
        <v>659</v>
      </c>
    </row>
    <row r="70">
      <c r="A70" s="6" t="s">
        <v>433</v>
      </c>
      <c r="B70" s="6">
        <v>28.0</v>
      </c>
      <c r="F70" s="6" t="s">
        <v>46</v>
      </c>
      <c r="G70" s="6" t="s">
        <v>661</v>
      </c>
      <c r="H70" s="6" t="s">
        <v>48</v>
      </c>
      <c r="I70" s="6">
        <v>14.0</v>
      </c>
      <c r="J70" s="6">
        <v>1.0</v>
      </c>
      <c r="K70" s="9" t="str">
        <f>HYPERLINK("https://www.instagram.com/p/CU4iOCUo-y5/","Open Post")</f>
        <v>Open Post</v>
      </c>
      <c r="L70" s="6" t="s">
        <v>666</v>
      </c>
      <c r="M70" s="6" t="s">
        <v>55</v>
      </c>
      <c r="N70" s="6" t="s">
        <v>668</v>
      </c>
      <c r="O70" s="6" t="s">
        <v>59</v>
      </c>
      <c r="P70" s="6" t="s">
        <v>669</v>
      </c>
    </row>
    <row r="71">
      <c r="A71" s="6" t="s">
        <v>433</v>
      </c>
      <c r="B71" s="6">
        <v>29.0</v>
      </c>
      <c r="F71" s="6" t="s">
        <v>46</v>
      </c>
      <c r="G71" s="6" t="s">
        <v>670</v>
      </c>
      <c r="H71" s="6" t="s">
        <v>48</v>
      </c>
      <c r="I71" s="6">
        <v>14.0</v>
      </c>
      <c r="J71" s="6">
        <v>3.0</v>
      </c>
      <c r="K71" s="9" t="str">
        <f>HYPERLINK("https://www.instagram.com/p/CTmvuaVDLcm/","Open Post")</f>
        <v>Open Post</v>
      </c>
      <c r="L71" s="6" t="s">
        <v>674</v>
      </c>
      <c r="M71" s="6" t="s">
        <v>675</v>
      </c>
      <c r="N71" s="6" t="s">
        <v>676</v>
      </c>
      <c r="O71" s="6" t="s">
        <v>59</v>
      </c>
      <c r="P71" s="6" t="s">
        <v>677</v>
      </c>
    </row>
    <row r="72">
      <c r="A72" s="6" t="s">
        <v>433</v>
      </c>
      <c r="B72" s="6">
        <v>30.0</v>
      </c>
      <c r="F72" s="6" t="s">
        <v>65</v>
      </c>
      <c r="G72" s="6" t="s">
        <v>477</v>
      </c>
      <c r="H72" s="6" t="s">
        <v>48</v>
      </c>
      <c r="I72" s="6">
        <v>38.0</v>
      </c>
      <c r="J72" s="6" t="s">
        <v>48</v>
      </c>
      <c r="K72" s="9" t="str">
        <f>HYPERLINK("https://www.instagram.com/reel/CTPW3Dlg4XH/?utm_source=ig_web_copy_link&amp;stkn=MzRlODBiNWFlZA==","Open Reel")</f>
        <v>Open Reel</v>
      </c>
      <c r="L72" s="6" t="s">
        <v>682</v>
      </c>
      <c r="M72" s="6" t="s">
        <v>684</v>
      </c>
      <c r="N72" s="6" t="s">
        <v>685</v>
      </c>
      <c r="O72" s="6" t="s">
        <v>68</v>
      </c>
      <c r="P72" s="6" t="s">
        <v>686</v>
      </c>
    </row>
    <row r="73">
      <c r="A73" s="6" t="s">
        <v>433</v>
      </c>
      <c r="B73" s="6">
        <v>31.0</v>
      </c>
      <c r="F73" s="6" t="s">
        <v>65</v>
      </c>
      <c r="G73" s="6" t="s">
        <v>477</v>
      </c>
      <c r="H73" s="6" t="s">
        <v>48</v>
      </c>
      <c r="I73" s="6">
        <v>31.0</v>
      </c>
      <c r="J73" s="6" t="s">
        <v>48</v>
      </c>
      <c r="K73" s="9" t="str">
        <f>HYPERLINK("https://www.instagram.com/reel/CSptAqCJnXW/?utm_source=ig_web_copy_link&amp;stkn=MzRlODBiNWFlZA==","Open Reel")</f>
        <v>Open Reel</v>
      </c>
      <c r="L73" s="6" t="s">
        <v>690</v>
      </c>
      <c r="M73" s="6" t="s">
        <v>691</v>
      </c>
      <c r="N73" s="6" t="s">
        <v>692</v>
      </c>
      <c r="O73" s="6" t="s">
        <v>68</v>
      </c>
      <c r="P73" s="6" t="s">
        <v>694</v>
      </c>
    </row>
    <row r="74">
      <c r="A74" s="6" t="s">
        <v>433</v>
      </c>
      <c r="B74" s="6">
        <v>32.0</v>
      </c>
      <c r="F74" s="6" t="s">
        <v>65</v>
      </c>
      <c r="G74" s="6" t="s">
        <v>695</v>
      </c>
      <c r="H74" s="6" t="s">
        <v>48</v>
      </c>
      <c r="I74" s="6">
        <v>60.0</v>
      </c>
      <c r="J74" s="6" t="s">
        <v>48</v>
      </c>
      <c r="K74" s="9" t="str">
        <f>HYPERLINK("https://www.instagram.com/reel/CRqthtansyJ/?utm_source=ig_web_copy_link&amp;stkn=MzRlODBiNWFlZA==","Open Reel")</f>
        <v>Open Reel</v>
      </c>
      <c r="L74" s="6" t="s">
        <v>699</v>
      </c>
      <c r="M74" s="6" t="s">
        <v>700</v>
      </c>
      <c r="N74" s="6" t="s">
        <v>701</v>
      </c>
      <c r="O74" s="6" t="s">
        <v>68</v>
      </c>
      <c r="P74" s="6" t="s">
        <v>702</v>
      </c>
    </row>
    <row r="75">
      <c r="A75" s="6" t="s">
        <v>433</v>
      </c>
      <c r="B75" s="6">
        <v>33.0</v>
      </c>
      <c r="F75" s="6" t="s">
        <v>46</v>
      </c>
      <c r="G75" s="6" t="s">
        <v>117</v>
      </c>
      <c r="H75" s="6" t="s">
        <v>48</v>
      </c>
      <c r="I75" s="6">
        <v>5.0</v>
      </c>
      <c r="J75" s="6">
        <v>1.0</v>
      </c>
      <c r="K75" s="9" t="str">
        <f>HYPERLINK("https://www.instagram.com/p/CRPZo1bDn3N/","Open Post")</f>
        <v>Open Post</v>
      </c>
      <c r="L75" s="6" t="s">
        <v>708</v>
      </c>
      <c r="M75" s="6" t="s">
        <v>55</v>
      </c>
      <c r="N75" s="6" t="s">
        <v>709</v>
      </c>
      <c r="O75" s="6" t="s">
        <v>59</v>
      </c>
      <c r="P75" s="6" t="s">
        <v>710</v>
      </c>
    </row>
    <row r="76">
      <c r="A76" s="6" t="s">
        <v>433</v>
      </c>
      <c r="B76" s="6">
        <v>34.0</v>
      </c>
      <c r="F76" s="6" t="s">
        <v>46</v>
      </c>
      <c r="G76" s="6" t="s">
        <v>712</v>
      </c>
      <c r="H76" s="6" t="s">
        <v>48</v>
      </c>
      <c r="I76" s="6">
        <v>21.0</v>
      </c>
      <c r="J76" s="6">
        <v>4.0</v>
      </c>
      <c r="K76" s="9" t="str">
        <f>HYPERLINK("https://www.instagram.com/p/CQy3RwjsXmA/","Open Post")</f>
        <v>Open Post</v>
      </c>
      <c r="L76" s="6" t="s">
        <v>714</v>
      </c>
      <c r="M76" s="6" t="s">
        <v>55</v>
      </c>
      <c r="N76" s="6" t="s">
        <v>715</v>
      </c>
      <c r="O76" s="6" t="s">
        <v>59</v>
      </c>
      <c r="P76" s="6" t="s">
        <v>716</v>
      </c>
    </row>
    <row r="77">
      <c r="A77" s="6" t="s">
        <v>433</v>
      </c>
      <c r="B77" s="6">
        <v>35.0</v>
      </c>
      <c r="F77" s="6" t="s">
        <v>65</v>
      </c>
      <c r="G77" s="6" t="s">
        <v>718</v>
      </c>
      <c r="H77" s="6" t="s">
        <v>48</v>
      </c>
      <c r="I77" s="6">
        <v>7.0</v>
      </c>
      <c r="J77" s="6" t="s">
        <v>48</v>
      </c>
      <c r="K77" s="9" t="str">
        <f>HYPERLINK("https://www.instagram.com/reel/COzs5yvhPX3/?utm_source=ig_web_copy_link&amp;stkn=MzRlODBiNWFlZA==","Open Reel")</f>
        <v>Open Reel</v>
      </c>
      <c r="L77" s="6" t="s">
        <v>722</v>
      </c>
      <c r="M77" s="6" t="s">
        <v>723</v>
      </c>
      <c r="N77" s="6" t="s">
        <v>725</v>
      </c>
      <c r="O77" s="6" t="s">
        <v>68</v>
      </c>
      <c r="P77" s="6" t="s">
        <v>726</v>
      </c>
    </row>
    <row r="78">
      <c r="A78" s="6" t="s">
        <v>433</v>
      </c>
      <c r="B78" s="6">
        <v>36.0</v>
      </c>
      <c r="F78" s="6" t="s">
        <v>46</v>
      </c>
      <c r="G78" s="6" t="s">
        <v>727</v>
      </c>
      <c r="H78" s="6" t="s">
        <v>48</v>
      </c>
      <c r="I78" s="6">
        <v>138.0</v>
      </c>
      <c r="J78" s="6">
        <v>12.0</v>
      </c>
      <c r="K78" s="9" t="str">
        <f>HYPERLINK("https://www.instagram.com/p/CLi3fP0pK2X/","Open Post")</f>
        <v>Open Post</v>
      </c>
      <c r="L78" s="19" t="s">
        <v>730</v>
      </c>
      <c r="M78" s="6" t="s">
        <v>55</v>
      </c>
      <c r="N78" s="6" t="s">
        <v>733</v>
      </c>
      <c r="O78" s="6" t="s">
        <v>59</v>
      </c>
      <c r="P78" s="6" t="s">
        <v>734</v>
      </c>
    </row>
    <row r="79">
      <c r="A79" s="6" t="s">
        <v>433</v>
      </c>
      <c r="B79" s="6">
        <v>37.0</v>
      </c>
      <c r="F79" s="6" t="s">
        <v>46</v>
      </c>
      <c r="G79" s="6" t="s">
        <v>670</v>
      </c>
      <c r="H79" s="6" t="s">
        <v>48</v>
      </c>
      <c r="I79" s="6" t="s">
        <v>48</v>
      </c>
      <c r="J79" s="6" t="s">
        <v>48</v>
      </c>
      <c r="K79" s="9" t="str">
        <f>HYPERLINK("https://www.instagram.com/p/CJ9gEBlnDgN/","Open Post")</f>
        <v>Open Post</v>
      </c>
      <c r="L79" s="6" t="s">
        <v>674</v>
      </c>
      <c r="M79" s="6" t="s">
        <v>675</v>
      </c>
      <c r="N79" s="6" t="s">
        <v>741</v>
      </c>
      <c r="O79" s="6" t="s">
        <v>59</v>
      </c>
      <c r="P79" s="6" t="s">
        <v>742</v>
      </c>
    </row>
    <row r="80">
      <c r="A80" s="6" t="s">
        <v>433</v>
      </c>
      <c r="B80" s="6">
        <v>38.0</v>
      </c>
      <c r="F80" s="6" t="s">
        <v>46</v>
      </c>
      <c r="G80" s="6" t="s">
        <v>743</v>
      </c>
      <c r="H80" s="6" t="s">
        <v>48</v>
      </c>
      <c r="I80" s="6">
        <v>9.0</v>
      </c>
      <c r="J80" s="6">
        <v>0.0</v>
      </c>
      <c r="K80" s="9" t="str">
        <f>HYPERLINK("https://www.instagram.com/p/CIaVKGmgXZ8/","Open Post")</f>
        <v>Open Post</v>
      </c>
      <c r="L80" s="6" t="s">
        <v>746</v>
      </c>
      <c r="M80" s="6" t="s">
        <v>747</v>
      </c>
      <c r="N80" s="6" t="s">
        <v>748</v>
      </c>
      <c r="O80" s="6" t="s">
        <v>59</v>
      </c>
      <c r="P80" s="6" t="s">
        <v>749</v>
      </c>
    </row>
    <row r="81">
      <c r="A81" s="6" t="s">
        <v>433</v>
      </c>
      <c r="B81" s="6">
        <v>39.0</v>
      </c>
      <c r="F81" s="6" t="s">
        <v>46</v>
      </c>
      <c r="G81" s="6" t="s">
        <v>750</v>
      </c>
      <c r="H81" s="6" t="s">
        <v>48</v>
      </c>
      <c r="I81" s="6">
        <v>13.0</v>
      </c>
      <c r="J81" s="6">
        <v>0.0</v>
      </c>
      <c r="K81" s="9" t="str">
        <f>HYPERLINK("https://www.instagram.com/p/CIDLxhmja0O/","Open Post")</f>
        <v>Open Post</v>
      </c>
      <c r="L81" s="6" t="s">
        <v>754</v>
      </c>
      <c r="M81" s="6" t="s">
        <v>755</v>
      </c>
      <c r="N81" s="6" t="s">
        <v>757</v>
      </c>
      <c r="O81" s="6" t="s">
        <v>59</v>
      </c>
      <c r="P81" s="6" t="s">
        <v>758</v>
      </c>
    </row>
    <row r="82">
      <c r="A82" s="6" t="s">
        <v>433</v>
      </c>
      <c r="B82" s="6">
        <v>40.0</v>
      </c>
      <c r="F82" s="6" t="s">
        <v>46</v>
      </c>
      <c r="G82" s="6" t="s">
        <v>760</v>
      </c>
      <c r="H82" s="6" t="s">
        <v>48</v>
      </c>
      <c r="I82" s="6">
        <v>19.0</v>
      </c>
      <c r="J82" s="6">
        <v>0.0</v>
      </c>
      <c r="K82" s="9" t="str">
        <f>HYPERLINK("https://www.instagram.com/p/CHGfNlJD4Rc/","Open Post")</f>
        <v>Open Post</v>
      </c>
      <c r="L82" s="6" t="s">
        <v>768</v>
      </c>
      <c r="M82" s="6" t="s">
        <v>769</v>
      </c>
      <c r="N82" s="6" t="s">
        <v>770</v>
      </c>
      <c r="O82" s="6" t="s">
        <v>59</v>
      </c>
      <c r="P82" s="6" t="s">
        <v>773</v>
      </c>
    </row>
    <row r="83">
      <c r="A83" s="6" t="s">
        <v>433</v>
      </c>
      <c r="B83" s="6">
        <v>41.0</v>
      </c>
      <c r="F83" s="6" t="s">
        <v>46</v>
      </c>
      <c r="G83" s="6" t="s">
        <v>776</v>
      </c>
      <c r="H83" s="6" t="s">
        <v>48</v>
      </c>
      <c r="I83" s="6">
        <v>11.0</v>
      </c>
      <c r="J83" s="6">
        <v>0.0</v>
      </c>
      <c r="K83" s="9" t="str">
        <f>HYPERLINK("https://www.instagram.com/p/CFPm5iIjB5K/","Open Post")</f>
        <v>Open Post</v>
      </c>
      <c r="L83" s="6" t="s">
        <v>780</v>
      </c>
      <c r="M83" s="6" t="s">
        <v>55</v>
      </c>
      <c r="N83" s="6" t="s">
        <v>781</v>
      </c>
      <c r="O83" s="6" t="s">
        <v>59</v>
      </c>
      <c r="P83" s="6" t="s">
        <v>782</v>
      </c>
    </row>
    <row r="84">
      <c r="A84" s="6" t="s">
        <v>433</v>
      </c>
      <c r="B84" s="6">
        <v>42.0</v>
      </c>
      <c r="F84" s="6" t="s">
        <v>46</v>
      </c>
      <c r="G84" s="6" t="s">
        <v>776</v>
      </c>
      <c r="H84" s="6" t="s">
        <v>48</v>
      </c>
      <c r="I84" s="6">
        <v>17.0</v>
      </c>
      <c r="J84" s="6">
        <v>1.0</v>
      </c>
      <c r="K84" s="9" t="str">
        <f>HYPERLINK("https://www.instagram.com/p/CFDGhB0DAEw/","Open Post")</f>
        <v>Open Post</v>
      </c>
      <c r="L84" s="6" t="s">
        <v>784</v>
      </c>
      <c r="M84" s="6" t="s">
        <v>55</v>
      </c>
      <c r="N84" s="6" t="s">
        <v>785</v>
      </c>
      <c r="O84" s="6" t="s">
        <v>59</v>
      </c>
      <c r="P84" s="6" t="s">
        <v>786</v>
      </c>
    </row>
    <row r="85">
      <c r="A85" s="6" t="s">
        <v>433</v>
      </c>
      <c r="B85" s="6">
        <v>43.0</v>
      </c>
      <c r="F85" s="6" t="s">
        <v>46</v>
      </c>
      <c r="G85" s="6" t="s">
        <v>787</v>
      </c>
      <c r="H85" s="6" t="s">
        <v>48</v>
      </c>
      <c r="I85" s="6">
        <v>4.0</v>
      </c>
      <c r="J85" s="6">
        <v>0.0</v>
      </c>
      <c r="K85" s="9" t="str">
        <f>HYPERLINK("https://www.instagram.com/p/CFBQ6VyBDOi/","Open Post")</f>
        <v>Open Post</v>
      </c>
      <c r="L85" s="6" t="s">
        <v>790</v>
      </c>
      <c r="M85" s="6" t="s">
        <v>791</v>
      </c>
      <c r="N85" s="6" t="s">
        <v>793</v>
      </c>
      <c r="O85" s="6" t="s">
        <v>59</v>
      </c>
      <c r="P85" s="6" t="s">
        <v>794</v>
      </c>
    </row>
    <row r="86">
      <c r="A86" s="6" t="s">
        <v>433</v>
      </c>
      <c r="B86" s="6">
        <v>44.0</v>
      </c>
      <c r="F86" s="6" t="s">
        <v>46</v>
      </c>
      <c r="G86" s="6" t="s">
        <v>795</v>
      </c>
      <c r="H86" s="6" t="s">
        <v>48</v>
      </c>
      <c r="I86" s="6">
        <v>312.0</v>
      </c>
      <c r="J86" s="6">
        <v>0.0</v>
      </c>
      <c r="K86" s="9" t="str">
        <f>HYPERLINK("https://www.instagram.com/p/CE1TYSfnwyA/","Open Post")</f>
        <v>Open Post</v>
      </c>
      <c r="L86" s="6" t="s">
        <v>799</v>
      </c>
      <c r="M86" s="6" t="s">
        <v>55</v>
      </c>
      <c r="N86" s="6" t="s">
        <v>800</v>
      </c>
      <c r="O86" s="6" t="s">
        <v>59</v>
      </c>
      <c r="P86" s="6" t="s">
        <v>801</v>
      </c>
    </row>
    <row r="87">
      <c r="A87" s="6" t="s">
        <v>433</v>
      </c>
      <c r="B87" s="6">
        <v>45.0</v>
      </c>
      <c r="F87" s="6" t="s">
        <v>46</v>
      </c>
      <c r="G87" s="6" t="s">
        <v>776</v>
      </c>
      <c r="H87" s="6" t="s">
        <v>48</v>
      </c>
      <c r="I87" s="6" t="s">
        <v>48</v>
      </c>
      <c r="J87" s="6" t="s">
        <v>48</v>
      </c>
      <c r="K87" s="9" t="str">
        <f>HYPERLINK("https://www.instagram.com/p/CEv-T1PDrWJ/","Open Post")</f>
        <v>Open Post</v>
      </c>
      <c r="L87" s="6" t="s">
        <v>803</v>
      </c>
      <c r="M87" s="6" t="s">
        <v>55</v>
      </c>
      <c r="N87" s="6" t="s">
        <v>804</v>
      </c>
      <c r="O87" s="6" t="s">
        <v>59</v>
      </c>
      <c r="P87" s="6" t="s">
        <v>807</v>
      </c>
    </row>
    <row r="88">
      <c r="A88" s="6" t="s">
        <v>433</v>
      </c>
      <c r="B88" s="6">
        <v>46.0</v>
      </c>
      <c r="F88" s="6" t="s">
        <v>46</v>
      </c>
      <c r="G88" s="6" t="s">
        <v>810</v>
      </c>
      <c r="H88" s="6" t="s">
        <v>48</v>
      </c>
      <c r="I88" s="6" t="s">
        <v>48</v>
      </c>
      <c r="J88" s="6" t="s">
        <v>48</v>
      </c>
      <c r="K88" s="9" t="str">
        <f>HYPERLINK("https://www.instagram.com/p/B8ycW4CofgG/","Open Post")</f>
        <v>Open Post</v>
      </c>
      <c r="L88" s="6" t="s">
        <v>815</v>
      </c>
      <c r="M88" s="6" t="s">
        <v>816</v>
      </c>
      <c r="N88" s="6" t="s">
        <v>817</v>
      </c>
      <c r="O88" s="6" t="s">
        <v>59</v>
      </c>
      <c r="P88" s="6" t="s">
        <v>818</v>
      </c>
    </row>
    <row r="89">
      <c r="A89" s="6" t="s">
        <v>433</v>
      </c>
      <c r="B89" s="6">
        <v>47.0</v>
      </c>
      <c r="F89" s="6" t="s">
        <v>46</v>
      </c>
      <c r="G89" s="6" t="s">
        <v>820</v>
      </c>
      <c r="H89" s="6" t="s">
        <v>48</v>
      </c>
      <c r="I89" s="6" t="s">
        <v>48</v>
      </c>
      <c r="J89" s="6" t="s">
        <v>48</v>
      </c>
      <c r="K89" s="9" t="str">
        <f>HYPERLINK("https://www.instagram.com/p/CD7L3bujM5b/","Open Post")</f>
        <v>Open Post</v>
      </c>
      <c r="L89" s="6" t="s">
        <v>825</v>
      </c>
      <c r="M89" s="6" t="s">
        <v>55</v>
      </c>
      <c r="N89" s="6" t="s">
        <v>826</v>
      </c>
      <c r="O89" s="6" t="s">
        <v>59</v>
      </c>
      <c r="P89" s="6" t="s">
        <v>827</v>
      </c>
    </row>
    <row r="90">
      <c r="A90" s="6" t="s">
        <v>433</v>
      </c>
      <c r="B90" s="6">
        <v>48.0</v>
      </c>
      <c r="F90" s="6" t="s">
        <v>46</v>
      </c>
      <c r="G90" s="6" t="s">
        <v>829</v>
      </c>
      <c r="H90" s="6" t="s">
        <v>48</v>
      </c>
      <c r="I90" s="6">
        <v>35.0</v>
      </c>
      <c r="J90" s="6">
        <v>1.0</v>
      </c>
      <c r="K90" s="9" t="str">
        <f>HYPERLINK("https://www.instagram.com/p/CD5IMuuDGL1/","Open Post")</f>
        <v>Open Post</v>
      </c>
      <c r="L90" s="6" t="s">
        <v>834</v>
      </c>
      <c r="M90" s="6" t="s">
        <v>769</v>
      </c>
      <c r="N90" s="6" t="s">
        <v>835</v>
      </c>
      <c r="O90" s="6" t="s">
        <v>59</v>
      </c>
      <c r="P90" s="6" t="s">
        <v>838</v>
      </c>
    </row>
    <row r="91">
      <c r="A91" s="6" t="s">
        <v>433</v>
      </c>
      <c r="B91" s="6">
        <v>49.0</v>
      </c>
      <c r="F91" s="6" t="s">
        <v>46</v>
      </c>
      <c r="G91" s="6" t="s">
        <v>776</v>
      </c>
      <c r="H91" s="6" t="s">
        <v>48</v>
      </c>
      <c r="I91" s="6">
        <v>25.0</v>
      </c>
      <c r="J91" s="6">
        <v>3.0</v>
      </c>
      <c r="K91" s="9" t="str">
        <f>HYPERLINK("https://www.instagram.com/p/CD4Zw6ljHtB/","Open Post")</f>
        <v>Open Post</v>
      </c>
      <c r="L91" s="6" t="s">
        <v>842</v>
      </c>
      <c r="M91" s="6" t="s">
        <v>55</v>
      </c>
      <c r="N91" s="6" t="s">
        <v>844</v>
      </c>
      <c r="O91" s="6" t="s">
        <v>59</v>
      </c>
      <c r="P91" s="6" t="s">
        <v>847</v>
      </c>
    </row>
    <row r="92">
      <c r="A92" s="6" t="s">
        <v>433</v>
      </c>
      <c r="B92" s="6">
        <v>50.0</v>
      </c>
      <c r="F92" s="6" t="s">
        <v>46</v>
      </c>
      <c r="G92" s="6" t="s">
        <v>851</v>
      </c>
      <c r="H92" s="6" t="s">
        <v>48</v>
      </c>
      <c r="I92" s="6">
        <v>237.0</v>
      </c>
      <c r="J92" s="6">
        <v>23.0</v>
      </c>
      <c r="K92" s="9" t="str">
        <f>HYPERLINK("https://www.instagram.com/p/CCIMWG7iSHQ/","Open Post")</f>
        <v>Open Post</v>
      </c>
      <c r="L92" s="6" t="s">
        <v>853</v>
      </c>
      <c r="M92" s="6" t="s">
        <v>854</v>
      </c>
      <c r="N92" s="6" t="s">
        <v>855</v>
      </c>
      <c r="O92" s="6" t="s">
        <v>59</v>
      </c>
      <c r="P92" s="6" t="s">
        <v>856</v>
      </c>
    </row>
    <row r="93">
      <c r="A93" s="6" t="s">
        <v>433</v>
      </c>
      <c r="B93" s="6">
        <v>51.0</v>
      </c>
      <c r="F93" s="6" t="s">
        <v>46</v>
      </c>
      <c r="G93" s="6" t="s">
        <v>858</v>
      </c>
      <c r="H93" s="6" t="s">
        <v>48</v>
      </c>
      <c r="I93" s="6">
        <v>211.0</v>
      </c>
      <c r="J93" s="6">
        <v>9.0</v>
      </c>
      <c r="K93" s="9" t="str">
        <f>HYPERLINK("https://www.instagram.com/p/CBpuRp9CZMS/","Open Post")</f>
        <v>Open Post</v>
      </c>
      <c r="L93" s="6" t="s">
        <v>865</v>
      </c>
      <c r="M93" s="6" t="s">
        <v>866</v>
      </c>
      <c r="N93" s="6" t="s">
        <v>868</v>
      </c>
      <c r="O93" s="6" t="s">
        <v>59</v>
      </c>
      <c r="P93" s="6" t="s">
        <v>869</v>
      </c>
    </row>
    <row r="94">
      <c r="A94" s="6" t="s">
        <v>433</v>
      </c>
      <c r="B94" s="6">
        <v>52.0</v>
      </c>
      <c r="F94" s="6" t="s">
        <v>46</v>
      </c>
      <c r="G94" s="6" t="s">
        <v>750</v>
      </c>
      <c r="H94" s="6" t="s">
        <v>48</v>
      </c>
      <c r="I94" s="6" t="s">
        <v>48</v>
      </c>
      <c r="J94" s="6" t="s">
        <v>48</v>
      </c>
      <c r="K94" s="9" t="str">
        <f>HYPERLINK("https://www.instagram.com/p/CBgqJwCjDO7/","Open Post")</f>
        <v>Open Post</v>
      </c>
      <c r="L94" s="6" t="s">
        <v>754</v>
      </c>
      <c r="M94" s="6" t="s">
        <v>755</v>
      </c>
      <c r="N94" s="6" t="s">
        <v>872</v>
      </c>
      <c r="O94" s="6" t="s">
        <v>59</v>
      </c>
      <c r="P94" s="6" t="s">
        <v>873</v>
      </c>
    </row>
    <row r="95">
      <c r="A95" s="6" t="s">
        <v>433</v>
      </c>
      <c r="B95" s="6">
        <v>53.0</v>
      </c>
      <c r="F95" s="6" t="s">
        <v>46</v>
      </c>
      <c r="G95" s="6" t="s">
        <v>877</v>
      </c>
      <c r="H95" s="6" t="s">
        <v>48</v>
      </c>
      <c r="I95" s="6">
        <v>30.0</v>
      </c>
      <c r="J95" s="6">
        <v>0.0</v>
      </c>
      <c r="K95" s="9" t="str">
        <f>HYPERLINK("https://www.instagram.com/p/B_WQa7ej4CO/","Open Post")</f>
        <v>Open Post</v>
      </c>
      <c r="L95" s="6" t="s">
        <v>881</v>
      </c>
      <c r="M95" s="6" t="s">
        <v>55</v>
      </c>
      <c r="N95" s="6" t="s">
        <v>882</v>
      </c>
      <c r="O95" s="6" t="s">
        <v>59</v>
      </c>
      <c r="P95" s="6" t="s">
        <v>884</v>
      </c>
    </row>
    <row r="96">
      <c r="A96" s="6" t="s">
        <v>433</v>
      </c>
      <c r="B96" s="6">
        <v>54.0</v>
      </c>
      <c r="F96" s="6" t="s">
        <v>46</v>
      </c>
      <c r="G96" s="6" t="s">
        <v>776</v>
      </c>
      <c r="H96" s="6" t="s">
        <v>48</v>
      </c>
      <c r="I96" s="6">
        <v>17.0</v>
      </c>
      <c r="J96" s="6">
        <v>1.0</v>
      </c>
      <c r="K96" s="9" t="str">
        <f>HYPERLINK("https://www.instagram.com/p/B-h_Lf7jsXL/","Open Post")</f>
        <v>Open Post</v>
      </c>
      <c r="L96" s="6" t="s">
        <v>803</v>
      </c>
      <c r="M96" s="6" t="s">
        <v>55</v>
      </c>
      <c r="N96" s="6" t="s">
        <v>889</v>
      </c>
      <c r="O96" s="6" t="s">
        <v>59</v>
      </c>
      <c r="P96" s="6" t="s">
        <v>891</v>
      </c>
    </row>
    <row r="97">
      <c r="A97" s="6" t="s">
        <v>433</v>
      </c>
      <c r="B97" s="6">
        <v>55.0</v>
      </c>
      <c r="F97" s="6" t="s">
        <v>46</v>
      </c>
      <c r="G97" s="6" t="s">
        <v>829</v>
      </c>
      <c r="H97" s="6" t="s">
        <v>48</v>
      </c>
      <c r="I97" s="6" t="s">
        <v>48</v>
      </c>
      <c r="J97" s="6" t="s">
        <v>48</v>
      </c>
      <c r="K97" s="9" t="str">
        <f>HYPERLINK("https://www.instagram.com/p/B7ncEYOqcQA/","Open Post")</f>
        <v>Open Post</v>
      </c>
      <c r="L97" s="6" t="s">
        <v>834</v>
      </c>
      <c r="M97" s="6" t="s">
        <v>769</v>
      </c>
      <c r="N97" s="6" t="s">
        <v>896</v>
      </c>
      <c r="O97" s="6" t="s">
        <v>59</v>
      </c>
      <c r="P97" s="6" t="s">
        <v>897</v>
      </c>
    </row>
    <row r="98">
      <c r="A98" s="6" t="s">
        <v>433</v>
      </c>
      <c r="B98" s="6">
        <v>56.0</v>
      </c>
      <c r="F98" s="6" t="s">
        <v>46</v>
      </c>
      <c r="G98" s="6" t="s">
        <v>898</v>
      </c>
      <c r="H98" s="6" t="s">
        <v>48</v>
      </c>
      <c r="I98" s="6">
        <v>11.0</v>
      </c>
      <c r="J98" s="6">
        <v>0.0</v>
      </c>
      <c r="K98" s="9" t="str">
        <f>HYPERLINK("https://www.instagram.com/p/B7eXOFJJWYh/","Open Post")</f>
        <v>Open Post</v>
      </c>
      <c r="L98" s="6" t="s">
        <v>900</v>
      </c>
      <c r="M98" s="6" t="s">
        <v>55</v>
      </c>
      <c r="N98" s="6" t="s">
        <v>901</v>
      </c>
      <c r="O98" s="6" t="s">
        <v>59</v>
      </c>
      <c r="P98" s="6" t="s">
        <v>903</v>
      </c>
    </row>
    <row r="99">
      <c r="A99" s="6" t="s">
        <v>433</v>
      </c>
      <c r="B99" s="6">
        <v>57.0</v>
      </c>
      <c r="F99" s="6" t="s">
        <v>46</v>
      </c>
      <c r="G99" s="6" t="s">
        <v>906</v>
      </c>
      <c r="H99" s="6" t="s">
        <v>48</v>
      </c>
      <c r="I99" s="6">
        <v>131.0</v>
      </c>
      <c r="J99" s="6">
        <v>3.0</v>
      </c>
      <c r="K99" s="9" t="str">
        <f>HYPERLINK("https://www.instagram.com/p/B62yDmYpwBl/","Open Post")</f>
        <v>Open Post</v>
      </c>
      <c r="L99" s="6" t="s">
        <v>910</v>
      </c>
      <c r="M99" s="6" t="s">
        <v>55</v>
      </c>
      <c r="N99" s="6" t="s">
        <v>911</v>
      </c>
      <c r="O99" s="6" t="s">
        <v>59</v>
      </c>
      <c r="P99" s="6" t="s">
        <v>912</v>
      </c>
    </row>
    <row r="100">
      <c r="A100" s="6" t="s">
        <v>433</v>
      </c>
      <c r="B100" s="6">
        <v>58.0</v>
      </c>
      <c r="F100" s="6" t="s">
        <v>46</v>
      </c>
      <c r="G100" s="6" t="s">
        <v>914</v>
      </c>
      <c r="H100" s="6" t="s">
        <v>48</v>
      </c>
      <c r="I100" s="6">
        <v>19.0</v>
      </c>
      <c r="J100" s="6">
        <v>0.0</v>
      </c>
      <c r="K100" s="9" t="str">
        <f>HYPERLINK("https://www.instagram.com/p/B5EBlvijB2y/","Open Post")</f>
        <v>Open Post</v>
      </c>
      <c r="L100" s="6" t="s">
        <v>918</v>
      </c>
      <c r="M100" s="6" t="s">
        <v>55</v>
      </c>
      <c r="N100" s="6" t="s">
        <v>919</v>
      </c>
      <c r="O100" s="6" t="s">
        <v>59</v>
      </c>
      <c r="P100" s="6" t="s">
        <v>920</v>
      </c>
    </row>
    <row r="101">
      <c r="A101" s="6" t="s">
        <v>433</v>
      </c>
      <c r="B101" s="6">
        <v>59.0</v>
      </c>
      <c r="F101" s="6" t="s">
        <v>46</v>
      </c>
      <c r="G101" s="6" t="s">
        <v>924</v>
      </c>
      <c r="H101" s="6" t="s">
        <v>48</v>
      </c>
      <c r="I101" s="6" t="s">
        <v>48</v>
      </c>
      <c r="J101" s="6" t="s">
        <v>48</v>
      </c>
      <c r="K101" s="9" t="str">
        <f>HYPERLINK("https://www.instagram.com/p/B3QC-lxpLmR/","Open Post")</f>
        <v>Open Post</v>
      </c>
      <c r="L101" s="6" t="s">
        <v>927</v>
      </c>
      <c r="M101" s="6" t="s">
        <v>55</v>
      </c>
      <c r="N101" s="6" t="s">
        <v>929</v>
      </c>
      <c r="O101" s="6" t="s">
        <v>59</v>
      </c>
      <c r="P101" s="6" t="s">
        <v>930</v>
      </c>
    </row>
    <row r="102">
      <c r="A102" s="6" t="s">
        <v>433</v>
      </c>
      <c r="B102" s="6">
        <v>60.0</v>
      </c>
      <c r="F102" s="6" t="s">
        <v>46</v>
      </c>
      <c r="G102" s="6" t="s">
        <v>932</v>
      </c>
      <c r="H102" s="6" t="s">
        <v>48</v>
      </c>
      <c r="I102" s="6">
        <v>22.0</v>
      </c>
      <c r="J102" s="6">
        <v>2.0</v>
      </c>
      <c r="K102" s="9" t="str">
        <f>HYPERLINK("https://www.instagram.com/p/B0EoFsqpSon/","Open Post")</f>
        <v>Open Post</v>
      </c>
      <c r="L102" s="6" t="s">
        <v>934</v>
      </c>
      <c r="M102" s="6" t="s">
        <v>55</v>
      </c>
      <c r="N102" s="6" t="s">
        <v>935</v>
      </c>
      <c r="O102" s="6" t="s">
        <v>59</v>
      </c>
      <c r="P102" s="6" t="s">
        <v>937</v>
      </c>
    </row>
    <row r="103">
      <c r="A103" s="6" t="s">
        <v>433</v>
      </c>
      <c r="B103" s="6">
        <v>61.0</v>
      </c>
      <c r="F103" s="6" t="s">
        <v>46</v>
      </c>
      <c r="G103" s="6" t="s">
        <v>939</v>
      </c>
      <c r="H103" s="6" t="s">
        <v>48</v>
      </c>
      <c r="I103" s="6">
        <v>22.0</v>
      </c>
      <c r="J103" s="6">
        <v>0.0</v>
      </c>
      <c r="K103" s="9" t="str">
        <f>HYPERLINK("https://www.instagram.com/p/BzeSjPDp7dA/","Open Post")</f>
        <v>Open Post</v>
      </c>
      <c r="L103" s="6" t="s">
        <v>943</v>
      </c>
      <c r="M103" s="6" t="s">
        <v>945</v>
      </c>
      <c r="N103" s="6" t="s">
        <v>946</v>
      </c>
      <c r="O103" s="6" t="s">
        <v>59</v>
      </c>
      <c r="P103" s="6" t="s">
        <v>947</v>
      </c>
    </row>
    <row r="104">
      <c r="A104" s="6" t="s">
        <v>433</v>
      </c>
      <c r="B104" s="6">
        <v>62.0</v>
      </c>
      <c r="F104" s="6" t="s">
        <v>46</v>
      </c>
      <c r="G104" s="6" t="s">
        <v>810</v>
      </c>
      <c r="H104" s="6" t="s">
        <v>48</v>
      </c>
      <c r="I104" s="6">
        <v>29.0</v>
      </c>
      <c r="J104" s="6">
        <v>1.0</v>
      </c>
      <c r="K104" s="9" t="str">
        <f>HYPERLINK("https://www.instagram.com/p/BprHvCFgmMF/","Open Post")</f>
        <v>Open Post</v>
      </c>
      <c r="L104" s="6" t="s">
        <v>815</v>
      </c>
      <c r="M104" s="6" t="s">
        <v>816</v>
      </c>
      <c r="N104" s="6" t="s">
        <v>948</v>
      </c>
      <c r="O104" s="6" t="s">
        <v>59</v>
      </c>
      <c r="P104" s="6" t="s">
        <v>949</v>
      </c>
    </row>
    <row r="105">
      <c r="A105" s="6" t="s">
        <v>433</v>
      </c>
      <c r="B105" s="6">
        <v>63.0</v>
      </c>
      <c r="F105" s="6" t="s">
        <v>46</v>
      </c>
      <c r="G105" s="6" t="s">
        <v>810</v>
      </c>
      <c r="H105" s="6" t="s">
        <v>48</v>
      </c>
      <c r="I105" s="6">
        <v>28.0</v>
      </c>
      <c r="J105" s="6">
        <v>1.0</v>
      </c>
      <c r="K105" s="9" t="str">
        <f>HYPERLINK("https://www.instagram.com/p/BpUXsKSAY8f/","Open Post")</f>
        <v>Open Post</v>
      </c>
      <c r="L105" s="6" t="s">
        <v>955</v>
      </c>
      <c r="M105" s="6" t="s">
        <v>55</v>
      </c>
      <c r="N105" s="6" t="s">
        <v>956</v>
      </c>
      <c r="O105" s="6" t="s">
        <v>59</v>
      </c>
      <c r="P105" s="6" t="s">
        <v>958</v>
      </c>
    </row>
    <row r="106">
      <c r="A106" s="6" t="s">
        <v>433</v>
      </c>
      <c r="B106" s="6">
        <v>64.0</v>
      </c>
      <c r="F106" s="6" t="s">
        <v>46</v>
      </c>
      <c r="G106" s="6" t="s">
        <v>810</v>
      </c>
      <c r="H106" s="6" t="s">
        <v>48</v>
      </c>
      <c r="I106" s="6">
        <v>36.0</v>
      </c>
      <c r="J106" s="6">
        <v>1.0</v>
      </c>
      <c r="K106" s="9" t="str">
        <f>HYPERLINK("https://www.instagram.com/p/BpHbp_rgMcM/","Open Post")</f>
        <v>Open Post</v>
      </c>
      <c r="L106" s="6" t="s">
        <v>959</v>
      </c>
      <c r="M106" s="6" t="s">
        <v>55</v>
      </c>
      <c r="N106" s="6" t="s">
        <v>961</v>
      </c>
      <c r="O106" s="6" t="s">
        <v>59</v>
      </c>
      <c r="P106" s="6" t="s">
        <v>962</v>
      </c>
    </row>
    <row r="107">
      <c r="A107" s="6" t="s">
        <v>433</v>
      </c>
      <c r="B107" s="6">
        <v>65.0</v>
      </c>
      <c r="F107" s="6" t="s">
        <v>46</v>
      </c>
      <c r="G107" s="6" t="s">
        <v>963</v>
      </c>
      <c r="H107" s="6" t="s">
        <v>48</v>
      </c>
      <c r="I107" s="6">
        <v>37.0</v>
      </c>
      <c r="J107" s="6">
        <v>0.0</v>
      </c>
      <c r="K107" s="9" t="str">
        <f>HYPERLINK("https://www.instagram.com/p/BiPcfu-FP3M/","Open Post")</f>
        <v>Open Post</v>
      </c>
      <c r="L107" s="6" t="s">
        <v>966</v>
      </c>
      <c r="M107" s="6" t="s">
        <v>55</v>
      </c>
      <c r="N107" s="6" t="s">
        <v>967</v>
      </c>
      <c r="O107" s="6" t="s">
        <v>59</v>
      </c>
      <c r="P107" s="6" t="s">
        <v>968</v>
      </c>
    </row>
    <row r="108">
      <c r="A108" s="6" t="s">
        <v>433</v>
      </c>
      <c r="B108" s="6">
        <v>66.0</v>
      </c>
      <c r="F108" s="6" t="s">
        <v>46</v>
      </c>
      <c r="G108" s="6" t="s">
        <v>969</v>
      </c>
      <c r="H108" s="6" t="s">
        <v>48</v>
      </c>
      <c r="I108" s="6">
        <v>48.0</v>
      </c>
      <c r="J108" s="6">
        <v>0.0</v>
      </c>
      <c r="K108" s="9" t="str">
        <f>HYPERLINK("https://www.instagram.com/p/BfEXYuXlw0X/","Open Post")</f>
        <v>Open Post</v>
      </c>
      <c r="L108" s="6" t="s">
        <v>975</v>
      </c>
      <c r="M108" s="6" t="s">
        <v>978</v>
      </c>
      <c r="N108" s="6" t="s">
        <v>980</v>
      </c>
      <c r="O108" s="6" t="s">
        <v>59</v>
      </c>
      <c r="P108" s="6" t="s">
        <v>981</v>
      </c>
    </row>
    <row r="110">
      <c r="A110" s="6" t="s">
        <v>983</v>
      </c>
      <c r="B110" s="6">
        <v>1.0</v>
      </c>
      <c r="F110" s="6" t="s">
        <v>984</v>
      </c>
      <c r="G110" s="6" t="s">
        <v>985</v>
      </c>
      <c r="H110" s="6" t="s">
        <v>48</v>
      </c>
      <c r="I110" s="6" t="s">
        <v>48</v>
      </c>
      <c r="J110" s="6" t="s">
        <v>48</v>
      </c>
      <c r="K110" s="9" t="str">
        <f>HYPERLINK("https://www.instagram.com/p/B6IshWACJSv/","Open Post")</f>
        <v>Open Post</v>
      </c>
      <c r="L110" s="6" t="s">
        <v>986</v>
      </c>
      <c r="M110" s="6" t="s">
        <v>987</v>
      </c>
      <c r="N110" s="6" t="s">
        <v>989</v>
      </c>
      <c r="O110" s="6" t="s">
        <v>59</v>
      </c>
      <c r="P110" s="6" t="s">
        <v>61</v>
      </c>
    </row>
    <row r="111">
      <c r="A111" s="6" t="s">
        <v>983</v>
      </c>
      <c r="B111" s="6">
        <v>2.0</v>
      </c>
      <c r="F111" s="6" t="s">
        <v>65</v>
      </c>
      <c r="G111" s="6" t="s">
        <v>993</v>
      </c>
      <c r="H111" s="6">
        <v>17.0</v>
      </c>
      <c r="I111" s="6" t="s">
        <v>48</v>
      </c>
      <c r="J111" s="6" t="s">
        <v>48</v>
      </c>
      <c r="K111" s="9" t="str">
        <f>HYPERLINK("https://www.instagram.com/p/B6GpJgwlupJ/?utm_source=ig_web_copy_link&amp;stkn=MzRlODBiNWFlZA==","Open Reel")</f>
        <v>Open Reel</v>
      </c>
      <c r="L111" s="6" t="s">
        <v>996</v>
      </c>
      <c r="M111" s="6" t="s">
        <v>55</v>
      </c>
      <c r="N111" s="6" t="s">
        <v>75</v>
      </c>
      <c r="O111" s="6" t="s">
        <v>68</v>
      </c>
      <c r="P111" s="6" t="s">
        <v>76</v>
      </c>
    </row>
    <row r="112">
      <c r="A112" s="6" t="s">
        <v>983</v>
      </c>
      <c r="B112" s="6">
        <v>3.0</v>
      </c>
      <c r="F112" s="6" t="s">
        <v>65</v>
      </c>
      <c r="G112" s="6" t="s">
        <v>228</v>
      </c>
      <c r="H112" s="6">
        <v>25.0</v>
      </c>
      <c r="I112" s="6" t="s">
        <v>48</v>
      </c>
      <c r="J112" s="6" t="s">
        <v>48</v>
      </c>
      <c r="K112" s="9" t="str">
        <f>HYPERLINK("https://www.instagram.com/p/B5zordYn0Jq/?utm_source=ig_web_copy_link&amp;stkn=MzRlODBiNWFlZA==","Open Reel")</f>
        <v>Open Reel</v>
      </c>
      <c r="L112" s="6" t="s">
        <v>1003</v>
      </c>
      <c r="M112" s="6" t="s">
        <v>1005</v>
      </c>
      <c r="N112" s="6" t="s">
        <v>82</v>
      </c>
      <c r="O112" s="6" t="s">
        <v>68</v>
      </c>
      <c r="P112" s="6" t="s">
        <v>83</v>
      </c>
    </row>
    <row r="113">
      <c r="A113" s="6" t="s">
        <v>983</v>
      </c>
      <c r="B113" s="6">
        <v>4.0</v>
      </c>
      <c r="F113" s="6" t="s">
        <v>65</v>
      </c>
      <c r="G113" s="6" t="s">
        <v>1008</v>
      </c>
      <c r="H113" s="6">
        <v>17.0</v>
      </c>
      <c r="I113" s="6" t="s">
        <v>48</v>
      </c>
      <c r="J113" s="6" t="s">
        <v>48</v>
      </c>
      <c r="K113" s="9" t="str">
        <f>HYPERLINK("https://www.instagram.com/p/B5wkN6Pnbwg/?utm_source=ig_web_copy_link&amp;stkn=MzRlODBiNWFlZA==","Open Reel")</f>
        <v>Open Reel</v>
      </c>
      <c r="L113" s="19" t="s">
        <v>1014</v>
      </c>
      <c r="M113" s="6" t="s">
        <v>55</v>
      </c>
      <c r="N113" s="6" t="s">
        <v>89</v>
      </c>
      <c r="O113" s="6" t="s">
        <v>68</v>
      </c>
      <c r="P113" s="6" t="s">
        <v>90</v>
      </c>
    </row>
    <row r="114">
      <c r="A114" s="6" t="s">
        <v>983</v>
      </c>
      <c r="B114" s="6">
        <v>5.0</v>
      </c>
      <c r="F114" s="6" t="s">
        <v>984</v>
      </c>
      <c r="G114" s="6" t="s">
        <v>1019</v>
      </c>
      <c r="H114" s="6" t="s">
        <v>48</v>
      </c>
      <c r="I114" s="6" t="s">
        <v>48</v>
      </c>
      <c r="J114" s="6" t="s">
        <v>48</v>
      </c>
      <c r="K114" s="9" t="str">
        <f>HYPERLINK("https://www.instagram.com/p/B5sFoJ7nQjb/","Open Post")</f>
        <v>Open Post</v>
      </c>
      <c r="L114" s="6" t="s">
        <v>1023</v>
      </c>
      <c r="M114" s="6" t="s">
        <v>55</v>
      </c>
      <c r="N114" s="6" t="s">
        <v>1024</v>
      </c>
      <c r="O114" s="6" t="s">
        <v>59</v>
      </c>
      <c r="P114" s="6" t="s">
        <v>103</v>
      </c>
    </row>
    <row r="115">
      <c r="A115" s="6" t="s">
        <v>983</v>
      </c>
      <c r="B115" s="6">
        <v>6.0</v>
      </c>
      <c r="F115" s="6" t="s">
        <v>1026</v>
      </c>
      <c r="G115" s="6" t="s">
        <v>1027</v>
      </c>
      <c r="H115" s="6" t="s">
        <v>48</v>
      </c>
      <c r="I115" s="6" t="s">
        <v>48</v>
      </c>
      <c r="J115" s="6" t="s">
        <v>48</v>
      </c>
      <c r="K115" s="9" t="str">
        <f>HYPERLINK("https://www.instagram.com/p/B5sDbPjHxHF/","Open Post")</f>
        <v>Open Post</v>
      </c>
      <c r="L115" s="6" t="s">
        <v>1034</v>
      </c>
      <c r="M115" s="6" t="s">
        <v>1035</v>
      </c>
      <c r="N115" s="6" t="s">
        <v>1036</v>
      </c>
      <c r="O115" s="6" t="s">
        <v>59</v>
      </c>
      <c r="P115" s="6" t="s">
        <v>351</v>
      </c>
    </row>
    <row r="116">
      <c r="A116" s="6" t="s">
        <v>983</v>
      </c>
      <c r="B116" s="6">
        <v>7.0</v>
      </c>
      <c r="F116" s="6" t="s">
        <v>984</v>
      </c>
      <c r="G116" s="6" t="s">
        <v>300</v>
      </c>
      <c r="H116" s="6" t="s">
        <v>48</v>
      </c>
      <c r="I116" s="6" t="s">
        <v>48</v>
      </c>
      <c r="J116" s="6" t="s">
        <v>48</v>
      </c>
      <c r="K116" s="9" t="str">
        <f>HYPERLINK("https://www.instagram.com/p/B5rcrojnx99/","Open Post")</f>
        <v>Open Post</v>
      </c>
      <c r="L116" s="6" t="s">
        <v>1043</v>
      </c>
      <c r="M116" s="6" t="s">
        <v>1044</v>
      </c>
      <c r="N116" s="6" t="s">
        <v>1045</v>
      </c>
      <c r="O116" s="6" t="s">
        <v>59</v>
      </c>
      <c r="P116" s="6" t="s">
        <v>128</v>
      </c>
    </row>
    <row r="117">
      <c r="A117" s="6" t="s">
        <v>983</v>
      </c>
      <c r="B117" s="6">
        <v>8.0</v>
      </c>
      <c r="F117" s="6" t="s">
        <v>984</v>
      </c>
      <c r="G117" s="6" t="s">
        <v>172</v>
      </c>
      <c r="H117" s="6" t="s">
        <v>48</v>
      </c>
      <c r="I117" s="6" t="s">
        <v>48</v>
      </c>
      <c r="J117" s="6" t="s">
        <v>48</v>
      </c>
      <c r="K117" s="9" t="str">
        <f>HYPERLINK("https://www.instagram.com/p/B5qdjJvhVZo/","Open Post")</f>
        <v>Open Post</v>
      </c>
      <c r="L117" s="6" t="s">
        <v>1051</v>
      </c>
      <c r="M117" s="6" t="s">
        <v>1054</v>
      </c>
      <c r="N117" s="6" t="s">
        <v>1055</v>
      </c>
      <c r="O117" s="6" t="s">
        <v>59</v>
      </c>
      <c r="P117" s="6" t="s">
        <v>138</v>
      </c>
    </row>
    <row r="118">
      <c r="A118" s="6" t="s">
        <v>983</v>
      </c>
      <c r="B118" s="6">
        <v>9.0</v>
      </c>
      <c r="F118" s="6" t="s">
        <v>984</v>
      </c>
      <c r="G118" s="6" t="s">
        <v>1008</v>
      </c>
      <c r="H118" s="6" t="s">
        <v>48</v>
      </c>
      <c r="I118" s="6" t="s">
        <v>48</v>
      </c>
      <c r="J118" s="6" t="s">
        <v>48</v>
      </c>
      <c r="K118" s="9" t="str">
        <f>HYPERLINK("https://www.instagram.com/p/B5picBsHKpM/","Open Post")</f>
        <v>Open Post</v>
      </c>
      <c r="L118" s="6" t="s">
        <v>1067</v>
      </c>
      <c r="M118" s="6" t="s">
        <v>1068</v>
      </c>
      <c r="N118" s="6" t="s">
        <v>1070</v>
      </c>
      <c r="O118" s="6" t="s">
        <v>59</v>
      </c>
      <c r="P118" s="6" t="s">
        <v>512</v>
      </c>
    </row>
    <row r="119">
      <c r="A119" s="6" t="s">
        <v>983</v>
      </c>
      <c r="B119" s="6">
        <v>10.0</v>
      </c>
      <c r="F119" s="6" t="s">
        <v>984</v>
      </c>
      <c r="G119" s="6" t="s">
        <v>390</v>
      </c>
      <c r="H119" s="6" t="s">
        <v>48</v>
      </c>
      <c r="I119" s="6" t="s">
        <v>48</v>
      </c>
      <c r="J119" s="6" t="s">
        <v>48</v>
      </c>
      <c r="K119" s="9" t="str">
        <f>HYPERLINK("https://www.instagram.com/p/B5nMNAQBHSh/","Open Post")</f>
        <v>Open Post</v>
      </c>
      <c r="L119" s="6" t="s">
        <v>1077</v>
      </c>
      <c r="M119" s="6" t="s">
        <v>1078</v>
      </c>
      <c r="N119" s="6" t="s">
        <v>1079</v>
      </c>
      <c r="O119" s="6" t="s">
        <v>59</v>
      </c>
      <c r="P119" s="6" t="s">
        <v>379</v>
      </c>
    </row>
    <row r="120">
      <c r="A120" s="6" t="s">
        <v>983</v>
      </c>
      <c r="B120" s="6">
        <v>11.0</v>
      </c>
      <c r="F120" s="6" t="s">
        <v>984</v>
      </c>
      <c r="G120" s="6" t="s">
        <v>172</v>
      </c>
      <c r="H120" s="6" t="s">
        <v>48</v>
      </c>
      <c r="I120" s="6" t="s">
        <v>48</v>
      </c>
      <c r="J120" s="6" t="s">
        <v>48</v>
      </c>
      <c r="K120" s="9" t="str">
        <f>HYPERLINK("https://www.instagram.com/p/B5korr0BsKA/","Open Post")</f>
        <v>Open Post</v>
      </c>
      <c r="L120" s="6" t="s">
        <v>1090</v>
      </c>
      <c r="M120" s="6" t="s">
        <v>1091</v>
      </c>
      <c r="N120" s="6" t="s">
        <v>1092</v>
      </c>
      <c r="O120" s="6" t="s">
        <v>59</v>
      </c>
      <c r="P120" s="6" t="s">
        <v>170</v>
      </c>
    </row>
    <row r="121">
      <c r="A121" s="6" t="s">
        <v>983</v>
      </c>
      <c r="B121" s="6">
        <v>12.0</v>
      </c>
      <c r="F121" s="6" t="s">
        <v>984</v>
      </c>
      <c r="G121" s="6" t="s">
        <v>695</v>
      </c>
      <c r="H121" s="6" t="s">
        <v>48</v>
      </c>
      <c r="I121" s="6" t="s">
        <v>48</v>
      </c>
      <c r="J121" s="6" t="s">
        <v>48</v>
      </c>
      <c r="K121" s="9" t="str">
        <f>HYPERLINK("https://www.instagram.com/p/B5fclm6hVaD/","Open Post")</f>
        <v>Open Post</v>
      </c>
      <c r="L121" s="6" t="s">
        <v>1101</v>
      </c>
      <c r="M121" s="6" t="s">
        <v>1103</v>
      </c>
      <c r="N121" s="6" t="s">
        <v>1104</v>
      </c>
      <c r="O121" s="6" t="s">
        <v>59</v>
      </c>
      <c r="P121" s="6" t="s">
        <v>1108</v>
      </c>
    </row>
    <row r="122">
      <c r="A122" s="6" t="s">
        <v>983</v>
      </c>
      <c r="B122" s="6">
        <v>13.0</v>
      </c>
      <c r="F122" s="6" t="s">
        <v>984</v>
      </c>
      <c r="G122" s="6" t="s">
        <v>555</v>
      </c>
      <c r="H122" s="6" t="s">
        <v>48</v>
      </c>
      <c r="I122" s="6" t="s">
        <v>48</v>
      </c>
      <c r="J122" s="6" t="s">
        <v>48</v>
      </c>
      <c r="K122" s="9" t="str">
        <f>HYPERLINK("https://www.instagram.com/p/B5fGv3tHsOP/","Open Post")</f>
        <v>Open Post</v>
      </c>
      <c r="L122" s="6" t="s">
        <v>1116</v>
      </c>
      <c r="M122" s="6" t="s">
        <v>1117</v>
      </c>
      <c r="N122" s="6" t="s">
        <v>1118</v>
      </c>
      <c r="O122" s="6" t="s">
        <v>59</v>
      </c>
      <c r="P122" s="6" t="s">
        <v>546</v>
      </c>
    </row>
    <row r="123">
      <c r="A123" s="6" t="s">
        <v>983</v>
      </c>
      <c r="B123" s="6">
        <v>14.0</v>
      </c>
      <c r="F123" s="6" t="s">
        <v>984</v>
      </c>
      <c r="G123" s="6" t="s">
        <v>695</v>
      </c>
      <c r="H123" s="6" t="s">
        <v>48</v>
      </c>
      <c r="I123" s="6" t="s">
        <v>48</v>
      </c>
      <c r="J123" s="6" t="s">
        <v>48</v>
      </c>
      <c r="K123" s="9" t="str">
        <f>HYPERLINK("https://www.instagram.com/p/B5fDz84lKq0/","Open Post")</f>
        <v>Open Post</v>
      </c>
      <c r="L123" s="6" t="s">
        <v>1122</v>
      </c>
      <c r="M123" s="6" t="s">
        <v>1123</v>
      </c>
      <c r="N123" s="6" t="s">
        <v>1124</v>
      </c>
      <c r="O123" s="6" t="s">
        <v>59</v>
      </c>
      <c r="P123" s="6" t="s">
        <v>406</v>
      </c>
    </row>
    <row r="124">
      <c r="A124" s="6" t="s">
        <v>983</v>
      </c>
      <c r="B124" s="6">
        <v>15.0</v>
      </c>
      <c r="F124" s="6" t="s">
        <v>65</v>
      </c>
      <c r="G124" s="6" t="s">
        <v>1127</v>
      </c>
      <c r="H124" s="6">
        <v>21.0</v>
      </c>
      <c r="I124" s="6" t="s">
        <v>48</v>
      </c>
      <c r="J124" s="6" t="s">
        <v>48</v>
      </c>
      <c r="K124" s="9" t="str">
        <f>HYPERLINK("https://www.instagram.com/p/B5c-dlblOwF/?utm_source=ig_web_copy_link&amp;stkn=MzRlODBiNWFlZA==","Open Reel")</f>
        <v>Open Reel</v>
      </c>
      <c r="L124" s="6" t="s">
        <v>1134</v>
      </c>
      <c r="M124" s="6" t="s">
        <v>1136</v>
      </c>
      <c r="N124" s="6" t="s">
        <v>416</v>
      </c>
      <c r="O124" s="6" t="s">
        <v>68</v>
      </c>
      <c r="P124" s="6" t="s">
        <v>417</v>
      </c>
    </row>
    <row r="125">
      <c r="A125" s="6" t="s">
        <v>983</v>
      </c>
      <c r="B125" s="6">
        <v>16.0</v>
      </c>
      <c r="F125" s="6" t="s">
        <v>1026</v>
      </c>
      <c r="G125" s="6" t="s">
        <v>228</v>
      </c>
      <c r="H125" s="6" t="s">
        <v>48</v>
      </c>
      <c r="I125" s="6" t="s">
        <v>48</v>
      </c>
      <c r="J125" s="6" t="s">
        <v>48</v>
      </c>
      <c r="K125" s="9" t="str">
        <f>HYPERLINK("https://www.instagram.com/p/B5ZpmXRAArB/","Open Post")</f>
        <v>Open Post</v>
      </c>
      <c r="L125" s="6" t="s">
        <v>1142</v>
      </c>
      <c r="M125" s="6" t="s">
        <v>1143</v>
      </c>
      <c r="N125" s="6" t="s">
        <v>1144</v>
      </c>
      <c r="O125" s="6" t="s">
        <v>59</v>
      </c>
      <c r="P125" s="6" t="s">
        <v>226</v>
      </c>
    </row>
    <row r="126">
      <c r="A126" s="6" t="s">
        <v>983</v>
      </c>
      <c r="B126" s="6">
        <v>17.0</v>
      </c>
      <c r="F126" s="6" t="s">
        <v>984</v>
      </c>
      <c r="G126" s="6" t="s">
        <v>1127</v>
      </c>
      <c r="H126" s="6" t="s">
        <v>48</v>
      </c>
      <c r="I126" s="6" t="s">
        <v>48</v>
      </c>
      <c r="J126" s="6" t="s">
        <v>48</v>
      </c>
      <c r="K126" s="9" t="str">
        <f>HYPERLINK("https://www.instagram.com/p/B5Xu4oVhEKO/","Open Post")</f>
        <v>Open Post</v>
      </c>
      <c r="L126" s="6" t="s">
        <v>1154</v>
      </c>
      <c r="M126" s="6" t="s">
        <v>1155</v>
      </c>
      <c r="N126" s="6" t="s">
        <v>1157</v>
      </c>
      <c r="O126" s="6" t="s">
        <v>59</v>
      </c>
      <c r="P126" s="6" t="s">
        <v>432</v>
      </c>
    </row>
    <row r="127">
      <c r="A127" s="6" t="s">
        <v>983</v>
      </c>
      <c r="B127" s="6">
        <v>18.0</v>
      </c>
      <c r="F127" s="6" t="s">
        <v>65</v>
      </c>
      <c r="G127" s="6" t="s">
        <v>985</v>
      </c>
      <c r="H127" s="6">
        <v>964.0</v>
      </c>
      <c r="I127" s="6" t="s">
        <v>48</v>
      </c>
      <c r="J127" s="6" t="s">
        <v>48</v>
      </c>
      <c r="K127" s="9" t="str">
        <f>HYPERLINK("https://www.instagram.com/p/B5XZrRkgaP2/?utm_source=ig_web_copy_link&amp;stkn=MzRlODBiNWFlZA==","Open Reel")</f>
        <v>Open Reel</v>
      </c>
      <c r="L127" s="6" t="s">
        <v>1166</v>
      </c>
      <c r="M127" s="6" t="s">
        <v>1167</v>
      </c>
      <c r="N127" s="6" t="s">
        <v>583</v>
      </c>
      <c r="O127" s="6" t="s">
        <v>68</v>
      </c>
      <c r="P127" s="6" t="s">
        <v>584</v>
      </c>
    </row>
    <row r="128">
      <c r="A128" s="6" t="s">
        <v>983</v>
      </c>
      <c r="B128" s="6">
        <v>19.0</v>
      </c>
      <c r="F128" s="6" t="s">
        <v>984</v>
      </c>
      <c r="G128" s="6" t="s">
        <v>443</v>
      </c>
      <c r="H128" s="6" t="s">
        <v>48</v>
      </c>
      <c r="I128" s="6" t="s">
        <v>48</v>
      </c>
      <c r="J128" s="6" t="s">
        <v>48</v>
      </c>
      <c r="K128" s="9" t="str">
        <f>HYPERLINK("https://www.instagram.com/p/B5VLiTrBr08/","Open Post")</f>
        <v>Open Post</v>
      </c>
      <c r="L128" s="6" t="s">
        <v>1177</v>
      </c>
      <c r="M128" s="6" t="s">
        <v>1179</v>
      </c>
      <c r="N128" s="6" t="s">
        <v>1180</v>
      </c>
      <c r="O128" s="6" t="s">
        <v>59</v>
      </c>
      <c r="P128" s="6" t="s">
        <v>594</v>
      </c>
    </row>
    <row r="129">
      <c r="A129" s="6" t="s">
        <v>983</v>
      </c>
      <c r="B129" s="6">
        <v>20.0</v>
      </c>
      <c r="F129" s="6" t="s">
        <v>1026</v>
      </c>
      <c r="G129" s="6" t="s">
        <v>1182</v>
      </c>
      <c r="H129" s="6" t="s">
        <v>48</v>
      </c>
      <c r="I129" s="6" t="s">
        <v>48</v>
      </c>
      <c r="J129" s="6" t="s">
        <v>48</v>
      </c>
      <c r="K129" s="9" t="str">
        <f>HYPERLINK("https://www.instagram.com/p/B5UuRALnrSO/","Open Post")</f>
        <v>Open Post</v>
      </c>
      <c r="L129" s="6" t="s">
        <v>1187</v>
      </c>
      <c r="M129" s="6" t="s">
        <v>1188</v>
      </c>
      <c r="N129" s="6" t="s">
        <v>1189</v>
      </c>
      <c r="O129" s="6" t="s">
        <v>59</v>
      </c>
      <c r="P129" s="6" t="s">
        <v>269</v>
      </c>
    </row>
    <row r="130">
      <c r="A130" s="6" t="s">
        <v>983</v>
      </c>
      <c r="B130" s="6">
        <v>21.0</v>
      </c>
      <c r="F130" s="6" t="s">
        <v>984</v>
      </c>
      <c r="G130" s="6" t="s">
        <v>172</v>
      </c>
      <c r="H130" s="6" t="s">
        <v>48</v>
      </c>
      <c r="I130" s="6" t="s">
        <v>48</v>
      </c>
      <c r="J130" s="6" t="s">
        <v>48</v>
      </c>
      <c r="K130" s="9" t="str">
        <f>HYPERLINK("https://www.instagram.com/p/B5SpsPIBuZL/","Open Post")</f>
        <v>Open Post</v>
      </c>
      <c r="L130" s="6" t="s">
        <v>1195</v>
      </c>
      <c r="M130" s="6" t="s">
        <v>1196</v>
      </c>
      <c r="N130" s="6" t="s">
        <v>1198</v>
      </c>
      <c r="O130" s="6" t="s">
        <v>59</v>
      </c>
      <c r="P130" s="6" t="s">
        <v>1199</v>
      </c>
    </row>
    <row r="131">
      <c r="A131" s="6" t="s">
        <v>983</v>
      </c>
      <c r="B131" s="6">
        <v>22.0</v>
      </c>
      <c r="F131" s="6" t="s">
        <v>984</v>
      </c>
      <c r="G131" s="6" t="s">
        <v>555</v>
      </c>
      <c r="H131" s="6" t="s">
        <v>48</v>
      </c>
      <c r="I131" s="6" t="s">
        <v>48</v>
      </c>
      <c r="J131" s="6" t="s">
        <v>48</v>
      </c>
      <c r="K131" s="9" t="str">
        <f>HYPERLINK("https://www.instagram.com/p/B5SlEN2B-4V/","Open Post")</f>
        <v>Open Post</v>
      </c>
      <c r="L131" s="6" t="s">
        <v>1201</v>
      </c>
      <c r="M131" s="6" t="s">
        <v>1202</v>
      </c>
      <c r="N131" s="6" t="s">
        <v>1203</v>
      </c>
      <c r="O131" s="6" t="s">
        <v>59</v>
      </c>
      <c r="P131" s="6" t="s">
        <v>295</v>
      </c>
    </row>
    <row r="132">
      <c r="A132" s="6" t="s">
        <v>983</v>
      </c>
      <c r="B132" s="6">
        <v>23.0</v>
      </c>
      <c r="F132" s="6" t="s">
        <v>984</v>
      </c>
      <c r="G132" s="6" t="s">
        <v>1127</v>
      </c>
      <c r="H132" s="6" t="s">
        <v>48</v>
      </c>
      <c r="I132" s="6" t="s">
        <v>48</v>
      </c>
      <c r="J132" s="6" t="s">
        <v>48</v>
      </c>
      <c r="K132" s="9" t="str">
        <f>HYPERLINK("https://www.instagram.com/p/B5R0bhfhZE7/","Open Post")</f>
        <v>Open Post</v>
      </c>
      <c r="L132" s="6" t="s">
        <v>1212</v>
      </c>
      <c r="M132" s="6" t="s">
        <v>1213</v>
      </c>
      <c r="N132" s="6" t="s">
        <v>1214</v>
      </c>
      <c r="O132" s="6" t="s">
        <v>59</v>
      </c>
      <c r="P132" s="6" t="s">
        <v>1216</v>
      </c>
    </row>
    <row r="133">
      <c r="A133" s="6" t="s">
        <v>983</v>
      </c>
      <c r="B133" s="6">
        <v>24.0</v>
      </c>
      <c r="F133" s="6" t="s">
        <v>984</v>
      </c>
      <c r="G133" s="6" t="s">
        <v>1027</v>
      </c>
      <c r="H133" s="6" t="s">
        <v>48</v>
      </c>
      <c r="I133" s="6" t="s">
        <v>48</v>
      </c>
      <c r="J133" s="6" t="s">
        <v>48</v>
      </c>
      <c r="K133" s="9" t="str">
        <f>HYPERLINK("https://www.instagram.com/p/B5QMVHjhvpu/","Open Post")</f>
        <v>Open Post</v>
      </c>
      <c r="L133" s="6" t="s">
        <v>1224</v>
      </c>
      <c r="M133" s="6" t="s">
        <v>1225</v>
      </c>
      <c r="N133" s="6" t="s">
        <v>1227</v>
      </c>
      <c r="O133" s="6" t="s">
        <v>59</v>
      </c>
      <c r="P133" s="6" t="s">
        <v>632</v>
      </c>
    </row>
    <row r="134">
      <c r="A134" s="6" t="s">
        <v>983</v>
      </c>
      <c r="B134" s="6">
        <v>25.0</v>
      </c>
      <c r="F134" s="6" t="s">
        <v>984</v>
      </c>
      <c r="G134" s="6" t="s">
        <v>1228</v>
      </c>
      <c r="H134" s="6" t="s">
        <v>48</v>
      </c>
      <c r="I134" s="6" t="s">
        <v>48</v>
      </c>
      <c r="J134" s="6" t="s">
        <v>48</v>
      </c>
      <c r="K134" s="9" t="str">
        <f>HYPERLINK("https://www.instagram.com/p/B5Nvv9FhEv4/","Open Post")</f>
        <v>Open Post</v>
      </c>
      <c r="L134" s="6" t="s">
        <v>1232</v>
      </c>
      <c r="M134" s="6" t="s">
        <v>55</v>
      </c>
      <c r="N134" s="6" t="s">
        <v>1234</v>
      </c>
      <c r="O134" s="6" t="s">
        <v>59</v>
      </c>
      <c r="P134" s="6" t="s">
        <v>640</v>
      </c>
    </row>
    <row r="135">
      <c r="A135" s="6" t="s">
        <v>983</v>
      </c>
      <c r="B135" s="6">
        <v>26.0</v>
      </c>
      <c r="F135" s="6" t="s">
        <v>984</v>
      </c>
      <c r="G135" s="6" t="s">
        <v>1236</v>
      </c>
      <c r="H135" s="6" t="s">
        <v>48</v>
      </c>
      <c r="I135" s="6" t="s">
        <v>48</v>
      </c>
      <c r="J135" s="6" t="s">
        <v>48</v>
      </c>
      <c r="K135" s="9" t="str">
        <f>HYPERLINK("https://www.instagram.com/p/B5LHPMUHc4O/","Open Post")</f>
        <v>Open Post</v>
      </c>
      <c r="L135" s="6" t="s">
        <v>1239</v>
      </c>
      <c r="M135" s="6" t="s">
        <v>1240</v>
      </c>
      <c r="N135" s="6" t="s">
        <v>1241</v>
      </c>
      <c r="O135" s="6" t="s">
        <v>59</v>
      </c>
      <c r="P135" s="6" t="s">
        <v>1242</v>
      </c>
    </row>
    <row r="136">
      <c r="A136" s="6" t="s">
        <v>983</v>
      </c>
      <c r="B136" s="6">
        <v>27.0</v>
      </c>
      <c r="F136" s="6" t="s">
        <v>984</v>
      </c>
      <c r="G136" s="6" t="s">
        <v>369</v>
      </c>
      <c r="H136" s="6" t="s">
        <v>48</v>
      </c>
      <c r="I136" s="6" t="s">
        <v>48</v>
      </c>
      <c r="J136" s="6" t="s">
        <v>48</v>
      </c>
      <c r="K136" s="9" t="str">
        <f>HYPERLINK("https://www.instagram.com/p/B5K3JaSBMRR/","Open Post")</f>
        <v>Open Post</v>
      </c>
      <c r="L136" s="6" t="s">
        <v>1247</v>
      </c>
      <c r="M136" s="6" t="s">
        <v>55</v>
      </c>
      <c r="N136" s="6" t="s">
        <v>1248</v>
      </c>
      <c r="O136" s="6" t="s">
        <v>59</v>
      </c>
      <c r="P136" s="6" t="s">
        <v>659</v>
      </c>
    </row>
    <row r="137">
      <c r="A137" s="6" t="s">
        <v>983</v>
      </c>
      <c r="B137" s="6">
        <v>28.0</v>
      </c>
      <c r="F137" s="6" t="s">
        <v>984</v>
      </c>
      <c r="G137" s="6" t="s">
        <v>1251</v>
      </c>
      <c r="H137" s="6" t="s">
        <v>48</v>
      </c>
      <c r="I137" s="6" t="s">
        <v>48</v>
      </c>
      <c r="J137" s="6" t="s">
        <v>48</v>
      </c>
      <c r="K137" s="9" t="str">
        <f>HYPERLINK("https://www.instagram.com/p/B5ImJRuh5rd/","Open Post")</f>
        <v>Open Post</v>
      </c>
      <c r="L137" s="6" t="s">
        <v>1256</v>
      </c>
      <c r="M137" s="6" t="s">
        <v>55</v>
      </c>
      <c r="N137" s="6" t="s">
        <v>1257</v>
      </c>
      <c r="O137" s="6" t="s">
        <v>59</v>
      </c>
      <c r="P137" s="6" t="s">
        <v>669</v>
      </c>
    </row>
    <row r="138">
      <c r="A138" s="6" t="s">
        <v>983</v>
      </c>
      <c r="B138" s="6">
        <v>29.0</v>
      </c>
      <c r="F138" s="6" t="s">
        <v>984</v>
      </c>
      <c r="G138" s="6" t="s">
        <v>1259</v>
      </c>
      <c r="H138" s="6" t="s">
        <v>48</v>
      </c>
      <c r="I138" s="6" t="s">
        <v>48</v>
      </c>
      <c r="J138" s="6" t="s">
        <v>48</v>
      </c>
      <c r="K138" s="9" t="str">
        <f>HYPERLINK("https://www.instagram.com/p/B5H3j5uiC-q/","Open Post")</f>
        <v>Open Post</v>
      </c>
      <c r="L138" s="6" t="s">
        <v>1261</v>
      </c>
      <c r="M138" s="6" t="s">
        <v>1262</v>
      </c>
      <c r="N138" s="6" t="s">
        <v>1263</v>
      </c>
      <c r="O138" s="6" t="s">
        <v>59</v>
      </c>
      <c r="P138" s="6" t="s">
        <v>677</v>
      </c>
    </row>
    <row r="139">
      <c r="A139" s="6" t="s">
        <v>983</v>
      </c>
      <c r="B139" s="6">
        <v>30.0</v>
      </c>
      <c r="F139" s="6" t="s">
        <v>984</v>
      </c>
      <c r="G139" s="6" t="s">
        <v>1027</v>
      </c>
      <c r="H139" s="6" t="s">
        <v>48</v>
      </c>
      <c r="I139" s="6" t="s">
        <v>48</v>
      </c>
      <c r="J139" s="6" t="s">
        <v>48</v>
      </c>
      <c r="K139" s="9" t="str">
        <f>HYPERLINK("https://www.instagram.com/p/B5A1ulaqVmX/","Open Post")</f>
        <v>Open Post</v>
      </c>
      <c r="L139" s="6" t="s">
        <v>1268</v>
      </c>
      <c r="M139" s="6" t="s">
        <v>1269</v>
      </c>
      <c r="N139" s="6" t="s">
        <v>1270</v>
      </c>
      <c r="O139" s="6" t="s">
        <v>59</v>
      </c>
      <c r="P139" s="6" t="s">
        <v>1272</v>
      </c>
    </row>
    <row r="140">
      <c r="A140" s="6" t="s">
        <v>983</v>
      </c>
      <c r="B140" s="6">
        <v>31.0</v>
      </c>
      <c r="F140" s="6" t="s">
        <v>1026</v>
      </c>
      <c r="G140" s="6" t="s">
        <v>1027</v>
      </c>
      <c r="H140" s="6" t="s">
        <v>48</v>
      </c>
      <c r="I140" s="6" t="s">
        <v>48</v>
      </c>
      <c r="J140" s="6" t="s">
        <v>48</v>
      </c>
      <c r="K140" s="9" t="str">
        <f>HYPERLINK("https://www.instagram.com/p/B5FeKSgILd-/","Open Post")</f>
        <v>Open Post</v>
      </c>
      <c r="L140" s="6" t="s">
        <v>1278</v>
      </c>
      <c r="M140" s="6" t="s">
        <v>1279</v>
      </c>
      <c r="N140" s="6" t="s">
        <v>1280</v>
      </c>
      <c r="O140" s="6" t="s">
        <v>59</v>
      </c>
      <c r="P140" s="6" t="s">
        <v>1281</v>
      </c>
    </row>
    <row r="141">
      <c r="A141" s="6" t="s">
        <v>983</v>
      </c>
      <c r="B141" s="6">
        <v>32.0</v>
      </c>
      <c r="F141" s="6" t="s">
        <v>984</v>
      </c>
      <c r="G141" s="6" t="s">
        <v>555</v>
      </c>
      <c r="H141" s="6" t="s">
        <v>48</v>
      </c>
      <c r="I141" s="6" t="s">
        <v>48</v>
      </c>
      <c r="J141" s="6" t="s">
        <v>48</v>
      </c>
      <c r="K141" s="9" t="str">
        <f>HYPERLINK("https://www.instagram.com/p/B5FBa_5Btjp/","Open Post")</f>
        <v>Open Post</v>
      </c>
      <c r="L141" s="6" t="s">
        <v>1288</v>
      </c>
      <c r="M141" s="6" t="s">
        <v>1213</v>
      </c>
      <c r="N141" s="6" t="s">
        <v>1289</v>
      </c>
      <c r="O141" s="6" t="s">
        <v>59</v>
      </c>
      <c r="P141" s="6" t="s">
        <v>1291</v>
      </c>
    </row>
    <row r="142">
      <c r="A142" s="6" t="s">
        <v>983</v>
      </c>
      <c r="B142" s="6">
        <v>33.0</v>
      </c>
      <c r="F142" s="6" t="s">
        <v>984</v>
      </c>
      <c r="G142" s="6" t="s">
        <v>477</v>
      </c>
      <c r="H142" s="6" t="s">
        <v>48</v>
      </c>
      <c r="I142" s="6" t="s">
        <v>48</v>
      </c>
      <c r="J142" s="6" t="s">
        <v>48</v>
      </c>
      <c r="K142" s="9" t="str">
        <f>HYPERLINK("https://www.instagram.com/p/B5EBlvijB2y/","Open Post")</f>
        <v>Open Post</v>
      </c>
      <c r="L142" s="6" t="s">
        <v>1292</v>
      </c>
      <c r="M142" s="6" t="s">
        <v>1293</v>
      </c>
      <c r="N142" s="6" t="s">
        <v>1294</v>
      </c>
      <c r="O142" s="6" t="s">
        <v>59</v>
      </c>
      <c r="P142" s="6" t="s">
        <v>710</v>
      </c>
    </row>
    <row r="143">
      <c r="A143" s="6" t="s">
        <v>983</v>
      </c>
      <c r="B143" s="6">
        <v>34.0</v>
      </c>
      <c r="F143" s="6" t="s">
        <v>1026</v>
      </c>
      <c r="G143" s="6" t="s">
        <v>172</v>
      </c>
      <c r="H143" s="6" t="s">
        <v>48</v>
      </c>
      <c r="I143" s="6" t="s">
        <v>48</v>
      </c>
      <c r="J143" s="6" t="s">
        <v>48</v>
      </c>
      <c r="K143" s="9" t="str">
        <f>HYPERLINK("https://www.instagram.com/p/B5A95fPhU17/","Open Post")</f>
        <v>Open Post</v>
      </c>
      <c r="L143" s="6" t="s">
        <v>1300</v>
      </c>
      <c r="M143" s="6" t="s">
        <v>1301</v>
      </c>
      <c r="N143" s="6" t="s">
        <v>1302</v>
      </c>
      <c r="O143" s="6" t="s">
        <v>59</v>
      </c>
      <c r="P143" s="6" t="s">
        <v>716</v>
      </c>
    </row>
    <row r="144">
      <c r="A144" s="6" t="s">
        <v>983</v>
      </c>
      <c r="B144" s="6">
        <v>35.0</v>
      </c>
      <c r="F144" s="6" t="s">
        <v>984</v>
      </c>
      <c r="G144" s="6" t="s">
        <v>1027</v>
      </c>
      <c r="H144" s="6" t="s">
        <v>48</v>
      </c>
      <c r="I144" s="6" t="s">
        <v>48</v>
      </c>
      <c r="J144" s="6" t="s">
        <v>48</v>
      </c>
      <c r="K144" s="9" t="str">
        <f>HYPERLINK("https://www.instagram.com/p/B4-WunMl1AT/","Open Post")</f>
        <v>Open Post</v>
      </c>
      <c r="L144" s="6" t="s">
        <v>1310</v>
      </c>
      <c r="M144" s="6" t="s">
        <v>1311</v>
      </c>
      <c r="N144" s="6" t="s">
        <v>1312</v>
      </c>
      <c r="O144" s="6" t="s">
        <v>59</v>
      </c>
      <c r="P144" s="6" t="s">
        <v>1314</v>
      </c>
    </row>
    <row r="145">
      <c r="A145" s="6" t="s">
        <v>983</v>
      </c>
      <c r="B145" s="6">
        <v>36.0</v>
      </c>
      <c r="F145" s="6" t="s">
        <v>984</v>
      </c>
      <c r="G145" s="6" t="s">
        <v>1251</v>
      </c>
      <c r="H145" s="6" t="s">
        <v>48</v>
      </c>
      <c r="I145" s="6" t="s">
        <v>48</v>
      </c>
      <c r="J145" s="6" t="s">
        <v>48</v>
      </c>
      <c r="K145" s="9" t="str">
        <f>HYPERLINK("https://www.instagram.com/p/B477z_ogIt_/","Open Post")</f>
        <v>Open Post</v>
      </c>
      <c r="L145" s="6" t="s">
        <v>1321</v>
      </c>
      <c r="M145" s="6" t="s">
        <v>55</v>
      </c>
      <c r="N145" s="6" t="s">
        <v>1323</v>
      </c>
      <c r="O145" s="6" t="s">
        <v>59</v>
      </c>
      <c r="P145" s="6" t="s">
        <v>734</v>
      </c>
    </row>
    <row r="146">
      <c r="A146" s="6" t="s">
        <v>983</v>
      </c>
      <c r="B146" s="6">
        <v>37.0</v>
      </c>
      <c r="F146" s="6" t="s">
        <v>984</v>
      </c>
      <c r="G146" s="6" t="s">
        <v>1236</v>
      </c>
      <c r="H146" s="6" t="s">
        <v>48</v>
      </c>
      <c r="I146" s="6" t="s">
        <v>48</v>
      </c>
      <c r="J146" s="6" t="s">
        <v>48</v>
      </c>
      <c r="K146" s="9" t="str">
        <f>HYPERLINK("https://www.instagram.com/p/B44gq2unyxi/","Open Post")</f>
        <v>Open Post</v>
      </c>
      <c r="L146" s="6" t="s">
        <v>1326</v>
      </c>
      <c r="M146" s="6" t="s">
        <v>1327</v>
      </c>
      <c r="N146" s="6" t="s">
        <v>1328</v>
      </c>
      <c r="O146" s="6" t="s">
        <v>59</v>
      </c>
      <c r="P146" s="6" t="s">
        <v>742</v>
      </c>
    </row>
    <row r="147">
      <c r="A147" s="6" t="s">
        <v>983</v>
      </c>
      <c r="B147" s="6">
        <v>38.0</v>
      </c>
      <c r="F147" s="6" t="s">
        <v>984</v>
      </c>
      <c r="G147" s="6" t="s">
        <v>369</v>
      </c>
      <c r="H147" s="6" t="s">
        <v>48</v>
      </c>
      <c r="I147" s="6" t="s">
        <v>48</v>
      </c>
      <c r="J147" s="6" t="s">
        <v>48</v>
      </c>
      <c r="K147" s="9" t="str">
        <f>HYPERLINK("https://www.instagram.com/p/B44CyuapV-d/","Open Post")</f>
        <v>Open Post</v>
      </c>
      <c r="L147" s="6" t="s">
        <v>1334</v>
      </c>
      <c r="M147" s="6" t="s">
        <v>55</v>
      </c>
      <c r="N147" s="6" t="s">
        <v>1335</v>
      </c>
      <c r="O147" s="6" t="s">
        <v>59</v>
      </c>
      <c r="P147" s="6" t="s">
        <v>749</v>
      </c>
    </row>
    <row r="148">
      <c r="A148" s="6" t="s">
        <v>983</v>
      </c>
      <c r="B148" s="6">
        <v>39.0</v>
      </c>
      <c r="F148" s="6" t="s">
        <v>984</v>
      </c>
      <c r="G148" s="6" t="s">
        <v>1236</v>
      </c>
      <c r="H148" s="6" t="s">
        <v>48</v>
      </c>
      <c r="I148" s="6" t="s">
        <v>48</v>
      </c>
      <c r="J148" s="6" t="s">
        <v>48</v>
      </c>
      <c r="K148" s="9" t="str">
        <f>HYPERLINK("https://www.instagram.com/p/B439xm5AaVJ/","Open Post")</f>
        <v>Open Post</v>
      </c>
      <c r="L148" s="6" t="s">
        <v>1341</v>
      </c>
      <c r="M148" s="6" t="s">
        <v>1342</v>
      </c>
      <c r="N148" s="6" t="s">
        <v>1343</v>
      </c>
      <c r="O148" s="6" t="s">
        <v>59</v>
      </c>
      <c r="P148" s="6" t="s">
        <v>758</v>
      </c>
    </row>
    <row r="149">
      <c r="A149" s="6" t="s">
        <v>983</v>
      </c>
      <c r="B149" s="6">
        <v>40.0</v>
      </c>
      <c r="F149" s="6" t="s">
        <v>984</v>
      </c>
      <c r="G149" s="6" t="s">
        <v>1019</v>
      </c>
      <c r="H149" s="6" t="s">
        <v>48</v>
      </c>
      <c r="I149" s="6" t="s">
        <v>48</v>
      </c>
      <c r="J149" s="6" t="s">
        <v>48</v>
      </c>
      <c r="K149" s="9" t="str">
        <f>HYPERLINK("https://www.instagram.com/p/B436inXJg0I/","Open Post")</f>
        <v>Open Post</v>
      </c>
      <c r="L149" s="6" t="s">
        <v>1347</v>
      </c>
      <c r="M149" s="6" t="s">
        <v>1348</v>
      </c>
      <c r="N149" s="6" t="s">
        <v>1350</v>
      </c>
      <c r="O149" s="6" t="s">
        <v>59</v>
      </c>
      <c r="P149" s="6" t="s">
        <v>773</v>
      </c>
    </row>
    <row r="150">
      <c r="A150" s="6" t="s">
        <v>983</v>
      </c>
      <c r="B150" s="6">
        <v>41.0</v>
      </c>
      <c r="F150" s="6" t="s">
        <v>984</v>
      </c>
      <c r="G150" s="6" t="s">
        <v>985</v>
      </c>
      <c r="H150" s="6" t="s">
        <v>48</v>
      </c>
      <c r="I150" s="6" t="s">
        <v>48</v>
      </c>
      <c r="J150" s="6" t="s">
        <v>48</v>
      </c>
      <c r="K150" s="9" t="str">
        <f>HYPERLINK("https://www.instagram.com/p/B43t74lgpKV/","Open Post")</f>
        <v>Open Post</v>
      </c>
      <c r="L150" s="6" t="s">
        <v>1357</v>
      </c>
      <c r="M150" s="6" t="s">
        <v>1358</v>
      </c>
      <c r="N150" s="6" t="s">
        <v>1359</v>
      </c>
      <c r="O150" s="6" t="s">
        <v>59</v>
      </c>
      <c r="P150" s="6" t="s">
        <v>782</v>
      </c>
    </row>
    <row r="151">
      <c r="A151" s="6" t="s">
        <v>983</v>
      </c>
      <c r="B151" s="6">
        <v>42.0</v>
      </c>
      <c r="F151" s="6" t="s">
        <v>984</v>
      </c>
      <c r="G151" s="6" t="s">
        <v>985</v>
      </c>
      <c r="H151" s="6" t="s">
        <v>48</v>
      </c>
      <c r="I151" s="6" t="s">
        <v>48</v>
      </c>
      <c r="J151" s="6" t="s">
        <v>48</v>
      </c>
      <c r="K151" s="9" t="str">
        <f>HYPERLINK("https://www.instagram.com/p/B42lW3FHJYO/","Open Post")</f>
        <v>Open Post</v>
      </c>
      <c r="L151" s="6" t="s">
        <v>1362</v>
      </c>
      <c r="M151" s="6" t="s">
        <v>1363</v>
      </c>
      <c r="N151" s="6" t="s">
        <v>1364</v>
      </c>
      <c r="O151" s="6" t="s">
        <v>59</v>
      </c>
      <c r="P151" s="6" t="s">
        <v>786</v>
      </c>
    </row>
    <row r="152">
      <c r="A152" s="6" t="s">
        <v>983</v>
      </c>
      <c r="B152" s="6">
        <v>43.0</v>
      </c>
      <c r="F152" s="6" t="s">
        <v>984</v>
      </c>
      <c r="G152" s="6" t="s">
        <v>66</v>
      </c>
      <c r="H152" s="6" t="s">
        <v>48</v>
      </c>
      <c r="I152" s="6" t="s">
        <v>48</v>
      </c>
      <c r="J152" s="6" t="s">
        <v>48</v>
      </c>
      <c r="K152" s="9" t="str">
        <f>HYPERLINK("https://www.instagram.com/p/B4y5RxHhg8G/","Open Post")</f>
        <v>Open Post</v>
      </c>
      <c r="L152" s="6" t="s">
        <v>1371</v>
      </c>
      <c r="M152" s="6" t="s">
        <v>1213</v>
      </c>
      <c r="N152" s="6" t="s">
        <v>1372</v>
      </c>
      <c r="O152" s="6" t="s">
        <v>59</v>
      </c>
      <c r="P152" s="6" t="s">
        <v>794</v>
      </c>
    </row>
    <row r="153">
      <c r="A153" s="6" t="s">
        <v>983</v>
      </c>
      <c r="B153" s="6">
        <v>44.0</v>
      </c>
      <c r="F153" s="6" t="s">
        <v>984</v>
      </c>
      <c r="G153" s="6" t="s">
        <v>1379</v>
      </c>
      <c r="H153" s="6" t="s">
        <v>48</v>
      </c>
      <c r="I153" s="6" t="s">
        <v>48</v>
      </c>
      <c r="J153" s="6" t="s">
        <v>48</v>
      </c>
      <c r="K153" s="9" t="str">
        <f>HYPERLINK("https://www.instagram.com/p/B4wZqrqgHC2/","Open Post")</f>
        <v>Open Post</v>
      </c>
      <c r="L153" s="6" t="s">
        <v>1382</v>
      </c>
      <c r="M153" s="6" t="s">
        <v>1383</v>
      </c>
      <c r="N153" s="6" t="s">
        <v>1385</v>
      </c>
      <c r="O153" s="6" t="s">
        <v>59</v>
      </c>
      <c r="P153" s="6" t="s">
        <v>801</v>
      </c>
    </row>
    <row r="154">
      <c r="A154" s="6" t="s">
        <v>983</v>
      </c>
      <c r="B154" s="6">
        <v>45.0</v>
      </c>
      <c r="F154" s="6" t="s">
        <v>1026</v>
      </c>
      <c r="G154" s="6" t="s">
        <v>172</v>
      </c>
      <c r="H154" s="6" t="s">
        <v>48</v>
      </c>
      <c r="I154" s="6" t="s">
        <v>48</v>
      </c>
      <c r="J154" s="6" t="s">
        <v>48</v>
      </c>
      <c r="K154" s="9" t="str">
        <f>HYPERLINK("https://www.instagram.com/p/B4uvmuRqpCM/","Open Post")</f>
        <v>Open Post</v>
      </c>
      <c r="L154" s="6" t="s">
        <v>1395</v>
      </c>
      <c r="M154" s="6" t="s">
        <v>1397</v>
      </c>
      <c r="N154" s="6" t="s">
        <v>1398</v>
      </c>
      <c r="O154" s="6" t="s">
        <v>59</v>
      </c>
      <c r="P154" s="6" t="s">
        <v>807</v>
      </c>
    </row>
    <row r="155">
      <c r="A155" s="6" t="s">
        <v>983</v>
      </c>
      <c r="B155" s="6">
        <v>46.0</v>
      </c>
      <c r="F155" s="6" t="s">
        <v>984</v>
      </c>
      <c r="G155" s="6" t="s">
        <v>1402</v>
      </c>
      <c r="H155" s="6" t="s">
        <v>48</v>
      </c>
      <c r="I155" s="6" t="s">
        <v>48</v>
      </c>
      <c r="J155" s="6" t="s">
        <v>48</v>
      </c>
      <c r="K155" s="9" t="str">
        <f>HYPERLINK("https://www.instagram.com/p/B4rcDiaFE0L/","Open Post")</f>
        <v>Open Post</v>
      </c>
      <c r="L155" s="6" t="s">
        <v>1408</v>
      </c>
      <c r="M155" s="6" t="s">
        <v>1409</v>
      </c>
      <c r="N155" s="6" t="s">
        <v>1411</v>
      </c>
      <c r="O155" s="6" t="s">
        <v>59</v>
      </c>
      <c r="P155" s="6" t="s">
        <v>818</v>
      </c>
    </row>
    <row r="156">
      <c r="A156" s="6" t="s">
        <v>983</v>
      </c>
      <c r="B156" s="6">
        <v>47.0</v>
      </c>
      <c r="F156" s="6" t="s">
        <v>984</v>
      </c>
      <c r="G156" s="6" t="s">
        <v>1127</v>
      </c>
      <c r="H156" s="6" t="s">
        <v>48</v>
      </c>
      <c r="I156" s="6" t="s">
        <v>48</v>
      </c>
      <c r="J156" s="6" t="s">
        <v>48</v>
      </c>
      <c r="K156" s="9" t="str">
        <f>HYPERLINK("https://www.instagram.com/p/B4jskBfH1SU/","Open Post")</f>
        <v>Open Post</v>
      </c>
      <c r="L156" s="6" t="s">
        <v>1415</v>
      </c>
      <c r="M156" s="6" t="s">
        <v>1416</v>
      </c>
      <c r="N156" s="6" t="s">
        <v>1417</v>
      </c>
      <c r="O156" s="6" t="s">
        <v>59</v>
      </c>
      <c r="P156" s="6" t="s">
        <v>827</v>
      </c>
    </row>
    <row r="157">
      <c r="A157" s="6" t="s">
        <v>983</v>
      </c>
      <c r="B157" s="6">
        <v>48.0</v>
      </c>
      <c r="F157" s="6" t="s">
        <v>1026</v>
      </c>
      <c r="G157" s="6" t="s">
        <v>172</v>
      </c>
      <c r="H157" s="6" t="s">
        <v>48</v>
      </c>
      <c r="I157" s="6" t="s">
        <v>48</v>
      </c>
      <c r="J157" s="6" t="s">
        <v>48</v>
      </c>
      <c r="K157" s="9" t="str">
        <f>HYPERLINK("https://www.instagram.com/p/B4jrNIRDCum/","Open Post")</f>
        <v>Open Post</v>
      </c>
      <c r="L157" s="6" t="s">
        <v>1423</v>
      </c>
      <c r="M157" s="6" t="s">
        <v>1424</v>
      </c>
      <c r="N157" s="6" t="s">
        <v>1425</v>
      </c>
      <c r="O157" s="6" t="s">
        <v>59</v>
      </c>
      <c r="P157" s="6" t="s">
        <v>838</v>
      </c>
    </row>
    <row r="158">
      <c r="A158" s="6" t="s">
        <v>983</v>
      </c>
      <c r="B158" s="6">
        <v>49.0</v>
      </c>
      <c r="F158" s="6" t="s">
        <v>984</v>
      </c>
      <c r="G158" s="6" t="s">
        <v>985</v>
      </c>
      <c r="H158" s="6" t="s">
        <v>48</v>
      </c>
      <c r="I158" s="6" t="s">
        <v>48</v>
      </c>
      <c r="J158" s="6" t="s">
        <v>48</v>
      </c>
      <c r="K158" s="9" t="str">
        <f>HYPERLINK("https://www.instagram.com/p/B4gHkJzAkVl/","Open Post")</f>
        <v>Open Post</v>
      </c>
      <c r="L158" s="6" t="s">
        <v>1429</v>
      </c>
      <c r="M158" s="6" t="s">
        <v>1430</v>
      </c>
      <c r="N158" s="6" t="s">
        <v>1431</v>
      </c>
      <c r="O158" s="6" t="s">
        <v>59</v>
      </c>
      <c r="P158" s="6" t="s">
        <v>847</v>
      </c>
    </row>
    <row r="159">
      <c r="A159" s="6" t="s">
        <v>983</v>
      </c>
      <c r="B159" s="6">
        <v>50.0</v>
      </c>
      <c r="F159" s="6" t="s">
        <v>984</v>
      </c>
      <c r="G159" s="6" t="s">
        <v>66</v>
      </c>
      <c r="H159" s="6" t="s">
        <v>48</v>
      </c>
      <c r="I159" s="6" t="s">
        <v>48</v>
      </c>
      <c r="J159" s="6" t="s">
        <v>48</v>
      </c>
      <c r="K159" s="9" t="str">
        <f>HYPERLINK("https://www.instagram.com/p/B4bupubBHdH/","Open Post")</f>
        <v>Open Post</v>
      </c>
      <c r="L159" s="6" t="s">
        <v>1436</v>
      </c>
      <c r="M159" s="6" t="s">
        <v>1437</v>
      </c>
      <c r="N159" s="6" t="s">
        <v>1438</v>
      </c>
      <c r="O159" s="6" t="s">
        <v>59</v>
      </c>
      <c r="P159" s="6" t="s">
        <v>856</v>
      </c>
    </row>
    <row r="160">
      <c r="A160" s="6" t="s">
        <v>983</v>
      </c>
      <c r="B160" s="6">
        <v>51.0</v>
      </c>
      <c r="F160" s="6" t="s">
        <v>1026</v>
      </c>
      <c r="G160" s="6" t="s">
        <v>300</v>
      </c>
      <c r="H160" s="6" t="s">
        <v>48</v>
      </c>
      <c r="I160" s="6" t="s">
        <v>48</v>
      </c>
      <c r="J160" s="6" t="s">
        <v>48</v>
      </c>
      <c r="K160" s="9" t="str">
        <f>HYPERLINK("https://www.instagram.com/p/B4X2vb-Js4l/","Open Post")</f>
        <v>Open Post</v>
      </c>
      <c r="L160" s="6" t="s">
        <v>1443</v>
      </c>
      <c r="M160" s="6" t="s">
        <v>1445</v>
      </c>
      <c r="N160" s="6" t="s">
        <v>1446</v>
      </c>
      <c r="O160" s="6" t="s">
        <v>59</v>
      </c>
      <c r="P160" s="6" t="s">
        <v>869</v>
      </c>
    </row>
    <row r="161">
      <c r="A161" s="6" t="s">
        <v>983</v>
      </c>
      <c r="B161" s="6">
        <v>52.0</v>
      </c>
      <c r="F161" s="6" t="s">
        <v>1026</v>
      </c>
      <c r="G161" s="6" t="s">
        <v>1019</v>
      </c>
      <c r="H161" s="6" t="s">
        <v>48</v>
      </c>
      <c r="I161" s="6" t="s">
        <v>48</v>
      </c>
      <c r="J161" s="6" t="s">
        <v>48</v>
      </c>
      <c r="K161" s="9" t="str">
        <f>HYPERLINK("https://www.instagram.com/p/B4UNjbQhCcM/","Open Post")</f>
        <v>Open Post</v>
      </c>
      <c r="L161" s="6" t="s">
        <v>1448</v>
      </c>
      <c r="M161" s="6" t="s">
        <v>1449</v>
      </c>
      <c r="N161" s="6" t="s">
        <v>1450</v>
      </c>
      <c r="O161" s="6" t="s">
        <v>59</v>
      </c>
      <c r="P161" s="6" t="s">
        <v>873</v>
      </c>
    </row>
    <row r="162">
      <c r="A162" s="6" t="s">
        <v>983</v>
      </c>
      <c r="B162" s="6">
        <v>53.0</v>
      </c>
      <c r="F162" s="6" t="s">
        <v>984</v>
      </c>
      <c r="G162" s="6" t="s">
        <v>985</v>
      </c>
      <c r="H162" s="6" t="s">
        <v>48</v>
      </c>
      <c r="I162" s="6" t="s">
        <v>48</v>
      </c>
      <c r="J162" s="6" t="s">
        <v>48</v>
      </c>
      <c r="K162" s="9" t="str">
        <f>HYPERLINK("https://www.instagram.com/p/B4ScmS_hbAq/","Open Post")</f>
        <v>Open Post</v>
      </c>
      <c r="L162" s="6" t="s">
        <v>1452</v>
      </c>
      <c r="M162" s="6" t="s">
        <v>1454</v>
      </c>
      <c r="N162" s="6" t="s">
        <v>1455</v>
      </c>
      <c r="O162" s="6" t="s">
        <v>59</v>
      </c>
      <c r="P162" s="6" t="s">
        <v>884</v>
      </c>
    </row>
    <row r="163">
      <c r="A163" s="6" t="s">
        <v>983</v>
      </c>
      <c r="B163" s="6">
        <v>54.0</v>
      </c>
      <c r="F163" s="6" t="s">
        <v>984</v>
      </c>
      <c r="G163" s="6" t="s">
        <v>1127</v>
      </c>
      <c r="H163" s="6" t="s">
        <v>48</v>
      </c>
      <c r="I163" s="6" t="s">
        <v>48</v>
      </c>
      <c r="J163" s="6" t="s">
        <v>48</v>
      </c>
      <c r="K163" s="9" t="str">
        <f>HYPERLINK("https://www.instagram.com/p/B4SNBYMnrlR/","Open Post")</f>
        <v>Open Post</v>
      </c>
      <c r="L163" s="6" t="s">
        <v>1459</v>
      </c>
      <c r="M163" s="6" t="s">
        <v>1460</v>
      </c>
      <c r="N163" s="6" t="s">
        <v>1461</v>
      </c>
      <c r="O163" s="6" t="s">
        <v>59</v>
      </c>
      <c r="P163" s="6" t="s">
        <v>891</v>
      </c>
    </row>
    <row r="164">
      <c r="A164" s="6" t="s">
        <v>983</v>
      </c>
      <c r="B164" s="6">
        <v>55.0</v>
      </c>
      <c r="F164" s="6" t="s">
        <v>984</v>
      </c>
      <c r="G164" s="6" t="s">
        <v>1127</v>
      </c>
      <c r="H164" s="6" t="s">
        <v>48</v>
      </c>
      <c r="I164" s="6" t="s">
        <v>48</v>
      </c>
      <c r="J164" s="6" t="s">
        <v>48</v>
      </c>
      <c r="K164" s="9" t="str">
        <f>HYPERLINK("https://www.instagram.com/p/B4SM77cnHmi/","Open Post")</f>
        <v>Open Post</v>
      </c>
      <c r="L164" s="6" t="s">
        <v>1469</v>
      </c>
      <c r="M164" s="6" t="s">
        <v>1460</v>
      </c>
      <c r="N164" s="6" t="s">
        <v>1471</v>
      </c>
      <c r="O164" s="6" t="s">
        <v>59</v>
      </c>
      <c r="P164" s="6" t="s">
        <v>897</v>
      </c>
    </row>
    <row r="165">
      <c r="A165" s="6" t="s">
        <v>983</v>
      </c>
      <c r="B165" s="6">
        <v>56.0</v>
      </c>
      <c r="F165" s="6" t="s">
        <v>984</v>
      </c>
      <c r="G165" s="6" t="s">
        <v>985</v>
      </c>
      <c r="H165" s="6" t="s">
        <v>48</v>
      </c>
      <c r="I165" s="6" t="s">
        <v>48</v>
      </c>
      <c r="J165" s="6" t="s">
        <v>48</v>
      </c>
      <c r="K165" s="9" t="str">
        <f>HYPERLINK("https://www.instagram.com/p/B4QGFZwhG1t/","Open Post")</f>
        <v>Open Post</v>
      </c>
      <c r="L165" s="6" t="s">
        <v>1475</v>
      </c>
      <c r="M165" s="6" t="s">
        <v>1476</v>
      </c>
      <c r="N165" s="6" t="s">
        <v>1477</v>
      </c>
      <c r="O165" s="6" t="s">
        <v>59</v>
      </c>
      <c r="P165" s="6" t="s">
        <v>903</v>
      </c>
    </row>
    <row r="166">
      <c r="A166" s="6" t="s">
        <v>983</v>
      </c>
      <c r="B166" s="6">
        <v>57.0</v>
      </c>
      <c r="F166" s="6" t="s">
        <v>984</v>
      </c>
      <c r="G166" s="6" t="s">
        <v>985</v>
      </c>
      <c r="H166" s="6" t="s">
        <v>48</v>
      </c>
      <c r="I166" s="6" t="s">
        <v>48</v>
      </c>
      <c r="J166" s="6" t="s">
        <v>48</v>
      </c>
      <c r="K166" s="9" t="str">
        <f>HYPERLINK("https://www.instagram.com/p/B4QCKNwpYpq/","Open Post")</f>
        <v>Open Post</v>
      </c>
      <c r="L166" s="6" t="s">
        <v>1484</v>
      </c>
      <c r="M166" s="6" t="s">
        <v>1485</v>
      </c>
      <c r="N166" s="6" t="s">
        <v>1486</v>
      </c>
      <c r="O166" s="6" t="s">
        <v>59</v>
      </c>
      <c r="P166" s="6" t="s">
        <v>912</v>
      </c>
    </row>
    <row r="167">
      <c r="A167" s="6" t="s">
        <v>983</v>
      </c>
      <c r="B167" s="6">
        <v>58.0</v>
      </c>
      <c r="F167" s="6" t="s">
        <v>984</v>
      </c>
      <c r="G167" s="6" t="s">
        <v>555</v>
      </c>
      <c r="H167" s="6" t="s">
        <v>48</v>
      </c>
      <c r="I167" s="6" t="s">
        <v>48</v>
      </c>
      <c r="J167" s="6" t="s">
        <v>48</v>
      </c>
      <c r="K167" s="9" t="str">
        <f>HYPERLINK("https://www.instagram.com/p/B4P_b0YpxBt/","Open Post")</f>
        <v>Open Post</v>
      </c>
      <c r="L167" s="6" t="s">
        <v>1492</v>
      </c>
      <c r="M167" s="6" t="s">
        <v>1493</v>
      </c>
      <c r="N167" s="6" t="s">
        <v>1494</v>
      </c>
      <c r="O167" s="6" t="s">
        <v>59</v>
      </c>
      <c r="P167" s="6" t="s">
        <v>920</v>
      </c>
    </row>
    <row r="168">
      <c r="A168" s="6" t="s">
        <v>983</v>
      </c>
      <c r="B168" s="6">
        <v>59.0</v>
      </c>
      <c r="F168" s="6" t="s">
        <v>1026</v>
      </c>
      <c r="G168" s="6" t="s">
        <v>1019</v>
      </c>
      <c r="H168" s="6" t="s">
        <v>48</v>
      </c>
      <c r="I168" s="6" t="s">
        <v>48</v>
      </c>
      <c r="J168" s="6" t="s">
        <v>48</v>
      </c>
      <c r="K168" s="9" t="str">
        <f>HYPERLINK("https://www.instagram.com/p/B4P-8oPI9Z-/","Open Post")</f>
        <v>Open Post</v>
      </c>
      <c r="L168" s="6" t="s">
        <v>1502</v>
      </c>
      <c r="M168" s="6" t="s">
        <v>1503</v>
      </c>
      <c r="N168" s="6" t="s">
        <v>1504</v>
      </c>
      <c r="O168" s="6" t="s">
        <v>59</v>
      </c>
      <c r="P168" s="6" t="s">
        <v>930</v>
      </c>
    </row>
    <row r="169">
      <c r="A169" s="6" t="s">
        <v>983</v>
      </c>
      <c r="B169" s="6">
        <v>60.0</v>
      </c>
      <c r="F169" s="6" t="s">
        <v>984</v>
      </c>
      <c r="G169" s="6" t="s">
        <v>1507</v>
      </c>
      <c r="H169" s="6" t="s">
        <v>48</v>
      </c>
      <c r="I169" s="6" t="s">
        <v>48</v>
      </c>
      <c r="J169" s="6" t="s">
        <v>48</v>
      </c>
      <c r="K169" s="9" t="str">
        <f>HYPERLINK("https://www.instagram.com/p/B4P6QogHYuQ/","Open Post")</f>
        <v>Open Post</v>
      </c>
      <c r="L169" s="6" t="s">
        <v>1511</v>
      </c>
      <c r="M169" s="6" t="s">
        <v>1514</v>
      </c>
      <c r="N169" s="6" t="s">
        <v>1515</v>
      </c>
      <c r="O169" s="6" t="s">
        <v>59</v>
      </c>
      <c r="P169" s="6" t="s">
        <v>937</v>
      </c>
    </row>
    <row r="170">
      <c r="A170" s="6" t="s">
        <v>983</v>
      </c>
      <c r="B170" s="6">
        <v>61.0</v>
      </c>
      <c r="F170" s="6" t="s">
        <v>984</v>
      </c>
      <c r="G170" s="6" t="s">
        <v>1236</v>
      </c>
      <c r="H170" s="6" t="s">
        <v>48</v>
      </c>
      <c r="I170" s="6" t="s">
        <v>48</v>
      </c>
      <c r="J170" s="6" t="s">
        <v>48</v>
      </c>
      <c r="K170" s="9" t="str">
        <f>HYPERLINK("https://www.instagram.com/p/B4Pyy1_j1CU/","Open Post")</f>
        <v>Open Post</v>
      </c>
      <c r="L170" s="6" t="s">
        <v>1520</v>
      </c>
      <c r="M170" s="6" t="s">
        <v>1521</v>
      </c>
      <c r="N170" s="6" t="s">
        <v>1522</v>
      </c>
      <c r="O170" s="6" t="s">
        <v>59</v>
      </c>
      <c r="P170" s="6" t="s">
        <v>947</v>
      </c>
    </row>
    <row r="171">
      <c r="A171" s="6" t="s">
        <v>983</v>
      </c>
      <c r="B171" s="6">
        <v>62.0</v>
      </c>
      <c r="F171" s="6" t="s">
        <v>984</v>
      </c>
      <c r="G171" s="6" t="s">
        <v>985</v>
      </c>
      <c r="H171" s="6" t="s">
        <v>48</v>
      </c>
      <c r="I171" s="6" t="s">
        <v>48</v>
      </c>
      <c r="J171" s="6" t="s">
        <v>48</v>
      </c>
      <c r="K171" s="9" t="str">
        <f>HYPERLINK("https://www.instagram.com/p/B4PxwJ9h7f6/","Open Post")</f>
        <v>Open Post</v>
      </c>
      <c r="L171" s="6" t="s">
        <v>1527</v>
      </c>
      <c r="M171" s="6" t="s">
        <v>1528</v>
      </c>
      <c r="N171" s="6" t="s">
        <v>1530</v>
      </c>
      <c r="O171" s="6" t="s">
        <v>59</v>
      </c>
      <c r="P171" s="6" t="s">
        <v>949</v>
      </c>
    </row>
    <row r="172">
      <c r="A172" s="6" t="s">
        <v>983</v>
      </c>
      <c r="B172" s="6">
        <v>63.0</v>
      </c>
      <c r="F172" s="6" t="s">
        <v>984</v>
      </c>
      <c r="G172" s="6" t="s">
        <v>369</v>
      </c>
      <c r="H172" s="6" t="s">
        <v>48</v>
      </c>
      <c r="I172" s="6" t="s">
        <v>48</v>
      </c>
      <c r="J172" s="6" t="s">
        <v>48</v>
      </c>
      <c r="K172" s="9" t="str">
        <f>HYPERLINK("https://www.instagram.com/p/B4Pn39poiil/","Open Post")</f>
        <v>Open Post</v>
      </c>
      <c r="L172" s="6" t="s">
        <v>1536</v>
      </c>
      <c r="M172" s="6" t="s">
        <v>55</v>
      </c>
      <c r="N172" s="6" t="s">
        <v>1537</v>
      </c>
      <c r="O172" s="6" t="s">
        <v>59</v>
      </c>
      <c r="P172" s="6" t="s">
        <v>958</v>
      </c>
    </row>
    <row r="173">
      <c r="A173" s="6" t="s">
        <v>983</v>
      </c>
      <c r="B173" s="6">
        <v>64.0</v>
      </c>
      <c r="F173" s="6" t="s">
        <v>984</v>
      </c>
      <c r="G173" s="6" t="s">
        <v>985</v>
      </c>
      <c r="H173" s="6" t="s">
        <v>48</v>
      </c>
      <c r="I173" s="6" t="s">
        <v>48</v>
      </c>
      <c r="J173" s="6" t="s">
        <v>48</v>
      </c>
      <c r="K173" s="9" t="str">
        <f>HYPERLINK("https://www.instagram.com/p/B4Pj7E6Hjen/","Open Post")</f>
        <v>Open Post</v>
      </c>
      <c r="L173" s="6" t="s">
        <v>1540</v>
      </c>
      <c r="M173" s="6" t="s">
        <v>1542</v>
      </c>
      <c r="N173" s="6" t="s">
        <v>1543</v>
      </c>
      <c r="O173" s="6" t="s">
        <v>59</v>
      </c>
      <c r="P173" s="6" t="s">
        <v>962</v>
      </c>
    </row>
    <row r="174">
      <c r="A174" s="6" t="s">
        <v>983</v>
      </c>
      <c r="B174" s="6">
        <v>65.0</v>
      </c>
      <c r="F174" s="6" t="s">
        <v>984</v>
      </c>
      <c r="G174" s="6" t="s">
        <v>1008</v>
      </c>
      <c r="H174" s="6" t="s">
        <v>48</v>
      </c>
      <c r="I174" s="6" t="s">
        <v>48</v>
      </c>
      <c r="J174" s="6" t="s">
        <v>48</v>
      </c>
      <c r="K174" s="9" t="str">
        <f>HYPERLINK("https://www.instagram.com/p/B4Pi2jHnzHb/","Open Post")</f>
        <v>Open Post</v>
      </c>
      <c r="L174" s="6" t="s">
        <v>1548</v>
      </c>
      <c r="M174" s="6" t="s">
        <v>1549</v>
      </c>
      <c r="N174" s="6" t="s">
        <v>1550</v>
      </c>
      <c r="O174" s="6" t="s">
        <v>59</v>
      </c>
      <c r="P174" s="6" t="s">
        <v>968</v>
      </c>
    </row>
    <row r="175">
      <c r="A175" s="6" t="s">
        <v>983</v>
      </c>
      <c r="B175" s="6">
        <v>66.0</v>
      </c>
      <c r="F175" s="6" t="s">
        <v>65</v>
      </c>
      <c r="G175" s="6" t="s">
        <v>1019</v>
      </c>
      <c r="H175" s="6" t="s">
        <v>48</v>
      </c>
      <c r="I175" s="6" t="s">
        <v>48</v>
      </c>
      <c r="J175" s="6" t="s">
        <v>48</v>
      </c>
      <c r="K175" s="9" t="str">
        <f>HYPERLINK("https://www.instagram.com/reel/B4PXeOxp9P8/","Open Reel")</f>
        <v>Open Reel</v>
      </c>
      <c r="L175" s="6" t="s">
        <v>1555</v>
      </c>
      <c r="M175" s="6" t="s">
        <v>1556</v>
      </c>
      <c r="N175" s="6" t="s">
        <v>1557</v>
      </c>
      <c r="O175" s="6" t="s">
        <v>59</v>
      </c>
      <c r="P175" s="6" t="s">
        <v>981</v>
      </c>
    </row>
    <row r="176">
      <c r="A176" s="6" t="s">
        <v>983</v>
      </c>
      <c r="B176" s="6">
        <v>67.0</v>
      </c>
      <c r="F176" s="6" t="s">
        <v>984</v>
      </c>
      <c r="G176" s="6" t="s">
        <v>1558</v>
      </c>
      <c r="H176" s="6" t="s">
        <v>48</v>
      </c>
      <c r="I176" s="6" t="s">
        <v>48</v>
      </c>
      <c r="J176" s="6" t="s">
        <v>48</v>
      </c>
      <c r="K176" s="9" t="str">
        <f>HYPERLINK("https://www.instagram.com/p/B4PWj8ShtPb/","Open Post")</f>
        <v>Open Post</v>
      </c>
      <c r="L176" s="6" t="s">
        <v>1561</v>
      </c>
      <c r="M176" s="6" t="s">
        <v>1562</v>
      </c>
      <c r="N176" s="6" t="s">
        <v>1563</v>
      </c>
      <c r="O176" s="6" t="s">
        <v>59</v>
      </c>
      <c r="P176" s="6" t="s">
        <v>1564</v>
      </c>
    </row>
    <row r="177">
      <c r="A177" s="6" t="s">
        <v>983</v>
      </c>
      <c r="B177" s="6">
        <v>68.0</v>
      </c>
      <c r="F177" s="6" t="s">
        <v>984</v>
      </c>
      <c r="G177" s="6" t="s">
        <v>1008</v>
      </c>
      <c r="H177" s="6" t="s">
        <v>48</v>
      </c>
      <c r="I177" s="6" t="s">
        <v>48</v>
      </c>
      <c r="J177" s="6" t="s">
        <v>48</v>
      </c>
      <c r="K177" s="9" t="str">
        <f>HYPERLINK("https://www.instagram.com/p/B4PVNC9JabO/","Open Post")</f>
        <v>Open Post</v>
      </c>
      <c r="L177" s="6" t="s">
        <v>1569</v>
      </c>
      <c r="M177" s="6" t="s">
        <v>1570</v>
      </c>
      <c r="N177" s="6" t="s">
        <v>1572</v>
      </c>
      <c r="O177" s="6" t="s">
        <v>59</v>
      </c>
      <c r="P177" s="6" t="s">
        <v>1573</v>
      </c>
    </row>
    <row r="178">
      <c r="A178" s="6" t="s">
        <v>983</v>
      </c>
      <c r="B178" s="6">
        <v>69.0</v>
      </c>
      <c r="F178" s="6" t="s">
        <v>984</v>
      </c>
      <c r="G178" s="6" t="s">
        <v>172</v>
      </c>
      <c r="H178" s="6" t="s">
        <v>48</v>
      </c>
      <c r="I178" s="6" t="s">
        <v>48</v>
      </c>
      <c r="J178" s="6" t="s">
        <v>48</v>
      </c>
      <c r="K178" s="9" t="str">
        <f>HYPERLINK("https://www.instagram.com/p/B4PB2idjLKF/","Open Post")</f>
        <v>Open Post</v>
      </c>
      <c r="L178" s="6" t="s">
        <v>1574</v>
      </c>
      <c r="M178" s="6" t="s">
        <v>1575</v>
      </c>
      <c r="N178" s="6" t="s">
        <v>1576</v>
      </c>
      <c r="O178" s="6" t="s">
        <v>59</v>
      </c>
      <c r="P178" s="6" t="s">
        <v>1577</v>
      </c>
    </row>
    <row r="179">
      <c r="A179" s="6" t="s">
        <v>983</v>
      </c>
      <c r="B179" s="6">
        <v>70.0</v>
      </c>
      <c r="F179" s="6" t="s">
        <v>984</v>
      </c>
      <c r="G179" s="6" t="s">
        <v>300</v>
      </c>
      <c r="H179" s="6" t="s">
        <v>48</v>
      </c>
      <c r="I179" s="6" t="s">
        <v>48</v>
      </c>
      <c r="J179" s="6" t="s">
        <v>48</v>
      </c>
      <c r="K179" s="9" t="str">
        <f>HYPERLINK("https://www.instagram.com/p/B4O34FwhzeB/","Open Post")</f>
        <v>Open Post</v>
      </c>
      <c r="L179" s="6" t="s">
        <v>1582</v>
      </c>
      <c r="M179" s="6" t="s">
        <v>1585</v>
      </c>
      <c r="N179" s="6" t="s">
        <v>1587</v>
      </c>
      <c r="O179" s="6" t="s">
        <v>59</v>
      </c>
      <c r="P179" s="6" t="s">
        <v>1588</v>
      </c>
    </row>
    <row r="180">
      <c r="A180" s="6" t="s">
        <v>983</v>
      </c>
      <c r="B180" s="6">
        <v>71.0</v>
      </c>
      <c r="F180" s="6" t="s">
        <v>984</v>
      </c>
      <c r="G180" s="6" t="s">
        <v>985</v>
      </c>
      <c r="H180" s="6" t="s">
        <v>48</v>
      </c>
      <c r="I180" s="6" t="s">
        <v>48</v>
      </c>
      <c r="J180" s="6" t="s">
        <v>48</v>
      </c>
      <c r="K180" s="9" t="str">
        <f>HYPERLINK("https://www.instagram.com/p/B4OZ86XBBDj/","Open Post")</f>
        <v>Open Post</v>
      </c>
      <c r="L180" s="6" t="s">
        <v>1593</v>
      </c>
      <c r="M180" s="6" t="s">
        <v>1594</v>
      </c>
      <c r="N180" s="6" t="s">
        <v>1595</v>
      </c>
      <c r="O180" s="6" t="s">
        <v>59</v>
      </c>
      <c r="P180" s="6" t="s">
        <v>1597</v>
      </c>
    </row>
    <row r="181">
      <c r="A181" s="6" t="s">
        <v>983</v>
      </c>
      <c r="B181" s="6">
        <v>72.0</v>
      </c>
      <c r="F181" s="6" t="s">
        <v>984</v>
      </c>
      <c r="G181" s="6" t="s">
        <v>1599</v>
      </c>
      <c r="H181" s="6" t="s">
        <v>48</v>
      </c>
      <c r="I181" s="6" t="s">
        <v>48</v>
      </c>
      <c r="J181" s="6" t="s">
        <v>48</v>
      </c>
      <c r="K181" s="9" t="str">
        <f>HYPERLINK("https://www.instagram.com/p/B4MbHB0AudV/","Open Post")</f>
        <v>Open Post</v>
      </c>
      <c r="L181" s="6" t="s">
        <v>1604</v>
      </c>
      <c r="M181" s="6" t="s">
        <v>1607</v>
      </c>
      <c r="N181" s="6" t="s">
        <v>1608</v>
      </c>
      <c r="O181" s="6" t="s">
        <v>59</v>
      </c>
      <c r="P181" s="6" t="s">
        <v>1610</v>
      </c>
    </row>
    <row r="182">
      <c r="A182" s="6" t="s">
        <v>983</v>
      </c>
      <c r="B182" s="6">
        <v>73.0</v>
      </c>
      <c r="F182" s="6" t="s">
        <v>984</v>
      </c>
      <c r="G182" s="6" t="s">
        <v>1008</v>
      </c>
      <c r="H182" s="6" t="s">
        <v>48</v>
      </c>
      <c r="I182" s="6" t="s">
        <v>48</v>
      </c>
      <c r="J182" s="6" t="s">
        <v>48</v>
      </c>
      <c r="K182" s="9" t="str">
        <f>HYPERLINK("https://www.instagram.com/p/B4KhRIRAJ6M/","Open Post")</f>
        <v>Open Post</v>
      </c>
      <c r="L182" s="6" t="s">
        <v>1612</v>
      </c>
      <c r="M182" s="6" t="s">
        <v>1613</v>
      </c>
      <c r="N182" s="6" t="s">
        <v>1614</v>
      </c>
      <c r="O182" s="6" t="s">
        <v>59</v>
      </c>
      <c r="P182" s="6" t="s">
        <v>1615</v>
      </c>
    </row>
    <row r="183">
      <c r="A183" s="6" t="s">
        <v>983</v>
      </c>
      <c r="B183" s="6">
        <v>74.0</v>
      </c>
      <c r="F183" s="6" t="s">
        <v>984</v>
      </c>
      <c r="G183" s="6" t="s">
        <v>1236</v>
      </c>
      <c r="H183" s="6" t="s">
        <v>48</v>
      </c>
      <c r="I183" s="6" t="s">
        <v>48</v>
      </c>
      <c r="J183" s="6" t="s">
        <v>48</v>
      </c>
      <c r="K183" s="9" t="str">
        <f>HYPERLINK("https://www.instagram.com/p/B39Yk9xlAtq/","Open Post")</f>
        <v>Open Post</v>
      </c>
      <c r="L183" s="6" t="s">
        <v>1623</v>
      </c>
      <c r="M183" s="6" t="s">
        <v>1624</v>
      </c>
      <c r="N183" s="6" t="s">
        <v>1625</v>
      </c>
      <c r="O183" s="6" t="s">
        <v>59</v>
      </c>
      <c r="P183" s="6" t="s">
        <v>1626</v>
      </c>
    </row>
    <row r="184">
      <c r="A184" s="6" t="s">
        <v>983</v>
      </c>
      <c r="B184" s="6">
        <v>75.0</v>
      </c>
      <c r="F184" s="6" t="s">
        <v>984</v>
      </c>
      <c r="G184" s="6" t="s">
        <v>985</v>
      </c>
      <c r="H184" s="6" t="s">
        <v>48</v>
      </c>
      <c r="I184" s="6" t="s">
        <v>48</v>
      </c>
      <c r="J184" s="6" t="s">
        <v>48</v>
      </c>
      <c r="K184" s="9" t="str">
        <f>HYPERLINK("https://www.instagram.com/p/B32GxWFBw4H/","Open Post")</f>
        <v>Open Post</v>
      </c>
      <c r="L184" s="6" t="s">
        <v>1628</v>
      </c>
      <c r="M184" s="6" t="s">
        <v>1629</v>
      </c>
      <c r="N184" s="6" t="s">
        <v>1630</v>
      </c>
      <c r="O184" s="6" t="s">
        <v>59</v>
      </c>
      <c r="P184" s="6" t="s">
        <v>1631</v>
      </c>
    </row>
    <row r="185">
      <c r="A185" s="6" t="s">
        <v>983</v>
      </c>
      <c r="B185" s="6">
        <v>76.0</v>
      </c>
      <c r="F185" s="6" t="s">
        <v>984</v>
      </c>
      <c r="G185" s="6" t="s">
        <v>369</v>
      </c>
      <c r="H185" s="6" t="s">
        <v>48</v>
      </c>
      <c r="I185" s="6" t="s">
        <v>48</v>
      </c>
      <c r="J185" s="6" t="s">
        <v>48</v>
      </c>
      <c r="K185" s="9" t="str">
        <f>HYPERLINK("https://www.instagram.com/p/B3zEoK7A8Oa/","Open Post")</f>
        <v>Open Post</v>
      </c>
      <c r="L185" s="6" t="s">
        <v>1634</v>
      </c>
      <c r="M185" s="6" t="s">
        <v>55</v>
      </c>
      <c r="N185" s="6" t="s">
        <v>1635</v>
      </c>
      <c r="O185" s="6" t="s">
        <v>59</v>
      </c>
      <c r="P185" s="6" t="s">
        <v>1636</v>
      </c>
    </row>
    <row r="186">
      <c r="A186" s="6" t="s">
        <v>983</v>
      </c>
      <c r="B186" s="6">
        <v>77.0</v>
      </c>
      <c r="F186" s="6" t="s">
        <v>984</v>
      </c>
      <c r="G186" s="6" t="s">
        <v>390</v>
      </c>
      <c r="H186" s="6" t="s">
        <v>48</v>
      </c>
      <c r="I186" s="6" t="s">
        <v>48</v>
      </c>
      <c r="J186" s="6" t="s">
        <v>48</v>
      </c>
      <c r="K186" s="9" t="str">
        <f>HYPERLINK("https://www.instagram.com/p/B3sGjlqhEbE/","Open Post")</f>
        <v>Open Post</v>
      </c>
      <c r="L186" s="6" t="s">
        <v>1637</v>
      </c>
      <c r="M186" s="6" t="s">
        <v>1638</v>
      </c>
      <c r="N186" s="6" t="s">
        <v>1639</v>
      </c>
      <c r="O186" s="6" t="s">
        <v>59</v>
      </c>
      <c r="P186" s="6" t="s">
        <v>1641</v>
      </c>
    </row>
    <row r="187">
      <c r="A187" s="6" t="s">
        <v>983</v>
      </c>
      <c r="B187" s="6">
        <v>78.0</v>
      </c>
      <c r="F187" s="6" t="s">
        <v>1026</v>
      </c>
      <c r="G187" s="6" t="s">
        <v>369</v>
      </c>
      <c r="H187" s="6" t="s">
        <v>48</v>
      </c>
      <c r="I187" s="6" t="s">
        <v>48</v>
      </c>
      <c r="J187" s="6" t="s">
        <v>48</v>
      </c>
      <c r="K187" s="9" t="str">
        <f>HYPERLINK("https://www.instagram.com/p/B3rxy-Gn2Rk/","Open Post")</f>
        <v>Open Post</v>
      </c>
      <c r="L187" s="6" t="s">
        <v>1644</v>
      </c>
      <c r="M187" s="6" t="s">
        <v>55</v>
      </c>
      <c r="N187" s="6" t="s">
        <v>1646</v>
      </c>
      <c r="O187" s="6" t="s">
        <v>59</v>
      </c>
      <c r="P187" s="6" t="s">
        <v>1647</v>
      </c>
    </row>
    <row r="188">
      <c r="A188" s="6" t="s">
        <v>983</v>
      </c>
      <c r="B188" s="6">
        <v>79.0</v>
      </c>
      <c r="F188" s="6" t="s">
        <v>984</v>
      </c>
      <c r="G188" s="6" t="s">
        <v>390</v>
      </c>
      <c r="H188" s="6" t="s">
        <v>48</v>
      </c>
      <c r="I188" s="6" t="s">
        <v>48</v>
      </c>
      <c r="J188" s="6" t="s">
        <v>48</v>
      </c>
      <c r="K188" s="9" t="str">
        <f>HYPERLINK("https://www.instagram.com/p/B3peeiqgqkP/","Open Post")</f>
        <v>Open Post</v>
      </c>
      <c r="L188" s="6" t="s">
        <v>1648</v>
      </c>
      <c r="M188" s="6" t="s">
        <v>1649</v>
      </c>
      <c r="N188" s="6" t="s">
        <v>1650</v>
      </c>
      <c r="O188" s="6" t="s">
        <v>59</v>
      </c>
      <c r="P188" s="6" t="s">
        <v>1651</v>
      </c>
    </row>
    <row r="189">
      <c r="A189" s="6" t="s">
        <v>983</v>
      </c>
      <c r="B189" s="6">
        <v>80.0</v>
      </c>
      <c r="F189" s="6" t="s">
        <v>984</v>
      </c>
      <c r="G189" s="6" t="s">
        <v>695</v>
      </c>
      <c r="H189" s="6" t="s">
        <v>48</v>
      </c>
      <c r="I189" s="6" t="s">
        <v>48</v>
      </c>
      <c r="J189" s="6" t="s">
        <v>48</v>
      </c>
      <c r="K189" s="9" t="str">
        <f>HYPERLINK("https://www.instagram.com/p/B3pBLeRDmUZ/","Open Post")</f>
        <v>Open Post</v>
      </c>
      <c r="L189" s="6" t="s">
        <v>1655</v>
      </c>
      <c r="M189" s="6" t="s">
        <v>1123</v>
      </c>
      <c r="N189" s="6" t="s">
        <v>1657</v>
      </c>
      <c r="O189" s="6" t="s">
        <v>59</v>
      </c>
      <c r="P189" s="6" t="s">
        <v>1658</v>
      </c>
    </row>
    <row r="190">
      <c r="A190" s="6" t="s">
        <v>983</v>
      </c>
      <c r="B190" s="6">
        <v>81.0</v>
      </c>
      <c r="F190" s="6" t="s">
        <v>984</v>
      </c>
      <c r="G190" s="6" t="s">
        <v>1127</v>
      </c>
      <c r="H190" s="6" t="s">
        <v>48</v>
      </c>
      <c r="I190" s="6" t="s">
        <v>48</v>
      </c>
      <c r="J190" s="6" t="s">
        <v>48</v>
      </c>
      <c r="K190" s="9" t="str">
        <f>HYPERLINK("https://www.instagram.com/p/B3oseJNHzWz/","Open Post")</f>
        <v>Open Post</v>
      </c>
      <c r="L190" s="6" t="s">
        <v>1659</v>
      </c>
      <c r="M190" s="6" t="s">
        <v>1660</v>
      </c>
      <c r="N190" s="6" t="s">
        <v>1661</v>
      </c>
      <c r="O190" s="6" t="s">
        <v>59</v>
      </c>
      <c r="P190" s="6" t="s">
        <v>1662</v>
      </c>
    </row>
    <row r="191">
      <c r="A191" s="6" t="s">
        <v>983</v>
      </c>
      <c r="B191" s="6">
        <v>82.0</v>
      </c>
      <c r="F191" s="6" t="s">
        <v>984</v>
      </c>
      <c r="G191" s="6" t="s">
        <v>300</v>
      </c>
      <c r="H191" s="6" t="s">
        <v>48</v>
      </c>
      <c r="I191" s="6" t="s">
        <v>48</v>
      </c>
      <c r="J191" s="6" t="s">
        <v>48</v>
      </c>
      <c r="K191" s="9" t="str">
        <f>HYPERLINK("https://www.instagram.com/p/B3j4gqKh6Dl/","Open Post")</f>
        <v>Open Post</v>
      </c>
      <c r="L191" s="6" t="s">
        <v>1665</v>
      </c>
      <c r="M191" s="6" t="s">
        <v>1666</v>
      </c>
      <c r="N191" s="6" t="s">
        <v>1667</v>
      </c>
      <c r="O191" s="6" t="s">
        <v>59</v>
      </c>
      <c r="P191" s="6" t="s">
        <v>1669</v>
      </c>
    </row>
    <row r="192">
      <c r="A192" s="6" t="s">
        <v>983</v>
      </c>
      <c r="B192" s="6">
        <v>83.0</v>
      </c>
      <c r="F192" s="6" t="s">
        <v>984</v>
      </c>
      <c r="G192" s="6" t="s">
        <v>286</v>
      </c>
      <c r="H192" s="6" t="s">
        <v>48</v>
      </c>
      <c r="I192" s="6" t="s">
        <v>48</v>
      </c>
      <c r="J192" s="6" t="s">
        <v>48</v>
      </c>
      <c r="K192" s="9" t="str">
        <f>HYPERLINK("https://www.instagram.com/p/B3gDFDzJUAi/","Open Post")</f>
        <v>Open Post</v>
      </c>
      <c r="L192" s="6" t="s">
        <v>1670</v>
      </c>
      <c r="M192" s="6" t="s">
        <v>1671</v>
      </c>
      <c r="N192" s="6" t="s">
        <v>1672</v>
      </c>
      <c r="O192" s="6" t="s">
        <v>59</v>
      </c>
      <c r="P192" s="6" t="s">
        <v>1673</v>
      </c>
    </row>
    <row r="193">
      <c r="A193" s="6" t="s">
        <v>983</v>
      </c>
      <c r="B193" s="6">
        <v>84.0</v>
      </c>
      <c r="F193" s="6" t="s">
        <v>984</v>
      </c>
      <c r="G193" s="6" t="s">
        <v>443</v>
      </c>
      <c r="H193" s="6" t="s">
        <v>48</v>
      </c>
      <c r="I193" s="6" t="s">
        <v>48</v>
      </c>
      <c r="J193" s="6" t="s">
        <v>48</v>
      </c>
      <c r="K193" s="9" t="str">
        <f>HYPERLINK("https://www.instagram.com/p/B3e-Nm9gcVD/","Open Post")</f>
        <v>Open Post</v>
      </c>
      <c r="L193" s="6" t="s">
        <v>1674</v>
      </c>
      <c r="M193" s="6" t="s">
        <v>1675</v>
      </c>
      <c r="N193" s="6" t="s">
        <v>1676</v>
      </c>
      <c r="O193" s="6" t="s">
        <v>59</v>
      </c>
      <c r="P193" s="6" t="s">
        <v>1678</v>
      </c>
    </row>
    <row r="194">
      <c r="A194" s="6" t="s">
        <v>983</v>
      </c>
      <c r="B194" s="6">
        <v>85.0</v>
      </c>
      <c r="F194" s="6" t="s">
        <v>65</v>
      </c>
      <c r="G194" s="6" t="s">
        <v>1228</v>
      </c>
      <c r="H194" s="6" t="s">
        <v>48</v>
      </c>
      <c r="I194" s="6" t="s">
        <v>48</v>
      </c>
      <c r="J194" s="6" t="s">
        <v>48</v>
      </c>
      <c r="K194" s="9" t="str">
        <f>HYPERLINK("https://www.instagram.com/reel/B3eVKLrnoYJ/","Open Reel")</f>
        <v>Open Reel</v>
      </c>
      <c r="L194" s="6" t="s">
        <v>1682</v>
      </c>
      <c r="M194" s="6" t="s">
        <v>1683</v>
      </c>
      <c r="N194" s="6" t="s">
        <v>1684</v>
      </c>
      <c r="O194" s="6" t="s">
        <v>59</v>
      </c>
      <c r="P194" s="6" t="s">
        <v>1685</v>
      </c>
    </row>
    <row r="195">
      <c r="A195" s="6" t="s">
        <v>983</v>
      </c>
      <c r="B195" s="6">
        <v>86.0</v>
      </c>
      <c r="F195" s="6" t="s">
        <v>65</v>
      </c>
      <c r="G195" s="6" t="s">
        <v>1019</v>
      </c>
      <c r="H195" s="6" t="s">
        <v>48</v>
      </c>
      <c r="I195" s="6" t="s">
        <v>48</v>
      </c>
      <c r="J195" s="6" t="s">
        <v>48</v>
      </c>
      <c r="K195" s="9" t="str">
        <f>HYPERLINK("https://www.instagram.com/reel/B3cDFlCh_f9/","Open Reel")</f>
        <v>Open Reel</v>
      </c>
      <c r="L195" s="6" t="s">
        <v>1686</v>
      </c>
      <c r="M195" s="6" t="s">
        <v>55</v>
      </c>
      <c r="N195" s="6" t="s">
        <v>1687</v>
      </c>
      <c r="O195" s="6" t="s">
        <v>59</v>
      </c>
      <c r="P195" s="6" t="s">
        <v>1688</v>
      </c>
    </row>
    <row r="196">
      <c r="A196" s="6" t="s">
        <v>983</v>
      </c>
      <c r="B196" s="6">
        <v>87.0</v>
      </c>
      <c r="F196" s="6" t="s">
        <v>65</v>
      </c>
      <c r="G196" s="6" t="s">
        <v>390</v>
      </c>
      <c r="H196" s="6" t="s">
        <v>48</v>
      </c>
      <c r="I196" s="6" t="s">
        <v>48</v>
      </c>
      <c r="J196" s="6" t="s">
        <v>48</v>
      </c>
      <c r="K196" s="9" t="str">
        <f>HYPERLINK("https://www.instagram.com/reel/B3b8zvKp-zK/","Open Reel")</f>
        <v>Open Reel</v>
      </c>
      <c r="L196" s="6" t="s">
        <v>1692</v>
      </c>
      <c r="M196" s="6" t="s">
        <v>1570</v>
      </c>
      <c r="N196" s="6" t="s">
        <v>1693</v>
      </c>
      <c r="O196" s="6" t="s">
        <v>59</v>
      </c>
      <c r="P196" s="6" t="s">
        <v>1694</v>
      </c>
    </row>
    <row r="197">
      <c r="A197" s="6" t="s">
        <v>983</v>
      </c>
      <c r="B197" s="6">
        <v>88.0</v>
      </c>
      <c r="F197" s="6" t="s">
        <v>65</v>
      </c>
      <c r="G197" s="6" t="s">
        <v>993</v>
      </c>
      <c r="H197" s="6" t="s">
        <v>48</v>
      </c>
      <c r="I197" s="6" t="s">
        <v>48</v>
      </c>
      <c r="J197" s="6" t="s">
        <v>48</v>
      </c>
      <c r="K197" s="9" t="str">
        <f>HYPERLINK("https://www.instagram.com/reel/B3aU59Lpxh5/","Open Reel")</f>
        <v>Open Reel</v>
      </c>
      <c r="L197" s="6" t="s">
        <v>1695</v>
      </c>
      <c r="M197" s="6" t="s">
        <v>1696</v>
      </c>
      <c r="N197" s="6" t="s">
        <v>1697</v>
      </c>
      <c r="O197" s="6" t="s">
        <v>59</v>
      </c>
      <c r="P197" s="6" t="s">
        <v>1699</v>
      </c>
    </row>
    <row r="198">
      <c r="A198" s="6" t="s">
        <v>983</v>
      </c>
      <c r="B198" s="6">
        <v>89.0</v>
      </c>
      <c r="F198" s="6" t="s">
        <v>984</v>
      </c>
      <c r="G198" s="6" t="s">
        <v>1701</v>
      </c>
      <c r="H198" s="6" t="s">
        <v>48</v>
      </c>
      <c r="I198" s="6" t="s">
        <v>48</v>
      </c>
      <c r="J198" s="6" t="s">
        <v>48</v>
      </c>
      <c r="K198" s="9" t="str">
        <f>HYPERLINK("https://www.instagram.com/p/B3aS5ylJqjw/","Open Post")</f>
        <v>Open Post</v>
      </c>
      <c r="L198" s="6" t="s">
        <v>1703</v>
      </c>
      <c r="M198" s="6" t="s">
        <v>1696</v>
      </c>
      <c r="N198" s="6" t="s">
        <v>1704</v>
      </c>
      <c r="O198" s="6" t="s">
        <v>59</v>
      </c>
      <c r="P198" s="6" t="s">
        <v>1705</v>
      </c>
    </row>
    <row r="199">
      <c r="A199" s="6" t="s">
        <v>983</v>
      </c>
      <c r="B199" s="6">
        <v>90.0</v>
      </c>
      <c r="F199" s="6" t="s">
        <v>984</v>
      </c>
      <c r="G199" s="6" t="s">
        <v>1701</v>
      </c>
      <c r="H199" s="6" t="s">
        <v>48</v>
      </c>
      <c r="I199" s="6" t="s">
        <v>48</v>
      </c>
      <c r="J199" s="6" t="s">
        <v>48</v>
      </c>
      <c r="K199" s="9" t="str">
        <f>HYPERLINK("https://www.instagram.com/p/B3aALlLJ3BT/","Open Post")</f>
        <v>Open Post</v>
      </c>
      <c r="L199" s="6" t="s">
        <v>1708</v>
      </c>
      <c r="M199" s="6" t="s">
        <v>1696</v>
      </c>
      <c r="N199" s="6" t="s">
        <v>1709</v>
      </c>
      <c r="O199" s="6" t="s">
        <v>59</v>
      </c>
      <c r="P199" s="6" t="s">
        <v>1710</v>
      </c>
    </row>
    <row r="200">
      <c r="A200" s="6" t="s">
        <v>983</v>
      </c>
      <c r="B200" s="6">
        <v>91.0</v>
      </c>
      <c r="F200" s="6" t="s">
        <v>984</v>
      </c>
      <c r="G200" s="6" t="s">
        <v>1228</v>
      </c>
      <c r="H200" s="6" t="s">
        <v>48</v>
      </c>
      <c r="I200" s="6" t="s">
        <v>48</v>
      </c>
      <c r="J200" s="6" t="s">
        <v>48</v>
      </c>
      <c r="K200" s="9" t="str">
        <f>HYPERLINK("https://www.instagram.com/p/B3ZneF-AWwc/","Open Post")</f>
        <v>Open Post</v>
      </c>
      <c r="L200" s="6" t="s">
        <v>1716</v>
      </c>
      <c r="M200" s="6" t="s">
        <v>1717</v>
      </c>
      <c r="N200" s="6" t="s">
        <v>1718</v>
      </c>
      <c r="O200" s="6" t="s">
        <v>59</v>
      </c>
      <c r="P200" s="6" t="s">
        <v>1719</v>
      </c>
    </row>
    <row r="201">
      <c r="A201" s="6" t="s">
        <v>983</v>
      </c>
      <c r="B201" s="6">
        <v>92.0</v>
      </c>
      <c r="F201" s="6" t="s">
        <v>984</v>
      </c>
      <c r="G201" s="6" t="s">
        <v>1027</v>
      </c>
      <c r="H201" s="6" t="s">
        <v>48</v>
      </c>
      <c r="I201" s="6" t="s">
        <v>48</v>
      </c>
      <c r="J201" s="6" t="s">
        <v>48</v>
      </c>
      <c r="K201" s="9" t="str">
        <f>HYPERLINK("https://www.instagram.com/p/B3Zi5Ueh0Wc/","Open Post")</f>
        <v>Open Post</v>
      </c>
      <c r="L201" s="6" t="s">
        <v>1720</v>
      </c>
      <c r="M201" s="6" t="s">
        <v>1722</v>
      </c>
      <c r="N201" s="6" t="s">
        <v>1723</v>
      </c>
      <c r="O201" s="6" t="s">
        <v>59</v>
      </c>
      <c r="P201" s="6" t="s">
        <v>1724</v>
      </c>
    </row>
    <row r="202">
      <c r="A202" s="6" t="s">
        <v>983</v>
      </c>
      <c r="B202" s="6">
        <v>93.0</v>
      </c>
      <c r="F202" s="6" t="s">
        <v>984</v>
      </c>
      <c r="G202" s="6" t="s">
        <v>300</v>
      </c>
      <c r="H202" s="6" t="s">
        <v>48</v>
      </c>
      <c r="I202" s="6" t="s">
        <v>48</v>
      </c>
      <c r="J202" s="6" t="s">
        <v>48</v>
      </c>
      <c r="K202" s="9" t="str">
        <f>HYPERLINK("https://www.instagram.com/p/B3W6BI0F1LA/","Open Post")</f>
        <v>Open Post</v>
      </c>
      <c r="L202" s="6" t="s">
        <v>1726</v>
      </c>
      <c r="M202" s="6" t="s">
        <v>1727</v>
      </c>
      <c r="N202" s="6" t="s">
        <v>1728</v>
      </c>
      <c r="O202" s="6" t="s">
        <v>59</v>
      </c>
      <c r="P202" s="6" t="s">
        <v>1729</v>
      </c>
    </row>
    <row r="203">
      <c r="A203" s="6" t="s">
        <v>983</v>
      </c>
      <c r="B203" s="6">
        <v>94.0</v>
      </c>
      <c r="F203" s="6" t="s">
        <v>1026</v>
      </c>
      <c r="G203" s="6" t="s">
        <v>228</v>
      </c>
      <c r="H203" s="6" t="s">
        <v>48</v>
      </c>
      <c r="I203" s="6" t="s">
        <v>48</v>
      </c>
      <c r="J203" s="6" t="s">
        <v>48</v>
      </c>
      <c r="K203" s="9" t="str">
        <f>HYPERLINK("https://www.instagram.com/p/B3UqXG0H7eW/","Open Post")</f>
        <v>Open Post</v>
      </c>
      <c r="L203" s="6" t="s">
        <v>1733</v>
      </c>
      <c r="M203" s="6" t="s">
        <v>1734</v>
      </c>
      <c r="N203" s="6" t="s">
        <v>1735</v>
      </c>
      <c r="O203" s="6" t="s">
        <v>59</v>
      </c>
      <c r="P203" s="6" t="s">
        <v>1736</v>
      </c>
    </row>
    <row r="204">
      <c r="A204" s="6" t="s">
        <v>983</v>
      </c>
      <c r="B204" s="6">
        <v>95.0</v>
      </c>
      <c r="F204" s="6" t="s">
        <v>1026</v>
      </c>
      <c r="G204" s="6" t="s">
        <v>286</v>
      </c>
      <c r="H204" s="6" t="s">
        <v>48</v>
      </c>
      <c r="I204" s="6" t="s">
        <v>48</v>
      </c>
      <c r="J204" s="6" t="s">
        <v>48</v>
      </c>
      <c r="K204" s="9" t="str">
        <f>HYPERLINK("https://www.instagram.com/p/B3ResyaJd5n/","Open Post")</f>
        <v>Open Post</v>
      </c>
      <c r="L204" s="6" t="s">
        <v>1740</v>
      </c>
      <c r="M204" s="6" t="s">
        <v>1741</v>
      </c>
      <c r="N204" s="6" t="s">
        <v>1742</v>
      </c>
      <c r="O204" s="6" t="s">
        <v>59</v>
      </c>
      <c r="P204" s="6" t="s">
        <v>1743</v>
      </c>
    </row>
    <row r="205">
      <c r="A205" s="6" t="s">
        <v>983</v>
      </c>
      <c r="B205" s="6">
        <v>96.0</v>
      </c>
      <c r="F205" s="6" t="s">
        <v>984</v>
      </c>
      <c r="G205" s="6" t="s">
        <v>172</v>
      </c>
      <c r="H205" s="6" t="s">
        <v>48</v>
      </c>
      <c r="I205" s="6" t="s">
        <v>48</v>
      </c>
      <c r="J205" s="6" t="s">
        <v>48</v>
      </c>
      <c r="K205" s="9" t="str">
        <f>HYPERLINK("https://www.instagram.com/p/B3QPWrWB-9y/","Open Post")</f>
        <v>Open Post</v>
      </c>
      <c r="L205" s="6" t="s">
        <v>1745</v>
      </c>
      <c r="M205" s="6" t="s">
        <v>1746</v>
      </c>
      <c r="N205" s="6" t="s">
        <v>1747</v>
      </c>
      <c r="O205" s="6" t="s">
        <v>59</v>
      </c>
      <c r="P205" s="6" t="s">
        <v>1748</v>
      </c>
    </row>
    <row r="206">
      <c r="A206" s="6" t="s">
        <v>983</v>
      </c>
      <c r="B206" s="6">
        <v>97.0</v>
      </c>
      <c r="F206" s="6" t="s">
        <v>65</v>
      </c>
      <c r="G206" s="6" t="s">
        <v>1027</v>
      </c>
      <c r="H206" s="6" t="s">
        <v>48</v>
      </c>
      <c r="I206" s="6" t="s">
        <v>48</v>
      </c>
      <c r="J206" s="6" t="s">
        <v>48</v>
      </c>
      <c r="K206" s="9" t="str">
        <f>HYPERLINK("https://www.instagram.com/reel/B3MXTHIhiLr/","Open Reel")</f>
        <v>Open Reel</v>
      </c>
      <c r="L206" s="6" t="s">
        <v>1720</v>
      </c>
      <c r="M206" s="6" t="s">
        <v>1722</v>
      </c>
      <c r="N206" s="6" t="s">
        <v>1752</v>
      </c>
      <c r="O206" s="6" t="s">
        <v>59</v>
      </c>
      <c r="P206" s="6" t="s">
        <v>1754</v>
      </c>
    </row>
    <row r="207">
      <c r="A207" s="6" t="s">
        <v>983</v>
      </c>
      <c r="B207" s="6">
        <v>98.0</v>
      </c>
      <c r="F207" s="6" t="s">
        <v>984</v>
      </c>
      <c r="G207" s="6" t="s">
        <v>390</v>
      </c>
      <c r="H207" s="6" t="s">
        <v>48</v>
      </c>
      <c r="I207" s="6" t="s">
        <v>48</v>
      </c>
      <c r="J207" s="6" t="s">
        <v>48</v>
      </c>
      <c r="K207" s="9" t="str">
        <f>HYPERLINK("https://www.instagram.com/p/B3KxghDp6As/","Open Post")</f>
        <v>Open Post</v>
      </c>
      <c r="L207" s="6" t="s">
        <v>1757</v>
      </c>
      <c r="M207" s="6" t="s">
        <v>1759</v>
      </c>
      <c r="N207" s="6" t="s">
        <v>1760</v>
      </c>
      <c r="O207" s="6" t="s">
        <v>59</v>
      </c>
      <c r="P207" s="6" t="s">
        <v>1761</v>
      </c>
    </row>
    <row r="208">
      <c r="A208" s="6" t="s">
        <v>983</v>
      </c>
      <c r="B208" s="6">
        <v>99.0</v>
      </c>
      <c r="F208" s="6" t="s">
        <v>984</v>
      </c>
      <c r="G208" s="6" t="s">
        <v>1599</v>
      </c>
      <c r="H208" s="6" t="s">
        <v>48</v>
      </c>
      <c r="I208" s="6" t="s">
        <v>48</v>
      </c>
      <c r="J208" s="6" t="s">
        <v>48</v>
      </c>
      <c r="K208" s="9" t="str">
        <f>HYPERLINK("https://www.instagram.com/p/B3KafikF4uV/","Open Post")</f>
        <v>Open Post</v>
      </c>
      <c r="L208" s="6" t="s">
        <v>1763</v>
      </c>
      <c r="M208" s="6" t="s">
        <v>1765</v>
      </c>
      <c r="N208" s="6" t="s">
        <v>1766</v>
      </c>
      <c r="O208" s="6" t="s">
        <v>59</v>
      </c>
      <c r="P208" s="6" t="s">
        <v>1768</v>
      </c>
    </row>
    <row r="209">
      <c r="A209" s="6" t="s">
        <v>983</v>
      </c>
      <c r="B209" s="6">
        <v>100.0</v>
      </c>
      <c r="F209" s="6" t="s">
        <v>984</v>
      </c>
      <c r="G209" s="6" t="s">
        <v>390</v>
      </c>
      <c r="H209" s="6" t="s">
        <v>48</v>
      </c>
      <c r="I209" s="6" t="s">
        <v>48</v>
      </c>
      <c r="J209" s="6" t="s">
        <v>48</v>
      </c>
      <c r="K209" s="9" t="str">
        <f>HYPERLINK("https://www.instagram.com/p/B3J5G6tFPX0/","Open Post")</f>
        <v>Open Post</v>
      </c>
      <c r="L209" s="6" t="s">
        <v>1772</v>
      </c>
      <c r="M209" s="6" t="s">
        <v>1773</v>
      </c>
      <c r="N209" s="6" t="s">
        <v>1774</v>
      </c>
      <c r="O209" s="6" t="s">
        <v>59</v>
      </c>
      <c r="P209" s="6" t="s">
        <v>1775</v>
      </c>
    </row>
    <row r="210">
      <c r="A210" s="6" t="s">
        <v>983</v>
      </c>
      <c r="B210" s="6">
        <v>101.0</v>
      </c>
      <c r="F210" s="6" t="s">
        <v>984</v>
      </c>
      <c r="G210" s="6" t="s">
        <v>390</v>
      </c>
      <c r="H210" s="6" t="s">
        <v>48</v>
      </c>
      <c r="I210" s="6" t="s">
        <v>48</v>
      </c>
      <c r="J210" s="6" t="s">
        <v>48</v>
      </c>
      <c r="K210" s="9" t="str">
        <f>HYPERLINK("https://www.instagram.com/p/B3AipSpJtyr/","Open Post")</f>
        <v>Open Post</v>
      </c>
      <c r="L210" s="6" t="s">
        <v>1776</v>
      </c>
      <c r="M210" s="6" t="s">
        <v>1777</v>
      </c>
      <c r="N210" s="6" t="s">
        <v>1778</v>
      </c>
      <c r="O210" s="6" t="s">
        <v>59</v>
      </c>
      <c r="P210" s="6" t="s">
        <v>1779</v>
      </c>
    </row>
    <row r="211">
      <c r="A211" s="6" t="s">
        <v>983</v>
      </c>
      <c r="B211" s="6">
        <v>102.0</v>
      </c>
      <c r="F211" s="6" t="s">
        <v>984</v>
      </c>
      <c r="G211" s="6" t="s">
        <v>555</v>
      </c>
      <c r="H211" s="6" t="s">
        <v>48</v>
      </c>
      <c r="I211" s="6" t="s">
        <v>48</v>
      </c>
      <c r="J211" s="6" t="s">
        <v>48</v>
      </c>
      <c r="K211" s="9" t="str">
        <f>HYPERLINK("https://www.instagram.com/p/B2_VWYQlqpA/","Open Post")</f>
        <v>Open Post</v>
      </c>
      <c r="L211" s="6" t="s">
        <v>1783</v>
      </c>
      <c r="M211" s="6" t="s">
        <v>1784</v>
      </c>
      <c r="N211" s="6" t="s">
        <v>1785</v>
      </c>
      <c r="O211" s="6" t="s">
        <v>59</v>
      </c>
      <c r="P211" s="6" t="s">
        <v>1786</v>
      </c>
    </row>
    <row r="212">
      <c r="A212" s="6" t="s">
        <v>983</v>
      </c>
      <c r="B212" s="6">
        <v>103.0</v>
      </c>
      <c r="F212" s="6" t="s">
        <v>984</v>
      </c>
      <c r="G212" s="6" t="s">
        <v>695</v>
      </c>
      <c r="H212" s="6" t="s">
        <v>48</v>
      </c>
      <c r="I212" s="6" t="s">
        <v>48</v>
      </c>
      <c r="J212" s="6" t="s">
        <v>48</v>
      </c>
      <c r="K212" s="9" t="str">
        <f>HYPERLINK("https://www.instagram.com/p/B25oaRpAnyC/","Open Post")</f>
        <v>Open Post</v>
      </c>
      <c r="L212" s="6" t="s">
        <v>1788</v>
      </c>
      <c r="M212" s="6" t="s">
        <v>1789</v>
      </c>
      <c r="N212" s="6" t="s">
        <v>1790</v>
      </c>
      <c r="O212" s="6" t="s">
        <v>59</v>
      </c>
      <c r="P212" s="6" t="s">
        <v>1791</v>
      </c>
    </row>
    <row r="213">
      <c r="A213" s="6" t="s">
        <v>983</v>
      </c>
      <c r="B213" s="6">
        <v>104.0</v>
      </c>
      <c r="F213" s="6" t="s">
        <v>984</v>
      </c>
      <c r="G213" s="6" t="s">
        <v>1251</v>
      </c>
      <c r="H213" s="6" t="s">
        <v>48</v>
      </c>
      <c r="I213" s="6" t="s">
        <v>48</v>
      </c>
      <c r="J213" s="6" t="s">
        <v>48</v>
      </c>
      <c r="K213" s="9" t="str">
        <f>HYPERLINK("https://www.instagram.com/p/B21vvY7At84/","Open Post")</f>
        <v>Open Post</v>
      </c>
      <c r="L213" s="6" t="s">
        <v>1794</v>
      </c>
      <c r="M213" s="6" t="s">
        <v>55</v>
      </c>
      <c r="N213" s="6" t="s">
        <v>1795</v>
      </c>
      <c r="O213" s="6" t="s">
        <v>59</v>
      </c>
      <c r="P213" s="6" t="s">
        <v>1796</v>
      </c>
    </row>
    <row r="214">
      <c r="A214" s="6" t="s">
        <v>983</v>
      </c>
      <c r="B214" s="6">
        <v>105.0</v>
      </c>
      <c r="F214" s="6" t="s">
        <v>984</v>
      </c>
      <c r="G214" s="6" t="s">
        <v>1182</v>
      </c>
      <c r="H214" s="6" t="s">
        <v>48</v>
      </c>
      <c r="I214" s="6" t="s">
        <v>48</v>
      </c>
      <c r="J214" s="6" t="s">
        <v>48</v>
      </c>
      <c r="K214" s="9" t="str">
        <f>HYPERLINK("https://www.instagram.com/p/B21rvBwgj52/","Open Post")</f>
        <v>Open Post</v>
      </c>
      <c r="L214" s="6" t="s">
        <v>1799</v>
      </c>
      <c r="M214" s="6" t="s">
        <v>1800</v>
      </c>
      <c r="N214" s="6" t="s">
        <v>1801</v>
      </c>
      <c r="O214" s="6" t="s">
        <v>59</v>
      </c>
      <c r="P214" s="6" t="s">
        <v>1802</v>
      </c>
    </row>
    <row r="215">
      <c r="A215" s="6" t="s">
        <v>983</v>
      </c>
      <c r="B215" s="6">
        <v>106.0</v>
      </c>
      <c r="F215" s="6" t="s">
        <v>1026</v>
      </c>
      <c r="G215" s="6" t="s">
        <v>286</v>
      </c>
      <c r="H215" s="6" t="s">
        <v>48</v>
      </c>
      <c r="I215" s="6" t="s">
        <v>48</v>
      </c>
      <c r="J215" s="6" t="s">
        <v>48</v>
      </c>
      <c r="K215" s="9" t="str">
        <f>HYPERLINK("https://www.instagram.com/p/B21TvWXhR3V/","Open Post")</f>
        <v>Open Post</v>
      </c>
      <c r="L215" s="6" t="s">
        <v>1805</v>
      </c>
      <c r="M215" s="6" t="s">
        <v>1806</v>
      </c>
      <c r="N215" s="6" t="s">
        <v>1807</v>
      </c>
      <c r="O215" s="6" t="s">
        <v>59</v>
      </c>
      <c r="P215" s="6" t="s">
        <v>1808</v>
      </c>
    </row>
    <row r="216">
      <c r="A216" s="6" t="s">
        <v>983</v>
      </c>
      <c r="B216" s="6">
        <v>107.0</v>
      </c>
      <c r="F216" s="6" t="s">
        <v>984</v>
      </c>
      <c r="G216" s="6" t="s">
        <v>1019</v>
      </c>
      <c r="H216" s="6" t="s">
        <v>48</v>
      </c>
      <c r="I216" s="6" t="s">
        <v>48</v>
      </c>
      <c r="J216" s="6" t="s">
        <v>48</v>
      </c>
      <c r="K216" s="9" t="str">
        <f>HYPERLINK("https://www.instagram.com/p/B2yio76p1OK/","Open Post")</f>
        <v>Open Post</v>
      </c>
      <c r="L216" s="6" t="s">
        <v>1810</v>
      </c>
      <c r="M216" s="6" t="s">
        <v>1811</v>
      </c>
      <c r="N216" s="6" t="s">
        <v>1812</v>
      </c>
      <c r="O216" s="6" t="s">
        <v>59</v>
      </c>
      <c r="P216" s="6" t="s">
        <v>1813</v>
      </c>
    </row>
    <row r="217">
      <c r="A217" s="6" t="s">
        <v>983</v>
      </c>
      <c r="B217" s="6">
        <v>108.0</v>
      </c>
      <c r="F217" s="6" t="s">
        <v>984</v>
      </c>
      <c r="G217" s="6" t="s">
        <v>1814</v>
      </c>
      <c r="H217" s="6" t="s">
        <v>48</v>
      </c>
      <c r="I217" s="6" t="s">
        <v>48</v>
      </c>
      <c r="J217" s="6" t="s">
        <v>48</v>
      </c>
      <c r="K217" s="9" t="str">
        <f>HYPERLINK("https://www.instagram.com/p/B2wdNnDobP4/","Open Post")</f>
        <v>Open Post</v>
      </c>
      <c r="L217" s="6" t="s">
        <v>1817</v>
      </c>
      <c r="M217" s="6" t="s">
        <v>1818</v>
      </c>
      <c r="N217" s="6" t="s">
        <v>1819</v>
      </c>
      <c r="O217" s="6" t="s">
        <v>59</v>
      </c>
      <c r="P217" s="6" t="s">
        <v>1820</v>
      </c>
    </row>
    <row r="218">
      <c r="A218" s="6" t="s">
        <v>983</v>
      </c>
      <c r="B218" s="6">
        <v>109.0</v>
      </c>
      <c r="F218" s="6" t="s">
        <v>984</v>
      </c>
      <c r="G218" s="6" t="s">
        <v>1821</v>
      </c>
      <c r="H218" s="6" t="s">
        <v>48</v>
      </c>
      <c r="I218" s="6" t="s">
        <v>48</v>
      </c>
      <c r="J218" s="6" t="s">
        <v>48</v>
      </c>
      <c r="K218" s="9" t="str">
        <f>HYPERLINK("https://www.instagram.com/p/B2uyf0oFpET/","Open Post")</f>
        <v>Open Post</v>
      </c>
      <c r="L218" s="6" t="s">
        <v>1822</v>
      </c>
      <c r="M218" s="6" t="s">
        <v>1823</v>
      </c>
      <c r="N218" s="6" t="s">
        <v>1824</v>
      </c>
      <c r="O218" s="6" t="s">
        <v>59</v>
      </c>
      <c r="P218" s="6" t="s">
        <v>1825</v>
      </c>
    </row>
    <row r="219">
      <c r="A219" s="6" t="s">
        <v>983</v>
      </c>
      <c r="B219" s="6">
        <v>110.0</v>
      </c>
      <c r="F219" s="6" t="s">
        <v>1026</v>
      </c>
      <c r="G219" s="6" t="s">
        <v>369</v>
      </c>
      <c r="H219" s="6" t="s">
        <v>48</v>
      </c>
      <c r="I219" s="6" t="s">
        <v>48</v>
      </c>
      <c r="J219" s="6" t="s">
        <v>48</v>
      </c>
      <c r="K219" s="9" t="str">
        <f>HYPERLINK("https://www.instagram.com/p/B2lh-BHC1XJ/","Open Post")</f>
        <v>Open Post</v>
      </c>
      <c r="L219" s="6" t="s">
        <v>1827</v>
      </c>
      <c r="M219" s="6" t="s">
        <v>55</v>
      </c>
      <c r="N219" s="6" t="s">
        <v>1828</v>
      </c>
      <c r="O219" s="6" t="s">
        <v>59</v>
      </c>
      <c r="P219" s="6" t="s">
        <v>1829</v>
      </c>
    </row>
    <row r="220">
      <c r="A220" s="6" t="s">
        <v>983</v>
      </c>
      <c r="B220" s="6">
        <v>111.0</v>
      </c>
      <c r="F220" s="6" t="s">
        <v>1026</v>
      </c>
      <c r="G220" s="6" t="s">
        <v>1027</v>
      </c>
      <c r="H220" s="6" t="s">
        <v>48</v>
      </c>
      <c r="I220" s="6" t="s">
        <v>48</v>
      </c>
      <c r="J220" s="6" t="s">
        <v>48</v>
      </c>
      <c r="K220" s="9" t="str">
        <f>HYPERLINK("https://www.instagram.com/p/B2jdXKXoGi2/","Open Post")</f>
        <v>Open Post</v>
      </c>
      <c r="L220" s="6" t="s">
        <v>1832</v>
      </c>
      <c r="M220" s="6" t="s">
        <v>1833</v>
      </c>
      <c r="N220" s="6" t="s">
        <v>1834</v>
      </c>
      <c r="O220" s="6" t="s">
        <v>59</v>
      </c>
      <c r="P220" s="6" t="s">
        <v>1835</v>
      </c>
    </row>
    <row r="221">
      <c r="A221" s="6" t="s">
        <v>983</v>
      </c>
      <c r="B221" s="6">
        <v>112.0</v>
      </c>
      <c r="F221" s="6" t="s">
        <v>984</v>
      </c>
      <c r="G221" s="6" t="s">
        <v>985</v>
      </c>
      <c r="H221" s="6" t="s">
        <v>48</v>
      </c>
      <c r="I221" s="6" t="s">
        <v>48</v>
      </c>
      <c r="J221" s="6" t="s">
        <v>48</v>
      </c>
      <c r="K221" s="9" t="str">
        <f>HYPERLINK("https://www.instagram.com/p/B2heKy0ojyR/","Open Post")</f>
        <v>Open Post</v>
      </c>
      <c r="L221" s="6" t="s">
        <v>1839</v>
      </c>
      <c r="M221" s="6" t="s">
        <v>1840</v>
      </c>
      <c r="N221" s="6" t="s">
        <v>1841</v>
      </c>
      <c r="O221" s="6" t="s">
        <v>59</v>
      </c>
      <c r="P221" s="6" t="s">
        <v>1842</v>
      </c>
    </row>
    <row r="222">
      <c r="A222" s="6" t="s">
        <v>983</v>
      </c>
      <c r="B222" s="6">
        <v>113.0</v>
      </c>
      <c r="F222" s="6" t="s">
        <v>984</v>
      </c>
      <c r="G222" s="6" t="s">
        <v>390</v>
      </c>
      <c r="H222" s="6" t="s">
        <v>48</v>
      </c>
      <c r="I222" s="6" t="s">
        <v>48</v>
      </c>
      <c r="J222" s="6" t="s">
        <v>48</v>
      </c>
      <c r="K222" s="9" t="str">
        <f>HYPERLINK("https://www.instagram.com/p/B2eJ2_rnv_f/","Open Post")</f>
        <v>Open Post</v>
      </c>
      <c r="L222" s="6" t="s">
        <v>1846</v>
      </c>
      <c r="M222" s="6" t="s">
        <v>55</v>
      </c>
      <c r="N222" s="6" t="s">
        <v>1847</v>
      </c>
      <c r="O222" s="6" t="s">
        <v>59</v>
      </c>
      <c r="P222" s="6" t="s">
        <v>1848</v>
      </c>
    </row>
    <row r="223">
      <c r="A223" s="6" t="s">
        <v>983</v>
      </c>
      <c r="B223" s="6">
        <v>114.0</v>
      </c>
      <c r="F223" s="6" t="s">
        <v>984</v>
      </c>
      <c r="G223" s="6" t="s">
        <v>1849</v>
      </c>
      <c r="H223" s="6" t="s">
        <v>48</v>
      </c>
      <c r="I223" s="6" t="s">
        <v>48</v>
      </c>
      <c r="J223" s="6" t="s">
        <v>48</v>
      </c>
      <c r="K223" s="9" t="str">
        <f>HYPERLINK("https://www.instagram.com/p/B2W1bgmnr6s/","Open Post")</f>
        <v>Open Post</v>
      </c>
      <c r="L223" s="6" t="s">
        <v>1850</v>
      </c>
      <c r="M223" s="6" t="s">
        <v>1852</v>
      </c>
      <c r="N223" s="6" t="s">
        <v>1853</v>
      </c>
      <c r="O223" s="6" t="s">
        <v>59</v>
      </c>
      <c r="P223" s="6" t="s">
        <v>1854</v>
      </c>
    </row>
    <row r="224">
      <c r="A224" s="6" t="s">
        <v>983</v>
      </c>
      <c r="B224" s="6">
        <v>115.0</v>
      </c>
      <c r="F224" s="6" t="s">
        <v>984</v>
      </c>
      <c r="G224" s="6" t="s">
        <v>1251</v>
      </c>
      <c r="H224" s="6" t="s">
        <v>48</v>
      </c>
      <c r="I224" s="6" t="s">
        <v>48</v>
      </c>
      <c r="J224" s="6" t="s">
        <v>48</v>
      </c>
      <c r="K224" s="9" t="str">
        <f>HYPERLINK("https://www.instagram.com/p/B2WmBkgAvmn/","Open Post")</f>
        <v>Open Post</v>
      </c>
      <c r="L224" s="6" t="s">
        <v>1856</v>
      </c>
      <c r="M224" s="6" t="s">
        <v>1857</v>
      </c>
      <c r="N224" s="6" t="s">
        <v>1858</v>
      </c>
      <c r="O224" s="6" t="s">
        <v>59</v>
      </c>
      <c r="P224" s="6" t="s">
        <v>1859</v>
      </c>
    </row>
    <row r="225">
      <c r="A225" s="6" t="s">
        <v>983</v>
      </c>
      <c r="B225" s="6">
        <v>116.0</v>
      </c>
      <c r="F225" s="6" t="s">
        <v>1026</v>
      </c>
      <c r="G225" s="6" t="s">
        <v>1599</v>
      </c>
      <c r="H225" s="6" t="s">
        <v>48</v>
      </c>
      <c r="I225" s="6" t="s">
        <v>48</v>
      </c>
      <c r="J225" s="6" t="s">
        <v>48</v>
      </c>
      <c r="K225" s="9" t="str">
        <f>HYPERLINK("https://www.instagram.com/p/B2WWvPxlV-L/","Open Post")</f>
        <v>Open Post</v>
      </c>
      <c r="L225" s="6" t="s">
        <v>1861</v>
      </c>
      <c r="M225" s="6" t="s">
        <v>1862</v>
      </c>
      <c r="N225" s="6" t="s">
        <v>1863</v>
      </c>
      <c r="O225" s="6" t="s">
        <v>59</v>
      </c>
      <c r="P225" s="6" t="s">
        <v>1865</v>
      </c>
    </row>
    <row r="226">
      <c r="A226" s="6" t="s">
        <v>983</v>
      </c>
      <c r="B226" s="6">
        <v>117.0</v>
      </c>
      <c r="F226" s="6" t="s">
        <v>984</v>
      </c>
      <c r="G226" s="6" t="s">
        <v>555</v>
      </c>
      <c r="H226" s="6" t="s">
        <v>48</v>
      </c>
      <c r="I226" s="6" t="s">
        <v>48</v>
      </c>
      <c r="J226" s="6" t="s">
        <v>48</v>
      </c>
      <c r="K226" s="9" t="str">
        <f>HYPERLINK("https://www.instagram.com/p/B2ULrYaHc_O/","Open Post")</f>
        <v>Open Post</v>
      </c>
      <c r="L226" s="6" t="s">
        <v>1868</v>
      </c>
      <c r="M226" s="6" t="s">
        <v>1869</v>
      </c>
      <c r="N226" s="6" t="s">
        <v>1870</v>
      </c>
      <c r="O226" s="6" t="s">
        <v>59</v>
      </c>
      <c r="P226" s="6" t="s">
        <v>1871</v>
      </c>
    </row>
    <row r="227">
      <c r="A227" s="6" t="s">
        <v>983</v>
      </c>
      <c r="B227" s="6">
        <v>118.0</v>
      </c>
      <c r="F227" s="6" t="s">
        <v>984</v>
      </c>
      <c r="G227" s="6" t="s">
        <v>985</v>
      </c>
      <c r="H227" s="6" t="s">
        <v>48</v>
      </c>
      <c r="I227" s="6" t="s">
        <v>48</v>
      </c>
      <c r="J227" s="6" t="s">
        <v>48</v>
      </c>
      <c r="K227" s="9" t="str">
        <f>HYPERLINK("https://www.instagram.com/p/B2TutEehihD/","Open Post")</f>
        <v>Open Post</v>
      </c>
      <c r="L227" s="6" t="s">
        <v>1872</v>
      </c>
      <c r="M227" s="6" t="s">
        <v>1873</v>
      </c>
      <c r="N227" s="6" t="s">
        <v>1874</v>
      </c>
      <c r="O227" s="6" t="s">
        <v>59</v>
      </c>
      <c r="P227" s="6" t="s">
        <v>1876</v>
      </c>
    </row>
    <row r="228">
      <c r="A228" s="6" t="s">
        <v>983</v>
      </c>
      <c r="B228" s="6">
        <v>119.0</v>
      </c>
      <c r="F228" s="6" t="s">
        <v>984</v>
      </c>
      <c r="G228" s="6" t="s">
        <v>985</v>
      </c>
      <c r="H228" s="6" t="s">
        <v>48</v>
      </c>
      <c r="I228" s="6" t="s">
        <v>48</v>
      </c>
      <c r="J228" s="6" t="s">
        <v>48</v>
      </c>
      <c r="K228" s="9" t="str">
        <f>HYPERLINK("https://www.instagram.com/p/B2MY6cEnelg/","Open Post")</f>
        <v>Open Post</v>
      </c>
      <c r="L228" s="6" t="s">
        <v>1879</v>
      </c>
      <c r="M228" s="6" t="s">
        <v>1880</v>
      </c>
      <c r="N228" s="6" t="s">
        <v>1881</v>
      </c>
      <c r="O228" s="6" t="s">
        <v>59</v>
      </c>
      <c r="P228" s="6" t="s">
        <v>1882</v>
      </c>
    </row>
    <row r="229">
      <c r="A229" s="6" t="s">
        <v>983</v>
      </c>
      <c r="B229" s="6">
        <v>120.0</v>
      </c>
      <c r="F229" s="6" t="s">
        <v>1026</v>
      </c>
      <c r="G229" s="6" t="s">
        <v>1008</v>
      </c>
      <c r="H229" s="6" t="s">
        <v>48</v>
      </c>
      <c r="I229" s="6" t="s">
        <v>48</v>
      </c>
      <c r="J229" s="6" t="s">
        <v>48</v>
      </c>
      <c r="K229" s="9" t="str">
        <f>HYPERLINK("https://www.instagram.com/p/B2H7yfspYat/","Open Post")</f>
        <v>Open Post</v>
      </c>
      <c r="L229" s="6" t="s">
        <v>1883</v>
      </c>
      <c r="M229" s="6" t="s">
        <v>1884</v>
      </c>
      <c r="N229" s="6" t="s">
        <v>1885</v>
      </c>
      <c r="O229" s="6" t="s">
        <v>59</v>
      </c>
      <c r="P229" s="6" t="s">
        <v>1886</v>
      </c>
    </row>
    <row r="230">
      <c r="A230" s="6" t="s">
        <v>983</v>
      </c>
      <c r="B230" s="6">
        <v>121.0</v>
      </c>
      <c r="F230" s="6" t="s">
        <v>984</v>
      </c>
      <c r="G230" s="6" t="s">
        <v>1228</v>
      </c>
      <c r="H230" s="6" t="s">
        <v>48</v>
      </c>
      <c r="I230" s="6" t="s">
        <v>48</v>
      </c>
      <c r="J230" s="6" t="s">
        <v>48</v>
      </c>
      <c r="K230" s="9" t="str">
        <f>HYPERLINK("https://www.instagram.com/p/B2EhJh3Hwx4/","Open Post")</f>
        <v>Open Post</v>
      </c>
      <c r="L230" s="6" t="s">
        <v>1890</v>
      </c>
      <c r="M230" s="6" t="s">
        <v>1891</v>
      </c>
      <c r="N230" s="6" t="s">
        <v>1892</v>
      </c>
      <c r="O230" s="6" t="s">
        <v>59</v>
      </c>
      <c r="P230" s="6" t="s">
        <v>1893</v>
      </c>
    </row>
    <row r="231">
      <c r="A231" s="6" t="s">
        <v>983</v>
      </c>
      <c r="B231" s="6">
        <v>122.0</v>
      </c>
      <c r="F231" s="6" t="s">
        <v>984</v>
      </c>
      <c r="G231" s="6" t="s">
        <v>1236</v>
      </c>
      <c r="H231" s="6" t="s">
        <v>48</v>
      </c>
      <c r="I231" s="6" t="s">
        <v>48</v>
      </c>
      <c r="J231" s="6" t="s">
        <v>48</v>
      </c>
      <c r="K231" s="9" t="str">
        <f>HYPERLINK("https://www.instagram.com/p/B2EMyPAgwsc/","Open Post")</f>
        <v>Open Post</v>
      </c>
      <c r="L231" s="6" t="s">
        <v>1894</v>
      </c>
      <c r="M231" s="6" t="s">
        <v>1895</v>
      </c>
      <c r="N231" s="6" t="s">
        <v>1896</v>
      </c>
      <c r="O231" s="6" t="s">
        <v>59</v>
      </c>
      <c r="P231" s="6" t="s">
        <v>1897</v>
      </c>
    </row>
    <row r="232">
      <c r="A232" s="6" t="s">
        <v>983</v>
      </c>
      <c r="B232" s="6">
        <v>123.0</v>
      </c>
      <c r="F232" s="6" t="s">
        <v>984</v>
      </c>
      <c r="G232" s="6" t="s">
        <v>985</v>
      </c>
      <c r="H232" s="6" t="s">
        <v>48</v>
      </c>
      <c r="I232" s="6" t="s">
        <v>48</v>
      </c>
      <c r="J232" s="6" t="s">
        <v>48</v>
      </c>
      <c r="K232" s="9" t="str">
        <f>HYPERLINK("https://www.instagram.com/p/B2EN9BEAw8E/","Open Post")</f>
        <v>Open Post</v>
      </c>
      <c r="L232" s="6" t="s">
        <v>1900</v>
      </c>
      <c r="M232" s="6" t="s">
        <v>1895</v>
      </c>
      <c r="N232" s="6" t="s">
        <v>1901</v>
      </c>
      <c r="O232" s="6" t="s">
        <v>59</v>
      </c>
      <c r="P232" s="6" t="s">
        <v>1903</v>
      </c>
    </row>
    <row r="233">
      <c r="A233" s="6" t="s">
        <v>983</v>
      </c>
      <c r="B233" s="6">
        <v>124.0</v>
      </c>
      <c r="F233" s="6" t="s">
        <v>984</v>
      </c>
      <c r="G233" s="6" t="s">
        <v>985</v>
      </c>
      <c r="H233" s="6" t="s">
        <v>48</v>
      </c>
      <c r="I233" s="6" t="s">
        <v>48</v>
      </c>
      <c r="J233" s="6" t="s">
        <v>48</v>
      </c>
      <c r="K233" s="9" t="str">
        <f>HYPERLINK("https://www.instagram.com/p/B2B6ktiH2kk/","Open Post")</f>
        <v>Open Post</v>
      </c>
      <c r="L233" s="6" t="s">
        <v>1904</v>
      </c>
      <c r="M233" s="6" t="s">
        <v>1905</v>
      </c>
      <c r="N233" s="6" t="s">
        <v>1906</v>
      </c>
      <c r="O233" s="6" t="s">
        <v>59</v>
      </c>
      <c r="P233" s="6" t="s">
        <v>1907</v>
      </c>
    </row>
    <row r="234">
      <c r="A234" s="6" t="s">
        <v>983</v>
      </c>
      <c r="B234" s="6">
        <v>125.0</v>
      </c>
      <c r="F234" s="6" t="s">
        <v>984</v>
      </c>
      <c r="G234" s="6" t="s">
        <v>1908</v>
      </c>
      <c r="H234" s="6" t="s">
        <v>48</v>
      </c>
      <c r="I234" s="6" t="s">
        <v>48</v>
      </c>
      <c r="J234" s="6" t="s">
        <v>48</v>
      </c>
      <c r="K234" s="9" t="str">
        <f>HYPERLINK("https://www.instagram.com/p/B2B5_6wHNJn/","Open Post")</f>
        <v>Open Post</v>
      </c>
      <c r="L234" s="6" t="s">
        <v>1911</v>
      </c>
      <c r="M234" s="6" t="s">
        <v>1913</v>
      </c>
      <c r="N234" s="6" t="s">
        <v>1914</v>
      </c>
      <c r="O234" s="6" t="s">
        <v>59</v>
      </c>
      <c r="P234" s="6" t="s">
        <v>1915</v>
      </c>
    </row>
    <row r="235">
      <c r="A235" s="6" t="s">
        <v>983</v>
      </c>
      <c r="B235" s="6">
        <v>126.0</v>
      </c>
      <c r="F235" s="6" t="s">
        <v>984</v>
      </c>
      <c r="G235" s="6" t="s">
        <v>300</v>
      </c>
      <c r="H235" s="6" t="s">
        <v>48</v>
      </c>
      <c r="I235" s="6" t="s">
        <v>48</v>
      </c>
      <c r="J235" s="6" t="s">
        <v>48</v>
      </c>
      <c r="K235" s="9" t="str">
        <f>HYPERLINK("https://www.instagram.com/p/B2B52GqHzId/","Open Post")</f>
        <v>Open Post</v>
      </c>
      <c r="L235" s="6" t="s">
        <v>1919</v>
      </c>
      <c r="M235" s="6" t="s">
        <v>1920</v>
      </c>
      <c r="N235" s="6" t="s">
        <v>1921</v>
      </c>
      <c r="O235" s="6" t="s">
        <v>59</v>
      </c>
      <c r="P235" s="6" t="s">
        <v>1922</v>
      </c>
    </row>
    <row r="236">
      <c r="A236" s="6" t="s">
        <v>983</v>
      </c>
      <c r="B236" s="6">
        <v>127.0</v>
      </c>
      <c r="F236" s="6" t="s">
        <v>1026</v>
      </c>
      <c r="G236" s="6" t="s">
        <v>1923</v>
      </c>
      <c r="H236" s="6" t="s">
        <v>48</v>
      </c>
      <c r="I236" s="6" t="s">
        <v>48</v>
      </c>
      <c r="J236" s="6" t="s">
        <v>48</v>
      </c>
      <c r="K236" s="9" t="str">
        <f>HYPERLINK("https://www.instagram.com/p/B1-Pw_0AT8N/","Open Post")</f>
        <v>Open Post</v>
      </c>
      <c r="L236" s="6" t="s">
        <v>1924</v>
      </c>
      <c r="M236" s="6" t="s">
        <v>1925</v>
      </c>
      <c r="N236" s="6" t="s">
        <v>1926</v>
      </c>
      <c r="O236" s="6" t="s">
        <v>59</v>
      </c>
      <c r="P236" s="6" t="s">
        <v>1927</v>
      </c>
    </row>
    <row r="237">
      <c r="A237" s="6" t="s">
        <v>983</v>
      </c>
      <c r="B237" s="6">
        <v>128.0</v>
      </c>
      <c r="F237" s="6" t="s">
        <v>1026</v>
      </c>
      <c r="G237" s="6" t="s">
        <v>390</v>
      </c>
      <c r="H237" s="6" t="s">
        <v>48</v>
      </c>
      <c r="I237" s="6" t="s">
        <v>48</v>
      </c>
      <c r="J237" s="6" t="s">
        <v>48</v>
      </c>
      <c r="K237" s="9" t="str">
        <f>HYPERLINK("https://www.instagram.com/p/B19UhlbJ68x/","Open Post")</f>
        <v>Open Post</v>
      </c>
      <c r="L237" s="6" t="s">
        <v>1931</v>
      </c>
      <c r="M237" s="6" t="s">
        <v>1932</v>
      </c>
      <c r="N237" s="6" t="s">
        <v>1933</v>
      </c>
      <c r="O237" s="6" t="s">
        <v>59</v>
      </c>
      <c r="P237" s="6" t="s">
        <v>1934</v>
      </c>
    </row>
    <row r="238">
      <c r="A238" s="6" t="s">
        <v>983</v>
      </c>
      <c r="B238" s="6">
        <v>129.0</v>
      </c>
      <c r="F238" s="6" t="s">
        <v>984</v>
      </c>
      <c r="G238" s="6" t="s">
        <v>1251</v>
      </c>
      <c r="H238" s="6" t="s">
        <v>48</v>
      </c>
      <c r="I238" s="6" t="s">
        <v>48</v>
      </c>
      <c r="J238" s="6" t="s">
        <v>48</v>
      </c>
      <c r="K238" s="9" t="str">
        <f>HYPERLINK("https://www.instagram.com/p/B18t6VKgujT/","Open Post")</f>
        <v>Open Post</v>
      </c>
      <c r="L238" s="6" t="s">
        <v>1935</v>
      </c>
      <c r="M238" s="6" t="s">
        <v>1936</v>
      </c>
      <c r="N238" s="6" t="s">
        <v>1937</v>
      </c>
      <c r="O238" s="6" t="s">
        <v>59</v>
      </c>
      <c r="P238" s="6" t="s">
        <v>1938</v>
      </c>
    </row>
    <row r="239">
      <c r="A239" s="6" t="s">
        <v>983</v>
      </c>
      <c r="B239" s="6">
        <v>130.0</v>
      </c>
      <c r="F239" s="6" t="s">
        <v>65</v>
      </c>
      <c r="G239" s="6" t="s">
        <v>600</v>
      </c>
      <c r="H239" s="6" t="s">
        <v>48</v>
      </c>
      <c r="I239" s="6" t="s">
        <v>48</v>
      </c>
      <c r="J239" s="6" t="s">
        <v>48</v>
      </c>
      <c r="K239" s="9" t="str">
        <f>HYPERLINK("https://www.instagram.com/reel/B12tBxRFdy2/","Open Reel")</f>
        <v>Open Reel</v>
      </c>
      <c r="L239" s="6" t="s">
        <v>1942</v>
      </c>
      <c r="M239" s="6" t="s">
        <v>1943</v>
      </c>
      <c r="N239" s="6" t="s">
        <v>1944</v>
      </c>
      <c r="O239" s="6" t="s">
        <v>59</v>
      </c>
      <c r="P239" s="6" t="s">
        <v>1945</v>
      </c>
    </row>
    <row r="240">
      <c r="A240" s="6" t="s">
        <v>983</v>
      </c>
      <c r="B240" s="6">
        <v>131.0</v>
      </c>
      <c r="F240" s="6" t="s">
        <v>984</v>
      </c>
      <c r="G240" s="6" t="s">
        <v>1946</v>
      </c>
      <c r="H240" s="6" t="s">
        <v>48</v>
      </c>
      <c r="I240" s="6" t="s">
        <v>48</v>
      </c>
      <c r="J240" s="6" t="s">
        <v>48</v>
      </c>
      <c r="K240" s="9" t="str">
        <f>HYPERLINK("https://www.instagram.com/p/B10VvBIHd_C/","Open Post")</f>
        <v>Open Post</v>
      </c>
      <c r="L240" s="6" t="s">
        <v>1948</v>
      </c>
      <c r="M240" s="6" t="s">
        <v>1949</v>
      </c>
      <c r="N240" s="6" t="s">
        <v>1950</v>
      </c>
      <c r="O240" s="6" t="s">
        <v>59</v>
      </c>
      <c r="P240" s="6" t="s">
        <v>1951</v>
      </c>
    </row>
    <row r="241">
      <c r="A241" s="6" t="s">
        <v>983</v>
      </c>
      <c r="B241" s="6">
        <v>132.0</v>
      </c>
      <c r="F241" s="6" t="s">
        <v>984</v>
      </c>
      <c r="G241" s="6" t="s">
        <v>985</v>
      </c>
      <c r="H241" s="6" t="s">
        <v>48</v>
      </c>
      <c r="I241" s="6" t="s">
        <v>48</v>
      </c>
      <c r="J241" s="6" t="s">
        <v>48</v>
      </c>
      <c r="K241" s="9" t="str">
        <f>HYPERLINK("https://www.instagram.com/p/B10Vl-fniAt/","Open Post")</f>
        <v>Open Post</v>
      </c>
      <c r="L241" s="6" t="s">
        <v>1955</v>
      </c>
      <c r="M241" s="6" t="s">
        <v>1956</v>
      </c>
      <c r="N241" s="6" t="s">
        <v>1957</v>
      </c>
      <c r="O241" s="6" t="s">
        <v>59</v>
      </c>
      <c r="P241" s="6" t="s">
        <v>1958</v>
      </c>
    </row>
    <row r="242">
      <c r="A242" s="6" t="s">
        <v>983</v>
      </c>
      <c r="B242" s="6">
        <v>133.0</v>
      </c>
      <c r="F242" s="6" t="s">
        <v>984</v>
      </c>
      <c r="G242" s="6" t="s">
        <v>286</v>
      </c>
      <c r="H242" s="6" t="s">
        <v>48</v>
      </c>
      <c r="I242" s="6" t="s">
        <v>48</v>
      </c>
      <c r="J242" s="6" t="s">
        <v>48</v>
      </c>
      <c r="K242" s="9" t="str">
        <f>HYPERLINK("https://www.instagram.com/p/B1y4TP8HAzt/","Open Post")</f>
        <v>Open Post</v>
      </c>
      <c r="L242" s="6" t="s">
        <v>1959</v>
      </c>
      <c r="M242" s="6" t="s">
        <v>55</v>
      </c>
      <c r="N242" s="6" t="s">
        <v>1960</v>
      </c>
      <c r="O242" s="6" t="s">
        <v>59</v>
      </c>
      <c r="P242" s="6" t="s">
        <v>1962</v>
      </c>
    </row>
    <row r="243">
      <c r="A243" s="6" t="s">
        <v>983</v>
      </c>
      <c r="B243" s="6">
        <v>134.0</v>
      </c>
      <c r="F243" s="6" t="s">
        <v>984</v>
      </c>
      <c r="G243" s="6" t="s">
        <v>1008</v>
      </c>
      <c r="H243" s="6" t="s">
        <v>48</v>
      </c>
      <c r="I243" s="6" t="s">
        <v>48</v>
      </c>
      <c r="J243" s="6" t="s">
        <v>48</v>
      </c>
      <c r="K243" s="9" t="str">
        <f>HYPERLINK("https://www.instagram.com/p/B1x00isA7jg/","Open Post")</f>
        <v>Open Post</v>
      </c>
      <c r="L243" s="6" t="s">
        <v>1966</v>
      </c>
      <c r="M243" s="6" t="s">
        <v>1967</v>
      </c>
      <c r="N243" s="6" t="s">
        <v>1968</v>
      </c>
      <c r="O243" s="6" t="s">
        <v>59</v>
      </c>
      <c r="P243" s="6" t="s">
        <v>1969</v>
      </c>
    </row>
    <row r="244">
      <c r="A244" s="6" t="s">
        <v>983</v>
      </c>
      <c r="B244" s="6">
        <v>135.0</v>
      </c>
      <c r="F244" s="6" t="s">
        <v>984</v>
      </c>
      <c r="G244" s="6" t="s">
        <v>390</v>
      </c>
      <c r="H244" s="6" t="s">
        <v>48</v>
      </c>
      <c r="I244" s="6" t="s">
        <v>48</v>
      </c>
      <c r="J244" s="6" t="s">
        <v>48</v>
      </c>
      <c r="K244" s="9" t="str">
        <f>HYPERLINK("https://www.instagram.com/p/B1rVfM8nOK5/","Open Post")</f>
        <v>Open Post</v>
      </c>
      <c r="L244" s="6" t="s">
        <v>1973</v>
      </c>
      <c r="M244" s="6" t="s">
        <v>1905</v>
      </c>
      <c r="N244" s="6" t="s">
        <v>1974</v>
      </c>
      <c r="O244" s="6" t="s">
        <v>59</v>
      </c>
      <c r="P244" s="6" t="s">
        <v>1975</v>
      </c>
    </row>
    <row r="245">
      <c r="A245" s="6" t="s">
        <v>983</v>
      </c>
      <c r="B245" s="6">
        <v>136.0</v>
      </c>
      <c r="F245" s="6" t="s">
        <v>984</v>
      </c>
      <c r="G245" s="6" t="s">
        <v>1127</v>
      </c>
      <c r="H245" s="6" t="s">
        <v>48</v>
      </c>
      <c r="I245" s="6" t="s">
        <v>48</v>
      </c>
      <c r="J245" s="6" t="s">
        <v>48</v>
      </c>
      <c r="K245" s="9" t="str">
        <f>HYPERLINK("https://www.instagram.com/p/B1q1_xjAloM/","Open Post")</f>
        <v>Open Post</v>
      </c>
      <c r="L245" s="6" t="s">
        <v>1976</v>
      </c>
      <c r="M245" s="6" t="s">
        <v>1977</v>
      </c>
      <c r="N245" s="6" t="s">
        <v>1978</v>
      </c>
      <c r="O245" s="6" t="s">
        <v>59</v>
      </c>
      <c r="P245" s="6" t="s">
        <v>1979</v>
      </c>
    </row>
    <row r="246">
      <c r="A246" s="6" t="s">
        <v>983</v>
      </c>
      <c r="B246" s="6">
        <v>137.0</v>
      </c>
      <c r="F246" s="6" t="s">
        <v>984</v>
      </c>
      <c r="G246" s="6" t="s">
        <v>172</v>
      </c>
      <c r="H246" s="6" t="s">
        <v>48</v>
      </c>
      <c r="I246" s="6" t="s">
        <v>48</v>
      </c>
      <c r="J246" s="6" t="s">
        <v>48</v>
      </c>
      <c r="K246" s="9" t="str">
        <f>HYPERLINK("https://www.instagram.com/p/B1ei1pVnu2X/","Open Post")</f>
        <v>Open Post</v>
      </c>
      <c r="L246" s="6" t="s">
        <v>1984</v>
      </c>
      <c r="M246" s="6" t="s">
        <v>1985</v>
      </c>
      <c r="N246" s="6" t="s">
        <v>1986</v>
      </c>
      <c r="O246" s="6" t="s">
        <v>59</v>
      </c>
      <c r="P246" s="6" t="s">
        <v>1987</v>
      </c>
    </row>
    <row r="247">
      <c r="A247" s="6" t="s">
        <v>983</v>
      </c>
      <c r="B247" s="6">
        <v>138.0</v>
      </c>
      <c r="F247" s="6" t="s">
        <v>1026</v>
      </c>
      <c r="G247" s="6" t="s">
        <v>443</v>
      </c>
      <c r="H247" s="6" t="s">
        <v>48</v>
      </c>
      <c r="I247" s="6" t="s">
        <v>48</v>
      </c>
      <c r="J247" s="6" t="s">
        <v>48</v>
      </c>
      <c r="K247" s="9" t="str">
        <f>HYPERLINK("https://www.instagram.com/p/B1cYbcoJPBl/","Open Post")</f>
        <v>Open Post</v>
      </c>
      <c r="L247" s="6" t="s">
        <v>1988</v>
      </c>
      <c r="M247" s="6" t="s">
        <v>1990</v>
      </c>
      <c r="N247" s="6" t="s">
        <v>1991</v>
      </c>
      <c r="O247" s="6" t="s">
        <v>59</v>
      </c>
      <c r="P247" s="6" t="s">
        <v>1992</v>
      </c>
    </row>
    <row r="248">
      <c r="A248" s="6" t="s">
        <v>983</v>
      </c>
      <c r="B248" s="6">
        <v>139.0</v>
      </c>
      <c r="F248" s="6" t="s">
        <v>984</v>
      </c>
      <c r="G248" s="6" t="s">
        <v>1946</v>
      </c>
      <c r="H248" s="6" t="s">
        <v>48</v>
      </c>
      <c r="I248" s="6" t="s">
        <v>48</v>
      </c>
      <c r="J248" s="6" t="s">
        <v>48</v>
      </c>
      <c r="K248" s="9" t="str">
        <f>HYPERLINK("https://www.instagram.com/p/B06l5pFBS4H/","Open Post")</f>
        <v>Open Post</v>
      </c>
      <c r="L248" s="6" t="s">
        <v>1995</v>
      </c>
      <c r="M248" s="6" t="s">
        <v>1996</v>
      </c>
      <c r="N248" s="6" t="s">
        <v>1997</v>
      </c>
      <c r="O248" s="6" t="s">
        <v>59</v>
      </c>
      <c r="P248" s="6" t="s">
        <v>1998</v>
      </c>
    </row>
    <row r="249">
      <c r="A249" s="6" t="s">
        <v>983</v>
      </c>
      <c r="B249" s="6">
        <v>140.0</v>
      </c>
      <c r="F249" s="6" t="s">
        <v>984</v>
      </c>
      <c r="G249" s="6" t="s">
        <v>1008</v>
      </c>
      <c r="H249" s="6" t="s">
        <v>48</v>
      </c>
      <c r="I249" s="6" t="s">
        <v>48</v>
      </c>
      <c r="J249" s="6" t="s">
        <v>48</v>
      </c>
      <c r="K249" s="9" t="str">
        <f>HYPERLINK("https://www.instagram.com/p/B1Vv5d8IlkL/","Open Post")</f>
        <v>Open Post</v>
      </c>
      <c r="L249" s="6" t="s">
        <v>2001</v>
      </c>
      <c r="M249" s="6" t="s">
        <v>2002</v>
      </c>
      <c r="N249" s="6" t="s">
        <v>2003</v>
      </c>
      <c r="O249" s="6" t="s">
        <v>59</v>
      </c>
      <c r="P249" s="6" t="s">
        <v>2004</v>
      </c>
    </row>
    <row r="250">
      <c r="A250" s="6" t="s">
        <v>983</v>
      </c>
      <c r="B250" s="6">
        <v>141.0</v>
      </c>
      <c r="F250" s="6" t="s">
        <v>984</v>
      </c>
      <c r="G250" s="6" t="s">
        <v>1008</v>
      </c>
      <c r="H250" s="6" t="s">
        <v>48</v>
      </c>
      <c r="I250" s="6" t="s">
        <v>48</v>
      </c>
      <c r="J250" s="6" t="s">
        <v>48</v>
      </c>
      <c r="K250" s="9" t="str">
        <f>HYPERLINK("https://www.instagram.com/p/B1O8KzBnjW-/","Open Post")</f>
        <v>Open Post</v>
      </c>
      <c r="L250" s="6" t="s">
        <v>2007</v>
      </c>
      <c r="M250" s="6" t="s">
        <v>2008</v>
      </c>
      <c r="N250" s="6" t="s">
        <v>2009</v>
      </c>
      <c r="O250" s="6" t="s">
        <v>59</v>
      </c>
      <c r="P250" s="6" t="s">
        <v>2011</v>
      </c>
    </row>
    <row r="251">
      <c r="A251" s="6" t="s">
        <v>983</v>
      </c>
      <c r="B251" s="6">
        <v>142.0</v>
      </c>
      <c r="F251" s="6" t="s">
        <v>984</v>
      </c>
      <c r="G251" s="6" t="s">
        <v>555</v>
      </c>
      <c r="H251" s="6" t="s">
        <v>48</v>
      </c>
      <c r="I251" s="6" t="s">
        <v>48</v>
      </c>
      <c r="J251" s="6" t="s">
        <v>48</v>
      </c>
      <c r="K251" s="9" t="str">
        <f>HYPERLINK("https://www.instagram.com/p/B1JytvwgUJx/","Open Post")</f>
        <v>Open Post</v>
      </c>
      <c r="L251" s="6" t="s">
        <v>2013</v>
      </c>
      <c r="M251" s="6" t="s">
        <v>2014</v>
      </c>
      <c r="N251" s="6" t="s">
        <v>2015</v>
      </c>
      <c r="O251" s="6" t="s">
        <v>59</v>
      </c>
      <c r="P251" s="6" t="s">
        <v>2016</v>
      </c>
    </row>
    <row r="252">
      <c r="A252" s="6" t="s">
        <v>983</v>
      </c>
      <c r="B252" s="6">
        <v>143.0</v>
      </c>
      <c r="F252" s="6" t="s">
        <v>1026</v>
      </c>
      <c r="G252" s="6" t="s">
        <v>1027</v>
      </c>
      <c r="H252" s="6" t="s">
        <v>48</v>
      </c>
      <c r="I252" s="6" t="s">
        <v>48</v>
      </c>
      <c r="J252" s="6" t="s">
        <v>48</v>
      </c>
      <c r="K252" s="9" t="str">
        <f>HYPERLINK("https://www.instagram.com/p/B09zX7QDOID/","Open Post")</f>
        <v>Open Post</v>
      </c>
      <c r="L252" s="6" t="s">
        <v>2019</v>
      </c>
      <c r="M252" s="6" t="s">
        <v>2020</v>
      </c>
      <c r="N252" s="6" t="s">
        <v>2022</v>
      </c>
      <c r="O252" s="6" t="s">
        <v>59</v>
      </c>
      <c r="P252" s="6" t="s">
        <v>2023</v>
      </c>
    </row>
    <row r="253">
      <c r="A253" s="6" t="s">
        <v>983</v>
      </c>
      <c r="B253" s="6">
        <v>144.0</v>
      </c>
      <c r="F253" s="6" t="s">
        <v>984</v>
      </c>
      <c r="G253" s="6" t="s">
        <v>555</v>
      </c>
      <c r="H253" s="6" t="s">
        <v>48</v>
      </c>
      <c r="I253" s="6" t="s">
        <v>48</v>
      </c>
      <c r="J253" s="6" t="s">
        <v>48</v>
      </c>
      <c r="K253" s="9" t="str">
        <f>HYPERLINK("https://www.instagram.com/p/B08whMwgVkS/","Open Post")</f>
        <v>Open Post</v>
      </c>
      <c r="L253" s="6" t="s">
        <v>2026</v>
      </c>
      <c r="M253" s="6" t="s">
        <v>2027</v>
      </c>
      <c r="N253" s="6" t="s">
        <v>2028</v>
      </c>
      <c r="O253" s="6" t="s">
        <v>59</v>
      </c>
      <c r="P253" s="6" t="s">
        <v>2029</v>
      </c>
    </row>
    <row r="254">
      <c r="A254" s="6" t="s">
        <v>983</v>
      </c>
      <c r="B254" s="6">
        <v>145.0</v>
      </c>
      <c r="F254" s="6" t="s">
        <v>984</v>
      </c>
      <c r="G254" s="6" t="s">
        <v>985</v>
      </c>
      <c r="H254" s="6" t="s">
        <v>48</v>
      </c>
      <c r="I254" s="6" t="s">
        <v>48</v>
      </c>
      <c r="J254" s="6" t="s">
        <v>48</v>
      </c>
      <c r="K254" s="9" t="str">
        <f>HYPERLINK("https://www.instagram.com/p/B056J_igDOa/","Open Post")</f>
        <v>Open Post</v>
      </c>
      <c r="L254" s="6" t="s">
        <v>2033</v>
      </c>
      <c r="M254" s="6" t="s">
        <v>2034</v>
      </c>
      <c r="N254" s="6" t="s">
        <v>2035</v>
      </c>
      <c r="O254" s="6" t="s">
        <v>59</v>
      </c>
      <c r="P254" s="6" t="s">
        <v>2036</v>
      </c>
    </row>
    <row r="255">
      <c r="A255" s="6" t="s">
        <v>983</v>
      </c>
      <c r="B255" s="6">
        <v>146.0</v>
      </c>
      <c r="F255" s="6" t="s">
        <v>984</v>
      </c>
      <c r="G255" s="6" t="s">
        <v>1008</v>
      </c>
      <c r="H255" s="6" t="s">
        <v>48</v>
      </c>
      <c r="I255" s="6" t="s">
        <v>48</v>
      </c>
      <c r="J255" s="6" t="s">
        <v>48</v>
      </c>
      <c r="K255" s="9" t="str">
        <f>HYPERLINK("https://www.instagram.com/p/B0364iGph_u/","Open Post")</f>
        <v>Open Post</v>
      </c>
      <c r="L255" s="6" t="s">
        <v>2041</v>
      </c>
      <c r="M255" s="6" t="s">
        <v>2042</v>
      </c>
      <c r="N255" s="6" t="s">
        <v>2043</v>
      </c>
      <c r="O255" s="6" t="s">
        <v>59</v>
      </c>
      <c r="P255" s="6" t="s">
        <v>2044</v>
      </c>
    </row>
    <row r="256">
      <c r="A256" s="6" t="s">
        <v>983</v>
      </c>
      <c r="B256" s="6">
        <v>147.0</v>
      </c>
      <c r="F256" s="6" t="s">
        <v>1026</v>
      </c>
      <c r="G256" s="6" t="s">
        <v>228</v>
      </c>
      <c r="H256" s="6" t="s">
        <v>48</v>
      </c>
      <c r="I256" s="6" t="s">
        <v>48</v>
      </c>
      <c r="J256" s="6" t="s">
        <v>48</v>
      </c>
      <c r="K256" s="9" t="str">
        <f>HYPERLINK("https://www.instagram.com/p/B03WaNhDs7X/","Open Post")</f>
        <v>Open Post</v>
      </c>
      <c r="L256" s="6" t="s">
        <v>2049</v>
      </c>
      <c r="M256" s="6" t="s">
        <v>2050</v>
      </c>
      <c r="N256" s="6" t="s">
        <v>2051</v>
      </c>
      <c r="O256" s="6" t="s">
        <v>59</v>
      </c>
      <c r="P256" s="6" t="s">
        <v>2053</v>
      </c>
    </row>
    <row r="257">
      <c r="A257" s="6" t="s">
        <v>983</v>
      </c>
      <c r="B257" s="6">
        <v>148.0</v>
      </c>
      <c r="F257" s="6" t="s">
        <v>984</v>
      </c>
      <c r="G257" s="6" t="s">
        <v>555</v>
      </c>
      <c r="H257" s="6" t="s">
        <v>48</v>
      </c>
      <c r="I257" s="6" t="s">
        <v>48</v>
      </c>
      <c r="J257" s="6" t="s">
        <v>48</v>
      </c>
      <c r="K257" s="9" t="str">
        <f>HYPERLINK("https://www.instagram.com/p/B01CsG_HRlN/","Open Post")</f>
        <v>Open Post</v>
      </c>
      <c r="L257" s="6" t="s">
        <v>2055</v>
      </c>
      <c r="M257" s="6" t="s">
        <v>2056</v>
      </c>
      <c r="N257" s="6" t="s">
        <v>2057</v>
      </c>
      <c r="O257" s="6" t="s">
        <v>59</v>
      </c>
      <c r="P257" s="6" t="s">
        <v>2058</v>
      </c>
    </row>
    <row r="258">
      <c r="A258" s="6" t="s">
        <v>983</v>
      </c>
      <c r="B258" s="6">
        <v>149.0</v>
      </c>
      <c r="F258" s="6" t="s">
        <v>1026</v>
      </c>
      <c r="G258" s="6" t="s">
        <v>1127</v>
      </c>
      <c r="H258" s="6" t="s">
        <v>48</v>
      </c>
      <c r="I258" s="6" t="s">
        <v>48</v>
      </c>
      <c r="J258" s="6" t="s">
        <v>48</v>
      </c>
      <c r="K258" s="9" t="str">
        <f>HYPERLINK("https://www.instagram.com/p/B000TmIlB0d/","Open Post")</f>
        <v>Open Post</v>
      </c>
      <c r="L258" s="6" t="s">
        <v>2061</v>
      </c>
      <c r="M258" s="6" t="s">
        <v>2062</v>
      </c>
      <c r="N258" s="6" t="s">
        <v>2064</v>
      </c>
      <c r="O258" s="6" t="s">
        <v>59</v>
      </c>
      <c r="P258" s="6" t="s">
        <v>2065</v>
      </c>
    </row>
    <row r="259">
      <c r="A259" s="6" t="s">
        <v>983</v>
      </c>
      <c r="B259" s="6">
        <v>150.0</v>
      </c>
      <c r="F259" s="6" t="s">
        <v>984</v>
      </c>
      <c r="G259" s="6" t="s">
        <v>300</v>
      </c>
      <c r="H259" s="6" t="s">
        <v>48</v>
      </c>
      <c r="I259" s="6" t="s">
        <v>48</v>
      </c>
      <c r="J259" s="6" t="s">
        <v>48</v>
      </c>
      <c r="K259" s="9" t="str">
        <f>HYPERLINK("https://www.instagram.com/p/B0w-_fjAbKH/","Open Post")</f>
        <v>Open Post</v>
      </c>
      <c r="L259" s="6" t="s">
        <v>2068</v>
      </c>
      <c r="M259" s="6" t="s">
        <v>2069</v>
      </c>
      <c r="N259" s="6" t="s">
        <v>2070</v>
      </c>
      <c r="O259" s="6" t="s">
        <v>59</v>
      </c>
      <c r="P259" s="6" t="s">
        <v>2071</v>
      </c>
    </row>
    <row r="260">
      <c r="A260" s="6" t="s">
        <v>983</v>
      </c>
      <c r="B260" s="6">
        <v>151.0</v>
      </c>
      <c r="F260" s="6" t="s">
        <v>984</v>
      </c>
      <c r="G260" s="6" t="s">
        <v>443</v>
      </c>
      <c r="H260" s="6" t="s">
        <v>48</v>
      </c>
      <c r="I260" s="6" t="s">
        <v>48</v>
      </c>
      <c r="J260" s="6" t="s">
        <v>48</v>
      </c>
      <c r="K260" s="9" t="str">
        <f>HYPERLINK("https://www.instagram.com/p/B0j9ZfOJMyV/","Open Post")</f>
        <v>Open Post</v>
      </c>
      <c r="L260" s="6" t="s">
        <v>2075</v>
      </c>
      <c r="M260" s="6" t="s">
        <v>2076</v>
      </c>
      <c r="N260" s="6" t="s">
        <v>2077</v>
      </c>
      <c r="O260" s="6" t="s">
        <v>59</v>
      </c>
      <c r="P260" s="6" t="s">
        <v>2078</v>
      </c>
    </row>
    <row r="261">
      <c r="A261" s="6" t="s">
        <v>983</v>
      </c>
      <c r="B261" s="6">
        <v>152.0</v>
      </c>
      <c r="F261" s="6" t="s">
        <v>984</v>
      </c>
      <c r="G261" s="6" t="s">
        <v>1251</v>
      </c>
      <c r="H261" s="6" t="s">
        <v>48</v>
      </c>
      <c r="I261" s="6" t="s">
        <v>48</v>
      </c>
      <c r="J261" s="6" t="s">
        <v>48</v>
      </c>
      <c r="K261" s="9" t="str">
        <f>HYPERLINK("https://www.instagram.com/p/B0jX90aA3Y3/","Open Post")</f>
        <v>Open Post</v>
      </c>
      <c r="L261" s="6" t="s">
        <v>2080</v>
      </c>
      <c r="M261" s="6" t="s">
        <v>2081</v>
      </c>
      <c r="N261" s="6" t="s">
        <v>2082</v>
      </c>
      <c r="O261" s="6" t="s">
        <v>59</v>
      </c>
      <c r="P261" s="6" t="s">
        <v>2083</v>
      </c>
    </row>
    <row r="262">
      <c r="A262" s="6" t="s">
        <v>983</v>
      </c>
      <c r="B262" s="6">
        <v>153.0</v>
      </c>
      <c r="F262" s="6" t="s">
        <v>984</v>
      </c>
      <c r="G262" s="6" t="s">
        <v>1236</v>
      </c>
      <c r="H262" s="6" t="s">
        <v>48</v>
      </c>
      <c r="I262" s="6" t="s">
        <v>48</v>
      </c>
      <c r="J262" s="6" t="s">
        <v>48</v>
      </c>
      <c r="K262" s="9" t="str">
        <f>HYPERLINK("https://www.instagram.com/p/B0grAPohFwe/","Open Post")</f>
        <v>Open Post</v>
      </c>
      <c r="L262" s="6" t="s">
        <v>2087</v>
      </c>
      <c r="M262" s="6" t="s">
        <v>2088</v>
      </c>
      <c r="N262" s="6" t="s">
        <v>2089</v>
      </c>
      <c r="O262" s="6" t="s">
        <v>59</v>
      </c>
      <c r="P262" s="6" t="s">
        <v>2090</v>
      </c>
    </row>
    <row r="263">
      <c r="A263" s="6" t="s">
        <v>983</v>
      </c>
      <c r="B263" s="6">
        <v>154.0</v>
      </c>
      <c r="F263" s="6" t="s">
        <v>984</v>
      </c>
      <c r="G263" s="6" t="s">
        <v>2091</v>
      </c>
      <c r="H263" s="6" t="s">
        <v>48</v>
      </c>
      <c r="I263" s="6" t="s">
        <v>48</v>
      </c>
      <c r="J263" s="6" t="s">
        <v>48</v>
      </c>
      <c r="K263" s="9" t="str">
        <f>HYPERLINK("https://www.instagram.com/p/B0as6Scgu5k/","Open Post")</f>
        <v>Open Post</v>
      </c>
      <c r="L263" s="6" t="s">
        <v>2093</v>
      </c>
      <c r="M263" s="6" t="s">
        <v>2094</v>
      </c>
      <c r="N263" s="6" t="s">
        <v>2096</v>
      </c>
      <c r="O263" s="6" t="s">
        <v>59</v>
      </c>
      <c r="P263" s="6" t="s">
        <v>2097</v>
      </c>
    </row>
    <row r="264">
      <c r="A264" s="6" t="s">
        <v>983</v>
      </c>
      <c r="B264" s="6">
        <v>155.0</v>
      </c>
      <c r="F264" s="6" t="s">
        <v>984</v>
      </c>
      <c r="G264" s="6" t="s">
        <v>1027</v>
      </c>
      <c r="H264" s="6" t="s">
        <v>48</v>
      </c>
      <c r="I264" s="6" t="s">
        <v>48</v>
      </c>
      <c r="J264" s="6" t="s">
        <v>48</v>
      </c>
      <c r="K264" s="9" t="str">
        <f>HYPERLINK("https://www.instagram.com/p/B0ZNbiGJdQo/","Open Post")</f>
        <v>Open Post</v>
      </c>
      <c r="L264" s="6" t="s">
        <v>2100</v>
      </c>
      <c r="M264" s="6" t="s">
        <v>2101</v>
      </c>
      <c r="N264" s="6" t="s">
        <v>2102</v>
      </c>
      <c r="O264" s="6" t="s">
        <v>59</v>
      </c>
      <c r="P264" s="6" t="s">
        <v>2103</v>
      </c>
    </row>
    <row r="265">
      <c r="A265" s="6" t="s">
        <v>983</v>
      </c>
      <c r="B265" s="6">
        <v>156.0</v>
      </c>
      <c r="F265" s="6" t="s">
        <v>984</v>
      </c>
      <c r="G265" s="6" t="s">
        <v>985</v>
      </c>
      <c r="H265" s="6" t="s">
        <v>48</v>
      </c>
      <c r="I265" s="6" t="s">
        <v>48</v>
      </c>
      <c r="J265" s="6" t="s">
        <v>48</v>
      </c>
      <c r="K265" s="9" t="str">
        <f>HYPERLINK("https://www.instagram.com/p/B0Y9o1YnZ4o/","Open Post")</f>
        <v>Open Post</v>
      </c>
      <c r="L265" s="6" t="s">
        <v>2105</v>
      </c>
      <c r="M265" s="6" t="s">
        <v>2106</v>
      </c>
      <c r="N265" s="6" t="s">
        <v>2107</v>
      </c>
      <c r="O265" s="6" t="s">
        <v>59</v>
      </c>
      <c r="P265" s="6" t="s">
        <v>2108</v>
      </c>
    </row>
    <row r="266">
      <c r="A266" s="6" t="s">
        <v>983</v>
      </c>
      <c r="B266" s="6">
        <v>157.0</v>
      </c>
      <c r="F266" s="6" t="s">
        <v>984</v>
      </c>
      <c r="G266" s="6" t="s">
        <v>172</v>
      </c>
      <c r="H266" s="6" t="s">
        <v>48</v>
      </c>
      <c r="I266" s="6" t="s">
        <v>48</v>
      </c>
      <c r="J266" s="6" t="s">
        <v>48</v>
      </c>
      <c r="K266" s="9" t="str">
        <f>HYPERLINK("https://www.instagram.com/p/B0EoFsqpSon/","Open Post")</f>
        <v>Open Post</v>
      </c>
      <c r="L266" s="6" t="s">
        <v>2111</v>
      </c>
      <c r="M266" s="6" t="s">
        <v>2112</v>
      </c>
      <c r="N266" s="6" t="s">
        <v>2113</v>
      </c>
      <c r="O266" s="6" t="s">
        <v>59</v>
      </c>
      <c r="P266" s="6" t="s">
        <v>2114</v>
      </c>
    </row>
    <row r="267">
      <c r="A267" s="6" t="s">
        <v>983</v>
      </c>
      <c r="B267" s="6">
        <v>158.0</v>
      </c>
      <c r="F267" s="6" t="s">
        <v>984</v>
      </c>
      <c r="G267" s="6" t="s">
        <v>1251</v>
      </c>
      <c r="H267" s="6" t="s">
        <v>48</v>
      </c>
      <c r="I267" s="6" t="s">
        <v>48</v>
      </c>
      <c r="J267" s="6" t="s">
        <v>48</v>
      </c>
      <c r="K267" s="9" t="str">
        <f>HYPERLINK("https://www.instagram.com/p/B0EnRFdAYgG/","Open Post")</f>
        <v>Open Post</v>
      </c>
      <c r="L267" s="6" t="s">
        <v>2117</v>
      </c>
      <c r="M267" s="6" t="s">
        <v>2118</v>
      </c>
      <c r="N267" s="6" t="s">
        <v>2120</v>
      </c>
      <c r="O267" s="6" t="s">
        <v>59</v>
      </c>
      <c r="P267" s="6" t="s">
        <v>2121</v>
      </c>
    </row>
    <row r="268">
      <c r="A268" s="6" t="s">
        <v>983</v>
      </c>
      <c r="B268" s="6">
        <v>159.0</v>
      </c>
      <c r="F268" s="6" t="s">
        <v>984</v>
      </c>
      <c r="G268" s="6" t="s">
        <v>369</v>
      </c>
      <c r="H268" s="6" t="s">
        <v>48</v>
      </c>
      <c r="I268" s="6" t="s">
        <v>48</v>
      </c>
      <c r="J268" s="6" t="s">
        <v>48</v>
      </c>
      <c r="K268" s="9" t="str">
        <f>HYPERLINK("https://www.instagram.com/p/B0B86eIlCGB/","Open Post")</f>
        <v>Open Post</v>
      </c>
      <c r="L268" s="6" t="s">
        <v>2123</v>
      </c>
      <c r="M268" s="6" t="s">
        <v>55</v>
      </c>
      <c r="N268" s="6" t="s">
        <v>2124</v>
      </c>
      <c r="O268" s="6" t="s">
        <v>59</v>
      </c>
      <c r="P268" s="6" t="s">
        <v>2125</v>
      </c>
    </row>
    <row r="269">
      <c r="A269" s="6" t="s">
        <v>983</v>
      </c>
      <c r="B269" s="6">
        <v>160.0</v>
      </c>
      <c r="F269" s="6" t="s">
        <v>984</v>
      </c>
      <c r="G269" s="6" t="s">
        <v>369</v>
      </c>
      <c r="H269" s="6" t="s">
        <v>48</v>
      </c>
      <c r="I269" s="6" t="s">
        <v>48</v>
      </c>
      <c r="J269" s="6" t="s">
        <v>48</v>
      </c>
      <c r="K269" s="9" t="str">
        <f>HYPERLINK("https://www.instagram.com/p/B0B85wppZNM/","Open Post")</f>
        <v>Open Post</v>
      </c>
      <c r="L269" s="6" t="s">
        <v>2123</v>
      </c>
      <c r="M269" s="6" t="s">
        <v>55</v>
      </c>
      <c r="N269" s="6" t="s">
        <v>2128</v>
      </c>
      <c r="O269" s="6" t="s">
        <v>59</v>
      </c>
      <c r="P269" s="6" t="s">
        <v>2129</v>
      </c>
    </row>
    <row r="270">
      <c r="A270" s="6" t="s">
        <v>983</v>
      </c>
      <c r="B270" s="6">
        <v>161.0</v>
      </c>
      <c r="F270" s="6" t="s">
        <v>1026</v>
      </c>
      <c r="G270" s="6" t="s">
        <v>104</v>
      </c>
      <c r="H270" s="6" t="s">
        <v>48</v>
      </c>
      <c r="I270" s="6" t="s">
        <v>48</v>
      </c>
      <c r="J270" s="6" t="s">
        <v>48</v>
      </c>
      <c r="K270" s="9" t="str">
        <f>HYPERLINK("https://www.instagram.com/p/B0BmziYCWr_/","Open Post")</f>
        <v>Open Post</v>
      </c>
      <c r="L270" s="6" t="s">
        <v>2130</v>
      </c>
      <c r="M270" s="6" t="s">
        <v>2131</v>
      </c>
      <c r="N270" s="6" t="s">
        <v>2132</v>
      </c>
      <c r="O270" s="6" t="s">
        <v>59</v>
      </c>
      <c r="P270" s="6" t="s">
        <v>2133</v>
      </c>
    </row>
    <row r="271">
      <c r="A271" s="6" t="s">
        <v>983</v>
      </c>
      <c r="B271" s="6">
        <v>162.0</v>
      </c>
      <c r="F271" s="6" t="s">
        <v>1026</v>
      </c>
      <c r="G271" s="6" t="s">
        <v>300</v>
      </c>
      <c r="H271" s="6" t="s">
        <v>48</v>
      </c>
      <c r="I271" s="6" t="s">
        <v>48</v>
      </c>
      <c r="J271" s="6" t="s">
        <v>48</v>
      </c>
      <c r="K271" s="9" t="str">
        <f>HYPERLINK("https://www.instagram.com/p/Bz2wVh5A55G/","Open Post")</f>
        <v>Open Post</v>
      </c>
      <c r="L271" s="6" t="s">
        <v>2136</v>
      </c>
      <c r="M271" s="6" t="s">
        <v>2138</v>
      </c>
      <c r="N271" s="6" t="s">
        <v>2139</v>
      </c>
      <c r="O271" s="6" t="s">
        <v>59</v>
      </c>
      <c r="P271" s="6" t="s">
        <v>2141</v>
      </c>
    </row>
    <row r="272">
      <c r="A272" s="6" t="s">
        <v>983</v>
      </c>
      <c r="B272" s="6">
        <v>163.0</v>
      </c>
      <c r="F272" s="6" t="s">
        <v>984</v>
      </c>
      <c r="G272" s="6" t="s">
        <v>479</v>
      </c>
      <c r="H272" s="6" t="s">
        <v>48</v>
      </c>
      <c r="I272" s="6" t="s">
        <v>48</v>
      </c>
      <c r="J272" s="6" t="s">
        <v>48</v>
      </c>
      <c r="K272" s="9" t="str">
        <f>HYPERLINK("https://www.instagram.com/p/Bzz4CWuCHKr/","Open Post")</f>
        <v>Open Post</v>
      </c>
      <c r="L272" s="6" t="s">
        <v>2143</v>
      </c>
      <c r="M272" s="6" t="s">
        <v>2144</v>
      </c>
      <c r="N272" s="6" t="s">
        <v>2145</v>
      </c>
      <c r="O272" s="6" t="s">
        <v>59</v>
      </c>
      <c r="P272" s="6" t="s">
        <v>2146</v>
      </c>
    </row>
    <row r="273">
      <c r="A273" s="6" t="s">
        <v>983</v>
      </c>
      <c r="B273" s="6">
        <v>164.0</v>
      </c>
      <c r="F273" s="6" t="s">
        <v>984</v>
      </c>
      <c r="G273" s="6" t="s">
        <v>985</v>
      </c>
      <c r="H273" s="6" t="s">
        <v>48</v>
      </c>
      <c r="I273" s="6" t="s">
        <v>48</v>
      </c>
      <c r="J273" s="6" t="s">
        <v>48</v>
      </c>
      <c r="K273" s="9" t="str">
        <f>HYPERLINK("https://www.instagram.com/p/Bzxxz07gQme/","Open Post")</f>
        <v>Open Post</v>
      </c>
      <c r="L273" s="6" t="s">
        <v>2149</v>
      </c>
      <c r="M273" s="6" t="s">
        <v>2151</v>
      </c>
      <c r="N273" s="6" t="s">
        <v>2152</v>
      </c>
      <c r="O273" s="6" t="s">
        <v>59</v>
      </c>
      <c r="P273" s="6" t="s">
        <v>2153</v>
      </c>
    </row>
    <row r="274">
      <c r="A274" s="6" t="s">
        <v>983</v>
      </c>
      <c r="B274" s="6">
        <v>165.0</v>
      </c>
      <c r="F274" s="6" t="s">
        <v>1026</v>
      </c>
      <c r="G274" s="6" t="s">
        <v>443</v>
      </c>
      <c r="H274" s="6" t="s">
        <v>48</v>
      </c>
      <c r="I274" s="6" t="s">
        <v>48</v>
      </c>
      <c r="J274" s="6" t="s">
        <v>48</v>
      </c>
      <c r="K274" s="9" t="str">
        <f>HYPERLINK("https://www.instagram.com/p/BzvossVFtrA/","Open Post")</f>
        <v>Open Post</v>
      </c>
      <c r="L274" s="6" t="s">
        <v>2156</v>
      </c>
      <c r="M274" s="6" t="s">
        <v>2158</v>
      </c>
      <c r="N274" s="6" t="s">
        <v>2159</v>
      </c>
      <c r="O274" s="6" t="s">
        <v>59</v>
      </c>
      <c r="P274" s="6" t="s">
        <v>2160</v>
      </c>
    </row>
    <row r="275">
      <c r="A275" s="6" t="s">
        <v>983</v>
      </c>
      <c r="B275" s="6">
        <v>166.0</v>
      </c>
      <c r="F275" s="6" t="s">
        <v>1026</v>
      </c>
      <c r="G275" s="6" t="s">
        <v>2161</v>
      </c>
      <c r="H275" s="6" t="s">
        <v>48</v>
      </c>
      <c r="I275" s="6" t="s">
        <v>48</v>
      </c>
      <c r="J275" s="6" t="s">
        <v>48</v>
      </c>
      <c r="K275" s="9" t="str">
        <f>HYPERLINK("https://www.instagram.com/p/BzpaQBylVmN/","Open Post")</f>
        <v>Open Post</v>
      </c>
      <c r="L275" s="6" t="s">
        <v>2163</v>
      </c>
      <c r="M275" s="6" t="s">
        <v>2164</v>
      </c>
      <c r="N275" s="6" t="s">
        <v>2165</v>
      </c>
      <c r="O275" s="6" t="s">
        <v>59</v>
      </c>
      <c r="P275" s="6" t="s">
        <v>2166</v>
      </c>
    </row>
    <row r="276">
      <c r="A276" s="6" t="s">
        <v>983</v>
      </c>
      <c r="B276" s="6">
        <v>167.0</v>
      </c>
      <c r="F276" s="6" t="s">
        <v>1026</v>
      </c>
      <c r="G276" s="6" t="s">
        <v>985</v>
      </c>
      <c r="H276" s="6" t="s">
        <v>48</v>
      </c>
      <c r="I276" s="6" t="s">
        <v>48</v>
      </c>
      <c r="J276" s="6" t="s">
        <v>48</v>
      </c>
      <c r="K276" s="9" t="str">
        <f>HYPERLINK("https://www.instagram.com/p/BzlPQwNF8u0/","Open Post")</f>
        <v>Open Post</v>
      </c>
      <c r="L276" s="6" t="s">
        <v>2167</v>
      </c>
      <c r="M276" s="6" t="s">
        <v>2168</v>
      </c>
      <c r="N276" s="6" t="s">
        <v>2169</v>
      </c>
      <c r="O276" s="6" t="s">
        <v>59</v>
      </c>
      <c r="P276" s="6" t="s">
        <v>2171</v>
      </c>
    </row>
    <row r="277">
      <c r="A277" s="6" t="s">
        <v>983</v>
      </c>
      <c r="B277" s="6">
        <v>168.0</v>
      </c>
      <c r="F277" s="6" t="s">
        <v>1026</v>
      </c>
      <c r="G277" s="6" t="s">
        <v>2173</v>
      </c>
      <c r="H277" s="6" t="s">
        <v>48</v>
      </c>
      <c r="I277" s="6" t="s">
        <v>48</v>
      </c>
      <c r="J277" s="6" t="s">
        <v>48</v>
      </c>
      <c r="K277" s="9" t="str">
        <f>HYPERLINK("https://www.instagram.com/p/BzlA3wBlXXP/","Open Post")</f>
        <v>Open Post</v>
      </c>
      <c r="L277" s="6" t="s">
        <v>2175</v>
      </c>
      <c r="M277" s="6" t="s">
        <v>2176</v>
      </c>
      <c r="N277" s="6" t="s">
        <v>2177</v>
      </c>
      <c r="O277" s="6" t="s">
        <v>59</v>
      </c>
      <c r="P277" s="6" t="s">
        <v>2178</v>
      </c>
    </row>
    <row r="278">
      <c r="A278" s="6" t="s">
        <v>983</v>
      </c>
      <c r="B278" s="6">
        <v>169.0</v>
      </c>
      <c r="F278" s="6" t="s">
        <v>1026</v>
      </c>
      <c r="G278" s="6" t="s">
        <v>2179</v>
      </c>
      <c r="H278" s="6" t="s">
        <v>48</v>
      </c>
      <c r="I278" s="6" t="s">
        <v>48</v>
      </c>
      <c r="J278" s="6" t="s">
        <v>48</v>
      </c>
      <c r="K278" s="9" t="str">
        <f>HYPERLINK("https://www.instagram.com/p/Bzjs-HkFBMV/","Open Post")</f>
        <v>Open Post</v>
      </c>
      <c r="L278" s="6" t="s">
        <v>2183</v>
      </c>
      <c r="M278" s="6" t="s">
        <v>2184</v>
      </c>
      <c r="N278" s="6" t="s">
        <v>2185</v>
      </c>
      <c r="O278" s="6" t="s">
        <v>59</v>
      </c>
      <c r="P278" s="6" t="s">
        <v>2186</v>
      </c>
    </row>
    <row r="279">
      <c r="A279" s="6" t="s">
        <v>983</v>
      </c>
      <c r="B279" s="6">
        <v>170.0</v>
      </c>
      <c r="F279" s="6" t="s">
        <v>984</v>
      </c>
      <c r="G279" s="6" t="s">
        <v>1251</v>
      </c>
      <c r="H279" s="6" t="s">
        <v>48</v>
      </c>
      <c r="I279" s="6" t="s">
        <v>48</v>
      </c>
      <c r="J279" s="6" t="s">
        <v>48</v>
      </c>
      <c r="K279" s="9" t="str">
        <f>HYPERLINK("https://www.instagram.com/p/BzjKC-Mlzzg/","Open Post")</f>
        <v>Open Post</v>
      </c>
      <c r="L279" s="6" t="s">
        <v>2189</v>
      </c>
      <c r="M279" s="6" t="s">
        <v>2191</v>
      </c>
      <c r="N279" s="6" t="s">
        <v>2192</v>
      </c>
      <c r="O279" s="6" t="s">
        <v>59</v>
      </c>
      <c r="P279" s="6" t="s">
        <v>2193</v>
      </c>
    </row>
    <row r="280">
      <c r="A280" s="6" t="s">
        <v>983</v>
      </c>
      <c r="B280" s="6">
        <v>171.0</v>
      </c>
      <c r="F280" s="6" t="s">
        <v>1026</v>
      </c>
      <c r="G280" s="6" t="s">
        <v>985</v>
      </c>
      <c r="H280" s="6" t="s">
        <v>48</v>
      </c>
      <c r="I280" s="6" t="s">
        <v>48</v>
      </c>
      <c r="J280" s="6" t="s">
        <v>48</v>
      </c>
      <c r="K280" s="9" t="str">
        <f>HYPERLINK("https://www.instagram.com/p/BziTVULlQOX/","Open Post")</f>
        <v>Open Post</v>
      </c>
      <c r="L280" s="6" t="s">
        <v>2195</v>
      </c>
      <c r="M280" s="6" t="s">
        <v>2196</v>
      </c>
      <c r="N280" s="6" t="s">
        <v>2197</v>
      </c>
      <c r="O280" s="6" t="s">
        <v>59</v>
      </c>
      <c r="P280" s="6" t="s">
        <v>2198</v>
      </c>
    </row>
    <row r="281">
      <c r="A281" s="6" t="s">
        <v>983</v>
      </c>
      <c r="B281" s="6">
        <v>172.0</v>
      </c>
      <c r="F281" s="6" t="s">
        <v>984</v>
      </c>
      <c r="G281" s="6" t="s">
        <v>390</v>
      </c>
      <c r="H281" s="6" t="s">
        <v>48</v>
      </c>
      <c r="I281" s="6" t="s">
        <v>48</v>
      </c>
      <c r="J281" s="6" t="s">
        <v>48</v>
      </c>
      <c r="K281" s="9" t="str">
        <f>HYPERLINK("https://www.instagram.com/p/BziQYHSBD49/","Open Post")</f>
        <v>Open Post</v>
      </c>
      <c r="L281" s="6" t="s">
        <v>2202</v>
      </c>
      <c r="M281" s="6" t="s">
        <v>2203</v>
      </c>
      <c r="N281" s="6" t="s">
        <v>2204</v>
      </c>
      <c r="O281" s="6" t="s">
        <v>59</v>
      </c>
      <c r="P281" s="6" t="s">
        <v>2205</v>
      </c>
    </row>
    <row r="282">
      <c r="A282" s="6" t="s">
        <v>983</v>
      </c>
      <c r="B282" s="6">
        <v>173.0</v>
      </c>
      <c r="F282" s="6" t="s">
        <v>1026</v>
      </c>
      <c r="G282" s="6" t="s">
        <v>1251</v>
      </c>
      <c r="H282" s="6" t="s">
        <v>48</v>
      </c>
      <c r="I282" s="6" t="s">
        <v>48</v>
      </c>
      <c r="J282" s="6" t="s">
        <v>48</v>
      </c>
      <c r="K282" s="9" t="str">
        <f>HYPERLINK("https://www.instagram.com/p/BziO4FaFWBU/","Open Post")</f>
        <v>Open Post</v>
      </c>
      <c r="L282" s="6" t="s">
        <v>2207</v>
      </c>
      <c r="M282" s="6" t="s">
        <v>2208</v>
      </c>
      <c r="N282" s="6" t="s">
        <v>2209</v>
      </c>
      <c r="O282" s="6" t="s">
        <v>59</v>
      </c>
      <c r="P282" s="6" t="s">
        <v>2210</v>
      </c>
    </row>
    <row r="283">
      <c r="A283" s="6" t="s">
        <v>983</v>
      </c>
      <c r="B283" s="6">
        <v>174.0</v>
      </c>
      <c r="F283" s="6" t="s">
        <v>1026</v>
      </c>
      <c r="G283" s="6" t="s">
        <v>369</v>
      </c>
      <c r="H283" s="6" t="s">
        <v>48</v>
      </c>
      <c r="I283" s="6" t="s">
        <v>48</v>
      </c>
      <c r="J283" s="6" t="s">
        <v>48</v>
      </c>
      <c r="K283" s="9" t="str">
        <f>HYPERLINK("https://www.instagram.com/p/Bzgf1wylzeo/","Open Post")</f>
        <v>Open Post</v>
      </c>
      <c r="L283" s="6" t="s">
        <v>2213</v>
      </c>
      <c r="M283" s="6" t="s">
        <v>55</v>
      </c>
      <c r="N283" s="6" t="s">
        <v>2214</v>
      </c>
      <c r="O283" s="6" t="s">
        <v>59</v>
      </c>
      <c r="P283" s="6" t="s">
        <v>2215</v>
      </c>
    </row>
    <row r="284">
      <c r="A284" s="6" t="s">
        <v>983</v>
      </c>
      <c r="B284" s="6">
        <v>175.0</v>
      </c>
      <c r="F284" s="6" t="s">
        <v>984</v>
      </c>
      <c r="G284" s="6" t="s">
        <v>369</v>
      </c>
      <c r="H284" s="6" t="s">
        <v>48</v>
      </c>
      <c r="I284" s="6" t="s">
        <v>48</v>
      </c>
      <c r="J284" s="6" t="s">
        <v>48</v>
      </c>
      <c r="K284" s="9" t="str">
        <f>HYPERLINK("https://www.instagram.com/p/BzfjV36FEFR/","Open Post")</f>
        <v>Open Post</v>
      </c>
      <c r="L284" s="6" t="s">
        <v>2213</v>
      </c>
      <c r="M284" s="6" t="s">
        <v>55</v>
      </c>
      <c r="N284" s="6" t="s">
        <v>2219</v>
      </c>
      <c r="O284" s="6" t="s">
        <v>59</v>
      </c>
      <c r="P284" s="6" t="s">
        <v>2221</v>
      </c>
    </row>
    <row r="285">
      <c r="A285" s="6" t="s">
        <v>983</v>
      </c>
      <c r="B285" s="6">
        <v>176.0</v>
      </c>
      <c r="F285" s="6" t="s">
        <v>984</v>
      </c>
      <c r="G285" s="6" t="s">
        <v>369</v>
      </c>
      <c r="H285" s="6" t="s">
        <v>48</v>
      </c>
      <c r="I285" s="6" t="s">
        <v>48</v>
      </c>
      <c r="J285" s="6" t="s">
        <v>48</v>
      </c>
      <c r="K285" s="9" t="str">
        <f>HYPERLINK("https://www.instagram.com/p/BzfWfR1Fss8/","Open Post")</f>
        <v>Open Post</v>
      </c>
      <c r="L285" s="6" t="s">
        <v>2222</v>
      </c>
      <c r="M285" s="6" t="s">
        <v>55</v>
      </c>
      <c r="N285" s="6" t="s">
        <v>2223</v>
      </c>
      <c r="O285" s="6" t="s">
        <v>59</v>
      </c>
      <c r="P285" s="6" t="s">
        <v>2225</v>
      </c>
    </row>
    <row r="286">
      <c r="A286" s="6" t="s">
        <v>983</v>
      </c>
      <c r="B286" s="6">
        <v>177.0</v>
      </c>
      <c r="F286" s="6" t="s">
        <v>984</v>
      </c>
      <c r="G286" s="6" t="s">
        <v>300</v>
      </c>
      <c r="H286" s="6" t="s">
        <v>48</v>
      </c>
      <c r="I286" s="6" t="s">
        <v>48</v>
      </c>
      <c r="J286" s="6" t="s">
        <v>48</v>
      </c>
      <c r="K286" s="9" t="str">
        <f>HYPERLINK("https://www.instagram.com/p/BzfDWwUgwVO/","Open Post")</f>
        <v>Open Post</v>
      </c>
      <c r="L286" s="6" t="s">
        <v>2227</v>
      </c>
      <c r="M286" s="6" t="s">
        <v>2229</v>
      </c>
      <c r="N286" s="6" t="s">
        <v>2230</v>
      </c>
      <c r="O286" s="6" t="s">
        <v>59</v>
      </c>
      <c r="P286" s="6" t="s">
        <v>2231</v>
      </c>
    </row>
    <row r="287">
      <c r="A287" s="6" t="s">
        <v>983</v>
      </c>
      <c r="B287" s="6">
        <v>178.0</v>
      </c>
      <c r="F287" s="6" t="s">
        <v>984</v>
      </c>
      <c r="G287" s="6" t="s">
        <v>477</v>
      </c>
      <c r="H287" s="6" t="s">
        <v>48</v>
      </c>
      <c r="I287" s="6" t="s">
        <v>48</v>
      </c>
      <c r="J287" s="6" t="s">
        <v>48</v>
      </c>
      <c r="K287" s="9" t="str">
        <f>HYPERLINK("https://www.instagram.com/p/BzeSjPDp7dA/","Open Post")</f>
        <v>Open Post</v>
      </c>
      <c r="L287" s="6" t="s">
        <v>2234</v>
      </c>
      <c r="M287" s="6" t="s">
        <v>2235</v>
      </c>
      <c r="N287" s="6" t="s">
        <v>2236</v>
      </c>
      <c r="O287" s="6" t="s">
        <v>59</v>
      </c>
      <c r="P287" s="6" t="s">
        <v>2237</v>
      </c>
    </row>
    <row r="288">
      <c r="A288" s="6" t="s">
        <v>983</v>
      </c>
      <c r="B288" s="6">
        <v>179.0</v>
      </c>
      <c r="F288" s="6" t="s">
        <v>984</v>
      </c>
      <c r="G288" s="6" t="s">
        <v>300</v>
      </c>
      <c r="H288" s="6" t="s">
        <v>48</v>
      </c>
      <c r="I288" s="6" t="s">
        <v>48</v>
      </c>
      <c r="J288" s="6" t="s">
        <v>48</v>
      </c>
      <c r="K288" s="9" t="str">
        <f>HYPERLINK("https://www.instagram.com/p/BzUV5oUgLAd/","Open Post")</f>
        <v>Open Post</v>
      </c>
      <c r="L288" s="6" t="s">
        <v>2238</v>
      </c>
      <c r="M288" s="6" t="s">
        <v>2240</v>
      </c>
      <c r="N288" s="6" t="s">
        <v>2241</v>
      </c>
      <c r="O288" s="6" t="s">
        <v>59</v>
      </c>
      <c r="P288" s="6" t="s">
        <v>2242</v>
      </c>
    </row>
    <row r="289">
      <c r="A289" s="6" t="s">
        <v>983</v>
      </c>
      <c r="B289" s="6">
        <v>180.0</v>
      </c>
      <c r="F289" s="6" t="s">
        <v>984</v>
      </c>
      <c r="G289" s="6" t="s">
        <v>1182</v>
      </c>
      <c r="H289" s="6" t="s">
        <v>48</v>
      </c>
      <c r="I289" s="6" t="s">
        <v>48</v>
      </c>
      <c r="J289" s="6" t="s">
        <v>48</v>
      </c>
      <c r="K289" s="9" t="str">
        <f>HYPERLINK("https://www.instagram.com/p/BzTXFPJpeau/","Open Post")</f>
        <v>Open Post</v>
      </c>
      <c r="L289" s="6" t="s">
        <v>2245</v>
      </c>
      <c r="M289" s="6" t="s">
        <v>2246</v>
      </c>
      <c r="N289" s="6" t="s">
        <v>2247</v>
      </c>
      <c r="O289" s="6" t="s">
        <v>59</v>
      </c>
      <c r="P289" s="6" t="s">
        <v>2248</v>
      </c>
    </row>
    <row r="290">
      <c r="A290" s="6" t="s">
        <v>983</v>
      </c>
      <c r="B290" s="6">
        <v>181.0</v>
      </c>
      <c r="F290" s="6" t="s">
        <v>984</v>
      </c>
      <c r="G290" s="6" t="s">
        <v>1251</v>
      </c>
      <c r="H290" s="6" t="s">
        <v>48</v>
      </c>
      <c r="I290" s="6" t="s">
        <v>48</v>
      </c>
      <c r="J290" s="6" t="s">
        <v>48</v>
      </c>
      <c r="K290" s="9" t="str">
        <f>HYPERLINK("https://www.instagram.com/p/BzQkxmhlF6Y/","Open Post")</f>
        <v>Open Post</v>
      </c>
      <c r="L290" s="6" t="s">
        <v>2251</v>
      </c>
      <c r="M290" s="6" t="s">
        <v>2252</v>
      </c>
      <c r="N290" s="6" t="s">
        <v>2253</v>
      </c>
      <c r="O290" s="6" t="s">
        <v>59</v>
      </c>
      <c r="P290" s="6" t="s">
        <v>2254</v>
      </c>
    </row>
    <row r="291">
      <c r="A291" s="6" t="s">
        <v>983</v>
      </c>
      <c r="B291" s="6">
        <v>182.0</v>
      </c>
      <c r="F291" s="6" t="s">
        <v>984</v>
      </c>
      <c r="G291" s="6" t="s">
        <v>2256</v>
      </c>
      <c r="H291" s="6" t="s">
        <v>48</v>
      </c>
      <c r="I291" s="6" t="s">
        <v>48</v>
      </c>
      <c r="J291" s="6" t="s">
        <v>48</v>
      </c>
      <c r="K291" s="9" t="str">
        <f>HYPERLINK("https://www.instagram.com/p/BzJoX9ngb2-/","Open Post")</f>
        <v>Open Post</v>
      </c>
      <c r="L291" s="6" t="s">
        <v>2257</v>
      </c>
      <c r="M291" s="6" t="s">
        <v>2258</v>
      </c>
      <c r="N291" s="6" t="s">
        <v>2259</v>
      </c>
      <c r="O291" s="6" t="s">
        <v>59</v>
      </c>
      <c r="P291" s="6" t="s">
        <v>2260</v>
      </c>
    </row>
    <row r="292">
      <c r="A292" s="6" t="s">
        <v>983</v>
      </c>
      <c r="B292" s="6">
        <v>183.0</v>
      </c>
      <c r="F292" s="6" t="s">
        <v>984</v>
      </c>
      <c r="G292" s="6" t="s">
        <v>369</v>
      </c>
      <c r="H292" s="6" t="s">
        <v>48</v>
      </c>
      <c r="I292" s="6" t="s">
        <v>48</v>
      </c>
      <c r="J292" s="6" t="s">
        <v>48</v>
      </c>
      <c r="K292" s="9" t="str">
        <f>HYPERLINK("https://www.instagram.com/p/BzAzn33idUD/","Open Post")</f>
        <v>Open Post</v>
      </c>
      <c r="L292" s="6" t="s">
        <v>2263</v>
      </c>
      <c r="M292" s="6" t="s">
        <v>55</v>
      </c>
      <c r="N292" s="6" t="s">
        <v>2264</v>
      </c>
      <c r="O292" s="6" t="s">
        <v>59</v>
      </c>
      <c r="P292" s="6" t="s">
        <v>2265</v>
      </c>
    </row>
    <row r="293">
      <c r="A293" s="6" t="s">
        <v>983</v>
      </c>
      <c r="B293" s="6">
        <v>184.0</v>
      </c>
      <c r="F293" s="6" t="s">
        <v>1026</v>
      </c>
      <c r="G293" s="6" t="s">
        <v>1008</v>
      </c>
      <c r="H293" s="6" t="s">
        <v>48</v>
      </c>
      <c r="I293" s="6" t="s">
        <v>48</v>
      </c>
      <c r="J293" s="6" t="s">
        <v>48</v>
      </c>
      <c r="K293" s="9" t="str">
        <f>HYPERLINK("https://www.instagram.com/p/BzAU7hfFvUS/","Open Post")</f>
        <v>Open Post</v>
      </c>
      <c r="L293" s="6" t="s">
        <v>2267</v>
      </c>
      <c r="M293" s="6" t="s">
        <v>2268</v>
      </c>
      <c r="N293" s="6" t="s">
        <v>2269</v>
      </c>
      <c r="O293" s="6" t="s">
        <v>59</v>
      </c>
      <c r="P293" s="6" t="s">
        <v>2270</v>
      </c>
    </row>
    <row r="294">
      <c r="A294" s="6" t="s">
        <v>983</v>
      </c>
      <c r="B294" s="6">
        <v>185.0</v>
      </c>
      <c r="F294" s="6" t="s">
        <v>984</v>
      </c>
      <c r="G294" s="6" t="s">
        <v>1251</v>
      </c>
      <c r="H294" s="6" t="s">
        <v>48</v>
      </c>
      <c r="I294" s="6" t="s">
        <v>48</v>
      </c>
      <c r="J294" s="6" t="s">
        <v>48</v>
      </c>
      <c r="K294" s="9" t="str">
        <f>HYPERLINK("https://www.instagram.com/p/By-QV3GlGkN/","Open Post")</f>
        <v>Open Post</v>
      </c>
      <c r="L294" s="6" t="s">
        <v>2273</v>
      </c>
      <c r="M294" s="6" t="s">
        <v>2274</v>
      </c>
      <c r="N294" s="6" t="s">
        <v>2275</v>
      </c>
      <c r="O294" s="6" t="s">
        <v>59</v>
      </c>
      <c r="P294" s="6" t="s">
        <v>2276</v>
      </c>
    </row>
    <row r="295">
      <c r="A295" s="6" t="s">
        <v>983</v>
      </c>
      <c r="B295" s="6">
        <v>186.0</v>
      </c>
      <c r="F295" s="6" t="s">
        <v>984</v>
      </c>
      <c r="G295" s="6" t="s">
        <v>2277</v>
      </c>
      <c r="H295" s="6" t="s">
        <v>48</v>
      </c>
      <c r="I295" s="6" t="s">
        <v>48</v>
      </c>
      <c r="J295" s="6" t="s">
        <v>48</v>
      </c>
      <c r="K295" s="9" t="str">
        <f>HYPERLINK("https://www.instagram.com/p/BywiR7Nl09o/","Open Post")</f>
        <v>Open Post</v>
      </c>
      <c r="L295" s="6" t="s">
        <v>2279</v>
      </c>
      <c r="M295" s="6" t="s">
        <v>2280</v>
      </c>
      <c r="N295" s="6" t="s">
        <v>2281</v>
      </c>
      <c r="O295" s="6" t="s">
        <v>59</v>
      </c>
      <c r="P295" s="6" t="s">
        <v>2282</v>
      </c>
    </row>
    <row r="296">
      <c r="A296" s="6" t="s">
        <v>983</v>
      </c>
      <c r="B296" s="6">
        <v>187.0</v>
      </c>
      <c r="F296" s="6" t="s">
        <v>984</v>
      </c>
      <c r="G296" s="6" t="s">
        <v>1027</v>
      </c>
      <c r="H296" s="6" t="s">
        <v>48</v>
      </c>
      <c r="I296" s="6" t="s">
        <v>48</v>
      </c>
      <c r="J296" s="6" t="s">
        <v>48</v>
      </c>
      <c r="K296" s="9" t="str">
        <f>HYPERLINK("https://www.instagram.com/p/Bys_aE8pftz/","Open Post")</f>
        <v>Open Post</v>
      </c>
      <c r="L296" s="6" t="s">
        <v>2285</v>
      </c>
      <c r="M296" s="6" t="s">
        <v>2286</v>
      </c>
      <c r="N296" s="6" t="s">
        <v>2287</v>
      </c>
      <c r="O296" s="6" t="s">
        <v>59</v>
      </c>
      <c r="P296" s="6" t="s">
        <v>2288</v>
      </c>
    </row>
    <row r="297">
      <c r="A297" s="6" t="s">
        <v>983</v>
      </c>
      <c r="B297" s="6">
        <v>188.0</v>
      </c>
      <c r="F297" s="6" t="s">
        <v>984</v>
      </c>
      <c r="G297" s="6" t="s">
        <v>1228</v>
      </c>
      <c r="H297" s="6" t="s">
        <v>48</v>
      </c>
      <c r="I297" s="6" t="s">
        <v>48</v>
      </c>
      <c r="J297" s="6" t="s">
        <v>48</v>
      </c>
      <c r="K297" s="9" t="str">
        <f>HYPERLINK("https://www.instagram.com/p/BynXrGBHMz2/","Open Post")</f>
        <v>Open Post</v>
      </c>
      <c r="L297" s="6" t="s">
        <v>2289</v>
      </c>
      <c r="M297" s="6" t="s">
        <v>2290</v>
      </c>
      <c r="N297" s="6" t="s">
        <v>2291</v>
      </c>
      <c r="O297" s="6" t="s">
        <v>59</v>
      </c>
      <c r="P297" s="6" t="s">
        <v>2292</v>
      </c>
    </row>
    <row r="298">
      <c r="A298" s="6" t="s">
        <v>983</v>
      </c>
      <c r="B298" s="6">
        <v>189.0</v>
      </c>
      <c r="F298" s="6" t="s">
        <v>1026</v>
      </c>
      <c r="G298" s="6" t="s">
        <v>369</v>
      </c>
      <c r="H298" s="6" t="s">
        <v>48</v>
      </c>
      <c r="I298" s="6" t="s">
        <v>48</v>
      </c>
      <c r="J298" s="6" t="s">
        <v>48</v>
      </c>
      <c r="K298" s="9" t="str">
        <f>HYPERLINK("https://www.instagram.com/p/Bykal5dAtX_/","Open Post")</f>
        <v>Open Post</v>
      </c>
      <c r="L298" s="6" t="s">
        <v>2296</v>
      </c>
      <c r="M298" s="6" t="s">
        <v>55</v>
      </c>
      <c r="N298" s="6" t="s">
        <v>2297</v>
      </c>
      <c r="O298" s="6" t="s">
        <v>59</v>
      </c>
      <c r="P298" s="6" t="s">
        <v>2298</v>
      </c>
    </row>
    <row r="299">
      <c r="A299" s="6" t="s">
        <v>983</v>
      </c>
      <c r="B299" s="6">
        <v>190.0</v>
      </c>
      <c r="F299" s="6" t="s">
        <v>1026</v>
      </c>
      <c r="G299" s="6" t="s">
        <v>1236</v>
      </c>
      <c r="H299" s="6" t="s">
        <v>48</v>
      </c>
      <c r="I299" s="6" t="s">
        <v>48</v>
      </c>
      <c r="J299" s="6" t="s">
        <v>48</v>
      </c>
      <c r="K299" s="9" t="str">
        <f>HYPERLINK("https://www.instagram.com/p/BydNY5li1e9/","Open Post")</f>
        <v>Open Post</v>
      </c>
      <c r="L299" s="6" t="s">
        <v>2299</v>
      </c>
      <c r="M299" s="6" t="s">
        <v>2300</v>
      </c>
      <c r="N299" s="6" t="s">
        <v>2301</v>
      </c>
      <c r="O299" s="6" t="s">
        <v>59</v>
      </c>
      <c r="P299" s="6" t="s">
        <v>2302</v>
      </c>
    </row>
    <row r="300">
      <c r="A300" s="6" t="s">
        <v>983</v>
      </c>
      <c r="B300" s="6">
        <v>191.0</v>
      </c>
      <c r="F300" s="6" t="s">
        <v>984</v>
      </c>
      <c r="G300" s="6" t="s">
        <v>300</v>
      </c>
      <c r="H300" s="6" t="s">
        <v>48</v>
      </c>
      <c r="I300" s="6" t="s">
        <v>48</v>
      </c>
      <c r="J300" s="6" t="s">
        <v>48</v>
      </c>
      <c r="K300" s="9" t="str">
        <f>HYPERLINK("https://www.instagram.com/p/BycOXddgQnv/","Open Post")</f>
        <v>Open Post</v>
      </c>
      <c r="L300" s="6" t="s">
        <v>2306</v>
      </c>
      <c r="M300" s="6" t="s">
        <v>2229</v>
      </c>
      <c r="N300" s="6" t="s">
        <v>2307</v>
      </c>
      <c r="O300" s="6" t="s">
        <v>59</v>
      </c>
      <c r="P300" s="6" t="s">
        <v>2308</v>
      </c>
    </row>
    <row r="301">
      <c r="A301" s="6" t="s">
        <v>983</v>
      </c>
      <c r="B301" s="6">
        <v>192.0</v>
      </c>
      <c r="F301" s="6" t="s">
        <v>984</v>
      </c>
      <c r="G301" s="6" t="s">
        <v>381</v>
      </c>
      <c r="H301" s="6" t="s">
        <v>48</v>
      </c>
      <c r="I301" s="6" t="s">
        <v>48</v>
      </c>
      <c r="J301" s="6" t="s">
        <v>48</v>
      </c>
      <c r="K301" s="9" t="str">
        <f>HYPERLINK("https://www.instagram.com/p/ByaCUgqiwMG/","Open Post")</f>
        <v>Open Post</v>
      </c>
      <c r="L301" s="6" t="s">
        <v>2310</v>
      </c>
      <c r="M301" s="6" t="s">
        <v>2311</v>
      </c>
      <c r="N301" s="6" t="s">
        <v>2312</v>
      </c>
      <c r="O301" s="6" t="s">
        <v>59</v>
      </c>
      <c r="P301" s="6" t="s">
        <v>2314</v>
      </c>
    </row>
    <row r="302">
      <c r="A302" s="6" t="s">
        <v>983</v>
      </c>
      <c r="B302" s="6">
        <v>193.0</v>
      </c>
      <c r="F302" s="6" t="s">
        <v>984</v>
      </c>
      <c r="G302" s="6" t="s">
        <v>300</v>
      </c>
      <c r="H302" s="6" t="s">
        <v>48</v>
      </c>
      <c r="I302" s="6" t="s">
        <v>48</v>
      </c>
      <c r="J302" s="6" t="s">
        <v>48</v>
      </c>
      <c r="K302" s="9" t="str">
        <f>HYPERLINK("https://www.instagram.com/p/ByWxaeBACL1/","Open Post")</f>
        <v>Open Post</v>
      </c>
      <c r="L302" s="6" t="s">
        <v>2316</v>
      </c>
      <c r="M302" s="6" t="s">
        <v>2229</v>
      </c>
      <c r="N302" s="6" t="s">
        <v>2317</v>
      </c>
      <c r="O302" s="6" t="s">
        <v>59</v>
      </c>
      <c r="P302" s="6" t="s">
        <v>2318</v>
      </c>
    </row>
    <row r="303">
      <c r="A303" s="6" t="s">
        <v>983</v>
      </c>
      <c r="B303" s="6">
        <v>194.0</v>
      </c>
      <c r="F303" s="6" t="s">
        <v>984</v>
      </c>
      <c r="G303" s="6" t="s">
        <v>1027</v>
      </c>
      <c r="H303" s="6" t="s">
        <v>48</v>
      </c>
      <c r="I303" s="6" t="s">
        <v>48</v>
      </c>
      <c r="J303" s="6" t="s">
        <v>48</v>
      </c>
      <c r="K303" s="9" t="str">
        <f>HYPERLINK("https://www.instagram.com/p/ByU1z13gXG5/","Open Post")</f>
        <v>Open Post</v>
      </c>
      <c r="L303" s="6" t="s">
        <v>2319</v>
      </c>
      <c r="M303" s="6" t="s">
        <v>2321</v>
      </c>
      <c r="N303" s="6" t="s">
        <v>2322</v>
      </c>
      <c r="O303" s="6" t="s">
        <v>59</v>
      </c>
      <c r="P303" s="6" t="s">
        <v>2323</v>
      </c>
    </row>
    <row r="304">
      <c r="A304" s="6" t="s">
        <v>983</v>
      </c>
      <c r="B304" s="6">
        <v>195.0</v>
      </c>
      <c r="F304" s="6" t="s">
        <v>1026</v>
      </c>
      <c r="G304" s="6" t="s">
        <v>172</v>
      </c>
      <c r="H304" s="6" t="s">
        <v>48</v>
      </c>
      <c r="I304" s="6" t="s">
        <v>48</v>
      </c>
      <c r="J304" s="6" t="s">
        <v>48</v>
      </c>
      <c r="K304" s="9" t="str">
        <f>HYPERLINK("https://www.instagram.com/p/ByUcjRFijgi/","Open Post")</f>
        <v>Open Post</v>
      </c>
      <c r="L304" s="6" t="s">
        <v>2327</v>
      </c>
      <c r="M304" s="6" t="s">
        <v>2328</v>
      </c>
      <c r="N304" s="6" t="s">
        <v>2329</v>
      </c>
      <c r="O304" s="6" t="s">
        <v>59</v>
      </c>
      <c r="P304" s="6" t="s">
        <v>2330</v>
      </c>
    </row>
    <row r="305">
      <c r="A305" s="6" t="s">
        <v>983</v>
      </c>
      <c r="B305" s="6">
        <v>196.0</v>
      </c>
      <c r="F305" s="6" t="s">
        <v>1026</v>
      </c>
      <c r="G305" s="6" t="s">
        <v>1127</v>
      </c>
      <c r="H305" s="6" t="s">
        <v>48</v>
      </c>
      <c r="I305" s="6" t="s">
        <v>48</v>
      </c>
      <c r="J305" s="6" t="s">
        <v>48</v>
      </c>
      <c r="K305" s="9" t="str">
        <f>HYPERLINK("https://www.instagram.com/p/ByS9ucLigVZ/","Open Post")</f>
        <v>Open Post</v>
      </c>
      <c r="L305" s="6" t="s">
        <v>2331</v>
      </c>
      <c r="M305" s="6" t="s">
        <v>2332</v>
      </c>
      <c r="N305" s="6" t="s">
        <v>2333</v>
      </c>
      <c r="O305" s="6" t="s">
        <v>59</v>
      </c>
      <c r="P305" s="6" t="s">
        <v>2334</v>
      </c>
    </row>
    <row r="306">
      <c r="A306" s="6" t="s">
        <v>983</v>
      </c>
      <c r="B306" s="6">
        <v>197.0</v>
      </c>
      <c r="F306" s="6" t="s">
        <v>984</v>
      </c>
      <c r="G306" s="6" t="s">
        <v>443</v>
      </c>
      <c r="H306" s="6" t="s">
        <v>48</v>
      </c>
      <c r="I306" s="6" t="s">
        <v>48</v>
      </c>
      <c r="J306" s="6" t="s">
        <v>48</v>
      </c>
      <c r="K306" s="9" t="str">
        <f>HYPERLINK("https://www.instagram.com/p/ByQEVwIANFb/","Open Post")</f>
        <v>Open Post</v>
      </c>
      <c r="L306" s="6" t="s">
        <v>2339</v>
      </c>
      <c r="M306" s="6" t="s">
        <v>2340</v>
      </c>
      <c r="N306" s="6" t="s">
        <v>2341</v>
      </c>
      <c r="O306" s="6" t="s">
        <v>59</v>
      </c>
      <c r="P306" s="6" t="s">
        <v>2342</v>
      </c>
    </row>
    <row r="307">
      <c r="A307" s="6" t="s">
        <v>983</v>
      </c>
      <c r="B307" s="6">
        <v>198.0</v>
      </c>
      <c r="F307" s="6" t="s">
        <v>984</v>
      </c>
      <c r="G307" s="6" t="s">
        <v>369</v>
      </c>
      <c r="H307" s="6" t="s">
        <v>48</v>
      </c>
      <c r="I307" s="6" t="s">
        <v>48</v>
      </c>
      <c r="J307" s="6" t="s">
        <v>48</v>
      </c>
      <c r="K307" s="9" t="str">
        <f>HYPERLINK("https://www.instagram.com/p/ByOaxeBA6iW/","Open Post")</f>
        <v>Open Post</v>
      </c>
      <c r="L307" s="6" t="s">
        <v>2343</v>
      </c>
      <c r="M307" s="6" t="s">
        <v>55</v>
      </c>
      <c r="N307" s="6" t="s">
        <v>2348</v>
      </c>
      <c r="O307" s="6" t="s">
        <v>59</v>
      </c>
      <c r="P307" s="6" t="s">
        <v>2349</v>
      </c>
    </row>
    <row r="308">
      <c r="A308" s="6" t="s">
        <v>983</v>
      </c>
      <c r="B308" s="6">
        <v>199.0</v>
      </c>
      <c r="F308" s="6" t="s">
        <v>65</v>
      </c>
      <c r="G308" s="6" t="s">
        <v>1251</v>
      </c>
      <c r="H308" s="6" t="s">
        <v>48</v>
      </c>
      <c r="I308" s="6" t="s">
        <v>48</v>
      </c>
      <c r="J308" s="6" t="s">
        <v>48</v>
      </c>
      <c r="K308" s="9" t="str">
        <f>HYPERLINK("https://www.instagram.com/reel/ByKcYL3FG4U/","Open Reel")</f>
        <v>Open Reel</v>
      </c>
      <c r="L308" s="6" t="s">
        <v>2350</v>
      </c>
      <c r="M308" s="6" t="s">
        <v>2351</v>
      </c>
      <c r="N308" s="6" t="s">
        <v>2352</v>
      </c>
      <c r="O308" s="6" t="s">
        <v>59</v>
      </c>
      <c r="P308" s="6" t="s">
        <v>2353</v>
      </c>
    </row>
    <row r="309">
      <c r="A309" s="6" t="s">
        <v>983</v>
      </c>
      <c r="B309" s="6">
        <v>200.0</v>
      </c>
      <c r="F309" s="6" t="s">
        <v>1026</v>
      </c>
      <c r="G309" s="6" t="s">
        <v>228</v>
      </c>
      <c r="H309" s="6" t="s">
        <v>48</v>
      </c>
      <c r="I309" s="6" t="s">
        <v>48</v>
      </c>
      <c r="J309" s="6" t="s">
        <v>48</v>
      </c>
      <c r="K309" s="9" t="str">
        <f>HYPERLINK("https://www.instagram.com/p/ByGk9o4BXa9/","Open Post")</f>
        <v>Open Post</v>
      </c>
      <c r="L309" s="6" t="s">
        <v>2356</v>
      </c>
      <c r="M309" s="6" t="s">
        <v>55</v>
      </c>
      <c r="N309" s="6" t="s">
        <v>2357</v>
      </c>
      <c r="O309" s="6" t="s">
        <v>59</v>
      </c>
      <c r="P309" s="6" t="s">
        <v>2358</v>
      </c>
    </row>
    <row r="310">
      <c r="A310" s="6" t="s">
        <v>983</v>
      </c>
      <c r="B310" s="6">
        <v>201.0</v>
      </c>
      <c r="F310" s="6" t="s">
        <v>984</v>
      </c>
      <c r="G310" s="6" t="s">
        <v>1251</v>
      </c>
      <c r="H310" s="6" t="s">
        <v>48</v>
      </c>
      <c r="I310" s="6" t="s">
        <v>48</v>
      </c>
      <c r="J310" s="6" t="s">
        <v>48</v>
      </c>
      <c r="K310" s="9" t="str">
        <f>HYPERLINK("https://www.instagram.com/p/ByGXKD8iWzB/","Open Post")</f>
        <v>Open Post</v>
      </c>
      <c r="L310" s="6" t="s">
        <v>2359</v>
      </c>
      <c r="M310" s="6" t="s">
        <v>2360</v>
      </c>
      <c r="N310" s="6" t="s">
        <v>2362</v>
      </c>
      <c r="O310" s="6" t="s">
        <v>59</v>
      </c>
      <c r="P310" s="6" t="s">
        <v>2363</v>
      </c>
    </row>
    <row r="311">
      <c r="A311" s="6" t="s">
        <v>983</v>
      </c>
      <c r="B311" s="6">
        <v>202.0</v>
      </c>
      <c r="F311" s="6" t="s">
        <v>984</v>
      </c>
      <c r="G311" s="6" t="s">
        <v>1008</v>
      </c>
      <c r="H311" s="6" t="s">
        <v>48</v>
      </c>
      <c r="I311" s="6" t="s">
        <v>48</v>
      </c>
      <c r="J311" s="6" t="s">
        <v>48</v>
      </c>
      <c r="K311" s="9" t="str">
        <f>HYPERLINK("https://www.instagram.com/p/ByDY4TfoP01/","Open Post")</f>
        <v>Open Post</v>
      </c>
      <c r="L311" s="6" t="s">
        <v>2365</v>
      </c>
      <c r="M311" s="6" t="s">
        <v>2366</v>
      </c>
      <c r="N311" s="6" t="s">
        <v>2367</v>
      </c>
      <c r="O311" s="6" t="s">
        <v>59</v>
      </c>
      <c r="P311" s="6" t="s">
        <v>2368</v>
      </c>
    </row>
    <row r="312">
      <c r="A312" s="6" t="s">
        <v>983</v>
      </c>
      <c r="B312" s="6">
        <v>203.0</v>
      </c>
      <c r="F312" s="6" t="s">
        <v>1026</v>
      </c>
      <c r="G312" s="6" t="s">
        <v>985</v>
      </c>
      <c r="H312" s="6" t="s">
        <v>48</v>
      </c>
      <c r="I312" s="6" t="s">
        <v>48</v>
      </c>
      <c r="J312" s="6" t="s">
        <v>48</v>
      </c>
      <c r="K312" s="9" t="str">
        <f>HYPERLINK("https://www.instagram.com/p/Bx-FCZYFm2U/","Open Post")</f>
        <v>Open Post</v>
      </c>
      <c r="L312" s="6" t="s">
        <v>2372</v>
      </c>
      <c r="M312" s="6" t="s">
        <v>55</v>
      </c>
      <c r="N312" s="6" t="s">
        <v>2373</v>
      </c>
      <c r="O312" s="6" t="s">
        <v>59</v>
      </c>
      <c r="P312" s="6" t="s">
        <v>2374</v>
      </c>
    </row>
    <row r="313">
      <c r="A313" s="6" t="s">
        <v>983</v>
      </c>
      <c r="B313" s="6">
        <v>204.0</v>
      </c>
      <c r="F313" s="6" t="s">
        <v>984</v>
      </c>
      <c r="G313" s="6" t="s">
        <v>1908</v>
      </c>
      <c r="H313" s="6" t="s">
        <v>48</v>
      </c>
      <c r="I313" s="6" t="s">
        <v>48</v>
      </c>
      <c r="J313" s="6" t="s">
        <v>48</v>
      </c>
      <c r="K313" s="9" t="str">
        <f>HYPERLINK("https://www.instagram.com/p/Bx2OwU3F0v3/","Open Post")</f>
        <v>Open Post</v>
      </c>
      <c r="L313" s="6" t="s">
        <v>2375</v>
      </c>
      <c r="M313" s="6" t="s">
        <v>2377</v>
      </c>
      <c r="N313" s="6" t="s">
        <v>2378</v>
      </c>
      <c r="O313" s="6" t="s">
        <v>59</v>
      </c>
      <c r="P313" s="6" t="s">
        <v>2379</v>
      </c>
    </row>
    <row r="314">
      <c r="A314" s="6" t="s">
        <v>983</v>
      </c>
      <c r="B314" s="6">
        <v>205.0</v>
      </c>
      <c r="F314" s="6" t="s">
        <v>984</v>
      </c>
      <c r="G314" s="6" t="s">
        <v>1008</v>
      </c>
      <c r="H314" s="6" t="s">
        <v>48</v>
      </c>
      <c r="I314" s="6" t="s">
        <v>48</v>
      </c>
      <c r="J314" s="6" t="s">
        <v>48</v>
      </c>
      <c r="K314" s="9" t="str">
        <f>HYPERLINK("https://www.instagram.com/p/Bx1nr9jpGPd/","Open Post")</f>
        <v>Open Post</v>
      </c>
      <c r="L314" s="6" t="s">
        <v>2381</v>
      </c>
      <c r="M314" s="6" t="s">
        <v>2383</v>
      </c>
      <c r="N314" s="6" t="s">
        <v>2384</v>
      </c>
      <c r="O314" s="6" t="s">
        <v>59</v>
      </c>
      <c r="P314" s="6" t="s">
        <v>2385</v>
      </c>
    </row>
    <row r="315">
      <c r="A315" s="6" t="s">
        <v>983</v>
      </c>
      <c r="B315" s="6">
        <v>206.0</v>
      </c>
      <c r="F315" s="6" t="s">
        <v>984</v>
      </c>
      <c r="G315" s="6" t="s">
        <v>66</v>
      </c>
      <c r="H315" s="6" t="s">
        <v>48</v>
      </c>
      <c r="I315" s="6" t="s">
        <v>48</v>
      </c>
      <c r="J315" s="6" t="s">
        <v>48</v>
      </c>
      <c r="K315" s="9" t="str">
        <f>HYPERLINK("https://www.instagram.com/p/Bxu7uGqisI-/","Open Post")</f>
        <v>Open Post</v>
      </c>
      <c r="L315" s="6" t="s">
        <v>2386</v>
      </c>
      <c r="M315" s="6" t="s">
        <v>2387</v>
      </c>
      <c r="N315" s="6" t="s">
        <v>2388</v>
      </c>
      <c r="O315" s="6" t="s">
        <v>59</v>
      </c>
      <c r="P315" s="6" t="s">
        <v>2389</v>
      </c>
    </row>
    <row r="316">
      <c r="A316" s="6" t="s">
        <v>983</v>
      </c>
      <c r="B316" s="6">
        <v>207.0</v>
      </c>
      <c r="F316" s="6" t="s">
        <v>984</v>
      </c>
      <c r="G316" s="6" t="s">
        <v>555</v>
      </c>
      <c r="H316" s="6" t="s">
        <v>48</v>
      </c>
      <c r="I316" s="6" t="s">
        <v>48</v>
      </c>
      <c r="J316" s="6" t="s">
        <v>48</v>
      </c>
      <c r="K316" s="9" t="str">
        <f>HYPERLINK("https://www.instagram.com/p/BxvaohuC-_a/","Open Post")</f>
        <v>Open Post</v>
      </c>
      <c r="L316" s="6" t="s">
        <v>2390</v>
      </c>
      <c r="M316" s="6" t="s">
        <v>2391</v>
      </c>
      <c r="N316" s="6" t="s">
        <v>2393</v>
      </c>
      <c r="O316" s="6" t="s">
        <v>59</v>
      </c>
      <c r="P316" s="6" t="s">
        <v>2394</v>
      </c>
    </row>
    <row r="317">
      <c r="A317" s="6" t="s">
        <v>983</v>
      </c>
      <c r="B317" s="6">
        <v>208.0</v>
      </c>
      <c r="F317" s="6" t="s">
        <v>984</v>
      </c>
      <c r="G317" s="6" t="s">
        <v>1251</v>
      </c>
      <c r="H317" s="6" t="s">
        <v>48</v>
      </c>
      <c r="I317" s="6" t="s">
        <v>48</v>
      </c>
      <c r="J317" s="6" t="s">
        <v>48</v>
      </c>
      <c r="K317" s="9" t="str">
        <f>HYPERLINK("https://www.instagram.com/p/BxvXYr9C0T_/","Open Post")</f>
        <v>Open Post</v>
      </c>
      <c r="L317" s="6" t="s">
        <v>2396</v>
      </c>
      <c r="M317" s="6" t="s">
        <v>2397</v>
      </c>
      <c r="N317" s="6" t="s">
        <v>2398</v>
      </c>
      <c r="O317" s="6" t="s">
        <v>59</v>
      </c>
      <c r="P317" s="6" t="s">
        <v>2399</v>
      </c>
    </row>
    <row r="318">
      <c r="A318" s="6" t="s">
        <v>983</v>
      </c>
      <c r="B318" s="6">
        <v>209.0</v>
      </c>
      <c r="F318" s="6" t="s">
        <v>1026</v>
      </c>
      <c r="G318" s="6" t="s">
        <v>1008</v>
      </c>
      <c r="H318" s="6" t="s">
        <v>48</v>
      </c>
      <c r="I318" s="6" t="s">
        <v>48</v>
      </c>
      <c r="J318" s="6" t="s">
        <v>48</v>
      </c>
      <c r="K318" s="9" t="str">
        <f>HYPERLINK("https://www.instagram.com/p/BxuerJdjHbH/","Open Post")</f>
        <v>Open Post</v>
      </c>
      <c r="L318" s="6" t="s">
        <v>2402</v>
      </c>
      <c r="M318" s="6" t="s">
        <v>2403</v>
      </c>
      <c r="N318" s="6" t="s">
        <v>2404</v>
      </c>
      <c r="O318" s="6" t="s">
        <v>59</v>
      </c>
      <c r="P318" s="6" t="s">
        <v>2405</v>
      </c>
    </row>
    <row r="319">
      <c r="A319" s="6" t="s">
        <v>983</v>
      </c>
      <c r="B319" s="6">
        <v>210.0</v>
      </c>
      <c r="F319" s="6" t="s">
        <v>984</v>
      </c>
      <c r="G319" s="6" t="s">
        <v>2407</v>
      </c>
      <c r="H319" s="6" t="s">
        <v>48</v>
      </c>
      <c r="I319" s="6" t="s">
        <v>48</v>
      </c>
      <c r="J319" s="6" t="s">
        <v>48</v>
      </c>
      <c r="K319" s="9" t="str">
        <f>HYPERLINK("https://www.instagram.com/p/BxiP1g2gwe2/","Open Post")</f>
        <v>Open Post</v>
      </c>
      <c r="L319" s="6" t="s">
        <v>2408</v>
      </c>
      <c r="M319" s="6" t="s">
        <v>2409</v>
      </c>
      <c r="N319" s="6" t="s">
        <v>2410</v>
      </c>
      <c r="O319" s="6" t="s">
        <v>59</v>
      </c>
      <c r="P319" s="6" t="s">
        <v>2411</v>
      </c>
    </row>
    <row r="320">
      <c r="A320" s="6" t="s">
        <v>983</v>
      </c>
      <c r="B320" s="6">
        <v>211.0</v>
      </c>
      <c r="F320" s="6" t="s">
        <v>984</v>
      </c>
      <c r="G320" s="6" t="s">
        <v>172</v>
      </c>
      <c r="H320" s="6" t="s">
        <v>48</v>
      </c>
      <c r="I320" s="6" t="s">
        <v>48</v>
      </c>
      <c r="J320" s="6" t="s">
        <v>48</v>
      </c>
      <c r="K320" s="9" t="str">
        <f>HYPERLINK("https://www.instagram.com/p/Bxhl5kLH3MS/","Open Post")</f>
        <v>Open Post</v>
      </c>
      <c r="L320" s="6" t="s">
        <v>2412</v>
      </c>
      <c r="M320" s="6" t="s">
        <v>2413</v>
      </c>
      <c r="N320" s="6" t="s">
        <v>2414</v>
      </c>
      <c r="O320" s="6" t="s">
        <v>59</v>
      </c>
      <c r="P320" s="6" t="s">
        <v>2415</v>
      </c>
    </row>
    <row r="321">
      <c r="A321" s="6" t="s">
        <v>983</v>
      </c>
      <c r="B321" s="6">
        <v>212.0</v>
      </c>
      <c r="F321" s="6" t="s">
        <v>984</v>
      </c>
      <c r="G321" s="6" t="s">
        <v>1182</v>
      </c>
      <c r="H321" s="6" t="s">
        <v>48</v>
      </c>
      <c r="I321" s="6" t="s">
        <v>48</v>
      </c>
      <c r="J321" s="6" t="s">
        <v>48</v>
      </c>
      <c r="K321" s="9" t="str">
        <f>HYPERLINK("https://www.instagram.com/p/BxWhD0mAILZ/","Open Post")</f>
        <v>Open Post</v>
      </c>
      <c r="L321" s="6" t="s">
        <v>2417</v>
      </c>
      <c r="M321" s="6" t="s">
        <v>2418</v>
      </c>
      <c r="N321" s="6" t="s">
        <v>2419</v>
      </c>
      <c r="O321" s="6" t="s">
        <v>59</v>
      </c>
      <c r="P321" s="6" t="s">
        <v>2420</v>
      </c>
    </row>
    <row r="322">
      <c r="A322" s="6" t="s">
        <v>983</v>
      </c>
      <c r="B322" s="6">
        <v>213.0</v>
      </c>
      <c r="F322" s="6" t="s">
        <v>984</v>
      </c>
      <c r="G322" s="6" t="s">
        <v>172</v>
      </c>
      <c r="H322" s="6" t="s">
        <v>48</v>
      </c>
      <c r="I322" s="6" t="s">
        <v>48</v>
      </c>
      <c r="J322" s="6" t="s">
        <v>48</v>
      </c>
      <c r="K322" s="9" t="str">
        <f>HYPERLINK("https://www.instagram.com/p/BxScMN2AE8f/","Open Post")</f>
        <v>Open Post</v>
      </c>
      <c r="L322" s="6" t="s">
        <v>2422</v>
      </c>
      <c r="M322" s="6" t="s">
        <v>2424</v>
      </c>
      <c r="N322" s="6" t="s">
        <v>2425</v>
      </c>
      <c r="O322" s="6" t="s">
        <v>59</v>
      </c>
      <c r="P322" s="6" t="s">
        <v>2426</v>
      </c>
    </row>
    <row r="323">
      <c r="A323" s="6" t="s">
        <v>983</v>
      </c>
      <c r="B323" s="6">
        <v>214.0</v>
      </c>
      <c r="F323" s="6" t="s">
        <v>984</v>
      </c>
      <c r="G323" s="6" t="s">
        <v>1027</v>
      </c>
      <c r="H323" s="6" t="s">
        <v>48</v>
      </c>
      <c r="I323" s="6" t="s">
        <v>48</v>
      </c>
      <c r="J323" s="6" t="s">
        <v>48</v>
      </c>
      <c r="K323" s="9" t="str">
        <f>HYPERLINK("https://www.instagram.com/p/BxPYMS6pS_r/","Open Post")</f>
        <v>Open Post</v>
      </c>
      <c r="L323" s="6" t="s">
        <v>2427</v>
      </c>
      <c r="M323" s="6" t="s">
        <v>2428</v>
      </c>
      <c r="N323" s="6" t="s">
        <v>2430</v>
      </c>
      <c r="O323" s="6" t="s">
        <v>59</v>
      </c>
      <c r="P323" s="6" t="s">
        <v>2433</v>
      </c>
    </row>
    <row r="324">
      <c r="A324" s="6" t="s">
        <v>983</v>
      </c>
      <c r="B324" s="6">
        <v>215.0</v>
      </c>
      <c r="F324" s="6" t="s">
        <v>984</v>
      </c>
      <c r="G324" s="6" t="s">
        <v>985</v>
      </c>
      <c r="H324" s="6" t="s">
        <v>48</v>
      </c>
      <c r="I324" s="6" t="s">
        <v>48</v>
      </c>
      <c r="J324" s="6" t="s">
        <v>48</v>
      </c>
      <c r="K324" s="9" t="str">
        <f>HYPERLINK("https://www.instagram.com/p/BxMkjaKgIoW/","Open Post")</f>
        <v>Open Post</v>
      </c>
      <c r="L324" s="6" t="s">
        <v>2435</v>
      </c>
      <c r="M324" s="6" t="s">
        <v>2436</v>
      </c>
      <c r="N324" s="6" t="s">
        <v>2437</v>
      </c>
      <c r="O324" s="6" t="s">
        <v>59</v>
      </c>
      <c r="P324" s="6" t="s">
        <v>2438</v>
      </c>
    </row>
    <row r="325">
      <c r="A325" s="6" t="s">
        <v>983</v>
      </c>
      <c r="B325" s="6">
        <v>216.0</v>
      </c>
      <c r="F325" s="6" t="s">
        <v>1026</v>
      </c>
      <c r="G325" s="6" t="s">
        <v>300</v>
      </c>
      <c r="H325" s="6" t="s">
        <v>48</v>
      </c>
      <c r="I325" s="6" t="s">
        <v>48</v>
      </c>
      <c r="J325" s="6" t="s">
        <v>48</v>
      </c>
      <c r="K325" s="9" t="str">
        <f>HYPERLINK("https://www.instagram.com/p/BxIhB1dB3Bh/","Open Post")</f>
        <v>Open Post</v>
      </c>
      <c r="L325" s="6" t="s">
        <v>2440</v>
      </c>
      <c r="M325" s="6" t="s">
        <v>2441</v>
      </c>
      <c r="N325" s="6" t="s">
        <v>2442</v>
      </c>
      <c r="O325" s="6" t="s">
        <v>59</v>
      </c>
      <c r="P325" s="6" t="s">
        <v>2444</v>
      </c>
    </row>
    <row r="326">
      <c r="A326" s="6" t="s">
        <v>983</v>
      </c>
      <c r="B326" s="6">
        <v>217.0</v>
      </c>
      <c r="F326" s="6" t="s">
        <v>65</v>
      </c>
      <c r="G326" s="6" t="s">
        <v>2445</v>
      </c>
      <c r="H326" s="6" t="s">
        <v>48</v>
      </c>
      <c r="I326" s="6" t="s">
        <v>48</v>
      </c>
      <c r="J326" s="6" t="s">
        <v>48</v>
      </c>
      <c r="K326" s="9" t="str">
        <f>HYPERLINK("https://www.instagram.com/reel/BxGSyXTA-Xw/","Open Reel")</f>
        <v>Open Reel</v>
      </c>
      <c r="L326" s="6" t="s">
        <v>2449</v>
      </c>
      <c r="M326" s="6" t="s">
        <v>2450</v>
      </c>
      <c r="N326" s="6" t="s">
        <v>2451</v>
      </c>
      <c r="O326" s="6" t="s">
        <v>59</v>
      </c>
      <c r="P326" s="6" t="s">
        <v>2452</v>
      </c>
    </row>
    <row r="327">
      <c r="A327" s="6" t="s">
        <v>983</v>
      </c>
      <c r="B327" s="6">
        <v>218.0</v>
      </c>
      <c r="F327" s="6" t="s">
        <v>984</v>
      </c>
      <c r="G327" s="6" t="s">
        <v>369</v>
      </c>
      <c r="H327" s="6" t="s">
        <v>48</v>
      </c>
      <c r="I327" s="6" t="s">
        <v>48</v>
      </c>
      <c r="J327" s="6" t="s">
        <v>48</v>
      </c>
      <c r="K327" s="9" t="str">
        <f>HYPERLINK("https://www.instagram.com/p/BxF2eDrnIwo/","Open Post")</f>
        <v>Open Post</v>
      </c>
      <c r="L327" s="6" t="s">
        <v>2455</v>
      </c>
      <c r="M327" s="6" t="s">
        <v>55</v>
      </c>
      <c r="N327" s="6" t="s">
        <v>2456</v>
      </c>
      <c r="O327" s="6" t="s">
        <v>59</v>
      </c>
      <c r="P327" s="6" t="s">
        <v>2458</v>
      </c>
    </row>
    <row r="328">
      <c r="A328" s="6" t="s">
        <v>983</v>
      </c>
      <c r="B328" s="6">
        <v>219.0</v>
      </c>
      <c r="F328" s="6" t="s">
        <v>984</v>
      </c>
      <c r="G328" s="6" t="s">
        <v>228</v>
      </c>
      <c r="H328" s="6" t="s">
        <v>48</v>
      </c>
      <c r="I328" s="6" t="s">
        <v>48</v>
      </c>
      <c r="J328" s="6" t="s">
        <v>48</v>
      </c>
      <c r="K328" s="9" t="str">
        <f>HYPERLINK("https://www.instagram.com/p/BxCcYOUAk4i/","Open Post")</f>
        <v>Open Post</v>
      </c>
      <c r="L328" s="6" t="s">
        <v>2460</v>
      </c>
      <c r="M328" s="6" t="s">
        <v>2461</v>
      </c>
      <c r="N328" s="6" t="s">
        <v>2462</v>
      </c>
      <c r="O328" s="6" t="s">
        <v>59</v>
      </c>
      <c r="P328" s="6" t="s">
        <v>2464</v>
      </c>
    </row>
    <row r="329">
      <c r="A329" s="6" t="s">
        <v>983</v>
      </c>
      <c r="B329" s="6">
        <v>220.0</v>
      </c>
      <c r="F329" s="6" t="s">
        <v>1026</v>
      </c>
      <c r="G329" s="6" t="s">
        <v>2465</v>
      </c>
      <c r="H329" s="6" t="s">
        <v>48</v>
      </c>
      <c r="I329" s="6" t="s">
        <v>48</v>
      </c>
      <c r="J329" s="6" t="s">
        <v>48</v>
      </c>
      <c r="K329" s="9" t="str">
        <f>HYPERLINK("https://www.instagram.com/p/BxAt4Y0JWGj/","Open Post")</f>
        <v>Open Post</v>
      </c>
      <c r="L329" s="6" t="s">
        <v>2467</v>
      </c>
      <c r="M329" s="6" t="s">
        <v>2468</v>
      </c>
      <c r="N329" s="6" t="s">
        <v>2469</v>
      </c>
      <c r="O329" s="6" t="s">
        <v>59</v>
      </c>
      <c r="P329" s="6" t="s">
        <v>2470</v>
      </c>
    </row>
    <row r="330">
      <c r="A330" s="6" t="s">
        <v>983</v>
      </c>
      <c r="B330" s="6">
        <v>221.0</v>
      </c>
      <c r="F330" s="6" t="s">
        <v>984</v>
      </c>
      <c r="G330" s="6" t="s">
        <v>1027</v>
      </c>
      <c r="H330" s="6" t="s">
        <v>48</v>
      </c>
      <c r="I330" s="6" t="s">
        <v>48</v>
      </c>
      <c r="J330" s="6" t="s">
        <v>48</v>
      </c>
      <c r="K330" s="9" t="str">
        <f>HYPERLINK("https://www.instagram.com/p/Bwr1dyzgLPy/","Open Post")</f>
        <v>Open Post</v>
      </c>
      <c r="L330" s="6" t="s">
        <v>2472</v>
      </c>
      <c r="M330" s="6" t="s">
        <v>2473</v>
      </c>
      <c r="N330" s="6" t="s">
        <v>2474</v>
      </c>
      <c r="O330" s="6" t="s">
        <v>59</v>
      </c>
      <c r="P330" s="6" t="s">
        <v>2475</v>
      </c>
    </row>
    <row r="331">
      <c r="A331" s="6" t="s">
        <v>983</v>
      </c>
      <c r="B331" s="6">
        <v>222.0</v>
      </c>
      <c r="F331" s="6" t="s">
        <v>984</v>
      </c>
      <c r="G331" s="6" t="s">
        <v>1008</v>
      </c>
      <c r="H331" s="6" t="s">
        <v>48</v>
      </c>
      <c r="I331" s="6" t="s">
        <v>48</v>
      </c>
      <c r="J331" s="6" t="s">
        <v>48</v>
      </c>
      <c r="K331" s="9" t="str">
        <f>HYPERLINK("https://www.instagram.com/p/Bw9UbVUnH2M/","Open Post")</f>
        <v>Open Post</v>
      </c>
      <c r="L331" s="6" t="s">
        <v>2479</v>
      </c>
      <c r="M331" s="6" t="s">
        <v>2480</v>
      </c>
      <c r="N331" s="6" t="s">
        <v>2481</v>
      </c>
      <c r="O331" s="6" t="s">
        <v>59</v>
      </c>
      <c r="P331" s="6" t="s">
        <v>2482</v>
      </c>
    </row>
    <row r="332">
      <c r="A332" s="6" t="s">
        <v>983</v>
      </c>
      <c r="B332" s="6">
        <v>223.0</v>
      </c>
      <c r="F332" s="6" t="s">
        <v>984</v>
      </c>
      <c r="G332" s="6" t="s">
        <v>2484</v>
      </c>
      <c r="H332" s="6" t="s">
        <v>48</v>
      </c>
      <c r="I332" s="6" t="s">
        <v>48</v>
      </c>
      <c r="J332" s="6" t="s">
        <v>48</v>
      </c>
      <c r="K332" s="9" t="str">
        <f>HYPERLINK("https://www.instagram.com/p/Bw82In-JPaS/","Open Post")</f>
        <v>Open Post</v>
      </c>
      <c r="L332" s="6" t="s">
        <v>2487</v>
      </c>
      <c r="M332" s="6" t="s">
        <v>2488</v>
      </c>
      <c r="N332" s="6" t="s">
        <v>2489</v>
      </c>
      <c r="O332" s="6" t="s">
        <v>59</v>
      </c>
      <c r="P332" s="6" t="s">
        <v>2490</v>
      </c>
    </row>
    <row r="333">
      <c r="A333" s="6" t="s">
        <v>983</v>
      </c>
      <c r="B333" s="6">
        <v>224.0</v>
      </c>
      <c r="F333" s="6" t="s">
        <v>1026</v>
      </c>
      <c r="G333" s="6" t="s">
        <v>2491</v>
      </c>
      <c r="H333" s="6" t="s">
        <v>48</v>
      </c>
      <c r="I333" s="6" t="s">
        <v>48</v>
      </c>
      <c r="J333" s="6" t="s">
        <v>48</v>
      </c>
      <c r="K333" s="9" t="str">
        <f>HYPERLINK("https://www.instagram.com/p/Bwy_3aKBgS7/","Open Post")</f>
        <v>Open Post</v>
      </c>
      <c r="L333" s="6" t="s">
        <v>2493</v>
      </c>
      <c r="M333" s="6" t="s">
        <v>2494</v>
      </c>
      <c r="N333" s="6" t="s">
        <v>2495</v>
      </c>
      <c r="O333" s="6" t="s">
        <v>59</v>
      </c>
      <c r="P333" s="6" t="s">
        <v>2497</v>
      </c>
    </row>
    <row r="334">
      <c r="A334" s="6" t="s">
        <v>983</v>
      </c>
      <c r="B334" s="6">
        <v>225.0</v>
      </c>
      <c r="F334" s="6" t="s">
        <v>984</v>
      </c>
      <c r="G334" s="6" t="s">
        <v>390</v>
      </c>
      <c r="H334" s="6" t="s">
        <v>48</v>
      </c>
      <c r="I334" s="6" t="s">
        <v>48</v>
      </c>
      <c r="J334" s="6" t="s">
        <v>48</v>
      </c>
      <c r="K334" s="9" t="str">
        <f>HYPERLINK("https://www.instagram.com/p/BwtqhLeg-Q8/","Open Post")</f>
        <v>Open Post</v>
      </c>
      <c r="L334" s="6" t="s">
        <v>2499</v>
      </c>
      <c r="M334" s="6" t="s">
        <v>2500</v>
      </c>
      <c r="N334" s="6" t="s">
        <v>2501</v>
      </c>
      <c r="O334" s="6" t="s">
        <v>59</v>
      </c>
      <c r="P334" s="6" t="s">
        <v>2502</v>
      </c>
    </row>
    <row r="335">
      <c r="A335" s="6" t="s">
        <v>983</v>
      </c>
      <c r="B335" s="6">
        <v>226.0</v>
      </c>
      <c r="F335" s="6" t="s">
        <v>1026</v>
      </c>
      <c r="G335" s="6" t="s">
        <v>172</v>
      </c>
      <c r="H335" s="6" t="s">
        <v>48</v>
      </c>
      <c r="I335" s="6" t="s">
        <v>48</v>
      </c>
      <c r="J335" s="6" t="s">
        <v>48</v>
      </c>
      <c r="K335" s="9" t="str">
        <f>HYPERLINK("https://www.instagram.com/p/BwtlBNxFNWr/","Open Post")</f>
        <v>Open Post</v>
      </c>
      <c r="L335" s="6" t="s">
        <v>2506</v>
      </c>
      <c r="M335" s="6" t="s">
        <v>2507</v>
      </c>
      <c r="N335" s="6" t="s">
        <v>2508</v>
      </c>
      <c r="O335" s="6" t="s">
        <v>59</v>
      </c>
      <c r="P335" s="6" t="s">
        <v>2509</v>
      </c>
    </row>
    <row r="336">
      <c r="A336" s="6" t="s">
        <v>983</v>
      </c>
      <c r="B336" s="6">
        <v>227.0</v>
      </c>
      <c r="F336" s="6" t="s">
        <v>1026</v>
      </c>
      <c r="G336" s="6" t="s">
        <v>985</v>
      </c>
      <c r="H336" s="6" t="s">
        <v>48</v>
      </c>
      <c r="I336" s="6" t="s">
        <v>48</v>
      </c>
      <c r="J336" s="6" t="s">
        <v>48</v>
      </c>
      <c r="K336" s="9" t="str">
        <f>HYPERLINK("https://www.instagram.com/p/BwsYJHHpVoM/","Open Post")</f>
        <v>Open Post</v>
      </c>
      <c r="L336" s="6" t="s">
        <v>2510</v>
      </c>
      <c r="M336" s="6" t="s">
        <v>2511</v>
      </c>
      <c r="N336" s="6" t="s">
        <v>2512</v>
      </c>
      <c r="O336" s="6" t="s">
        <v>59</v>
      </c>
      <c r="P336" s="6" t="s">
        <v>2513</v>
      </c>
    </row>
    <row r="337">
      <c r="A337" s="6" t="s">
        <v>983</v>
      </c>
      <c r="B337" s="6">
        <v>228.0</v>
      </c>
      <c r="F337" s="6" t="s">
        <v>1026</v>
      </c>
      <c r="G337" s="6" t="s">
        <v>172</v>
      </c>
      <c r="H337" s="6" t="s">
        <v>48</v>
      </c>
      <c r="I337" s="6" t="s">
        <v>48</v>
      </c>
      <c r="J337" s="6" t="s">
        <v>48</v>
      </c>
      <c r="K337" s="9" t="str">
        <f>HYPERLINK("https://www.instagram.com/p/BwsGwA5AbOH/","Open Post")</f>
        <v>Open Post</v>
      </c>
      <c r="L337" s="6" t="s">
        <v>2516</v>
      </c>
      <c r="M337" s="6" t="s">
        <v>2517</v>
      </c>
      <c r="N337" s="6" t="s">
        <v>2518</v>
      </c>
      <c r="O337" s="6" t="s">
        <v>59</v>
      </c>
      <c r="P337" s="6" t="s">
        <v>2519</v>
      </c>
    </row>
    <row r="338">
      <c r="A338" s="6" t="s">
        <v>983</v>
      </c>
      <c r="B338" s="6">
        <v>229.0</v>
      </c>
      <c r="F338" s="6" t="s">
        <v>984</v>
      </c>
      <c r="G338" s="6" t="s">
        <v>172</v>
      </c>
      <c r="H338" s="6" t="s">
        <v>48</v>
      </c>
      <c r="I338" s="6" t="s">
        <v>48</v>
      </c>
      <c r="J338" s="6" t="s">
        <v>48</v>
      </c>
      <c r="K338" s="9" t="str">
        <f>HYPERLINK("https://www.instagram.com/p/BwmNZ9BHGBy/","Open Post")</f>
        <v>Open Post</v>
      </c>
      <c r="L338" s="6" t="s">
        <v>2520</v>
      </c>
      <c r="M338" s="6" t="s">
        <v>2521</v>
      </c>
      <c r="N338" s="6" t="s">
        <v>2522</v>
      </c>
      <c r="O338" s="6" t="s">
        <v>59</v>
      </c>
      <c r="P338" s="6" t="s">
        <v>2523</v>
      </c>
    </row>
    <row r="339">
      <c r="A339" s="6" t="s">
        <v>983</v>
      </c>
      <c r="B339" s="6">
        <v>230.0</v>
      </c>
      <c r="F339" s="6" t="s">
        <v>984</v>
      </c>
      <c r="G339" s="6" t="s">
        <v>172</v>
      </c>
      <c r="H339" s="6" t="s">
        <v>48</v>
      </c>
      <c r="I339" s="6" t="s">
        <v>48</v>
      </c>
      <c r="J339" s="6" t="s">
        <v>48</v>
      </c>
      <c r="K339" s="9" t="str">
        <f>HYPERLINK("https://www.instagram.com/p/BwmNZ9GFB93/","Open Post")</f>
        <v>Open Post</v>
      </c>
      <c r="L339" s="6" t="s">
        <v>2520</v>
      </c>
      <c r="M339" s="6" t="s">
        <v>2521</v>
      </c>
      <c r="N339" s="6" t="s">
        <v>2527</v>
      </c>
      <c r="O339" s="6" t="s">
        <v>59</v>
      </c>
      <c r="P339" s="6" t="s">
        <v>2528</v>
      </c>
    </row>
    <row r="340">
      <c r="A340" s="6" t="s">
        <v>983</v>
      </c>
      <c r="B340" s="6">
        <v>231.0</v>
      </c>
      <c r="F340" s="6" t="s">
        <v>1026</v>
      </c>
      <c r="G340" s="6" t="s">
        <v>477</v>
      </c>
      <c r="H340" s="6" t="s">
        <v>48</v>
      </c>
      <c r="I340" s="6" t="s">
        <v>48</v>
      </c>
      <c r="J340" s="6" t="s">
        <v>48</v>
      </c>
      <c r="K340" s="9" t="str">
        <f>HYPERLINK("https://www.instagram.com/p/Bwl2a3lg94M/","Open Post")</f>
        <v>Open Post</v>
      </c>
      <c r="L340" s="6" t="s">
        <v>2529</v>
      </c>
      <c r="M340" s="6" t="s">
        <v>2530</v>
      </c>
      <c r="N340" s="6" t="s">
        <v>2531</v>
      </c>
      <c r="O340" s="6" t="s">
        <v>59</v>
      </c>
      <c r="P340" s="6" t="s">
        <v>2532</v>
      </c>
    </row>
    <row r="341">
      <c r="A341" s="6" t="s">
        <v>983</v>
      </c>
      <c r="B341" s="6">
        <v>232.0</v>
      </c>
      <c r="F341" s="6" t="s">
        <v>984</v>
      </c>
      <c r="G341" s="6" t="s">
        <v>2534</v>
      </c>
      <c r="H341" s="6" t="s">
        <v>48</v>
      </c>
      <c r="I341" s="6" t="s">
        <v>48</v>
      </c>
      <c r="J341" s="6" t="s">
        <v>48</v>
      </c>
      <c r="K341" s="9" t="str">
        <f>HYPERLINK("https://www.instagram.com/p/BwhYA03AnEn/","Open Post")</f>
        <v>Open Post</v>
      </c>
      <c r="L341" s="6" t="s">
        <v>2536</v>
      </c>
      <c r="M341" s="6" t="s">
        <v>2537</v>
      </c>
      <c r="N341" s="6" t="s">
        <v>2538</v>
      </c>
      <c r="O341" s="6" t="s">
        <v>59</v>
      </c>
      <c r="P341" s="6" t="s">
        <v>2539</v>
      </c>
    </row>
    <row r="342">
      <c r="A342" s="6" t="s">
        <v>983</v>
      </c>
      <c r="B342" s="6">
        <v>233.0</v>
      </c>
      <c r="F342" s="6" t="s">
        <v>984</v>
      </c>
      <c r="G342" s="6" t="s">
        <v>993</v>
      </c>
      <c r="H342" s="6" t="s">
        <v>48</v>
      </c>
      <c r="I342" s="6" t="s">
        <v>48</v>
      </c>
      <c r="J342" s="6" t="s">
        <v>48</v>
      </c>
      <c r="K342" s="9" t="str">
        <f>HYPERLINK("https://www.instagram.com/p/Bwb3fyBFp4T/","Open Post")</f>
        <v>Open Post</v>
      </c>
      <c r="L342" s="6" t="s">
        <v>2541</v>
      </c>
      <c r="M342" s="6" t="s">
        <v>2543</v>
      </c>
      <c r="N342" s="6" t="s">
        <v>2544</v>
      </c>
      <c r="O342" s="6" t="s">
        <v>59</v>
      </c>
      <c r="P342" s="6" t="s">
        <v>2545</v>
      </c>
    </row>
    <row r="343">
      <c r="A343" s="6" t="s">
        <v>983</v>
      </c>
      <c r="B343" s="6">
        <v>234.0</v>
      </c>
      <c r="F343" s="6" t="s">
        <v>984</v>
      </c>
      <c r="G343" s="6" t="s">
        <v>600</v>
      </c>
      <c r="H343" s="6" t="s">
        <v>48</v>
      </c>
      <c r="I343" s="6" t="s">
        <v>48</v>
      </c>
      <c r="J343" s="6" t="s">
        <v>48</v>
      </c>
      <c r="K343" s="9" t="str">
        <f>HYPERLINK("https://www.instagram.com/p/BwbkVEtFvCg/","Open Post")</f>
        <v>Open Post</v>
      </c>
      <c r="L343" s="6" t="s">
        <v>2547</v>
      </c>
      <c r="M343" s="6" t="s">
        <v>2548</v>
      </c>
      <c r="N343" s="6" t="s">
        <v>2549</v>
      </c>
      <c r="O343" s="6" t="s">
        <v>59</v>
      </c>
      <c r="P343" s="6" t="s">
        <v>2550</v>
      </c>
    </row>
    <row r="344">
      <c r="A344" s="6" t="s">
        <v>983</v>
      </c>
      <c r="B344" s="6">
        <v>235.0</v>
      </c>
      <c r="F344" s="6" t="s">
        <v>984</v>
      </c>
      <c r="G344" s="6" t="s">
        <v>1008</v>
      </c>
      <c r="H344" s="6" t="s">
        <v>48</v>
      </c>
      <c r="I344" s="6" t="s">
        <v>48</v>
      </c>
      <c r="J344" s="6" t="s">
        <v>48</v>
      </c>
      <c r="K344" s="9" t="str">
        <f>HYPERLINK("https://www.instagram.com/p/BwT-PsGgmex/","Open Post")</f>
        <v>Open Post</v>
      </c>
      <c r="L344" s="6" t="s">
        <v>2552</v>
      </c>
      <c r="M344" s="6" t="s">
        <v>2553</v>
      </c>
      <c r="N344" s="6" t="s">
        <v>2554</v>
      </c>
      <c r="O344" s="6" t="s">
        <v>59</v>
      </c>
      <c r="P344" s="6" t="s">
        <v>2556</v>
      </c>
    </row>
    <row r="345">
      <c r="A345" s="6" t="s">
        <v>983</v>
      </c>
      <c r="B345" s="6">
        <v>236.0</v>
      </c>
      <c r="F345" s="6" t="s">
        <v>984</v>
      </c>
      <c r="G345" s="6" t="s">
        <v>1127</v>
      </c>
      <c r="H345" s="6" t="s">
        <v>48</v>
      </c>
      <c r="I345" s="6" t="s">
        <v>48</v>
      </c>
      <c r="J345" s="6" t="s">
        <v>48</v>
      </c>
      <c r="K345" s="9" t="str">
        <f>HYPERLINK("https://www.instagram.com/p/BwKeAJUlomz/","Open Post")</f>
        <v>Open Post</v>
      </c>
      <c r="L345" s="6" t="s">
        <v>2558</v>
      </c>
      <c r="M345" s="6" t="s">
        <v>2559</v>
      </c>
      <c r="N345" s="6" t="s">
        <v>2560</v>
      </c>
      <c r="O345" s="6" t="s">
        <v>59</v>
      </c>
      <c r="P345" s="6" t="s">
        <v>2561</v>
      </c>
    </row>
    <row r="346">
      <c r="A346" s="6" t="s">
        <v>983</v>
      </c>
      <c r="B346" s="6">
        <v>237.0</v>
      </c>
      <c r="F346" s="6" t="s">
        <v>65</v>
      </c>
      <c r="G346" s="6" t="s">
        <v>985</v>
      </c>
      <c r="H346" s="6" t="s">
        <v>48</v>
      </c>
      <c r="I346" s="6" t="s">
        <v>48</v>
      </c>
      <c r="J346" s="6" t="s">
        <v>48</v>
      </c>
      <c r="K346" s="9" t="str">
        <f>HYPERLINK("https://www.instagram.com/reel/BwJ7NUYDZn0/","Open Reel")</f>
        <v>Open Reel</v>
      </c>
      <c r="L346" s="6" t="s">
        <v>2564</v>
      </c>
      <c r="M346" s="6" t="s">
        <v>2565</v>
      </c>
      <c r="N346" s="6" t="s">
        <v>2566</v>
      </c>
      <c r="O346" s="6" t="s">
        <v>59</v>
      </c>
      <c r="P346" s="6" t="s">
        <v>2567</v>
      </c>
    </row>
    <row r="347">
      <c r="A347" s="6" t="s">
        <v>983</v>
      </c>
      <c r="B347" s="6">
        <v>238.0</v>
      </c>
      <c r="F347" s="6" t="s">
        <v>984</v>
      </c>
      <c r="G347" s="6" t="s">
        <v>1027</v>
      </c>
      <c r="H347" s="6" t="s">
        <v>48</v>
      </c>
      <c r="I347" s="6" t="s">
        <v>48</v>
      </c>
      <c r="J347" s="6" t="s">
        <v>48</v>
      </c>
      <c r="K347" s="9" t="str">
        <f>HYPERLINK("https://www.instagram.com/p/BwHKzrdgqq4/","Open Post")</f>
        <v>Open Post</v>
      </c>
      <c r="L347" s="6" t="s">
        <v>2568</v>
      </c>
      <c r="M347" s="6" t="s">
        <v>2569</v>
      </c>
      <c r="N347" s="6" t="s">
        <v>2570</v>
      </c>
      <c r="O347" s="6" t="s">
        <v>59</v>
      </c>
      <c r="P347" s="6" t="s">
        <v>2571</v>
      </c>
    </row>
    <row r="348">
      <c r="A348" s="6" t="s">
        <v>983</v>
      </c>
      <c r="B348" s="6">
        <v>239.0</v>
      </c>
      <c r="F348" s="6" t="s">
        <v>984</v>
      </c>
      <c r="G348" s="6" t="s">
        <v>555</v>
      </c>
      <c r="H348" s="6" t="s">
        <v>48</v>
      </c>
      <c r="I348" s="6" t="s">
        <v>48</v>
      </c>
      <c r="J348" s="6" t="s">
        <v>48</v>
      </c>
      <c r="K348" s="9" t="str">
        <f>HYPERLINK("https://www.instagram.com/p/BwFzVp7gsK6/","Open Post")</f>
        <v>Open Post</v>
      </c>
      <c r="L348" s="6" t="s">
        <v>2575</v>
      </c>
      <c r="M348" s="6" t="s">
        <v>2577</v>
      </c>
      <c r="N348" s="6" t="s">
        <v>2578</v>
      </c>
      <c r="O348" s="6" t="s">
        <v>59</v>
      </c>
      <c r="P348" s="6" t="s">
        <v>2579</v>
      </c>
    </row>
    <row r="349">
      <c r="A349" s="6" t="s">
        <v>983</v>
      </c>
      <c r="B349" s="6">
        <v>240.0</v>
      </c>
      <c r="F349" s="6" t="s">
        <v>984</v>
      </c>
      <c r="G349" s="6" t="s">
        <v>172</v>
      </c>
      <c r="H349" s="6" t="s">
        <v>48</v>
      </c>
      <c r="I349" s="6" t="s">
        <v>48</v>
      </c>
      <c r="J349" s="6" t="s">
        <v>48</v>
      </c>
      <c r="K349" s="9" t="str">
        <f>HYPERLINK("https://www.instagram.com/p/BwFjcFeAGPT/","Open Post")</f>
        <v>Open Post</v>
      </c>
      <c r="L349" s="6" t="s">
        <v>2580</v>
      </c>
      <c r="M349" s="6" t="s">
        <v>2581</v>
      </c>
      <c r="N349" s="6" t="s">
        <v>2582</v>
      </c>
      <c r="O349" s="6" t="s">
        <v>59</v>
      </c>
      <c r="P349" s="6" t="s">
        <v>2583</v>
      </c>
    </row>
    <row r="350">
      <c r="A350" s="6" t="s">
        <v>983</v>
      </c>
      <c r="B350" s="6">
        <v>241.0</v>
      </c>
      <c r="F350" s="6" t="s">
        <v>984</v>
      </c>
      <c r="G350" s="6" t="s">
        <v>2584</v>
      </c>
      <c r="H350" s="6" t="s">
        <v>48</v>
      </c>
      <c r="I350" s="6" t="s">
        <v>48</v>
      </c>
      <c r="J350" s="6" t="s">
        <v>48</v>
      </c>
      <c r="K350" s="9" t="str">
        <f>HYPERLINK("https://www.instagram.com/p/BwFa3y8DaSW/","Open Post")</f>
        <v>Open Post</v>
      </c>
      <c r="L350" s="6" t="s">
        <v>2586</v>
      </c>
      <c r="M350" s="6" t="s">
        <v>2587</v>
      </c>
      <c r="N350" s="6" t="s">
        <v>2588</v>
      </c>
      <c r="O350" s="6" t="s">
        <v>59</v>
      </c>
      <c r="P350" s="6" t="s">
        <v>2589</v>
      </c>
    </row>
    <row r="351">
      <c r="A351" s="6" t="s">
        <v>983</v>
      </c>
      <c r="B351" s="6">
        <v>242.0</v>
      </c>
      <c r="F351" s="6" t="s">
        <v>984</v>
      </c>
      <c r="G351" s="6" t="s">
        <v>1127</v>
      </c>
      <c r="H351" s="6" t="s">
        <v>48</v>
      </c>
      <c r="I351" s="6" t="s">
        <v>48</v>
      </c>
      <c r="J351" s="6" t="s">
        <v>48</v>
      </c>
      <c r="K351" s="9" t="str">
        <f>HYPERLINK("https://www.instagram.com/p/BwEwGbjnJHv/","Open Post")</f>
        <v>Open Post</v>
      </c>
      <c r="L351" s="6" t="s">
        <v>2592</v>
      </c>
      <c r="M351" s="6" t="s">
        <v>2593</v>
      </c>
      <c r="N351" s="6" t="s">
        <v>2594</v>
      </c>
      <c r="O351" s="6" t="s">
        <v>59</v>
      </c>
      <c r="P351" s="6" t="s">
        <v>2595</v>
      </c>
    </row>
    <row r="352">
      <c r="A352" s="6" t="s">
        <v>983</v>
      </c>
      <c r="B352" s="6">
        <v>243.0</v>
      </c>
      <c r="F352" s="6" t="s">
        <v>984</v>
      </c>
      <c r="G352" s="6" t="s">
        <v>695</v>
      </c>
      <c r="H352" s="6" t="s">
        <v>48</v>
      </c>
      <c r="I352" s="6" t="s">
        <v>48</v>
      </c>
      <c r="J352" s="6" t="s">
        <v>48</v>
      </c>
      <c r="K352" s="9" t="str">
        <f>HYPERLINK("https://www.instagram.com/p/BwEkDKMgTVP/","Open Post")</f>
        <v>Open Post</v>
      </c>
      <c r="L352" s="6" t="s">
        <v>2596</v>
      </c>
      <c r="M352" s="6" t="s">
        <v>2597</v>
      </c>
      <c r="N352" s="6" t="s">
        <v>2598</v>
      </c>
      <c r="O352" s="6" t="s">
        <v>59</v>
      </c>
      <c r="P352" s="6" t="s">
        <v>2600</v>
      </c>
    </row>
    <row r="353">
      <c r="A353" s="6" t="s">
        <v>983</v>
      </c>
      <c r="B353" s="6">
        <v>244.0</v>
      </c>
      <c r="F353" s="6" t="s">
        <v>984</v>
      </c>
      <c r="G353" s="6" t="s">
        <v>1127</v>
      </c>
      <c r="H353" s="6" t="s">
        <v>48</v>
      </c>
      <c r="I353" s="6" t="s">
        <v>48</v>
      </c>
      <c r="J353" s="6" t="s">
        <v>48</v>
      </c>
      <c r="K353" s="9" t="str">
        <f>HYPERLINK("https://www.instagram.com/p/Bv_iTjsFQ-O/","Open Post")</f>
        <v>Open Post</v>
      </c>
      <c r="L353" s="6" t="s">
        <v>2603</v>
      </c>
      <c r="M353" s="6" t="s">
        <v>2604</v>
      </c>
      <c r="N353" s="6" t="s">
        <v>2605</v>
      </c>
      <c r="O353" s="6" t="s">
        <v>59</v>
      </c>
      <c r="P353" s="6" t="s">
        <v>2606</v>
      </c>
    </row>
    <row r="354">
      <c r="A354" s="6" t="s">
        <v>983</v>
      </c>
      <c r="B354" s="6">
        <v>245.0</v>
      </c>
      <c r="F354" s="6" t="s">
        <v>1026</v>
      </c>
      <c r="G354" s="6" t="s">
        <v>2607</v>
      </c>
      <c r="H354" s="6" t="s">
        <v>48</v>
      </c>
      <c r="I354" s="6" t="s">
        <v>48</v>
      </c>
      <c r="J354" s="6" t="s">
        <v>48</v>
      </c>
      <c r="K354" s="9" t="str">
        <f>HYPERLINK("https://www.instagram.com/p/Bv-sc-ngnu6/","Open Post")</f>
        <v>Open Post</v>
      </c>
      <c r="L354" s="6" t="s">
        <v>2609</v>
      </c>
      <c r="M354" s="6" t="s">
        <v>55</v>
      </c>
      <c r="N354" s="6" t="s">
        <v>2610</v>
      </c>
      <c r="O354" s="6" t="s">
        <v>59</v>
      </c>
      <c r="P354" s="6" t="s">
        <v>2611</v>
      </c>
    </row>
    <row r="355">
      <c r="A355" s="6" t="s">
        <v>983</v>
      </c>
      <c r="B355" s="6">
        <v>246.0</v>
      </c>
      <c r="F355" s="6" t="s">
        <v>984</v>
      </c>
      <c r="G355" s="6" t="s">
        <v>1127</v>
      </c>
      <c r="H355" s="6" t="s">
        <v>48</v>
      </c>
      <c r="I355" s="6" t="s">
        <v>48</v>
      </c>
      <c r="J355" s="6" t="s">
        <v>48</v>
      </c>
      <c r="K355" s="9" t="str">
        <f>HYPERLINK("https://www.instagram.com/p/Bv76gN2lu0J/","Open Post")</f>
        <v>Open Post</v>
      </c>
      <c r="L355" s="6" t="s">
        <v>2614</v>
      </c>
      <c r="M355" s="6" t="s">
        <v>2615</v>
      </c>
      <c r="N355" s="6" t="s">
        <v>2616</v>
      </c>
      <c r="O355" s="6" t="s">
        <v>59</v>
      </c>
      <c r="P355" s="6" t="s">
        <v>2617</v>
      </c>
    </row>
    <row r="356">
      <c r="A356" s="6" t="s">
        <v>983</v>
      </c>
      <c r="B356" s="6">
        <v>247.0</v>
      </c>
      <c r="F356" s="6" t="s">
        <v>1026</v>
      </c>
      <c r="G356" s="6" t="s">
        <v>172</v>
      </c>
      <c r="H356" s="6" t="s">
        <v>48</v>
      </c>
      <c r="I356" s="6" t="s">
        <v>48</v>
      </c>
      <c r="J356" s="6" t="s">
        <v>48</v>
      </c>
      <c r="K356" s="9" t="str">
        <f>HYPERLINK("https://www.instagram.com/p/Bv67RCfnP-V/","Open Post")</f>
        <v>Open Post</v>
      </c>
      <c r="L356" s="6" t="s">
        <v>2618</v>
      </c>
      <c r="M356" s="6" t="s">
        <v>2619</v>
      </c>
      <c r="N356" s="6" t="s">
        <v>2621</v>
      </c>
      <c r="O356" s="6" t="s">
        <v>59</v>
      </c>
      <c r="P356" s="6" t="s">
        <v>2622</v>
      </c>
    </row>
    <row r="357">
      <c r="A357" s="6" t="s">
        <v>983</v>
      </c>
      <c r="B357" s="6">
        <v>248.0</v>
      </c>
      <c r="F357" s="6" t="s">
        <v>984</v>
      </c>
      <c r="G357" s="6" t="s">
        <v>1019</v>
      </c>
      <c r="H357" s="6" t="s">
        <v>48</v>
      </c>
      <c r="I357" s="6" t="s">
        <v>48</v>
      </c>
      <c r="J357" s="6" t="s">
        <v>48</v>
      </c>
      <c r="K357" s="9" t="str">
        <f>HYPERLINK("https://www.instagram.com/p/Bv4cMp2Hept/","Open Post")</f>
        <v>Open Post</v>
      </c>
      <c r="L357" s="6" t="s">
        <v>2624</v>
      </c>
      <c r="M357" s="6" t="s">
        <v>2625</v>
      </c>
      <c r="N357" s="6" t="s">
        <v>2626</v>
      </c>
      <c r="O357" s="6" t="s">
        <v>59</v>
      </c>
      <c r="P357" s="6" t="s">
        <v>2627</v>
      </c>
    </row>
    <row r="358">
      <c r="A358" s="6" t="s">
        <v>983</v>
      </c>
      <c r="B358" s="6">
        <v>249.0</v>
      </c>
      <c r="F358" s="6" t="s">
        <v>65</v>
      </c>
      <c r="G358" s="6" t="s">
        <v>1019</v>
      </c>
      <c r="H358" s="6" t="s">
        <v>48</v>
      </c>
      <c r="I358" s="6" t="s">
        <v>48</v>
      </c>
      <c r="J358" s="6" t="s">
        <v>48</v>
      </c>
      <c r="K358" s="9" t="str">
        <f>HYPERLINK("https://www.instagram.com/reel/Bv3dSBonF8o/","Open Reel")</f>
        <v>Open Reel</v>
      </c>
      <c r="L358" s="6" t="s">
        <v>2629</v>
      </c>
      <c r="M358" s="6" t="s">
        <v>2630</v>
      </c>
      <c r="N358" s="6" t="s">
        <v>2631</v>
      </c>
      <c r="O358" s="6" t="s">
        <v>59</v>
      </c>
      <c r="P358" s="6" t="s">
        <v>2632</v>
      </c>
    </row>
    <row r="359">
      <c r="A359" s="6" t="s">
        <v>983</v>
      </c>
      <c r="B359" s="6">
        <v>250.0</v>
      </c>
      <c r="F359" s="6" t="s">
        <v>984</v>
      </c>
      <c r="G359" s="6" t="s">
        <v>300</v>
      </c>
      <c r="H359" s="6" t="s">
        <v>48</v>
      </c>
      <c r="I359" s="6" t="s">
        <v>48</v>
      </c>
      <c r="J359" s="6" t="s">
        <v>48</v>
      </c>
      <c r="K359" s="9" t="str">
        <f>HYPERLINK("https://www.instagram.com/p/Bv27GISFaB4/","Open Post")</f>
        <v>Open Post</v>
      </c>
      <c r="L359" s="6" t="s">
        <v>2635</v>
      </c>
      <c r="M359" s="6" t="s">
        <v>2636</v>
      </c>
      <c r="N359" s="6" t="s">
        <v>2637</v>
      </c>
      <c r="O359" s="6" t="s">
        <v>59</v>
      </c>
      <c r="P359" s="6" t="s">
        <v>2638</v>
      </c>
    </row>
    <row r="360">
      <c r="A360" s="6" t="s">
        <v>983</v>
      </c>
      <c r="B360" s="6">
        <v>251.0</v>
      </c>
      <c r="F360" s="6" t="s">
        <v>984</v>
      </c>
      <c r="G360" s="6" t="s">
        <v>369</v>
      </c>
      <c r="H360" s="6" t="s">
        <v>48</v>
      </c>
      <c r="I360" s="6" t="s">
        <v>48</v>
      </c>
      <c r="J360" s="6" t="s">
        <v>48</v>
      </c>
      <c r="K360" s="9" t="str">
        <f>HYPERLINK("https://www.instagram.com/p/Bv2aG_en7tn/","Open Post")</f>
        <v>Open Post</v>
      </c>
      <c r="M360" s="6" t="s">
        <v>55</v>
      </c>
      <c r="N360" s="6" t="s">
        <v>2639</v>
      </c>
      <c r="O360" s="6" t="s">
        <v>59</v>
      </c>
      <c r="P360" s="6" t="s">
        <v>2641</v>
      </c>
    </row>
    <row r="361">
      <c r="A361" s="6" t="s">
        <v>983</v>
      </c>
      <c r="B361" s="6">
        <v>252.0</v>
      </c>
      <c r="F361" s="6" t="s">
        <v>984</v>
      </c>
      <c r="G361" s="6" t="s">
        <v>172</v>
      </c>
      <c r="H361" s="6" t="s">
        <v>48</v>
      </c>
      <c r="I361" s="6" t="s">
        <v>48</v>
      </c>
      <c r="J361" s="6" t="s">
        <v>48</v>
      </c>
      <c r="K361" s="9" t="str">
        <f>HYPERLINK("https://www.instagram.com/p/BvwKSNCFC_6/","Open Post")</f>
        <v>Open Post</v>
      </c>
      <c r="L361" s="6" t="s">
        <v>2644</v>
      </c>
      <c r="M361" s="6" t="s">
        <v>2645</v>
      </c>
      <c r="N361" s="6" t="s">
        <v>2646</v>
      </c>
      <c r="O361" s="6" t="s">
        <v>59</v>
      </c>
      <c r="P361" s="6" t="s">
        <v>2647</v>
      </c>
    </row>
    <row r="362">
      <c r="A362" s="6" t="s">
        <v>983</v>
      </c>
      <c r="B362" s="6">
        <v>253.0</v>
      </c>
      <c r="F362" s="6" t="s">
        <v>984</v>
      </c>
      <c r="G362" s="6" t="s">
        <v>369</v>
      </c>
      <c r="H362" s="6" t="s">
        <v>48</v>
      </c>
      <c r="I362" s="6" t="s">
        <v>48</v>
      </c>
      <c r="J362" s="6" t="s">
        <v>48</v>
      </c>
      <c r="K362" s="9" t="str">
        <f>HYPERLINK("https://www.instagram.com/p/Bvv70fClQXY/","Open Post")</f>
        <v>Open Post</v>
      </c>
      <c r="L362" s="6" t="s">
        <v>2648</v>
      </c>
      <c r="M362" s="6" t="s">
        <v>55</v>
      </c>
      <c r="N362" s="6" t="s">
        <v>2649</v>
      </c>
      <c r="O362" s="6" t="s">
        <v>59</v>
      </c>
      <c r="P362" s="6" t="s">
        <v>2650</v>
      </c>
    </row>
    <row r="363">
      <c r="A363" s="6" t="s">
        <v>983</v>
      </c>
      <c r="B363" s="6">
        <v>254.0</v>
      </c>
      <c r="F363" s="6" t="s">
        <v>984</v>
      </c>
      <c r="G363" s="6" t="s">
        <v>300</v>
      </c>
      <c r="H363" s="6" t="s">
        <v>48</v>
      </c>
      <c r="I363" s="6" t="s">
        <v>48</v>
      </c>
      <c r="J363" s="6" t="s">
        <v>48</v>
      </c>
      <c r="K363" s="9" t="str">
        <f>HYPERLINK("https://www.instagram.com/p/BvtvLuvg4ag/","Open Post")</f>
        <v>Open Post</v>
      </c>
      <c r="L363" s="6" t="s">
        <v>2654</v>
      </c>
      <c r="M363" s="6" t="s">
        <v>2655</v>
      </c>
      <c r="N363" s="6" t="s">
        <v>2656</v>
      </c>
      <c r="O363" s="6" t="s">
        <v>59</v>
      </c>
      <c r="P363" s="6" t="s">
        <v>2657</v>
      </c>
    </row>
    <row r="364">
      <c r="A364" s="6" t="s">
        <v>983</v>
      </c>
      <c r="B364" s="6">
        <v>255.0</v>
      </c>
      <c r="F364" s="6" t="s">
        <v>984</v>
      </c>
      <c r="G364" s="6" t="s">
        <v>1027</v>
      </c>
      <c r="H364" s="6" t="s">
        <v>48</v>
      </c>
      <c r="I364" s="6" t="s">
        <v>48</v>
      </c>
      <c r="J364" s="6" t="s">
        <v>48</v>
      </c>
      <c r="K364" s="9" t="str">
        <f>HYPERLINK("https://www.instagram.com/p/Bvscyrvg1Wn/","Open Post")</f>
        <v>Open Post</v>
      </c>
      <c r="L364" s="6" t="s">
        <v>2658</v>
      </c>
      <c r="M364" s="6" t="s">
        <v>2659</v>
      </c>
      <c r="N364" s="6" t="s">
        <v>2660</v>
      </c>
      <c r="O364" s="6" t="s">
        <v>59</v>
      </c>
      <c r="P364" s="6" t="s">
        <v>2661</v>
      </c>
    </row>
    <row r="365">
      <c r="A365" s="6" t="s">
        <v>983</v>
      </c>
      <c r="B365" s="6">
        <v>256.0</v>
      </c>
      <c r="F365" s="6" t="s">
        <v>984</v>
      </c>
      <c r="G365" s="6" t="s">
        <v>985</v>
      </c>
      <c r="H365" s="6" t="s">
        <v>48</v>
      </c>
      <c r="I365" s="6" t="s">
        <v>48</v>
      </c>
      <c r="J365" s="6" t="s">
        <v>48</v>
      </c>
      <c r="K365" s="9" t="str">
        <f>HYPERLINK("https://www.instagram.com/p/BvrgN6vHe5A/","Open Post")</f>
        <v>Open Post</v>
      </c>
      <c r="L365" s="6" t="s">
        <v>2665</v>
      </c>
      <c r="M365" s="6" t="s">
        <v>55</v>
      </c>
      <c r="N365" s="6" t="s">
        <v>2666</v>
      </c>
      <c r="O365" s="6" t="s">
        <v>59</v>
      </c>
      <c r="P365" s="6" t="s">
        <v>2667</v>
      </c>
    </row>
    <row r="366">
      <c r="A366" s="6" t="s">
        <v>983</v>
      </c>
      <c r="B366" s="6">
        <v>257.0</v>
      </c>
      <c r="F366" s="6" t="s">
        <v>984</v>
      </c>
      <c r="G366" s="6" t="s">
        <v>1236</v>
      </c>
      <c r="H366" s="6" t="s">
        <v>48</v>
      </c>
      <c r="I366" s="6" t="s">
        <v>48</v>
      </c>
      <c r="J366" s="6" t="s">
        <v>48</v>
      </c>
      <c r="K366" s="9" t="str">
        <f>HYPERLINK("https://www.instagram.com/p/BvhIO-VF0bt/","Open Post")</f>
        <v>Open Post</v>
      </c>
      <c r="L366" s="6" t="s">
        <v>2668</v>
      </c>
      <c r="M366" s="6" t="s">
        <v>2669</v>
      </c>
      <c r="N366" s="6" t="s">
        <v>2670</v>
      </c>
      <c r="O366" s="6" t="s">
        <v>59</v>
      </c>
      <c r="P366" s="6" t="s">
        <v>2671</v>
      </c>
    </row>
    <row r="367">
      <c r="A367" s="6" t="s">
        <v>983</v>
      </c>
      <c r="B367" s="6">
        <v>258.0</v>
      </c>
      <c r="F367" s="6" t="s">
        <v>984</v>
      </c>
      <c r="G367" s="6" t="s">
        <v>993</v>
      </c>
      <c r="H367" s="6" t="s">
        <v>48</v>
      </c>
      <c r="I367" s="6" t="s">
        <v>48</v>
      </c>
      <c r="J367" s="6" t="s">
        <v>48</v>
      </c>
      <c r="K367" s="9" t="str">
        <f>HYPERLINK("https://www.instagram.com/p/BvdoqbCHq_b/","Open Post")</f>
        <v>Open Post</v>
      </c>
      <c r="L367" s="6" t="s">
        <v>2675</v>
      </c>
      <c r="M367" s="6" t="s">
        <v>2676</v>
      </c>
      <c r="N367" s="6" t="s">
        <v>2678</v>
      </c>
      <c r="O367" s="6" t="s">
        <v>59</v>
      </c>
      <c r="P367" s="6" t="s">
        <v>2679</v>
      </c>
    </row>
    <row r="368">
      <c r="A368" s="6" t="s">
        <v>983</v>
      </c>
      <c r="B368" s="6">
        <v>259.0</v>
      </c>
      <c r="F368" s="6" t="s">
        <v>1026</v>
      </c>
      <c r="G368" s="6" t="s">
        <v>1008</v>
      </c>
      <c r="H368" s="6" t="s">
        <v>48</v>
      </c>
      <c r="I368" s="6" t="s">
        <v>48</v>
      </c>
      <c r="J368" s="6" t="s">
        <v>48</v>
      </c>
      <c r="K368" s="9" t="str">
        <f>HYPERLINK("https://www.instagram.com/p/BvcCAS1AXmI/","Open Post")</f>
        <v>Open Post</v>
      </c>
      <c r="L368" s="6" t="s">
        <v>2681</v>
      </c>
      <c r="M368" s="6" t="s">
        <v>2682</v>
      </c>
      <c r="N368" s="6" t="s">
        <v>2683</v>
      </c>
      <c r="O368" s="6" t="s">
        <v>59</v>
      </c>
      <c r="P368" s="6" t="s">
        <v>2684</v>
      </c>
    </row>
    <row r="369">
      <c r="A369" s="6" t="s">
        <v>983</v>
      </c>
      <c r="B369" s="6">
        <v>260.0</v>
      </c>
      <c r="F369" s="6" t="s">
        <v>1026</v>
      </c>
      <c r="G369" s="6" t="s">
        <v>2685</v>
      </c>
      <c r="H369" s="6" t="s">
        <v>48</v>
      </c>
      <c r="I369" s="6" t="s">
        <v>48</v>
      </c>
      <c r="J369" s="6" t="s">
        <v>48</v>
      </c>
      <c r="K369" s="9" t="str">
        <f>HYPERLINK("https://www.instagram.com/p/BvSA8yaHKDf/","Open Post")</f>
        <v>Open Post</v>
      </c>
      <c r="L369" s="6" t="s">
        <v>2689</v>
      </c>
      <c r="M369" s="6" t="s">
        <v>2690</v>
      </c>
      <c r="N369" s="6" t="s">
        <v>2691</v>
      </c>
      <c r="O369" s="6" t="s">
        <v>59</v>
      </c>
      <c r="P369" s="6" t="s">
        <v>2692</v>
      </c>
    </row>
    <row r="370">
      <c r="A370" s="6" t="s">
        <v>983</v>
      </c>
      <c r="B370" s="6">
        <v>261.0</v>
      </c>
      <c r="F370" s="6" t="s">
        <v>984</v>
      </c>
      <c r="G370" s="6" t="s">
        <v>2607</v>
      </c>
      <c r="H370" s="6" t="s">
        <v>48</v>
      </c>
      <c r="I370" s="6" t="s">
        <v>48</v>
      </c>
      <c r="J370" s="6" t="s">
        <v>48</v>
      </c>
      <c r="K370" s="9" t="str">
        <f>HYPERLINK("https://www.instagram.com/p/BvU-tETgX1y/","Open Post")</f>
        <v>Open Post</v>
      </c>
      <c r="L370" s="6" t="s">
        <v>2694</v>
      </c>
      <c r="M370" s="6" t="s">
        <v>2695</v>
      </c>
      <c r="N370" s="6" t="s">
        <v>2696</v>
      </c>
      <c r="O370" s="6" t="s">
        <v>59</v>
      </c>
      <c r="P370" s="6" t="s">
        <v>2697</v>
      </c>
    </row>
    <row r="371">
      <c r="A371" s="6" t="s">
        <v>983</v>
      </c>
      <c r="B371" s="6">
        <v>262.0</v>
      </c>
      <c r="F371" s="6" t="s">
        <v>984</v>
      </c>
      <c r="G371" s="6" t="s">
        <v>2698</v>
      </c>
      <c r="H371" s="6" t="s">
        <v>48</v>
      </c>
      <c r="I371" s="6" t="s">
        <v>48</v>
      </c>
      <c r="J371" s="6" t="s">
        <v>48</v>
      </c>
      <c r="K371" s="9" t="str">
        <f>HYPERLINK("https://www.instagram.com/p/BvU4upKnrpY/","Open Post")</f>
        <v>Open Post</v>
      </c>
      <c r="L371" s="6" t="s">
        <v>2700</v>
      </c>
      <c r="M371" s="6" t="s">
        <v>2701</v>
      </c>
      <c r="N371" s="6" t="s">
        <v>2702</v>
      </c>
      <c r="O371" s="6" t="s">
        <v>59</v>
      </c>
      <c r="P371" s="6" t="s">
        <v>2703</v>
      </c>
    </row>
    <row r="372">
      <c r="A372" s="6" t="s">
        <v>983</v>
      </c>
      <c r="B372" s="6">
        <v>263.0</v>
      </c>
      <c r="F372" s="6" t="s">
        <v>984</v>
      </c>
      <c r="G372" s="6" t="s">
        <v>2704</v>
      </c>
      <c r="H372" s="6" t="s">
        <v>48</v>
      </c>
      <c r="I372" s="6" t="s">
        <v>48</v>
      </c>
      <c r="J372" s="6" t="s">
        <v>48</v>
      </c>
      <c r="K372" s="9" t="str">
        <f>HYPERLINK("https://www.instagram.com/p/BvUsVQPAMQG/","Open Post")</f>
        <v>Open Post</v>
      </c>
      <c r="L372" s="6" t="s">
        <v>2707</v>
      </c>
      <c r="M372" s="6" t="s">
        <v>2708</v>
      </c>
      <c r="N372" s="6" t="s">
        <v>2709</v>
      </c>
      <c r="O372" s="6" t="s">
        <v>59</v>
      </c>
      <c r="P372" s="6" t="s">
        <v>2711</v>
      </c>
    </row>
    <row r="373">
      <c r="A373" s="6" t="s">
        <v>983</v>
      </c>
      <c r="B373" s="6">
        <v>264.0</v>
      </c>
      <c r="F373" s="6" t="s">
        <v>984</v>
      </c>
      <c r="G373" s="6" t="s">
        <v>1228</v>
      </c>
      <c r="H373" s="6" t="s">
        <v>48</v>
      </c>
      <c r="I373" s="6" t="s">
        <v>48</v>
      </c>
      <c r="J373" s="6" t="s">
        <v>48</v>
      </c>
      <c r="K373" s="9" t="str">
        <f>HYPERLINK("https://www.instagram.com/p/BvUrkEdAWLc/","Open Post")</f>
        <v>Open Post</v>
      </c>
      <c r="L373" s="6" t="s">
        <v>2713</v>
      </c>
      <c r="M373" s="6" t="s">
        <v>2708</v>
      </c>
      <c r="N373" s="6" t="s">
        <v>2714</v>
      </c>
      <c r="O373" s="6" t="s">
        <v>59</v>
      </c>
      <c r="P373" s="6" t="s">
        <v>2715</v>
      </c>
    </row>
    <row r="374">
      <c r="A374" s="6" t="s">
        <v>983</v>
      </c>
      <c r="B374" s="6">
        <v>265.0</v>
      </c>
      <c r="F374" s="6" t="s">
        <v>984</v>
      </c>
      <c r="G374" s="6" t="s">
        <v>1228</v>
      </c>
      <c r="H374" s="6" t="s">
        <v>48</v>
      </c>
      <c r="I374" s="6" t="s">
        <v>48</v>
      </c>
      <c r="J374" s="6" t="s">
        <v>48</v>
      </c>
      <c r="K374" s="9" t="str">
        <f>HYPERLINK("https://www.instagram.com/p/BvUrPxPAoMG/","Open Post")</f>
        <v>Open Post</v>
      </c>
      <c r="L374" s="6" t="s">
        <v>2718</v>
      </c>
      <c r="M374" s="6" t="s">
        <v>2708</v>
      </c>
      <c r="N374" s="6" t="s">
        <v>2719</v>
      </c>
      <c r="O374" s="6" t="s">
        <v>59</v>
      </c>
      <c r="P374" s="6" t="s">
        <v>2720</v>
      </c>
    </row>
    <row r="375">
      <c r="A375" s="6" t="s">
        <v>983</v>
      </c>
      <c r="B375" s="6">
        <v>266.0</v>
      </c>
      <c r="F375" s="6" t="s">
        <v>1026</v>
      </c>
      <c r="G375" s="6" t="s">
        <v>1027</v>
      </c>
      <c r="H375" s="6" t="s">
        <v>48</v>
      </c>
      <c r="I375" s="6" t="s">
        <v>48</v>
      </c>
      <c r="J375" s="6" t="s">
        <v>48</v>
      </c>
      <c r="K375" s="9" t="str">
        <f>HYPERLINK("https://www.instagram.com/p/BvTHWcQhsaQ/","Open Post")</f>
        <v>Open Post</v>
      </c>
      <c r="L375" s="6" t="s">
        <v>2722</v>
      </c>
      <c r="M375" s="6" t="s">
        <v>2723</v>
      </c>
      <c r="N375" s="6" t="s">
        <v>2724</v>
      </c>
      <c r="O375" s="6" t="s">
        <v>59</v>
      </c>
      <c r="P375" s="6" t="s">
        <v>2725</v>
      </c>
    </row>
    <row r="376">
      <c r="A376" s="6" t="s">
        <v>983</v>
      </c>
      <c r="B376" s="6">
        <v>267.0</v>
      </c>
      <c r="F376" s="6" t="s">
        <v>984</v>
      </c>
      <c r="G376" s="6" t="s">
        <v>228</v>
      </c>
      <c r="H376" s="6" t="s">
        <v>48</v>
      </c>
      <c r="I376" s="6" t="s">
        <v>48</v>
      </c>
      <c r="J376" s="6" t="s">
        <v>48</v>
      </c>
      <c r="K376" s="9" t="str">
        <f>HYPERLINK("https://www.instagram.com/p/BvTDwBGlkh3/","Open Post")</f>
        <v>Open Post</v>
      </c>
      <c r="L376" s="6" t="s">
        <v>2728</v>
      </c>
      <c r="M376" s="6" t="s">
        <v>2729</v>
      </c>
      <c r="N376" s="6" t="s">
        <v>2730</v>
      </c>
      <c r="O376" s="6" t="s">
        <v>59</v>
      </c>
      <c r="P376" s="6" t="s">
        <v>2731</v>
      </c>
    </row>
    <row r="377">
      <c r="A377" s="6" t="s">
        <v>983</v>
      </c>
      <c r="B377" s="6">
        <v>268.0</v>
      </c>
      <c r="F377" s="6" t="s">
        <v>984</v>
      </c>
      <c r="G377" s="6" t="s">
        <v>2732</v>
      </c>
      <c r="H377" s="6" t="s">
        <v>48</v>
      </c>
      <c r="I377" s="6" t="s">
        <v>48</v>
      </c>
      <c r="J377" s="6" t="s">
        <v>48</v>
      </c>
      <c r="K377" s="9" t="str">
        <f>HYPERLINK("https://www.instagram.com/p/BvSUhxnlDw8/","Open Post")</f>
        <v>Open Post</v>
      </c>
      <c r="L377" s="6" t="s">
        <v>2734</v>
      </c>
      <c r="M377" s="6" t="s">
        <v>2735</v>
      </c>
      <c r="N377" s="6" t="s">
        <v>2736</v>
      </c>
      <c r="O377" s="6" t="s">
        <v>59</v>
      </c>
      <c r="P377" s="6" t="s">
        <v>2737</v>
      </c>
    </row>
    <row r="378">
      <c r="A378" s="6" t="s">
        <v>983</v>
      </c>
      <c r="B378" s="6">
        <v>269.0</v>
      </c>
      <c r="F378" s="6" t="s">
        <v>984</v>
      </c>
      <c r="G378" s="6" t="s">
        <v>1008</v>
      </c>
      <c r="H378" s="6" t="s">
        <v>48</v>
      </c>
      <c r="I378" s="6" t="s">
        <v>48</v>
      </c>
      <c r="J378" s="6" t="s">
        <v>48</v>
      </c>
      <c r="K378" s="9" t="str">
        <f>HYPERLINK("https://www.instagram.com/p/BvSTdyRhata/","Open Post")</f>
        <v>Open Post</v>
      </c>
      <c r="L378" s="6" t="s">
        <v>2740</v>
      </c>
      <c r="M378" s="6" t="s">
        <v>2741</v>
      </c>
      <c r="N378" s="6" t="s">
        <v>2742</v>
      </c>
      <c r="O378" s="6" t="s">
        <v>59</v>
      </c>
      <c r="P378" s="6" t="s">
        <v>2743</v>
      </c>
    </row>
    <row r="379">
      <c r="A379" s="6" t="s">
        <v>983</v>
      </c>
      <c r="B379" s="6">
        <v>270.0</v>
      </c>
      <c r="F379" s="6" t="s">
        <v>984</v>
      </c>
      <c r="G379" s="6" t="s">
        <v>2704</v>
      </c>
      <c r="H379" s="6" t="s">
        <v>48</v>
      </c>
      <c r="I379" s="6" t="s">
        <v>48</v>
      </c>
      <c r="J379" s="6" t="s">
        <v>48</v>
      </c>
      <c r="K379" s="9" t="str">
        <f>HYPERLINK("https://www.instagram.com/p/BvSST1Zn1OY/","Open Post")</f>
        <v>Open Post</v>
      </c>
      <c r="L379" s="6" t="s">
        <v>2745</v>
      </c>
      <c r="M379" s="6" t="s">
        <v>2708</v>
      </c>
      <c r="N379" s="6" t="s">
        <v>2746</v>
      </c>
      <c r="O379" s="6" t="s">
        <v>59</v>
      </c>
      <c r="P379" s="6" t="s">
        <v>2747</v>
      </c>
    </row>
    <row r="380">
      <c r="A380" s="6" t="s">
        <v>983</v>
      </c>
      <c r="B380" s="6">
        <v>271.0</v>
      </c>
      <c r="F380" s="6" t="s">
        <v>984</v>
      </c>
      <c r="G380" s="6" t="s">
        <v>2704</v>
      </c>
      <c r="H380" s="6" t="s">
        <v>48</v>
      </c>
      <c r="I380" s="6" t="s">
        <v>48</v>
      </c>
      <c r="J380" s="6" t="s">
        <v>48</v>
      </c>
      <c r="K380" s="9" t="str">
        <f>HYPERLINK("https://www.instagram.com/p/BvSHNB9AZDw/","Open Post")</f>
        <v>Open Post</v>
      </c>
      <c r="L380" s="6" t="s">
        <v>2751</v>
      </c>
      <c r="M380" s="6" t="s">
        <v>2708</v>
      </c>
      <c r="N380" s="6" t="s">
        <v>2752</v>
      </c>
      <c r="O380" s="6" t="s">
        <v>59</v>
      </c>
      <c r="P380" s="6" t="s">
        <v>2753</v>
      </c>
    </row>
    <row r="381">
      <c r="A381" s="6" t="s">
        <v>983</v>
      </c>
      <c r="B381" s="6">
        <v>272.0</v>
      </c>
      <c r="F381" s="6" t="s">
        <v>984</v>
      </c>
      <c r="G381" s="6" t="s">
        <v>1019</v>
      </c>
      <c r="H381" s="6" t="s">
        <v>48</v>
      </c>
      <c r="I381" s="6" t="s">
        <v>48</v>
      </c>
      <c r="J381" s="6" t="s">
        <v>48</v>
      </c>
      <c r="K381" s="9" t="str">
        <f>HYPERLINK("https://www.instagram.com/p/BvQvmiIAWAY/","Open Post")</f>
        <v>Open Post</v>
      </c>
      <c r="L381" s="6" t="s">
        <v>2754</v>
      </c>
      <c r="M381" s="6" t="s">
        <v>2755</v>
      </c>
      <c r="N381" s="6" t="s">
        <v>2756</v>
      </c>
      <c r="O381" s="6" t="s">
        <v>59</v>
      </c>
      <c r="P381" s="6" t="s">
        <v>2758</v>
      </c>
    </row>
    <row r="382">
      <c r="A382" s="6" t="s">
        <v>983</v>
      </c>
      <c r="B382" s="6">
        <v>273.0</v>
      </c>
      <c r="F382" s="6" t="s">
        <v>984</v>
      </c>
      <c r="G382" s="6" t="s">
        <v>2759</v>
      </c>
      <c r="H382" s="6" t="s">
        <v>48</v>
      </c>
      <c r="I382" s="6" t="s">
        <v>48</v>
      </c>
      <c r="J382" s="6" t="s">
        <v>48</v>
      </c>
      <c r="K382" s="9" t="str">
        <f>HYPERLINK("https://www.instagram.com/p/BvQQuPPneJn/","Open Post")</f>
        <v>Open Post</v>
      </c>
      <c r="L382" s="6" t="s">
        <v>2762</v>
      </c>
      <c r="M382" s="6" t="s">
        <v>2741</v>
      </c>
      <c r="N382" s="6" t="s">
        <v>2763</v>
      </c>
      <c r="O382" s="6" t="s">
        <v>59</v>
      </c>
      <c r="P382" s="6" t="s">
        <v>2765</v>
      </c>
    </row>
    <row r="383">
      <c r="A383" s="6" t="s">
        <v>983</v>
      </c>
      <c r="B383" s="6">
        <v>274.0</v>
      </c>
      <c r="F383" s="6" t="s">
        <v>984</v>
      </c>
      <c r="G383" s="6" t="s">
        <v>2759</v>
      </c>
      <c r="H383" s="6" t="s">
        <v>48</v>
      </c>
      <c r="I383" s="6" t="s">
        <v>48</v>
      </c>
      <c r="J383" s="6" t="s">
        <v>48</v>
      </c>
      <c r="K383" s="9" t="str">
        <f>HYPERLINK("https://www.instagram.com/p/BvQQhSxgBh-/","Open Post")</f>
        <v>Open Post</v>
      </c>
      <c r="L383" s="6" t="s">
        <v>2768</v>
      </c>
      <c r="M383" s="6" t="s">
        <v>2741</v>
      </c>
      <c r="N383" s="6" t="s">
        <v>2769</v>
      </c>
      <c r="O383" s="6" t="s">
        <v>59</v>
      </c>
      <c r="P383" s="6" t="s">
        <v>2770</v>
      </c>
    </row>
    <row r="384">
      <c r="A384" s="6" t="s">
        <v>983</v>
      </c>
      <c r="B384" s="6">
        <v>275.0</v>
      </c>
      <c r="F384" s="6" t="s">
        <v>984</v>
      </c>
      <c r="G384" s="6" t="s">
        <v>2704</v>
      </c>
      <c r="H384" s="6" t="s">
        <v>48</v>
      </c>
      <c r="I384" s="6" t="s">
        <v>48</v>
      </c>
      <c r="J384" s="6" t="s">
        <v>48</v>
      </c>
      <c r="K384" s="9" t="str">
        <f>HYPERLINK("https://www.instagram.com/p/BvQK8eunEhb/","Open Post")</f>
        <v>Open Post</v>
      </c>
      <c r="L384" s="6" t="s">
        <v>2771</v>
      </c>
      <c r="M384" s="6" t="s">
        <v>2708</v>
      </c>
      <c r="N384" s="6" t="s">
        <v>2772</v>
      </c>
      <c r="O384" s="6" t="s">
        <v>59</v>
      </c>
      <c r="P384" s="6" t="s">
        <v>2773</v>
      </c>
    </row>
    <row r="385">
      <c r="A385" s="6" t="s">
        <v>983</v>
      </c>
      <c r="B385" s="6">
        <v>276.0</v>
      </c>
      <c r="F385" s="6" t="s">
        <v>984</v>
      </c>
      <c r="G385" s="6" t="s">
        <v>2704</v>
      </c>
      <c r="H385" s="6" t="s">
        <v>48</v>
      </c>
      <c r="I385" s="6" t="s">
        <v>48</v>
      </c>
      <c r="J385" s="6" t="s">
        <v>48</v>
      </c>
      <c r="K385" s="9" t="str">
        <f>HYPERLINK("https://www.instagram.com/p/BvQDlqYHEXf/","Open Post")</f>
        <v>Open Post</v>
      </c>
      <c r="L385" s="6" t="s">
        <v>2708</v>
      </c>
      <c r="M385" s="6" t="s">
        <v>2708</v>
      </c>
      <c r="N385" s="6" t="s">
        <v>2777</v>
      </c>
      <c r="O385" s="6" t="s">
        <v>59</v>
      </c>
      <c r="P385" s="6" t="s">
        <v>2778</v>
      </c>
    </row>
    <row r="386">
      <c r="A386" s="6" t="s">
        <v>983</v>
      </c>
      <c r="B386" s="6">
        <v>277.0</v>
      </c>
      <c r="F386" s="6" t="s">
        <v>984</v>
      </c>
      <c r="G386" s="6" t="s">
        <v>1251</v>
      </c>
      <c r="H386" s="6" t="s">
        <v>48</v>
      </c>
      <c r="I386" s="6" t="s">
        <v>48</v>
      </c>
      <c r="J386" s="6" t="s">
        <v>48</v>
      </c>
      <c r="K386" s="9" t="str">
        <f>HYPERLINK("https://www.instagram.com/p/BvPFEk0HEGv/","Open Post")</f>
        <v>Open Post</v>
      </c>
      <c r="L386" s="6" t="s">
        <v>2781</v>
      </c>
      <c r="M386" s="6" t="s">
        <v>2782</v>
      </c>
      <c r="N386" s="6" t="s">
        <v>2783</v>
      </c>
      <c r="O386" s="6" t="s">
        <v>59</v>
      </c>
      <c r="P386" s="6" t="s">
        <v>2784</v>
      </c>
    </row>
    <row r="387">
      <c r="A387" s="6" t="s">
        <v>983</v>
      </c>
      <c r="B387" s="6">
        <v>278.0</v>
      </c>
      <c r="F387" s="6" t="s">
        <v>65</v>
      </c>
      <c r="G387" s="6" t="s">
        <v>1027</v>
      </c>
      <c r="H387" s="6" t="s">
        <v>48</v>
      </c>
      <c r="I387" s="6" t="s">
        <v>48</v>
      </c>
      <c r="J387" s="6" t="s">
        <v>48</v>
      </c>
      <c r="K387" s="9" t="str">
        <f>HYPERLINK("https://www.instagram.com/reel/BvMkIyTFTF4/","Open Reel")</f>
        <v>Open Reel</v>
      </c>
      <c r="L387" s="6" t="s">
        <v>2785</v>
      </c>
      <c r="M387" s="6" t="s">
        <v>2786</v>
      </c>
      <c r="N387" s="6" t="s">
        <v>2787</v>
      </c>
      <c r="O387" s="6" t="s">
        <v>59</v>
      </c>
      <c r="P387" s="6" t="s">
        <v>2788</v>
      </c>
    </row>
    <row r="388">
      <c r="A388" s="6" t="s">
        <v>983</v>
      </c>
      <c r="B388" s="6">
        <v>279.0</v>
      </c>
      <c r="F388" s="6" t="s">
        <v>984</v>
      </c>
      <c r="G388" s="6" t="s">
        <v>2789</v>
      </c>
      <c r="H388" s="6" t="s">
        <v>48</v>
      </c>
      <c r="I388" s="6" t="s">
        <v>48</v>
      </c>
      <c r="J388" s="6" t="s">
        <v>48</v>
      </c>
      <c r="K388" s="9" t="str">
        <f>HYPERLINK("https://www.instagram.com/p/BvHijJYHyt0/","Open Post")</f>
        <v>Open Post</v>
      </c>
      <c r="L388" s="6" t="s">
        <v>2793</v>
      </c>
      <c r="M388" s="6" t="s">
        <v>2794</v>
      </c>
      <c r="N388" s="6" t="s">
        <v>2795</v>
      </c>
      <c r="O388" s="6" t="s">
        <v>59</v>
      </c>
      <c r="P388" s="6" t="s">
        <v>2796</v>
      </c>
    </row>
    <row r="389">
      <c r="A389" s="6" t="s">
        <v>983</v>
      </c>
      <c r="B389" s="6">
        <v>280.0</v>
      </c>
      <c r="F389" s="6" t="s">
        <v>984</v>
      </c>
      <c r="G389" s="6" t="s">
        <v>369</v>
      </c>
      <c r="H389" s="6" t="s">
        <v>48</v>
      </c>
      <c r="I389" s="6" t="s">
        <v>48</v>
      </c>
      <c r="J389" s="6" t="s">
        <v>48</v>
      </c>
      <c r="K389" s="9" t="str">
        <f>HYPERLINK("https://www.instagram.com/p/BvHGh88he1k/","Open Post")</f>
        <v>Open Post</v>
      </c>
      <c r="M389" s="6" t="s">
        <v>55</v>
      </c>
      <c r="N389" s="6" t="s">
        <v>2797</v>
      </c>
      <c r="O389" s="6" t="s">
        <v>59</v>
      </c>
      <c r="P389" s="6" t="s">
        <v>2798</v>
      </c>
    </row>
    <row r="390">
      <c r="A390" s="6" t="s">
        <v>983</v>
      </c>
      <c r="B390" s="6">
        <v>281.0</v>
      </c>
      <c r="F390" s="6" t="s">
        <v>984</v>
      </c>
      <c r="G390" s="6" t="s">
        <v>985</v>
      </c>
      <c r="H390" s="6" t="s">
        <v>48</v>
      </c>
      <c r="I390" s="6" t="s">
        <v>48</v>
      </c>
      <c r="J390" s="6" t="s">
        <v>48</v>
      </c>
      <c r="K390" s="9" t="str">
        <f>HYPERLINK("https://www.instagram.com/p/Bu_gDcDHb4W/","Open Post")</f>
        <v>Open Post</v>
      </c>
      <c r="L390" s="6" t="s">
        <v>2803</v>
      </c>
      <c r="M390" s="6" t="s">
        <v>2804</v>
      </c>
      <c r="N390" s="6" t="s">
        <v>2805</v>
      </c>
      <c r="O390" s="6" t="s">
        <v>59</v>
      </c>
      <c r="P390" s="6" t="s">
        <v>2806</v>
      </c>
    </row>
    <row r="391">
      <c r="A391" s="6" t="s">
        <v>983</v>
      </c>
      <c r="B391" s="6">
        <v>282.0</v>
      </c>
      <c r="F391" s="6" t="s">
        <v>1026</v>
      </c>
      <c r="G391" s="6" t="s">
        <v>1849</v>
      </c>
      <c r="H391" s="6" t="s">
        <v>48</v>
      </c>
      <c r="I391" s="6" t="s">
        <v>48</v>
      </c>
      <c r="J391" s="6" t="s">
        <v>48</v>
      </c>
      <c r="K391" s="9" t="str">
        <f>HYPERLINK("https://www.instagram.com/p/Bu-zpb8FzS3/","Open Post")</f>
        <v>Open Post</v>
      </c>
      <c r="L391" s="6" t="s">
        <v>2807</v>
      </c>
      <c r="M391" s="6" t="s">
        <v>2808</v>
      </c>
      <c r="N391" s="6" t="s">
        <v>2809</v>
      </c>
      <c r="O391" s="6" t="s">
        <v>59</v>
      </c>
      <c r="P391" s="6" t="s">
        <v>2811</v>
      </c>
    </row>
    <row r="392">
      <c r="A392" s="6" t="s">
        <v>983</v>
      </c>
      <c r="B392" s="6">
        <v>283.0</v>
      </c>
      <c r="F392" s="6" t="s">
        <v>984</v>
      </c>
      <c r="G392" s="6" t="s">
        <v>172</v>
      </c>
      <c r="H392" s="6" t="s">
        <v>48</v>
      </c>
      <c r="I392" s="6" t="s">
        <v>48</v>
      </c>
      <c r="J392" s="6" t="s">
        <v>48</v>
      </c>
      <c r="K392" s="9" t="str">
        <f>HYPERLINK("https://www.instagram.com/p/Bu6oPxRgXNi/","Open Post")</f>
        <v>Open Post</v>
      </c>
      <c r="L392" s="6" t="s">
        <v>2814</v>
      </c>
      <c r="M392" s="6" t="s">
        <v>2815</v>
      </c>
      <c r="N392" s="6" t="s">
        <v>2816</v>
      </c>
      <c r="O392" s="6" t="s">
        <v>59</v>
      </c>
      <c r="P392" s="6" t="s">
        <v>2817</v>
      </c>
    </row>
    <row r="393">
      <c r="A393" s="6" t="s">
        <v>983</v>
      </c>
      <c r="B393" s="6">
        <v>284.0</v>
      </c>
      <c r="F393" s="6" t="s">
        <v>984</v>
      </c>
      <c r="G393" s="6" t="s">
        <v>1019</v>
      </c>
      <c r="H393" s="6" t="s">
        <v>48</v>
      </c>
      <c r="I393" s="6" t="s">
        <v>48</v>
      </c>
      <c r="J393" s="6" t="s">
        <v>48</v>
      </c>
      <c r="K393" s="9" t="str">
        <f>HYPERLINK("https://www.instagram.com/p/Bu4y0nZj1dE/","Open Post")</f>
        <v>Open Post</v>
      </c>
      <c r="L393" s="6" t="s">
        <v>2819</v>
      </c>
      <c r="M393" s="6" t="s">
        <v>2820</v>
      </c>
      <c r="N393" s="6" t="s">
        <v>2821</v>
      </c>
      <c r="O393" s="6" t="s">
        <v>59</v>
      </c>
      <c r="P393" s="6" t="s">
        <v>2822</v>
      </c>
    </row>
    <row r="394">
      <c r="A394" s="6" t="s">
        <v>983</v>
      </c>
      <c r="B394" s="6">
        <v>285.0</v>
      </c>
      <c r="F394" s="6" t="s">
        <v>984</v>
      </c>
      <c r="G394" s="6" t="s">
        <v>172</v>
      </c>
      <c r="H394" s="6" t="s">
        <v>48</v>
      </c>
      <c r="I394" s="6" t="s">
        <v>48</v>
      </c>
      <c r="J394" s="6" t="s">
        <v>48</v>
      </c>
      <c r="K394" s="9" t="str">
        <f>HYPERLINK("https://www.instagram.com/p/BuybqUlH-0C/","Open Post")</f>
        <v>Open Post</v>
      </c>
      <c r="L394" s="6" t="s">
        <v>2824</v>
      </c>
      <c r="M394" s="6" t="s">
        <v>2825</v>
      </c>
      <c r="N394" s="6" t="s">
        <v>2826</v>
      </c>
      <c r="O394" s="6" t="s">
        <v>59</v>
      </c>
      <c r="P394" s="6" t="s">
        <v>2827</v>
      </c>
    </row>
    <row r="395">
      <c r="A395" s="6" t="s">
        <v>983</v>
      </c>
      <c r="B395" s="6">
        <v>286.0</v>
      </c>
      <c r="F395" s="6" t="s">
        <v>984</v>
      </c>
      <c r="G395" s="6" t="s">
        <v>2829</v>
      </c>
      <c r="H395" s="6" t="s">
        <v>48</v>
      </c>
      <c r="I395" s="6" t="s">
        <v>48</v>
      </c>
      <c r="J395" s="6" t="s">
        <v>48</v>
      </c>
      <c r="K395" s="9" t="str">
        <f>HYPERLINK("https://www.instagram.com/p/Butq8d2g3fD/","Open Post")</f>
        <v>Open Post</v>
      </c>
      <c r="L395" s="6" t="s">
        <v>2833</v>
      </c>
      <c r="M395" s="6" t="s">
        <v>2834</v>
      </c>
      <c r="N395" s="6" t="s">
        <v>2835</v>
      </c>
      <c r="O395" s="6" t="s">
        <v>59</v>
      </c>
      <c r="P395" s="6" t="s">
        <v>2836</v>
      </c>
    </row>
    <row r="396">
      <c r="A396" s="6" t="s">
        <v>983</v>
      </c>
      <c r="B396" s="6">
        <v>287.0</v>
      </c>
      <c r="F396" s="6" t="s">
        <v>984</v>
      </c>
      <c r="G396" s="6" t="s">
        <v>172</v>
      </c>
      <c r="H396" s="6" t="s">
        <v>48</v>
      </c>
      <c r="I396" s="6" t="s">
        <v>48</v>
      </c>
      <c r="J396" s="6" t="s">
        <v>48</v>
      </c>
      <c r="K396" s="9" t="str">
        <f>HYPERLINK("https://www.instagram.com/p/Buq8S1oH4r0/","Open Post")</f>
        <v>Open Post</v>
      </c>
      <c r="L396" s="6" t="s">
        <v>2838</v>
      </c>
      <c r="M396" s="6" t="s">
        <v>2839</v>
      </c>
      <c r="N396" s="6" t="s">
        <v>2840</v>
      </c>
      <c r="O396" s="6" t="s">
        <v>59</v>
      </c>
      <c r="P396" s="6" t="s">
        <v>2841</v>
      </c>
    </row>
    <row r="397">
      <c r="A397" s="6" t="s">
        <v>983</v>
      </c>
      <c r="B397" s="6">
        <v>288.0</v>
      </c>
      <c r="F397" s="6" t="s">
        <v>1026</v>
      </c>
      <c r="G397" s="6" t="s">
        <v>2789</v>
      </c>
      <c r="H397" s="6" t="s">
        <v>48</v>
      </c>
      <c r="I397" s="6" t="s">
        <v>48</v>
      </c>
      <c r="J397" s="6" t="s">
        <v>48</v>
      </c>
      <c r="K397" s="9" t="str">
        <f>HYPERLINK("https://www.instagram.com/p/BuordbKgCgS/","Open Post")</f>
        <v>Open Post</v>
      </c>
      <c r="L397" s="6" t="s">
        <v>2845</v>
      </c>
      <c r="M397" s="6" t="s">
        <v>2846</v>
      </c>
      <c r="N397" s="6" t="s">
        <v>2847</v>
      </c>
      <c r="O397" s="6" t="s">
        <v>59</v>
      </c>
      <c r="P397" s="6" t="s">
        <v>2848</v>
      </c>
    </row>
    <row r="398">
      <c r="A398" s="6" t="s">
        <v>983</v>
      </c>
      <c r="B398" s="6">
        <v>289.0</v>
      </c>
      <c r="F398" s="6" t="s">
        <v>1026</v>
      </c>
      <c r="G398" s="6" t="s">
        <v>1251</v>
      </c>
      <c r="H398" s="6" t="s">
        <v>48</v>
      </c>
      <c r="I398" s="6" t="s">
        <v>48</v>
      </c>
      <c r="J398" s="6" t="s">
        <v>48</v>
      </c>
      <c r="K398" s="9" t="str">
        <f>HYPERLINK("https://www.instagram.com/p/Bun4aA8DYTa/","Open Post")</f>
        <v>Open Post</v>
      </c>
      <c r="L398" s="6" t="s">
        <v>2849</v>
      </c>
      <c r="M398" s="6" t="s">
        <v>2850</v>
      </c>
      <c r="N398" s="6" t="s">
        <v>2852</v>
      </c>
      <c r="O398" s="6" t="s">
        <v>59</v>
      </c>
      <c r="P398" s="6" t="s">
        <v>2853</v>
      </c>
    </row>
    <row r="399">
      <c r="A399" s="6" t="s">
        <v>983</v>
      </c>
      <c r="B399" s="6">
        <v>290.0</v>
      </c>
      <c r="F399" s="6" t="s">
        <v>984</v>
      </c>
      <c r="G399" s="6" t="s">
        <v>2854</v>
      </c>
      <c r="H399" s="6" t="s">
        <v>48</v>
      </c>
      <c r="I399" s="6" t="s">
        <v>48</v>
      </c>
      <c r="J399" s="6" t="s">
        <v>48</v>
      </c>
      <c r="K399" s="9" t="str">
        <f>HYPERLINK("https://www.instagram.com/p/Bpbb8fZBZYr/","Open Post")</f>
        <v>Open Post</v>
      </c>
      <c r="L399" s="6" t="s">
        <v>2857</v>
      </c>
      <c r="M399" s="6" t="s">
        <v>2858</v>
      </c>
      <c r="N399" s="6" t="s">
        <v>2859</v>
      </c>
      <c r="O399" s="6" t="s">
        <v>59</v>
      </c>
      <c r="P399" s="6" t="s">
        <v>2860</v>
      </c>
    </row>
    <row r="400">
      <c r="A400" s="6" t="s">
        <v>983</v>
      </c>
      <c r="B400" s="6">
        <v>291.0</v>
      </c>
      <c r="F400" s="6" t="s">
        <v>984</v>
      </c>
      <c r="G400" s="6" t="s">
        <v>1027</v>
      </c>
      <c r="H400" s="6" t="s">
        <v>48</v>
      </c>
      <c r="I400" s="6" t="s">
        <v>48</v>
      </c>
      <c r="J400" s="6" t="s">
        <v>48</v>
      </c>
      <c r="K400" s="9" t="str">
        <f>HYPERLINK("https://www.instagram.com/p/BuY8I_qFpZ8/","Open Post")</f>
        <v>Open Post</v>
      </c>
      <c r="L400" s="6" t="s">
        <v>2863</v>
      </c>
      <c r="M400" s="6" t="s">
        <v>2864</v>
      </c>
      <c r="N400" s="6" t="s">
        <v>2865</v>
      </c>
      <c r="O400" s="6" t="s">
        <v>59</v>
      </c>
      <c r="P400" s="6" t="s">
        <v>2866</v>
      </c>
    </row>
    <row r="401">
      <c r="A401" s="6" t="s">
        <v>983</v>
      </c>
      <c r="B401" s="6">
        <v>292.0</v>
      </c>
      <c r="F401" s="6" t="s">
        <v>984</v>
      </c>
      <c r="G401" s="6" t="s">
        <v>1008</v>
      </c>
      <c r="H401" s="6" t="s">
        <v>48</v>
      </c>
      <c r="I401" s="6" t="s">
        <v>48</v>
      </c>
      <c r="J401" s="6" t="s">
        <v>48</v>
      </c>
      <c r="K401" s="9" t="str">
        <f>HYPERLINK("https://www.instagram.com/p/BuY23eWHA1f/","Open Post")</f>
        <v>Open Post</v>
      </c>
      <c r="L401" s="6" t="s">
        <v>2867</v>
      </c>
      <c r="M401" s="6" t="s">
        <v>2868</v>
      </c>
      <c r="N401" s="6" t="s">
        <v>2869</v>
      </c>
      <c r="O401" s="6" t="s">
        <v>59</v>
      </c>
      <c r="P401" s="6" t="s">
        <v>2870</v>
      </c>
    </row>
    <row r="402">
      <c r="A402" s="6" t="s">
        <v>983</v>
      </c>
      <c r="B402" s="6">
        <v>293.0</v>
      </c>
      <c r="F402" s="6" t="s">
        <v>984</v>
      </c>
      <c r="G402" s="6" t="s">
        <v>985</v>
      </c>
      <c r="H402" s="6" t="s">
        <v>48</v>
      </c>
      <c r="I402" s="6" t="s">
        <v>48</v>
      </c>
      <c r="J402" s="6" t="s">
        <v>48</v>
      </c>
      <c r="K402" s="9" t="str">
        <f>HYPERLINK("https://www.instagram.com/p/BuUDh-VFVO9/","Open Post")</f>
        <v>Open Post</v>
      </c>
      <c r="L402" s="6" t="s">
        <v>2872</v>
      </c>
      <c r="M402" s="6" t="s">
        <v>2873</v>
      </c>
      <c r="N402" s="6" t="s">
        <v>2874</v>
      </c>
      <c r="O402" s="6" t="s">
        <v>59</v>
      </c>
      <c r="P402" s="6" t="s">
        <v>2876</v>
      </c>
    </row>
    <row r="403">
      <c r="A403" s="6" t="s">
        <v>983</v>
      </c>
      <c r="B403" s="6">
        <v>294.0</v>
      </c>
      <c r="F403" s="6" t="s">
        <v>984</v>
      </c>
      <c r="G403" s="6" t="s">
        <v>1027</v>
      </c>
      <c r="H403" s="6" t="s">
        <v>48</v>
      </c>
      <c r="I403" s="6" t="s">
        <v>48</v>
      </c>
      <c r="J403" s="6" t="s">
        <v>48</v>
      </c>
      <c r="K403" s="9" t="str">
        <f>HYPERLINK("https://www.instagram.com/p/BuG1JNBghSE/","Open Post")</f>
        <v>Open Post</v>
      </c>
      <c r="L403" s="6" t="s">
        <v>2878</v>
      </c>
      <c r="M403" s="6" t="s">
        <v>2879</v>
      </c>
      <c r="N403" s="6" t="s">
        <v>2880</v>
      </c>
      <c r="O403" s="6" t="s">
        <v>59</v>
      </c>
      <c r="P403" s="6" t="s">
        <v>2881</v>
      </c>
    </row>
    <row r="404">
      <c r="A404" s="6" t="s">
        <v>983</v>
      </c>
      <c r="B404" s="6">
        <v>295.0</v>
      </c>
      <c r="F404" s="6" t="s">
        <v>984</v>
      </c>
      <c r="G404" s="6" t="s">
        <v>2883</v>
      </c>
      <c r="H404" s="6" t="s">
        <v>48</v>
      </c>
      <c r="I404" s="6" t="s">
        <v>48</v>
      </c>
      <c r="J404" s="6" t="s">
        <v>48</v>
      </c>
      <c r="K404" s="9" t="str">
        <f>HYPERLINK("https://www.instagram.com/p/Bt8FClEn2tq/","Open Post")</f>
        <v>Open Post</v>
      </c>
      <c r="L404" s="6" t="s">
        <v>2887</v>
      </c>
      <c r="M404" s="6" t="s">
        <v>2888</v>
      </c>
      <c r="N404" s="6" t="s">
        <v>2889</v>
      </c>
      <c r="O404" s="6" t="s">
        <v>59</v>
      </c>
      <c r="P404" s="6" t="s">
        <v>2890</v>
      </c>
    </row>
    <row r="405">
      <c r="A405" s="6" t="s">
        <v>983</v>
      </c>
      <c r="B405" s="6">
        <v>296.0</v>
      </c>
      <c r="F405" s="6" t="s">
        <v>984</v>
      </c>
      <c r="G405" s="6" t="s">
        <v>228</v>
      </c>
      <c r="H405" s="6" t="s">
        <v>48</v>
      </c>
      <c r="I405" s="6" t="s">
        <v>48</v>
      </c>
      <c r="J405" s="6" t="s">
        <v>48</v>
      </c>
      <c r="K405" s="9" t="str">
        <f>HYPERLINK("https://www.instagram.com/p/Bt3MrV_l6VW/","Open Post")</f>
        <v>Open Post</v>
      </c>
      <c r="L405" s="6" t="s">
        <v>2892</v>
      </c>
      <c r="M405" s="6" t="s">
        <v>2893</v>
      </c>
      <c r="N405" s="6" t="s">
        <v>2894</v>
      </c>
      <c r="O405" s="6" t="s">
        <v>59</v>
      </c>
      <c r="P405" s="6" t="s">
        <v>2895</v>
      </c>
    </row>
    <row r="406">
      <c r="A406" s="6" t="s">
        <v>983</v>
      </c>
      <c r="B406" s="6">
        <v>297.0</v>
      </c>
      <c r="F406" s="6" t="s">
        <v>984</v>
      </c>
      <c r="G406" s="6" t="s">
        <v>2898</v>
      </c>
      <c r="H406" s="6" t="s">
        <v>48</v>
      </c>
      <c r="I406" s="6" t="s">
        <v>48</v>
      </c>
      <c r="J406" s="6" t="s">
        <v>48</v>
      </c>
      <c r="K406" s="9" t="str">
        <f>HYPERLINK("https://www.instagram.com/p/Bt1iqzAA305/","Open Post")</f>
        <v>Open Post</v>
      </c>
      <c r="L406" s="6" t="s">
        <v>2899</v>
      </c>
      <c r="M406" s="6" t="s">
        <v>2900</v>
      </c>
      <c r="N406" s="6" t="s">
        <v>2901</v>
      </c>
      <c r="O406" s="6" t="s">
        <v>59</v>
      </c>
      <c r="P406" s="6" t="s">
        <v>2902</v>
      </c>
    </row>
    <row r="407">
      <c r="A407" s="6" t="s">
        <v>983</v>
      </c>
      <c r="B407" s="6">
        <v>298.0</v>
      </c>
      <c r="F407" s="6" t="s">
        <v>984</v>
      </c>
      <c r="G407" s="6" t="s">
        <v>1008</v>
      </c>
      <c r="H407" s="6" t="s">
        <v>48</v>
      </c>
      <c r="I407" s="6" t="s">
        <v>48</v>
      </c>
      <c r="J407" s="6" t="s">
        <v>48</v>
      </c>
      <c r="K407" s="9" t="str">
        <f>HYPERLINK("https://www.instagram.com/p/Bt1gLwaAjqS/","Open Post")</f>
        <v>Open Post</v>
      </c>
      <c r="L407" s="6" t="s">
        <v>2904</v>
      </c>
      <c r="M407" s="6" t="s">
        <v>2905</v>
      </c>
      <c r="N407" s="6" t="s">
        <v>2906</v>
      </c>
      <c r="O407" s="6" t="s">
        <v>59</v>
      </c>
      <c r="P407" s="6" t="s">
        <v>2907</v>
      </c>
    </row>
    <row r="408">
      <c r="A408" s="6" t="s">
        <v>983</v>
      </c>
      <c r="B408" s="6">
        <v>299.0</v>
      </c>
      <c r="F408" s="6" t="s">
        <v>984</v>
      </c>
      <c r="G408" s="6" t="s">
        <v>985</v>
      </c>
      <c r="H408" s="6" t="s">
        <v>48</v>
      </c>
      <c r="I408" s="6" t="s">
        <v>48</v>
      </c>
      <c r="J408" s="6" t="s">
        <v>48</v>
      </c>
      <c r="K408" s="9" t="str">
        <f>HYPERLINK("https://www.instagram.com/p/Btte6GoHUOG/","Open Post")</f>
        <v>Open Post</v>
      </c>
      <c r="L408" s="6" t="s">
        <v>2909</v>
      </c>
      <c r="M408" s="6" t="s">
        <v>2911</v>
      </c>
      <c r="N408" s="6" t="s">
        <v>2912</v>
      </c>
      <c r="O408" s="6" t="s">
        <v>59</v>
      </c>
      <c r="P408" s="6" t="s">
        <v>2913</v>
      </c>
    </row>
    <row r="409">
      <c r="A409" s="6" t="s">
        <v>983</v>
      </c>
      <c r="B409" s="6">
        <v>300.0</v>
      </c>
      <c r="F409" s="6" t="s">
        <v>984</v>
      </c>
      <c r="G409" s="6" t="s">
        <v>555</v>
      </c>
      <c r="H409" s="6" t="s">
        <v>48</v>
      </c>
      <c r="I409" s="6" t="s">
        <v>48</v>
      </c>
      <c r="J409" s="6" t="s">
        <v>48</v>
      </c>
      <c r="K409" s="9" t="str">
        <f>HYPERLINK("https://www.instagram.com/p/BqfjwvAB3Jm/","Open Post")</f>
        <v>Open Post</v>
      </c>
      <c r="L409" s="6" t="s">
        <v>2915</v>
      </c>
      <c r="M409" s="6" t="s">
        <v>2916</v>
      </c>
      <c r="N409" s="6" t="s">
        <v>2918</v>
      </c>
      <c r="O409" s="6" t="s">
        <v>59</v>
      </c>
      <c r="P409" s="6" t="s">
        <v>2919</v>
      </c>
    </row>
    <row r="410">
      <c r="A410" s="6" t="s">
        <v>983</v>
      </c>
      <c r="B410" s="6">
        <v>301.0</v>
      </c>
      <c r="F410" s="6" t="s">
        <v>1026</v>
      </c>
      <c r="G410" s="6" t="s">
        <v>1127</v>
      </c>
      <c r="H410" s="6" t="s">
        <v>48</v>
      </c>
      <c r="I410" s="6" t="s">
        <v>48</v>
      </c>
      <c r="J410" s="6" t="s">
        <v>48</v>
      </c>
      <c r="K410" s="9" t="str">
        <f>HYPERLINK("https://www.instagram.com/p/Bp5IeZ5hOme/","Open Post")</f>
        <v>Open Post</v>
      </c>
      <c r="L410" s="6" t="s">
        <v>2922</v>
      </c>
      <c r="M410" s="6" t="s">
        <v>2923</v>
      </c>
      <c r="N410" s="6" t="s">
        <v>2924</v>
      </c>
      <c r="O410" s="6" t="s">
        <v>59</v>
      </c>
      <c r="P410" s="6" t="s">
        <v>2925</v>
      </c>
    </row>
    <row r="411">
      <c r="A411" s="6" t="s">
        <v>983</v>
      </c>
      <c r="B411" s="6">
        <v>302.0</v>
      </c>
      <c r="F411" s="6" t="s">
        <v>65</v>
      </c>
      <c r="G411" s="6" t="s">
        <v>1182</v>
      </c>
      <c r="H411" s="6" t="s">
        <v>48</v>
      </c>
      <c r="I411" s="6" t="s">
        <v>48</v>
      </c>
      <c r="J411" s="6" t="s">
        <v>48</v>
      </c>
      <c r="K411" s="9" t="str">
        <f>HYPERLINK("https://www.instagram.com/reel/BtmnR27FKF4/","Open Reel")</f>
        <v>Open Reel</v>
      </c>
      <c r="L411" s="6" t="s">
        <v>2928</v>
      </c>
      <c r="M411" s="6" t="s">
        <v>2929</v>
      </c>
      <c r="N411" s="6" t="s">
        <v>2931</v>
      </c>
      <c r="O411" s="6" t="s">
        <v>59</v>
      </c>
      <c r="P411" s="6" t="s">
        <v>2932</v>
      </c>
    </row>
    <row r="412">
      <c r="A412" s="6" t="s">
        <v>983</v>
      </c>
      <c r="B412" s="6">
        <v>303.0</v>
      </c>
      <c r="F412" s="6" t="s">
        <v>1026</v>
      </c>
      <c r="G412" s="6" t="s">
        <v>1946</v>
      </c>
      <c r="H412" s="6" t="s">
        <v>48</v>
      </c>
      <c r="I412" s="6" t="s">
        <v>48</v>
      </c>
      <c r="J412" s="6" t="s">
        <v>48</v>
      </c>
      <c r="K412" s="9" t="str">
        <f>HYPERLINK("https://www.instagram.com/p/BtiFH9Pntid/","Open Post")</f>
        <v>Open Post</v>
      </c>
      <c r="L412" s="6" t="s">
        <v>2935</v>
      </c>
      <c r="M412" s="6" t="s">
        <v>2936</v>
      </c>
      <c r="N412" s="6" t="s">
        <v>2937</v>
      </c>
      <c r="O412" s="6" t="s">
        <v>59</v>
      </c>
      <c r="P412" s="6" t="s">
        <v>2938</v>
      </c>
    </row>
    <row r="413">
      <c r="A413" s="6" t="s">
        <v>983</v>
      </c>
      <c r="B413" s="6">
        <v>304.0</v>
      </c>
      <c r="F413" s="6" t="s">
        <v>984</v>
      </c>
      <c r="G413" s="6" t="s">
        <v>2939</v>
      </c>
      <c r="H413" s="6" t="s">
        <v>48</v>
      </c>
      <c r="I413" s="6" t="s">
        <v>48</v>
      </c>
      <c r="J413" s="6" t="s">
        <v>48</v>
      </c>
      <c r="K413" s="9" t="str">
        <f>HYPERLINK("https://www.instagram.com/p/BthmYTnAf7M/","Open Post")</f>
        <v>Open Post</v>
      </c>
      <c r="L413" s="6" t="s">
        <v>2941</v>
      </c>
      <c r="M413" s="6" t="s">
        <v>2942</v>
      </c>
      <c r="N413" s="6" t="s">
        <v>2944</v>
      </c>
      <c r="O413" s="6" t="s">
        <v>59</v>
      </c>
      <c r="P413" s="6" t="s">
        <v>2945</v>
      </c>
    </row>
    <row r="414">
      <c r="A414" s="6" t="s">
        <v>983</v>
      </c>
      <c r="B414" s="6">
        <v>305.0</v>
      </c>
      <c r="F414" s="6" t="s">
        <v>984</v>
      </c>
      <c r="G414" s="6" t="s">
        <v>985</v>
      </c>
      <c r="H414" s="6" t="s">
        <v>48</v>
      </c>
      <c r="I414" s="6" t="s">
        <v>48</v>
      </c>
      <c r="J414" s="6" t="s">
        <v>48</v>
      </c>
      <c r="K414" s="9" t="str">
        <f>HYPERLINK("https://www.instagram.com/p/Btf3d5UjJsW/","Open Post")</f>
        <v>Open Post</v>
      </c>
      <c r="L414" s="6" t="s">
        <v>2948</v>
      </c>
      <c r="M414" s="6" t="s">
        <v>55</v>
      </c>
      <c r="N414" s="6" t="s">
        <v>2949</v>
      </c>
      <c r="O414" s="6" t="s">
        <v>59</v>
      </c>
      <c r="P414" s="6" t="s">
        <v>2950</v>
      </c>
    </row>
    <row r="415">
      <c r="A415" s="6" t="s">
        <v>983</v>
      </c>
      <c r="B415" s="6">
        <v>306.0</v>
      </c>
      <c r="F415" s="6" t="s">
        <v>984</v>
      </c>
      <c r="G415" s="6" t="s">
        <v>390</v>
      </c>
      <c r="H415" s="6" t="s">
        <v>48</v>
      </c>
      <c r="I415" s="6" t="s">
        <v>48</v>
      </c>
      <c r="J415" s="6" t="s">
        <v>48</v>
      </c>
      <c r="K415" s="9" t="str">
        <f>HYPERLINK("https://www.instagram.com/p/BtbrD3rAsKi/","Open Post")</f>
        <v>Open Post</v>
      </c>
      <c r="L415" s="6" t="s">
        <v>2954</v>
      </c>
      <c r="M415" s="6" t="s">
        <v>2955</v>
      </c>
      <c r="N415" s="6" t="s">
        <v>2956</v>
      </c>
      <c r="O415" s="6" t="s">
        <v>59</v>
      </c>
      <c r="P415" s="6" t="s">
        <v>2957</v>
      </c>
    </row>
    <row r="416">
      <c r="A416" s="6" t="s">
        <v>983</v>
      </c>
      <c r="B416" s="6">
        <v>307.0</v>
      </c>
      <c r="F416" s="6" t="s">
        <v>1026</v>
      </c>
      <c r="G416" s="6" t="s">
        <v>985</v>
      </c>
      <c r="H416" s="6" t="s">
        <v>48</v>
      </c>
      <c r="I416" s="6" t="s">
        <v>48</v>
      </c>
      <c r="J416" s="6" t="s">
        <v>48</v>
      </c>
      <c r="K416" s="9" t="str">
        <f>HYPERLINK("https://www.instagram.com/p/Bta-F2zlCN-/","Open Post")</f>
        <v>Open Post</v>
      </c>
      <c r="L416" s="6" t="s">
        <v>2959</v>
      </c>
      <c r="M416" s="6" t="s">
        <v>2960</v>
      </c>
      <c r="N416" s="6" t="s">
        <v>2961</v>
      </c>
      <c r="O416" s="6" t="s">
        <v>59</v>
      </c>
      <c r="P416" s="6" t="s">
        <v>2962</v>
      </c>
    </row>
    <row r="417">
      <c r="A417" s="6" t="s">
        <v>983</v>
      </c>
      <c r="B417" s="6">
        <v>308.0</v>
      </c>
      <c r="F417" s="6" t="s">
        <v>984</v>
      </c>
      <c r="G417" s="6" t="s">
        <v>1251</v>
      </c>
      <c r="H417" s="6" t="s">
        <v>48</v>
      </c>
      <c r="I417" s="6" t="s">
        <v>48</v>
      </c>
      <c r="J417" s="6" t="s">
        <v>48</v>
      </c>
      <c r="K417" s="9" t="str">
        <f>HYPERLINK("https://www.instagram.com/p/BtahjhNndeH/","Open Post")</f>
        <v>Open Post</v>
      </c>
      <c r="L417" s="6" t="s">
        <v>2966</v>
      </c>
      <c r="M417" s="6" t="s">
        <v>2967</v>
      </c>
      <c r="N417" s="6" t="s">
        <v>2968</v>
      </c>
      <c r="O417" s="6" t="s">
        <v>59</v>
      </c>
      <c r="P417" s="6" t="s">
        <v>2969</v>
      </c>
    </row>
    <row r="418">
      <c r="A418" s="6" t="s">
        <v>983</v>
      </c>
      <c r="B418" s="6">
        <v>309.0</v>
      </c>
      <c r="F418" s="6" t="s">
        <v>984</v>
      </c>
      <c r="G418" s="6" t="s">
        <v>1251</v>
      </c>
      <c r="H418" s="6" t="s">
        <v>48</v>
      </c>
      <c r="I418" s="6" t="s">
        <v>48</v>
      </c>
      <c r="J418" s="6" t="s">
        <v>48</v>
      </c>
      <c r="K418" s="9" t="str">
        <f>HYPERLINK("https://www.instagram.com/p/BtSub2-AMex/","Open Post")</f>
        <v>Open Post</v>
      </c>
      <c r="L418" s="6" t="s">
        <v>2970</v>
      </c>
      <c r="M418" s="6" t="s">
        <v>2971</v>
      </c>
      <c r="N418" s="6" t="s">
        <v>2972</v>
      </c>
      <c r="O418" s="6" t="s">
        <v>59</v>
      </c>
      <c r="P418" s="6" t="s">
        <v>2974</v>
      </c>
    </row>
    <row r="419">
      <c r="A419" s="6" t="s">
        <v>983</v>
      </c>
      <c r="B419" s="6">
        <v>310.0</v>
      </c>
      <c r="F419" s="6" t="s">
        <v>984</v>
      </c>
      <c r="G419" s="6" t="s">
        <v>985</v>
      </c>
      <c r="H419" s="6" t="s">
        <v>48</v>
      </c>
      <c r="I419" s="6" t="s">
        <v>48</v>
      </c>
      <c r="J419" s="6" t="s">
        <v>48</v>
      </c>
      <c r="K419" s="9" t="str">
        <f>HYPERLINK("https://www.instagram.com/p/BtQQRZgncFZ/","Open Post")</f>
        <v>Open Post</v>
      </c>
      <c r="L419" s="6" t="s">
        <v>2977</v>
      </c>
      <c r="M419" s="6" t="s">
        <v>2978</v>
      </c>
      <c r="N419" s="6" t="s">
        <v>2979</v>
      </c>
      <c r="O419" s="6" t="s">
        <v>59</v>
      </c>
      <c r="P419" s="6" t="s">
        <v>2980</v>
      </c>
    </row>
    <row r="420">
      <c r="A420" s="6" t="s">
        <v>983</v>
      </c>
      <c r="B420" s="6">
        <v>311.0</v>
      </c>
      <c r="F420" s="6" t="s">
        <v>65</v>
      </c>
      <c r="G420" s="6" t="s">
        <v>443</v>
      </c>
      <c r="H420" s="6" t="s">
        <v>48</v>
      </c>
      <c r="I420" s="6" t="s">
        <v>48</v>
      </c>
      <c r="J420" s="6" t="s">
        <v>48</v>
      </c>
      <c r="K420" s="9" t="str">
        <f>HYPERLINK("https://www.instagram.com/reel/BtMdEyjlToB/","Open Reel")</f>
        <v>Open Reel</v>
      </c>
      <c r="L420" s="6" t="s">
        <v>2983</v>
      </c>
      <c r="M420" s="6" t="s">
        <v>2984</v>
      </c>
      <c r="N420" s="6" t="s">
        <v>2985</v>
      </c>
      <c r="O420" s="6" t="s">
        <v>59</v>
      </c>
      <c r="P420" s="6" t="s">
        <v>2986</v>
      </c>
    </row>
    <row r="421">
      <c r="A421" s="6" t="s">
        <v>983</v>
      </c>
      <c r="B421" s="6">
        <v>312.0</v>
      </c>
      <c r="F421" s="6" t="s">
        <v>984</v>
      </c>
      <c r="G421" s="6" t="s">
        <v>462</v>
      </c>
      <c r="H421" s="6" t="s">
        <v>48</v>
      </c>
      <c r="I421" s="6" t="s">
        <v>48</v>
      </c>
      <c r="J421" s="6" t="s">
        <v>48</v>
      </c>
      <c r="K421" s="9" t="str">
        <f>HYPERLINK("https://www.instagram.com/p/BtFSQT3h_ap/","Open Post")</f>
        <v>Open Post</v>
      </c>
      <c r="L421" s="6" t="s">
        <v>2989</v>
      </c>
      <c r="M421" s="6" t="s">
        <v>2990</v>
      </c>
      <c r="N421" s="6" t="s">
        <v>2991</v>
      </c>
      <c r="O421" s="6" t="s">
        <v>59</v>
      </c>
      <c r="P421" s="6" t="s">
        <v>2992</v>
      </c>
    </row>
    <row r="422">
      <c r="A422" s="6" t="s">
        <v>983</v>
      </c>
      <c r="B422" s="6">
        <v>313.0</v>
      </c>
      <c r="F422" s="6" t="s">
        <v>984</v>
      </c>
      <c r="G422" s="6" t="s">
        <v>1027</v>
      </c>
      <c r="H422" s="6" t="s">
        <v>48</v>
      </c>
      <c r="I422" s="6" t="s">
        <v>48</v>
      </c>
      <c r="J422" s="6" t="s">
        <v>48</v>
      </c>
      <c r="K422" s="9" t="str">
        <f>HYPERLINK("https://www.instagram.com/p/Bs8qv0lFsyq/","Open Post")</f>
        <v>Open Post</v>
      </c>
      <c r="L422" s="6" t="s">
        <v>2997</v>
      </c>
      <c r="M422" s="6" t="s">
        <v>2998</v>
      </c>
      <c r="N422" s="6" t="s">
        <v>2999</v>
      </c>
      <c r="O422" s="6" t="s">
        <v>59</v>
      </c>
      <c r="P422" s="6" t="s">
        <v>3000</v>
      </c>
    </row>
    <row r="423">
      <c r="A423" s="6" t="s">
        <v>983</v>
      </c>
      <c r="B423" s="6">
        <v>314.0</v>
      </c>
      <c r="F423" s="6" t="s">
        <v>984</v>
      </c>
      <c r="G423" s="6" t="s">
        <v>228</v>
      </c>
      <c r="H423" s="6" t="s">
        <v>48</v>
      </c>
      <c r="I423" s="6" t="s">
        <v>48</v>
      </c>
      <c r="J423" s="6" t="s">
        <v>48</v>
      </c>
      <c r="K423" s="9" t="str">
        <f>HYPERLINK("https://www.instagram.com/p/Bs8frvSnzJb/","Open Post")</f>
        <v>Open Post</v>
      </c>
      <c r="L423" s="6" t="s">
        <v>3002</v>
      </c>
      <c r="M423" s="6" t="s">
        <v>3003</v>
      </c>
      <c r="N423" s="6" t="s">
        <v>3004</v>
      </c>
      <c r="O423" s="6" t="s">
        <v>59</v>
      </c>
      <c r="P423" s="6" t="s">
        <v>3005</v>
      </c>
    </row>
    <row r="424">
      <c r="A424" s="6" t="s">
        <v>983</v>
      </c>
      <c r="B424" s="6">
        <v>315.0</v>
      </c>
      <c r="F424" s="6" t="s">
        <v>984</v>
      </c>
      <c r="G424" s="6" t="s">
        <v>555</v>
      </c>
      <c r="H424" s="6" t="s">
        <v>48</v>
      </c>
      <c r="I424" s="6" t="s">
        <v>48</v>
      </c>
      <c r="J424" s="6" t="s">
        <v>48</v>
      </c>
      <c r="K424" s="9" t="str">
        <f>HYPERLINK("https://www.instagram.com/p/Bs7YnBrl9Rt/","Open Post")</f>
        <v>Open Post</v>
      </c>
      <c r="L424" s="6" t="s">
        <v>3008</v>
      </c>
      <c r="M424" s="6" t="s">
        <v>3009</v>
      </c>
      <c r="N424" s="6" t="s">
        <v>3010</v>
      </c>
      <c r="O424" s="6" t="s">
        <v>59</v>
      </c>
      <c r="P424" s="6" t="s">
        <v>3011</v>
      </c>
    </row>
    <row r="425">
      <c r="A425" s="6" t="s">
        <v>983</v>
      </c>
      <c r="B425" s="6">
        <v>316.0</v>
      </c>
      <c r="F425" s="6" t="s">
        <v>984</v>
      </c>
      <c r="G425" s="6" t="s">
        <v>3012</v>
      </c>
      <c r="H425" s="6" t="s">
        <v>48</v>
      </c>
      <c r="I425" s="6" t="s">
        <v>48</v>
      </c>
      <c r="J425" s="6" t="s">
        <v>48</v>
      </c>
      <c r="K425" s="9" t="str">
        <f>HYPERLINK("https://www.instagram.com/p/BsvxxSZAzyX/","Open Post")</f>
        <v>Open Post</v>
      </c>
      <c r="L425" s="6" t="s">
        <v>3015</v>
      </c>
      <c r="M425" s="6" t="s">
        <v>3016</v>
      </c>
      <c r="N425" s="6" t="s">
        <v>3017</v>
      </c>
      <c r="O425" s="6" t="s">
        <v>59</v>
      </c>
      <c r="P425" s="6" t="s">
        <v>3018</v>
      </c>
    </row>
    <row r="426">
      <c r="A426" s="6" t="s">
        <v>983</v>
      </c>
      <c r="B426" s="6">
        <v>317.0</v>
      </c>
      <c r="F426" s="6" t="s">
        <v>984</v>
      </c>
      <c r="G426" s="6" t="s">
        <v>1027</v>
      </c>
      <c r="H426" s="6" t="s">
        <v>48</v>
      </c>
      <c r="I426" s="6" t="s">
        <v>48</v>
      </c>
      <c r="J426" s="6" t="s">
        <v>48</v>
      </c>
      <c r="K426" s="9" t="str">
        <f>HYPERLINK("https://www.instagram.com/p/BsvpjQaFZRF/","Open Post")</f>
        <v>Open Post</v>
      </c>
      <c r="L426" s="6" t="s">
        <v>3021</v>
      </c>
      <c r="M426" s="6" t="s">
        <v>3022</v>
      </c>
      <c r="N426" s="6" t="s">
        <v>3023</v>
      </c>
      <c r="O426" s="6" t="s">
        <v>59</v>
      </c>
      <c r="P426" s="6" t="s">
        <v>3025</v>
      </c>
    </row>
    <row r="427">
      <c r="A427" s="6" t="s">
        <v>983</v>
      </c>
      <c r="B427" s="6">
        <v>318.0</v>
      </c>
      <c r="F427" s="6" t="s">
        <v>984</v>
      </c>
      <c r="G427" s="6" t="s">
        <v>555</v>
      </c>
      <c r="H427" s="6" t="s">
        <v>48</v>
      </c>
      <c r="I427" s="6" t="s">
        <v>48</v>
      </c>
      <c r="J427" s="6" t="s">
        <v>48</v>
      </c>
      <c r="K427" s="9" t="str">
        <f>HYPERLINK("https://www.instagram.com/p/BstiCrIluMg/","Open Post")</f>
        <v>Open Post</v>
      </c>
      <c r="L427" s="6" t="s">
        <v>3027</v>
      </c>
      <c r="M427" s="6" t="s">
        <v>3028</v>
      </c>
      <c r="N427" s="6" t="s">
        <v>3029</v>
      </c>
      <c r="O427" s="6" t="s">
        <v>59</v>
      </c>
      <c r="P427" s="6" t="s">
        <v>3030</v>
      </c>
    </row>
    <row r="428">
      <c r="A428" s="6" t="s">
        <v>983</v>
      </c>
      <c r="B428" s="6">
        <v>319.0</v>
      </c>
      <c r="F428" s="6" t="s">
        <v>984</v>
      </c>
      <c r="G428" s="6" t="s">
        <v>1008</v>
      </c>
      <c r="H428" s="6" t="s">
        <v>48</v>
      </c>
      <c r="I428" s="6" t="s">
        <v>48</v>
      </c>
      <c r="J428" s="6" t="s">
        <v>48</v>
      </c>
      <c r="K428" s="9" t="str">
        <f>HYPERLINK("https://www.instagram.com/p/BsssX9BFfEJ/","Open Post")</f>
        <v>Open Post</v>
      </c>
      <c r="L428" s="6" t="s">
        <v>3033</v>
      </c>
      <c r="M428" s="6" t="s">
        <v>55</v>
      </c>
      <c r="N428" s="6" t="s">
        <v>3034</v>
      </c>
      <c r="O428" s="6" t="s">
        <v>59</v>
      </c>
      <c r="P428" s="6" t="s">
        <v>3035</v>
      </c>
    </row>
    <row r="429">
      <c r="A429" s="6" t="s">
        <v>983</v>
      </c>
      <c r="B429" s="6">
        <v>320.0</v>
      </c>
      <c r="F429" s="6" t="s">
        <v>65</v>
      </c>
      <c r="G429" s="6" t="s">
        <v>1027</v>
      </c>
      <c r="H429" s="6" t="s">
        <v>48</v>
      </c>
      <c r="I429" s="6" t="s">
        <v>48</v>
      </c>
      <c r="J429" s="6" t="s">
        <v>48</v>
      </c>
      <c r="K429" s="9" t="str">
        <f>HYPERLINK("https://www.instagram.com/reel/BsoYvoIFXvT/","Open Reel")</f>
        <v>Open Reel</v>
      </c>
      <c r="L429" s="6" t="s">
        <v>3038</v>
      </c>
      <c r="M429" s="6" t="s">
        <v>3039</v>
      </c>
      <c r="N429" s="6" t="s">
        <v>3040</v>
      </c>
      <c r="O429" s="6" t="s">
        <v>59</v>
      </c>
      <c r="P429" s="6" t="s">
        <v>3042</v>
      </c>
    </row>
    <row r="430">
      <c r="A430" s="6" t="s">
        <v>983</v>
      </c>
      <c r="B430" s="6">
        <v>321.0</v>
      </c>
      <c r="F430" s="6" t="s">
        <v>984</v>
      </c>
      <c r="G430" s="6" t="s">
        <v>3043</v>
      </c>
      <c r="H430" s="6" t="s">
        <v>48</v>
      </c>
      <c r="I430" s="6" t="s">
        <v>48</v>
      </c>
      <c r="J430" s="6" t="s">
        <v>48</v>
      </c>
      <c r="K430" s="9" t="str">
        <f>HYPERLINK("https://www.instagram.com/p/Bsn0FWgF0zc/","Open Post")</f>
        <v>Open Post</v>
      </c>
      <c r="L430" s="6" t="s">
        <v>3044</v>
      </c>
      <c r="M430" s="6" t="s">
        <v>55</v>
      </c>
      <c r="N430" s="6" t="s">
        <v>3045</v>
      </c>
      <c r="O430" s="6" t="s">
        <v>59</v>
      </c>
      <c r="P430" s="6" t="s">
        <v>3047</v>
      </c>
    </row>
    <row r="431">
      <c r="A431" s="6" t="s">
        <v>983</v>
      </c>
      <c r="B431" s="6">
        <v>322.0</v>
      </c>
      <c r="F431" s="6" t="s">
        <v>984</v>
      </c>
      <c r="G431" s="6" t="s">
        <v>985</v>
      </c>
      <c r="H431" s="6" t="s">
        <v>48</v>
      </c>
      <c r="I431" s="6" t="s">
        <v>48</v>
      </c>
      <c r="J431" s="6" t="s">
        <v>48</v>
      </c>
      <c r="K431" s="9" t="str">
        <f>HYPERLINK("https://www.instagram.com/p/BsdVe2vlHiz/","Open Post")</f>
        <v>Open Post</v>
      </c>
      <c r="L431" s="6" t="s">
        <v>3050</v>
      </c>
      <c r="M431" s="6" t="s">
        <v>3051</v>
      </c>
      <c r="N431" s="6" t="s">
        <v>3052</v>
      </c>
      <c r="O431" s="6" t="s">
        <v>59</v>
      </c>
      <c r="P431" s="6" t="s">
        <v>3053</v>
      </c>
    </row>
    <row r="432">
      <c r="A432" s="6" t="s">
        <v>983</v>
      </c>
      <c r="B432" s="6">
        <v>323.0</v>
      </c>
      <c r="F432" s="6" t="s">
        <v>984</v>
      </c>
      <c r="G432" s="6" t="s">
        <v>993</v>
      </c>
      <c r="H432" s="6" t="s">
        <v>48</v>
      </c>
      <c r="I432" s="6" t="s">
        <v>48</v>
      </c>
      <c r="J432" s="6" t="s">
        <v>48</v>
      </c>
      <c r="K432" s="9" t="str">
        <f>HYPERLINK("https://www.instagram.com/p/BsdL-dSAyPv/","Open Post")</f>
        <v>Open Post</v>
      </c>
      <c r="L432" s="6" t="s">
        <v>3054</v>
      </c>
      <c r="M432" s="6" t="s">
        <v>55</v>
      </c>
      <c r="N432" s="6" t="s">
        <v>3055</v>
      </c>
      <c r="O432" s="6" t="s">
        <v>59</v>
      </c>
      <c r="P432" s="6" t="s">
        <v>3056</v>
      </c>
    </row>
    <row r="433">
      <c r="A433" s="6" t="s">
        <v>983</v>
      </c>
      <c r="B433" s="6">
        <v>324.0</v>
      </c>
      <c r="F433" s="6" t="s">
        <v>984</v>
      </c>
      <c r="G433" s="6" t="s">
        <v>369</v>
      </c>
      <c r="H433" s="6" t="s">
        <v>48</v>
      </c>
      <c r="I433" s="6" t="s">
        <v>48</v>
      </c>
      <c r="J433" s="6" t="s">
        <v>48</v>
      </c>
      <c r="K433" s="9" t="str">
        <f>HYPERLINK("https://www.instagram.com/p/BsZz6vVH26L/","Open Post")</f>
        <v>Open Post</v>
      </c>
      <c r="M433" s="6" t="s">
        <v>55</v>
      </c>
      <c r="N433" s="6" t="s">
        <v>3059</v>
      </c>
      <c r="O433" s="6" t="s">
        <v>59</v>
      </c>
      <c r="P433" s="6" t="s">
        <v>3060</v>
      </c>
    </row>
    <row r="434">
      <c r="A434" s="6" t="s">
        <v>983</v>
      </c>
      <c r="B434" s="6">
        <v>325.0</v>
      </c>
      <c r="F434" s="6" t="s">
        <v>984</v>
      </c>
      <c r="G434" s="6" t="s">
        <v>1027</v>
      </c>
      <c r="H434" s="6" t="s">
        <v>48</v>
      </c>
      <c r="I434" s="6" t="s">
        <v>48</v>
      </c>
      <c r="J434" s="6" t="s">
        <v>48</v>
      </c>
      <c r="K434" s="9" t="str">
        <f>HYPERLINK("https://www.instagram.com/p/BsOodWoFBFD/","Open Post")</f>
        <v>Open Post</v>
      </c>
      <c r="L434" s="6" t="s">
        <v>3062</v>
      </c>
      <c r="M434" s="6" t="s">
        <v>3063</v>
      </c>
      <c r="N434" s="6" t="s">
        <v>3064</v>
      </c>
      <c r="O434" s="6" t="s">
        <v>59</v>
      </c>
      <c r="P434" s="6" t="s">
        <v>3066</v>
      </c>
    </row>
    <row r="435">
      <c r="A435" s="6" t="s">
        <v>983</v>
      </c>
      <c r="B435" s="6">
        <v>326.0</v>
      </c>
      <c r="F435" s="6" t="s">
        <v>984</v>
      </c>
      <c r="G435" s="6" t="s">
        <v>1008</v>
      </c>
      <c r="H435" s="6" t="s">
        <v>48</v>
      </c>
      <c r="I435" s="6" t="s">
        <v>48</v>
      </c>
      <c r="J435" s="6" t="s">
        <v>48</v>
      </c>
      <c r="K435" s="9" t="str">
        <f>HYPERLINK("https://www.instagram.com/p/BsH_3R1nHas/","Open Post")</f>
        <v>Open Post</v>
      </c>
      <c r="L435" s="6" t="s">
        <v>3068</v>
      </c>
      <c r="M435" s="6" t="s">
        <v>3069</v>
      </c>
      <c r="N435" s="6" t="s">
        <v>3070</v>
      </c>
      <c r="O435" s="6" t="s">
        <v>59</v>
      </c>
      <c r="P435" s="6" t="s">
        <v>3071</v>
      </c>
    </row>
    <row r="436">
      <c r="A436" s="6" t="s">
        <v>983</v>
      </c>
      <c r="B436" s="6">
        <v>327.0</v>
      </c>
      <c r="F436" s="6" t="s">
        <v>984</v>
      </c>
      <c r="G436" s="6" t="s">
        <v>228</v>
      </c>
      <c r="H436" s="6" t="s">
        <v>48</v>
      </c>
      <c r="I436" s="6" t="s">
        <v>48</v>
      </c>
      <c r="J436" s="6" t="s">
        <v>48</v>
      </c>
      <c r="K436" s="9" t="str">
        <f>HYPERLINK("https://www.instagram.com/p/BsA_dwVAHAI/","Open Post")</f>
        <v>Open Post</v>
      </c>
      <c r="L436" s="6" t="s">
        <v>3074</v>
      </c>
      <c r="M436" s="6" t="s">
        <v>3076</v>
      </c>
      <c r="N436" s="6" t="s">
        <v>3077</v>
      </c>
      <c r="O436" s="6" t="s">
        <v>59</v>
      </c>
      <c r="P436" s="6" t="s">
        <v>3078</v>
      </c>
    </row>
    <row r="437">
      <c r="A437" s="6" t="s">
        <v>983</v>
      </c>
      <c r="B437" s="6">
        <v>328.0</v>
      </c>
      <c r="F437" s="6" t="s">
        <v>984</v>
      </c>
      <c r="G437" s="6" t="s">
        <v>555</v>
      </c>
      <c r="H437" s="6" t="s">
        <v>48</v>
      </c>
      <c r="I437" s="6" t="s">
        <v>48</v>
      </c>
      <c r="J437" s="6" t="s">
        <v>48</v>
      </c>
      <c r="K437" s="9" t="str">
        <f>HYPERLINK("https://www.instagram.com/p/Br7jxH2D_V1/","Open Post")</f>
        <v>Open Post</v>
      </c>
      <c r="L437" s="6" t="s">
        <v>3084</v>
      </c>
      <c r="M437" s="6" t="s">
        <v>3085</v>
      </c>
      <c r="N437" s="6" t="s">
        <v>3086</v>
      </c>
      <c r="O437" s="6" t="s">
        <v>59</v>
      </c>
      <c r="P437" s="6" t="s">
        <v>3087</v>
      </c>
    </row>
    <row r="438">
      <c r="A438" s="6" t="s">
        <v>983</v>
      </c>
      <c r="B438" s="6">
        <v>329.0</v>
      </c>
      <c r="F438" s="6" t="s">
        <v>984</v>
      </c>
      <c r="G438" s="6" t="s">
        <v>477</v>
      </c>
      <c r="H438" s="6" t="s">
        <v>48</v>
      </c>
      <c r="I438" s="6" t="s">
        <v>48</v>
      </c>
      <c r="J438" s="6" t="s">
        <v>48</v>
      </c>
      <c r="K438" s="9" t="str">
        <f>HYPERLINK("https://www.instagram.com/p/Br5qVKVlywF/","Open Post")</f>
        <v>Open Post</v>
      </c>
      <c r="L438" s="6" t="s">
        <v>3091</v>
      </c>
      <c r="M438" s="6" t="s">
        <v>3092</v>
      </c>
      <c r="N438" s="6" t="s">
        <v>3093</v>
      </c>
      <c r="O438" s="6" t="s">
        <v>59</v>
      </c>
      <c r="P438" s="6" t="s">
        <v>3095</v>
      </c>
    </row>
    <row r="439">
      <c r="A439" s="6" t="s">
        <v>983</v>
      </c>
      <c r="B439" s="6">
        <v>330.0</v>
      </c>
      <c r="F439" s="6" t="s">
        <v>984</v>
      </c>
      <c r="G439" s="6" t="s">
        <v>1008</v>
      </c>
      <c r="H439" s="6" t="s">
        <v>48</v>
      </c>
      <c r="I439" s="6" t="s">
        <v>48</v>
      </c>
      <c r="J439" s="6" t="s">
        <v>48</v>
      </c>
      <c r="K439" s="9" t="str">
        <f>HYPERLINK("https://www.instagram.com/p/BrnJmqsFd5_/","Open Post")</f>
        <v>Open Post</v>
      </c>
      <c r="L439" s="6" t="s">
        <v>3098</v>
      </c>
      <c r="M439" s="6" t="s">
        <v>3099</v>
      </c>
      <c r="N439" s="6" t="s">
        <v>3101</v>
      </c>
      <c r="O439" s="6" t="s">
        <v>59</v>
      </c>
      <c r="P439" s="6" t="s">
        <v>3102</v>
      </c>
    </row>
    <row r="440">
      <c r="A440" s="6" t="s">
        <v>983</v>
      </c>
      <c r="B440" s="6">
        <v>331.0</v>
      </c>
      <c r="F440" s="6" t="s">
        <v>1026</v>
      </c>
      <c r="G440" s="6" t="s">
        <v>1027</v>
      </c>
      <c r="H440" s="6" t="s">
        <v>48</v>
      </c>
      <c r="I440" s="6" t="s">
        <v>48</v>
      </c>
      <c r="J440" s="6" t="s">
        <v>48</v>
      </c>
      <c r="K440" s="9" t="str">
        <f>HYPERLINK("https://www.instagram.com/p/Br0RtxLFAFy/","Open Post")</f>
        <v>Open Post</v>
      </c>
      <c r="L440" s="6" t="s">
        <v>3104</v>
      </c>
      <c r="M440" s="6" t="s">
        <v>3106</v>
      </c>
      <c r="N440" s="6" t="s">
        <v>3107</v>
      </c>
      <c r="O440" s="6" t="s">
        <v>59</v>
      </c>
      <c r="P440" s="6" t="s">
        <v>3109</v>
      </c>
    </row>
    <row r="441">
      <c r="A441" s="6" t="s">
        <v>983</v>
      </c>
      <c r="B441" s="6">
        <v>332.0</v>
      </c>
      <c r="F441" s="6" t="s">
        <v>984</v>
      </c>
      <c r="G441" s="6" t="s">
        <v>172</v>
      </c>
      <c r="H441" s="6" t="s">
        <v>48</v>
      </c>
      <c r="I441" s="6" t="s">
        <v>48</v>
      </c>
      <c r="J441" s="6" t="s">
        <v>48</v>
      </c>
      <c r="K441" s="9" t="str">
        <f>HYPERLINK("https://www.instagram.com/p/Brx75O-lJuW/","Open Post")</f>
        <v>Open Post</v>
      </c>
      <c r="L441" s="6" t="s">
        <v>3113</v>
      </c>
      <c r="M441" s="6" t="s">
        <v>3114</v>
      </c>
      <c r="N441" s="6" t="s">
        <v>3115</v>
      </c>
      <c r="O441" s="6" t="s">
        <v>59</v>
      </c>
      <c r="P441" s="6" t="s">
        <v>3116</v>
      </c>
    </row>
    <row r="442">
      <c r="A442" s="6" t="s">
        <v>983</v>
      </c>
      <c r="B442" s="6">
        <v>333.0</v>
      </c>
      <c r="F442" s="6" t="s">
        <v>984</v>
      </c>
      <c r="G442" s="6" t="s">
        <v>369</v>
      </c>
      <c r="H442" s="6" t="s">
        <v>48</v>
      </c>
      <c r="I442" s="6" t="s">
        <v>48</v>
      </c>
      <c r="J442" s="6" t="s">
        <v>48</v>
      </c>
      <c r="K442" s="9" t="str">
        <f>HYPERLINK("https://www.instagram.com/p/BrxuIECFA30/","Open Post")</f>
        <v>Open Post</v>
      </c>
      <c r="L442" s="6" t="s">
        <v>3118</v>
      </c>
      <c r="M442" s="6" t="s">
        <v>55</v>
      </c>
      <c r="N442" s="6" t="s">
        <v>3119</v>
      </c>
      <c r="O442" s="6" t="s">
        <v>59</v>
      </c>
      <c r="P442" s="6" t="s">
        <v>3120</v>
      </c>
    </row>
    <row r="443">
      <c r="A443" s="6" t="s">
        <v>983</v>
      </c>
      <c r="B443" s="6">
        <v>334.0</v>
      </c>
      <c r="F443" s="6" t="s">
        <v>984</v>
      </c>
      <c r="G443" s="6" t="s">
        <v>228</v>
      </c>
      <c r="H443" s="6" t="s">
        <v>48</v>
      </c>
      <c r="I443" s="6" t="s">
        <v>48</v>
      </c>
      <c r="J443" s="6" t="s">
        <v>48</v>
      </c>
      <c r="K443" s="9" t="str">
        <f>HYPERLINK("https://www.instagram.com/p/BFlv91bReqF/","Open Post")</f>
        <v>Open Post</v>
      </c>
      <c r="L443" s="6" t="s">
        <v>3125</v>
      </c>
      <c r="M443" s="6" t="s">
        <v>3126</v>
      </c>
      <c r="N443" s="6" t="s">
        <v>3127</v>
      </c>
      <c r="O443" s="6" t="s">
        <v>59</v>
      </c>
      <c r="P443" s="6" t="s">
        <v>3128</v>
      </c>
    </row>
    <row r="444">
      <c r="A444" s="6" t="s">
        <v>983</v>
      </c>
      <c r="B444" s="6">
        <v>335.0</v>
      </c>
      <c r="F444" s="6" t="s">
        <v>984</v>
      </c>
      <c r="G444" s="6" t="s">
        <v>477</v>
      </c>
      <c r="H444" s="6" t="s">
        <v>48</v>
      </c>
      <c r="I444" s="6" t="s">
        <v>48</v>
      </c>
      <c r="J444" s="6" t="s">
        <v>48</v>
      </c>
      <c r="K444" s="9" t="str">
        <f>HYPERLINK("https://www.instagram.com/p/BrszD8VFqe3/","Open Post")</f>
        <v>Open Post</v>
      </c>
      <c r="L444" s="6" t="s">
        <v>3131</v>
      </c>
      <c r="M444" s="6" t="s">
        <v>3133</v>
      </c>
      <c r="N444" s="6" t="s">
        <v>3134</v>
      </c>
      <c r="O444" s="6" t="s">
        <v>59</v>
      </c>
      <c r="P444" s="6" t="s">
        <v>3135</v>
      </c>
    </row>
    <row r="445">
      <c r="A445" s="6" t="s">
        <v>983</v>
      </c>
      <c r="B445" s="6">
        <v>336.0</v>
      </c>
      <c r="F445" s="6" t="s">
        <v>1026</v>
      </c>
      <c r="G445" s="6" t="s">
        <v>555</v>
      </c>
      <c r="H445" s="6" t="s">
        <v>48</v>
      </c>
      <c r="I445" s="6" t="s">
        <v>48</v>
      </c>
      <c r="J445" s="6" t="s">
        <v>48</v>
      </c>
      <c r="K445" s="9" t="str">
        <f>HYPERLINK("https://www.instagram.com/p/BrpZem7BxIS/","Open Post")</f>
        <v>Open Post</v>
      </c>
      <c r="L445" s="6" t="s">
        <v>3137</v>
      </c>
      <c r="M445" s="6" t="s">
        <v>3138</v>
      </c>
      <c r="N445" s="6" t="s">
        <v>3139</v>
      </c>
      <c r="O445" s="6" t="s">
        <v>59</v>
      </c>
      <c r="P445" s="6" t="s">
        <v>3140</v>
      </c>
    </row>
    <row r="446">
      <c r="A446" s="6" t="s">
        <v>983</v>
      </c>
      <c r="B446" s="6">
        <v>337.0</v>
      </c>
      <c r="F446" s="6" t="s">
        <v>984</v>
      </c>
      <c r="G446" s="6" t="s">
        <v>228</v>
      </c>
      <c r="H446" s="6" t="s">
        <v>48</v>
      </c>
      <c r="I446" s="6" t="s">
        <v>48</v>
      </c>
      <c r="J446" s="6" t="s">
        <v>48</v>
      </c>
      <c r="K446" s="9" t="str">
        <f>HYPERLINK("https://www.instagram.com/p/BrkwXwclJv8/","Open Post")</f>
        <v>Open Post</v>
      </c>
      <c r="L446" s="6" t="s">
        <v>3143</v>
      </c>
      <c r="M446" s="6" t="s">
        <v>3144</v>
      </c>
      <c r="N446" s="6" t="s">
        <v>3146</v>
      </c>
      <c r="O446" s="6" t="s">
        <v>59</v>
      </c>
      <c r="P446" s="6" t="s">
        <v>3147</v>
      </c>
    </row>
    <row r="447">
      <c r="A447" s="6" t="s">
        <v>983</v>
      </c>
      <c r="B447" s="6">
        <v>338.0</v>
      </c>
      <c r="F447" s="6" t="s">
        <v>984</v>
      </c>
      <c r="G447" s="6" t="s">
        <v>1251</v>
      </c>
      <c r="H447" s="6" t="s">
        <v>48</v>
      </c>
      <c r="I447" s="6" t="s">
        <v>48</v>
      </c>
      <c r="J447" s="6" t="s">
        <v>48</v>
      </c>
      <c r="K447" s="9" t="str">
        <f>HYPERLINK("https://www.instagram.com/p/BrYbjsgnjJn/","Open Post")</f>
        <v>Open Post</v>
      </c>
      <c r="L447" s="6" t="s">
        <v>3150</v>
      </c>
      <c r="M447" s="6" t="s">
        <v>3152</v>
      </c>
      <c r="N447" s="6" t="s">
        <v>3153</v>
      </c>
      <c r="O447" s="6" t="s">
        <v>59</v>
      </c>
      <c r="P447" s="6" t="s">
        <v>3154</v>
      </c>
    </row>
    <row r="448">
      <c r="A448" s="6" t="s">
        <v>983</v>
      </c>
      <c r="B448" s="6">
        <v>339.0</v>
      </c>
      <c r="F448" s="6" t="s">
        <v>984</v>
      </c>
      <c r="G448" s="6" t="s">
        <v>1027</v>
      </c>
      <c r="H448" s="6" t="s">
        <v>48</v>
      </c>
      <c r="I448" s="6" t="s">
        <v>48</v>
      </c>
      <c r="J448" s="6" t="s">
        <v>48</v>
      </c>
      <c r="K448" s="9" t="str">
        <f>HYPERLINK("https://www.instagram.com/p/BrVnwhSFYSk/","Open Post")</f>
        <v>Open Post</v>
      </c>
      <c r="L448" s="6" t="s">
        <v>3157</v>
      </c>
      <c r="M448" s="6" t="s">
        <v>3158</v>
      </c>
      <c r="N448" s="6" t="s">
        <v>3159</v>
      </c>
      <c r="O448" s="6" t="s">
        <v>59</v>
      </c>
      <c r="P448" s="6" t="s">
        <v>3160</v>
      </c>
    </row>
    <row r="449">
      <c r="A449" s="6" t="s">
        <v>983</v>
      </c>
      <c r="B449" s="6">
        <v>340.0</v>
      </c>
      <c r="F449" s="6" t="s">
        <v>1026</v>
      </c>
      <c r="G449" s="6" t="s">
        <v>390</v>
      </c>
      <c r="H449" s="6" t="s">
        <v>48</v>
      </c>
      <c r="I449" s="6" t="s">
        <v>48</v>
      </c>
      <c r="J449" s="6" t="s">
        <v>48</v>
      </c>
      <c r="K449" s="9" t="str">
        <f>HYPERLINK("https://www.instagram.com/p/BrTdpM3gAkR/","Open Post")</f>
        <v>Open Post</v>
      </c>
      <c r="L449" s="6" t="s">
        <v>3164</v>
      </c>
      <c r="M449" s="6" t="s">
        <v>3165</v>
      </c>
      <c r="N449" s="6" t="s">
        <v>3166</v>
      </c>
      <c r="O449" s="6" t="s">
        <v>59</v>
      </c>
      <c r="P449" s="6" t="s">
        <v>3168</v>
      </c>
    </row>
    <row r="450">
      <c r="A450" s="6" t="s">
        <v>983</v>
      </c>
      <c r="B450" s="6">
        <v>341.0</v>
      </c>
      <c r="F450" s="6" t="s">
        <v>984</v>
      </c>
      <c r="G450" s="6" t="s">
        <v>172</v>
      </c>
      <c r="H450" s="6" t="s">
        <v>48</v>
      </c>
      <c r="I450" s="6" t="s">
        <v>48</v>
      </c>
      <c r="J450" s="6" t="s">
        <v>48</v>
      </c>
      <c r="K450" s="9" t="str">
        <f>HYPERLINK("https://www.instagram.com/p/BrTIIvtBanO/","Open Post")</f>
        <v>Open Post</v>
      </c>
      <c r="L450" s="6" t="s">
        <v>3170</v>
      </c>
      <c r="M450" s="6" t="s">
        <v>3171</v>
      </c>
      <c r="N450" s="6" t="s">
        <v>3173</v>
      </c>
      <c r="O450" s="6" t="s">
        <v>59</v>
      </c>
      <c r="P450" s="6" t="s">
        <v>3174</v>
      </c>
    </row>
    <row r="451">
      <c r="A451" s="6" t="s">
        <v>983</v>
      </c>
      <c r="B451" s="6">
        <v>342.0</v>
      </c>
      <c r="F451" s="6" t="s">
        <v>984</v>
      </c>
      <c r="G451" s="6" t="s">
        <v>985</v>
      </c>
      <c r="H451" s="6" t="s">
        <v>48</v>
      </c>
      <c r="I451" s="6" t="s">
        <v>48</v>
      </c>
      <c r="J451" s="6" t="s">
        <v>48</v>
      </c>
      <c r="K451" s="9" t="str">
        <f>HYPERLINK("https://www.instagram.com/p/BrNXCMdgShI/","Open Post")</f>
        <v>Open Post</v>
      </c>
      <c r="L451" s="6" t="s">
        <v>3175</v>
      </c>
      <c r="M451" s="6" t="s">
        <v>3176</v>
      </c>
      <c r="N451" s="6" t="s">
        <v>3177</v>
      </c>
      <c r="O451" s="6" t="s">
        <v>59</v>
      </c>
      <c r="P451" s="6" t="s">
        <v>3178</v>
      </c>
    </row>
    <row r="452">
      <c r="A452" s="6" t="s">
        <v>983</v>
      </c>
      <c r="B452" s="6">
        <v>343.0</v>
      </c>
      <c r="F452" s="6" t="s">
        <v>1026</v>
      </c>
      <c r="G452" s="6" t="s">
        <v>443</v>
      </c>
      <c r="H452" s="6" t="s">
        <v>48</v>
      </c>
      <c r="I452" s="6" t="s">
        <v>48</v>
      </c>
      <c r="J452" s="6" t="s">
        <v>48</v>
      </c>
      <c r="K452" s="9" t="str">
        <f>HYPERLINK("https://www.instagram.com/p/BrIXSqqnWR9/","Open Post")</f>
        <v>Open Post</v>
      </c>
      <c r="L452" s="6" t="s">
        <v>3185</v>
      </c>
      <c r="M452" s="6" t="s">
        <v>3186</v>
      </c>
      <c r="N452" s="6" t="s">
        <v>3187</v>
      </c>
      <c r="O452" s="6" t="s">
        <v>59</v>
      </c>
      <c r="P452" s="6" t="s">
        <v>3188</v>
      </c>
    </row>
    <row r="453">
      <c r="A453" s="6" t="s">
        <v>983</v>
      </c>
      <c r="B453" s="6">
        <v>344.0</v>
      </c>
      <c r="F453" s="6" t="s">
        <v>984</v>
      </c>
      <c r="G453" s="6" t="s">
        <v>1182</v>
      </c>
      <c r="H453" s="6" t="s">
        <v>48</v>
      </c>
      <c r="I453" s="6" t="s">
        <v>48</v>
      </c>
      <c r="J453" s="6" t="s">
        <v>48</v>
      </c>
      <c r="K453" s="9" t="str">
        <f>HYPERLINK("https://www.instagram.com/p/BrIR7EWlMZm/","Open Post")</f>
        <v>Open Post</v>
      </c>
      <c r="L453" s="6" t="s">
        <v>3191</v>
      </c>
      <c r="M453" s="6" t="s">
        <v>3192</v>
      </c>
      <c r="N453" s="6" t="s">
        <v>3193</v>
      </c>
      <c r="O453" s="6" t="s">
        <v>59</v>
      </c>
      <c r="P453" s="6" t="s">
        <v>3195</v>
      </c>
    </row>
    <row r="454">
      <c r="A454" s="6" t="s">
        <v>983</v>
      </c>
      <c r="B454" s="6">
        <v>345.0</v>
      </c>
      <c r="F454" s="6" t="s">
        <v>1026</v>
      </c>
      <c r="G454" s="6" t="s">
        <v>985</v>
      </c>
      <c r="H454" s="6" t="s">
        <v>48</v>
      </c>
      <c r="I454" s="6" t="s">
        <v>48</v>
      </c>
      <c r="J454" s="6" t="s">
        <v>48</v>
      </c>
      <c r="K454" s="9" t="str">
        <f>HYPERLINK("https://www.instagram.com/p/BrCcs_zlD1L/","Open Post")</f>
        <v>Open Post</v>
      </c>
      <c r="L454" s="6" t="s">
        <v>3197</v>
      </c>
      <c r="M454" s="6" t="s">
        <v>55</v>
      </c>
      <c r="N454" s="6" t="s">
        <v>3198</v>
      </c>
      <c r="O454" s="6" t="s">
        <v>59</v>
      </c>
      <c r="P454" s="6" t="s">
        <v>3200</v>
      </c>
    </row>
    <row r="455">
      <c r="A455" s="6" t="s">
        <v>983</v>
      </c>
      <c r="B455" s="6">
        <v>346.0</v>
      </c>
      <c r="F455" s="6" t="s">
        <v>984</v>
      </c>
      <c r="G455" s="6" t="s">
        <v>985</v>
      </c>
      <c r="H455" s="6" t="s">
        <v>48</v>
      </c>
      <c r="I455" s="6" t="s">
        <v>48</v>
      </c>
      <c r="J455" s="6" t="s">
        <v>48</v>
      </c>
      <c r="K455" s="9" t="str">
        <f>HYPERLINK("https://www.instagram.com/p/Bq-SnMNlfQJ/","Open Post")</f>
        <v>Open Post</v>
      </c>
      <c r="L455" s="6" t="s">
        <v>3201</v>
      </c>
      <c r="M455" s="6" t="s">
        <v>55</v>
      </c>
      <c r="N455" s="6" t="s">
        <v>3202</v>
      </c>
      <c r="O455" s="6" t="s">
        <v>59</v>
      </c>
      <c r="P455" s="6" t="s">
        <v>3203</v>
      </c>
    </row>
    <row r="456">
      <c r="A456" s="6" t="s">
        <v>983</v>
      </c>
      <c r="B456" s="6">
        <v>347.0</v>
      </c>
      <c r="F456" s="6" t="s">
        <v>984</v>
      </c>
      <c r="G456" s="6" t="s">
        <v>172</v>
      </c>
      <c r="H456" s="6" t="s">
        <v>48</v>
      </c>
      <c r="I456" s="6" t="s">
        <v>48</v>
      </c>
      <c r="J456" s="6" t="s">
        <v>48</v>
      </c>
      <c r="K456" s="9" t="str">
        <f>HYPERLINK("https://www.instagram.com/p/Bq7SW9NAsSQ/","Open Post")</f>
        <v>Open Post</v>
      </c>
      <c r="L456" s="6" t="s">
        <v>3207</v>
      </c>
      <c r="M456" s="6" t="s">
        <v>3208</v>
      </c>
      <c r="N456" s="6" t="s">
        <v>3209</v>
      </c>
      <c r="O456" s="6" t="s">
        <v>59</v>
      </c>
      <c r="P456" s="6" t="s">
        <v>3210</v>
      </c>
    </row>
    <row r="457">
      <c r="A457" s="6" t="s">
        <v>983</v>
      </c>
      <c r="B457" s="6">
        <v>348.0</v>
      </c>
      <c r="F457" s="6" t="s">
        <v>984</v>
      </c>
      <c r="G457" s="6" t="s">
        <v>1251</v>
      </c>
      <c r="H457" s="6" t="s">
        <v>48</v>
      </c>
      <c r="I457" s="6" t="s">
        <v>48</v>
      </c>
      <c r="J457" s="6" t="s">
        <v>48</v>
      </c>
      <c r="K457" s="9" t="str">
        <f>HYPERLINK("https://www.instagram.com/p/BqyY-eUDVAy/","Open Post")</f>
        <v>Open Post</v>
      </c>
      <c r="L457" s="6" t="s">
        <v>3213</v>
      </c>
      <c r="M457" s="6" t="s">
        <v>3214</v>
      </c>
      <c r="N457" s="6" t="s">
        <v>3215</v>
      </c>
      <c r="O457" s="6" t="s">
        <v>59</v>
      </c>
      <c r="P457" s="6" t="s">
        <v>3216</v>
      </c>
    </row>
    <row r="458">
      <c r="A458" s="6" t="s">
        <v>983</v>
      </c>
      <c r="B458" s="6">
        <v>349.0</v>
      </c>
      <c r="F458" s="6" t="s">
        <v>1026</v>
      </c>
      <c r="G458" s="6" t="s">
        <v>3217</v>
      </c>
      <c r="H458" s="6" t="s">
        <v>48</v>
      </c>
      <c r="I458" s="6" t="s">
        <v>48</v>
      </c>
      <c r="J458" s="6" t="s">
        <v>48</v>
      </c>
      <c r="K458" s="9" t="str">
        <f>HYPERLINK("https://www.instagram.com/p/BqyLXMnlGkb/","Open Post")</f>
        <v>Open Post</v>
      </c>
      <c r="L458" s="6" t="s">
        <v>3220</v>
      </c>
      <c r="M458" s="6" t="s">
        <v>3221</v>
      </c>
      <c r="N458" s="6" t="s">
        <v>3222</v>
      </c>
      <c r="O458" s="6" t="s">
        <v>59</v>
      </c>
      <c r="P458" s="6" t="s">
        <v>3224</v>
      </c>
    </row>
    <row r="459">
      <c r="A459" s="6" t="s">
        <v>983</v>
      </c>
      <c r="B459" s="6">
        <v>350.0</v>
      </c>
      <c r="F459" s="6" t="s">
        <v>1026</v>
      </c>
      <c r="G459" s="6" t="s">
        <v>3225</v>
      </c>
      <c r="H459" s="6" t="s">
        <v>48</v>
      </c>
      <c r="I459" s="6" t="s">
        <v>48</v>
      </c>
      <c r="J459" s="6" t="s">
        <v>48</v>
      </c>
      <c r="K459" s="9" t="str">
        <f>HYPERLINK("https://www.instagram.com/p/BqwVu65A8Ve/","Open Post")</f>
        <v>Open Post</v>
      </c>
      <c r="L459" s="6" t="s">
        <v>3226</v>
      </c>
      <c r="M459" s="6" t="s">
        <v>3227</v>
      </c>
      <c r="N459" s="6" t="s">
        <v>3228</v>
      </c>
      <c r="O459" s="6" t="s">
        <v>59</v>
      </c>
      <c r="P459" s="6" t="s">
        <v>3230</v>
      </c>
    </row>
    <row r="460">
      <c r="A460" s="6" t="s">
        <v>983</v>
      </c>
      <c r="B460" s="6">
        <v>351.0</v>
      </c>
      <c r="F460" s="6" t="s">
        <v>984</v>
      </c>
      <c r="G460" s="6" t="s">
        <v>228</v>
      </c>
      <c r="H460" s="6" t="s">
        <v>48</v>
      </c>
      <c r="I460" s="6" t="s">
        <v>48</v>
      </c>
      <c r="J460" s="6" t="s">
        <v>48</v>
      </c>
      <c r="K460" s="9" t="str">
        <f>HYPERLINK("https://www.instagram.com/p/BqsKNNlDlYc/","Open Post")</f>
        <v>Open Post</v>
      </c>
      <c r="L460" s="6" t="s">
        <v>3233</v>
      </c>
      <c r="M460" s="6" t="s">
        <v>3234</v>
      </c>
      <c r="N460" s="6" t="s">
        <v>3235</v>
      </c>
      <c r="O460" s="6" t="s">
        <v>59</v>
      </c>
      <c r="P460" s="6" t="s">
        <v>3236</v>
      </c>
    </row>
    <row r="461">
      <c r="A461" s="6" t="s">
        <v>983</v>
      </c>
      <c r="B461" s="6">
        <v>352.0</v>
      </c>
      <c r="F461" s="6" t="s">
        <v>984</v>
      </c>
      <c r="G461" s="6" t="s">
        <v>2789</v>
      </c>
      <c r="H461" s="6" t="s">
        <v>48</v>
      </c>
      <c r="I461" s="6" t="s">
        <v>48</v>
      </c>
      <c r="J461" s="6" t="s">
        <v>48</v>
      </c>
      <c r="K461" s="9" t="str">
        <f>HYPERLINK("https://www.instagram.com/p/Bqr_R28BZ-G/","Open Post")</f>
        <v>Open Post</v>
      </c>
      <c r="L461" s="6" t="s">
        <v>3239</v>
      </c>
      <c r="M461" s="6" t="s">
        <v>3240</v>
      </c>
      <c r="N461" s="6" t="s">
        <v>3241</v>
      </c>
      <c r="O461" s="6" t="s">
        <v>59</v>
      </c>
      <c r="P461" s="6" t="s">
        <v>3242</v>
      </c>
    </row>
    <row r="462">
      <c r="A462" s="6" t="s">
        <v>983</v>
      </c>
      <c r="B462" s="6">
        <v>353.0</v>
      </c>
      <c r="F462" s="6" t="s">
        <v>1026</v>
      </c>
      <c r="G462" s="6" t="s">
        <v>555</v>
      </c>
      <c r="H462" s="6" t="s">
        <v>48</v>
      </c>
      <c r="I462" s="6" t="s">
        <v>48</v>
      </c>
      <c r="J462" s="6" t="s">
        <v>48</v>
      </c>
      <c r="K462" s="9" t="str">
        <f>HYPERLINK("https://www.instagram.com/p/BqrVPGAAYvT/","Open Post")</f>
        <v>Open Post</v>
      </c>
      <c r="L462" s="6" t="s">
        <v>3246</v>
      </c>
      <c r="M462" s="6" t="s">
        <v>3247</v>
      </c>
      <c r="N462" s="6" t="s">
        <v>3248</v>
      </c>
      <c r="O462" s="6" t="s">
        <v>59</v>
      </c>
      <c r="P462" s="6" t="s">
        <v>3249</v>
      </c>
    </row>
    <row r="463">
      <c r="A463" s="6" t="s">
        <v>983</v>
      </c>
      <c r="B463" s="6">
        <v>354.0</v>
      </c>
      <c r="F463" s="6" t="s">
        <v>1026</v>
      </c>
      <c r="G463" s="6" t="s">
        <v>3250</v>
      </c>
      <c r="H463" s="6" t="s">
        <v>48</v>
      </c>
      <c r="I463" s="6" t="s">
        <v>48</v>
      </c>
      <c r="J463" s="6" t="s">
        <v>48</v>
      </c>
      <c r="K463" s="9" t="str">
        <f>HYPERLINK("https://www.instagram.com/p/BqmyX_jg-1J/","Open Post")</f>
        <v>Open Post</v>
      </c>
      <c r="L463" s="6" t="s">
        <v>3251</v>
      </c>
      <c r="M463" s="6" t="s">
        <v>3252</v>
      </c>
      <c r="N463" s="6" t="s">
        <v>3253</v>
      </c>
      <c r="O463" s="6" t="s">
        <v>59</v>
      </c>
      <c r="P463" s="6" t="s">
        <v>3255</v>
      </c>
    </row>
    <row r="464">
      <c r="A464" s="6" t="s">
        <v>983</v>
      </c>
      <c r="B464" s="6">
        <v>355.0</v>
      </c>
      <c r="F464" s="6" t="s">
        <v>65</v>
      </c>
      <c r="G464" s="6" t="s">
        <v>172</v>
      </c>
      <c r="H464" s="6" t="s">
        <v>48</v>
      </c>
      <c r="I464" s="6" t="s">
        <v>48</v>
      </c>
      <c r="J464" s="6" t="s">
        <v>48</v>
      </c>
      <c r="K464" s="9" t="str">
        <f>HYPERLINK("https://www.instagram.com/reel/Bqka_U0l87z/","Open Reel")</f>
        <v>Open Reel</v>
      </c>
      <c r="L464" s="6" t="s">
        <v>3258</v>
      </c>
      <c r="M464" s="6" t="s">
        <v>3259</v>
      </c>
      <c r="N464" s="6" t="s">
        <v>3260</v>
      </c>
      <c r="O464" s="6" t="s">
        <v>59</v>
      </c>
      <c r="P464" s="6" t="s">
        <v>3261</v>
      </c>
    </row>
    <row r="465">
      <c r="A465" s="6" t="s">
        <v>983</v>
      </c>
      <c r="B465" s="6">
        <v>356.0</v>
      </c>
      <c r="F465" s="6" t="s">
        <v>984</v>
      </c>
      <c r="G465" s="6" t="s">
        <v>3263</v>
      </c>
      <c r="H465" s="6" t="s">
        <v>48</v>
      </c>
      <c r="I465" s="6" t="s">
        <v>48</v>
      </c>
      <c r="J465" s="6" t="s">
        <v>48</v>
      </c>
      <c r="K465" s="9" t="str">
        <f>HYPERLINK("https://www.instagram.com/p/Bqf1ll0A331/","Open Post")</f>
        <v>Open Post</v>
      </c>
      <c r="L465" s="6" t="s">
        <v>3265</v>
      </c>
      <c r="M465" s="6" t="s">
        <v>3266</v>
      </c>
      <c r="N465" s="6" t="s">
        <v>3267</v>
      </c>
      <c r="O465" s="6" t="s">
        <v>59</v>
      </c>
      <c r="P465" s="6" t="s">
        <v>3268</v>
      </c>
    </row>
    <row r="466">
      <c r="A466" s="6" t="s">
        <v>983</v>
      </c>
      <c r="B466" s="6">
        <v>357.0</v>
      </c>
      <c r="F466" s="6" t="s">
        <v>984</v>
      </c>
      <c r="G466" s="6" t="s">
        <v>1027</v>
      </c>
      <c r="H466" s="6" t="s">
        <v>48</v>
      </c>
      <c r="I466" s="6" t="s">
        <v>48</v>
      </c>
      <c r="J466" s="6" t="s">
        <v>48</v>
      </c>
      <c r="K466" s="9" t="str">
        <f>HYPERLINK("https://www.instagram.com/p/BqX3n8gBLUJ/","Open Post")</f>
        <v>Open Post</v>
      </c>
      <c r="L466" s="6" t="s">
        <v>3272</v>
      </c>
      <c r="M466" s="6" t="s">
        <v>3273</v>
      </c>
      <c r="N466" s="6" t="s">
        <v>3274</v>
      </c>
      <c r="O466" s="6" t="s">
        <v>59</v>
      </c>
      <c r="P466" s="6" t="s">
        <v>3275</v>
      </c>
    </row>
    <row r="467">
      <c r="A467" s="6" t="s">
        <v>983</v>
      </c>
      <c r="B467" s="6">
        <v>358.0</v>
      </c>
      <c r="F467" s="6" t="s">
        <v>984</v>
      </c>
      <c r="G467" s="6" t="s">
        <v>390</v>
      </c>
      <c r="H467" s="6" t="s">
        <v>48</v>
      </c>
      <c r="I467" s="6" t="s">
        <v>48</v>
      </c>
      <c r="J467" s="6" t="s">
        <v>48</v>
      </c>
      <c r="K467" s="9" t="str">
        <f>HYPERLINK("https://www.instagram.com/p/BqXs04un1fa/","Open Post")</f>
        <v>Open Post</v>
      </c>
      <c r="L467" s="6" t="s">
        <v>3276</v>
      </c>
      <c r="M467" s="6" t="s">
        <v>3278</v>
      </c>
      <c r="N467" s="6" t="s">
        <v>3279</v>
      </c>
      <c r="O467" s="6" t="s">
        <v>59</v>
      </c>
      <c r="P467" s="6" t="s">
        <v>3280</v>
      </c>
    </row>
    <row r="468">
      <c r="A468" s="6" t="s">
        <v>983</v>
      </c>
      <c r="B468" s="6">
        <v>359.0</v>
      </c>
      <c r="F468" s="6" t="s">
        <v>65</v>
      </c>
      <c r="G468" s="6" t="s">
        <v>172</v>
      </c>
      <c r="H468" s="6" t="s">
        <v>48</v>
      </c>
      <c r="I468" s="6" t="s">
        <v>48</v>
      </c>
      <c r="J468" s="6" t="s">
        <v>48</v>
      </c>
      <c r="K468" s="9" t="str">
        <f>HYPERLINK("https://www.instagram.com/reel/BqVBq9fF1MY/","Open Reel")</f>
        <v>Open Reel</v>
      </c>
      <c r="L468" s="6" t="s">
        <v>3283</v>
      </c>
      <c r="M468" s="6" t="s">
        <v>3284</v>
      </c>
      <c r="N468" s="6" t="s">
        <v>3285</v>
      </c>
      <c r="O468" s="6" t="s">
        <v>59</v>
      </c>
      <c r="P468" s="6" t="s">
        <v>3286</v>
      </c>
    </row>
    <row r="469">
      <c r="A469" s="6" t="s">
        <v>983</v>
      </c>
      <c r="B469" s="6">
        <v>360.0</v>
      </c>
      <c r="F469" s="6" t="s">
        <v>984</v>
      </c>
      <c r="G469" s="6" t="s">
        <v>479</v>
      </c>
      <c r="H469" s="6" t="s">
        <v>48</v>
      </c>
      <c r="I469" s="6" t="s">
        <v>48</v>
      </c>
      <c r="J469" s="6" t="s">
        <v>48</v>
      </c>
      <c r="K469" s="9" t="str">
        <f>HYPERLINK("https://www.instagram.com/p/BqR8D7bndf4/","Open Post")</f>
        <v>Open Post</v>
      </c>
      <c r="L469" s="6" t="s">
        <v>3289</v>
      </c>
      <c r="M469" s="6" t="s">
        <v>3290</v>
      </c>
      <c r="N469" s="6" t="s">
        <v>3291</v>
      </c>
      <c r="O469" s="6" t="s">
        <v>59</v>
      </c>
      <c r="P469" s="6" t="s">
        <v>3293</v>
      </c>
    </row>
    <row r="470">
      <c r="A470" s="6" t="s">
        <v>983</v>
      </c>
      <c r="B470" s="6">
        <v>361.0</v>
      </c>
      <c r="F470" s="6" t="s">
        <v>984</v>
      </c>
      <c r="G470" s="6" t="s">
        <v>104</v>
      </c>
      <c r="H470" s="6" t="s">
        <v>48</v>
      </c>
      <c r="I470" s="6" t="s">
        <v>48</v>
      </c>
      <c r="J470" s="6" t="s">
        <v>48</v>
      </c>
      <c r="K470" s="9" t="str">
        <f>HYPERLINK("https://www.instagram.com/p/BqP1j9EFLLu/","Open Post")</f>
        <v>Open Post</v>
      </c>
      <c r="L470" s="6" t="s">
        <v>3296</v>
      </c>
      <c r="M470" s="6" t="s">
        <v>3297</v>
      </c>
      <c r="N470" s="6" t="s">
        <v>3298</v>
      </c>
      <c r="O470" s="6" t="s">
        <v>59</v>
      </c>
      <c r="P470" s="6" t="s">
        <v>3299</v>
      </c>
    </row>
    <row r="471">
      <c r="A471" s="6" t="s">
        <v>983</v>
      </c>
      <c r="B471" s="6">
        <v>362.0</v>
      </c>
      <c r="F471" s="6" t="s">
        <v>984</v>
      </c>
      <c r="G471" s="6" t="s">
        <v>1599</v>
      </c>
      <c r="H471" s="6" t="s">
        <v>48</v>
      </c>
      <c r="I471" s="6" t="s">
        <v>48</v>
      </c>
      <c r="J471" s="6" t="s">
        <v>48</v>
      </c>
      <c r="K471" s="9" t="str">
        <f>HYPERLINK("https://www.instagram.com/p/BqPA8RbgR5X/","Open Post")</f>
        <v>Open Post</v>
      </c>
      <c r="L471" s="6" t="s">
        <v>3302</v>
      </c>
      <c r="M471" s="6" t="s">
        <v>3303</v>
      </c>
      <c r="N471" s="6" t="s">
        <v>3305</v>
      </c>
      <c r="O471" s="6" t="s">
        <v>59</v>
      </c>
      <c r="P471" s="6" t="s">
        <v>3306</v>
      </c>
    </row>
    <row r="472">
      <c r="A472" s="6" t="s">
        <v>983</v>
      </c>
      <c r="B472" s="6">
        <v>363.0</v>
      </c>
      <c r="F472" s="6" t="s">
        <v>1026</v>
      </c>
      <c r="G472" s="6" t="s">
        <v>286</v>
      </c>
      <c r="H472" s="6" t="s">
        <v>48</v>
      </c>
      <c r="I472" s="6" t="s">
        <v>48</v>
      </c>
      <c r="J472" s="6" t="s">
        <v>48</v>
      </c>
      <c r="K472" s="9" t="str">
        <f>HYPERLINK("https://www.instagram.com/p/BqOUij2An3y/","Open Post")</f>
        <v>Open Post</v>
      </c>
      <c r="L472" s="6" t="s">
        <v>3309</v>
      </c>
      <c r="M472" s="6" t="s">
        <v>3311</v>
      </c>
      <c r="N472" s="6" t="s">
        <v>3312</v>
      </c>
      <c r="O472" s="6" t="s">
        <v>59</v>
      </c>
      <c r="P472" s="6" t="s">
        <v>3313</v>
      </c>
    </row>
    <row r="473">
      <c r="A473" s="6" t="s">
        <v>983</v>
      </c>
      <c r="B473" s="6">
        <v>364.0</v>
      </c>
      <c r="F473" s="6" t="s">
        <v>65</v>
      </c>
      <c r="G473" s="6" t="s">
        <v>172</v>
      </c>
      <c r="H473" s="6" t="s">
        <v>48</v>
      </c>
      <c r="I473" s="6" t="s">
        <v>48</v>
      </c>
      <c r="J473" s="6" t="s">
        <v>48</v>
      </c>
      <c r="K473" s="9" t="str">
        <f>HYPERLINK("https://www.instagram.com/reel/BqIltuGll9E/","Open Reel")</f>
        <v>Open Reel</v>
      </c>
      <c r="L473" s="6" t="s">
        <v>3316</v>
      </c>
      <c r="M473" s="6" t="s">
        <v>3317</v>
      </c>
      <c r="N473" s="6" t="s">
        <v>3318</v>
      </c>
      <c r="O473" s="6" t="s">
        <v>59</v>
      </c>
      <c r="P473" s="6" t="s">
        <v>3319</v>
      </c>
    </row>
    <row r="474">
      <c r="A474" s="6" t="s">
        <v>983</v>
      </c>
      <c r="B474" s="6">
        <v>365.0</v>
      </c>
      <c r="F474" s="6" t="s">
        <v>984</v>
      </c>
      <c r="G474" s="6" t="s">
        <v>369</v>
      </c>
      <c r="H474" s="6" t="s">
        <v>48</v>
      </c>
      <c r="I474" s="6" t="s">
        <v>48</v>
      </c>
      <c r="J474" s="6" t="s">
        <v>48</v>
      </c>
      <c r="K474" s="9" t="str">
        <f>HYPERLINK("https://www.instagram.com/p/BqAEvFugP4j/","Open Post")</f>
        <v>Open Post</v>
      </c>
      <c r="L474" s="6" t="s">
        <v>3321</v>
      </c>
      <c r="M474" s="6" t="s">
        <v>55</v>
      </c>
      <c r="N474" s="6" t="s">
        <v>3322</v>
      </c>
      <c r="O474" s="6" t="s">
        <v>59</v>
      </c>
      <c r="P474" s="6" t="s">
        <v>3323</v>
      </c>
    </row>
    <row r="475">
      <c r="A475" s="6" t="s">
        <v>983</v>
      </c>
      <c r="B475" s="6">
        <v>366.0</v>
      </c>
      <c r="F475" s="6" t="s">
        <v>1026</v>
      </c>
      <c r="G475" s="6" t="s">
        <v>104</v>
      </c>
      <c r="H475" s="6" t="s">
        <v>48</v>
      </c>
      <c r="I475" s="6" t="s">
        <v>48</v>
      </c>
      <c r="J475" s="6" t="s">
        <v>48</v>
      </c>
      <c r="K475" s="9" t="str">
        <f>HYPERLINK("https://www.instagram.com/p/Bp_voJiBHLr/","Open Post")</f>
        <v>Open Post</v>
      </c>
      <c r="L475" s="6" t="s">
        <v>3328</v>
      </c>
      <c r="M475" s="6" t="s">
        <v>3329</v>
      </c>
      <c r="N475" s="6" t="s">
        <v>3330</v>
      </c>
      <c r="O475" s="6" t="s">
        <v>59</v>
      </c>
      <c r="P475" s="6" t="s">
        <v>3331</v>
      </c>
    </row>
    <row r="476">
      <c r="A476" s="6" t="s">
        <v>983</v>
      </c>
      <c r="B476" s="6">
        <v>367.0</v>
      </c>
      <c r="F476" s="6" t="s">
        <v>984</v>
      </c>
      <c r="G476" s="6" t="s">
        <v>228</v>
      </c>
      <c r="H476" s="6" t="s">
        <v>48</v>
      </c>
      <c r="I476" s="6" t="s">
        <v>48</v>
      </c>
      <c r="J476" s="6" t="s">
        <v>48</v>
      </c>
      <c r="K476" s="9" t="str">
        <f>HYPERLINK("https://www.instagram.com/p/Bp5Cj1zF6xG/","Open Post")</f>
        <v>Open Post</v>
      </c>
      <c r="L476" s="6" t="s">
        <v>3334</v>
      </c>
      <c r="M476" s="6" t="s">
        <v>3335</v>
      </c>
      <c r="N476" s="6" t="s">
        <v>3337</v>
      </c>
      <c r="O476" s="6" t="s">
        <v>59</v>
      </c>
      <c r="P476" s="6" t="s">
        <v>3338</v>
      </c>
    </row>
    <row r="477">
      <c r="A477" s="6" t="s">
        <v>983</v>
      </c>
      <c r="B477" s="6">
        <v>368.0</v>
      </c>
      <c r="F477" s="6" t="s">
        <v>984</v>
      </c>
      <c r="G477" s="6" t="s">
        <v>985</v>
      </c>
      <c r="H477" s="6" t="s">
        <v>48</v>
      </c>
      <c r="I477" s="6" t="s">
        <v>48</v>
      </c>
      <c r="J477" s="6" t="s">
        <v>48</v>
      </c>
      <c r="K477" s="9" t="str">
        <f>HYPERLINK("https://www.instagram.com/p/Bp6zTlNA7uB/","Open Post")</f>
        <v>Open Post</v>
      </c>
      <c r="L477" s="6" t="s">
        <v>3341</v>
      </c>
      <c r="M477" s="6" t="s">
        <v>55</v>
      </c>
      <c r="N477" s="6" t="s">
        <v>3342</v>
      </c>
      <c r="O477" s="6" t="s">
        <v>59</v>
      </c>
      <c r="P477" s="6" t="s">
        <v>3343</v>
      </c>
    </row>
    <row r="478">
      <c r="A478" s="6" t="s">
        <v>983</v>
      </c>
      <c r="B478" s="6">
        <v>369.0</v>
      </c>
      <c r="F478" s="6" t="s">
        <v>984</v>
      </c>
      <c r="G478" s="6" t="s">
        <v>3344</v>
      </c>
      <c r="H478" s="6" t="s">
        <v>48</v>
      </c>
      <c r="I478" s="6" t="s">
        <v>48</v>
      </c>
      <c r="J478" s="6" t="s">
        <v>48</v>
      </c>
      <c r="K478" s="9" t="str">
        <f>HYPERLINK("https://www.instagram.com/p/Bp6BtkmF95e/","Open Post")</f>
        <v>Open Post</v>
      </c>
      <c r="L478" s="6" t="s">
        <v>3348</v>
      </c>
      <c r="M478" s="6" t="s">
        <v>3349</v>
      </c>
      <c r="N478" s="6" t="s">
        <v>3350</v>
      </c>
      <c r="O478" s="6" t="s">
        <v>59</v>
      </c>
      <c r="P478" s="6" t="s">
        <v>3351</v>
      </c>
    </row>
    <row r="479">
      <c r="A479" s="6" t="s">
        <v>983</v>
      </c>
      <c r="B479" s="6">
        <v>370.0</v>
      </c>
      <c r="F479" s="6" t="s">
        <v>1026</v>
      </c>
      <c r="G479" s="6" t="s">
        <v>555</v>
      </c>
      <c r="H479" s="6" t="s">
        <v>48</v>
      </c>
      <c r="I479" s="6" t="s">
        <v>48</v>
      </c>
      <c r="J479" s="6" t="s">
        <v>48</v>
      </c>
      <c r="K479" s="9" t="str">
        <f>HYPERLINK("https://www.instagram.com/p/Bp5GbE9gLqA/","Open Post")</f>
        <v>Open Post</v>
      </c>
      <c r="L479" s="6" t="s">
        <v>3352</v>
      </c>
      <c r="M479" s="6" t="s">
        <v>3353</v>
      </c>
      <c r="N479" s="6" t="s">
        <v>3354</v>
      </c>
      <c r="O479" s="6" t="s">
        <v>59</v>
      </c>
      <c r="P479" s="6" t="s">
        <v>3355</v>
      </c>
    </row>
    <row r="480">
      <c r="A480" s="6" t="s">
        <v>983</v>
      </c>
      <c r="B480" s="6">
        <v>371.0</v>
      </c>
      <c r="F480" s="6" t="s">
        <v>984</v>
      </c>
      <c r="G480" s="6" t="s">
        <v>172</v>
      </c>
      <c r="H480" s="6" t="s">
        <v>48</v>
      </c>
      <c r="I480" s="6" t="s">
        <v>48</v>
      </c>
      <c r="J480" s="6" t="s">
        <v>48</v>
      </c>
      <c r="K480" s="9" t="str">
        <f>HYPERLINK("https://www.instagram.com/p/Bp2xS9xAszL/","Open Post")</f>
        <v>Open Post</v>
      </c>
      <c r="L480" s="6" t="s">
        <v>3357</v>
      </c>
      <c r="M480" s="6" t="s">
        <v>3358</v>
      </c>
      <c r="N480" s="6" t="s">
        <v>3360</v>
      </c>
      <c r="O480" s="6" t="s">
        <v>59</v>
      </c>
      <c r="P480" s="6" t="s">
        <v>3361</v>
      </c>
    </row>
    <row r="481">
      <c r="A481" s="6" t="s">
        <v>983</v>
      </c>
      <c r="B481" s="6">
        <v>372.0</v>
      </c>
      <c r="F481" s="6" t="s">
        <v>984</v>
      </c>
      <c r="G481" s="6" t="s">
        <v>3362</v>
      </c>
      <c r="H481" s="6" t="s">
        <v>48</v>
      </c>
      <c r="I481" s="6" t="s">
        <v>48</v>
      </c>
      <c r="J481" s="6" t="s">
        <v>48</v>
      </c>
      <c r="K481" s="9" t="str">
        <f>HYPERLINK("https://www.instagram.com/p/BpznZwRBb_K/","Open Post")</f>
        <v>Open Post</v>
      </c>
      <c r="L481" s="6" t="s">
        <v>3364</v>
      </c>
      <c r="M481" s="6" t="s">
        <v>3365</v>
      </c>
      <c r="N481" s="6" t="s">
        <v>3366</v>
      </c>
      <c r="O481" s="6" t="s">
        <v>59</v>
      </c>
      <c r="P481" s="6" t="s">
        <v>3367</v>
      </c>
    </row>
    <row r="482">
      <c r="A482" s="6" t="s">
        <v>983</v>
      </c>
      <c r="B482" s="6">
        <v>373.0</v>
      </c>
      <c r="F482" s="6" t="s">
        <v>1026</v>
      </c>
      <c r="G482" s="6" t="s">
        <v>390</v>
      </c>
      <c r="H482" s="6" t="s">
        <v>48</v>
      </c>
      <c r="I482" s="6" t="s">
        <v>48</v>
      </c>
      <c r="J482" s="6" t="s">
        <v>48</v>
      </c>
      <c r="K482" s="9" t="str">
        <f>HYPERLINK("https://www.instagram.com/p/BpvfZmqgX_f/","Open Post")</f>
        <v>Open Post</v>
      </c>
      <c r="L482" s="6" t="s">
        <v>3370</v>
      </c>
      <c r="M482" s="6" t="s">
        <v>3372</v>
      </c>
      <c r="N482" s="6" t="s">
        <v>3373</v>
      </c>
      <c r="O482" s="6" t="s">
        <v>59</v>
      </c>
      <c r="P482" s="6" t="s">
        <v>3374</v>
      </c>
    </row>
    <row r="483">
      <c r="A483" s="6" t="s">
        <v>983</v>
      </c>
      <c r="B483" s="6">
        <v>374.0</v>
      </c>
      <c r="F483" s="6" t="s">
        <v>984</v>
      </c>
      <c r="G483" s="6" t="s">
        <v>600</v>
      </c>
      <c r="H483" s="6" t="s">
        <v>48</v>
      </c>
      <c r="I483" s="6" t="s">
        <v>48</v>
      </c>
      <c r="J483" s="6" t="s">
        <v>48</v>
      </c>
      <c r="K483" s="9" t="str">
        <f>HYPERLINK("https://www.instagram.com/p/Bpr6ZjXgFXw/","Open Post")</f>
        <v>Open Post</v>
      </c>
      <c r="L483" s="6" t="s">
        <v>3377</v>
      </c>
      <c r="M483" s="6" t="s">
        <v>3379</v>
      </c>
      <c r="N483" s="6" t="s">
        <v>3380</v>
      </c>
      <c r="O483" s="6" t="s">
        <v>59</v>
      </c>
      <c r="P483" s="6" t="s">
        <v>3381</v>
      </c>
    </row>
    <row r="484">
      <c r="A484" s="6" t="s">
        <v>983</v>
      </c>
      <c r="B484" s="6">
        <v>375.0</v>
      </c>
      <c r="F484" s="6" t="s">
        <v>1026</v>
      </c>
      <c r="G484" s="6" t="s">
        <v>985</v>
      </c>
      <c r="H484" s="6" t="s">
        <v>48</v>
      </c>
      <c r="I484" s="6" t="s">
        <v>48</v>
      </c>
      <c r="J484" s="6" t="s">
        <v>48</v>
      </c>
      <c r="K484" s="9" t="str">
        <f>HYPERLINK("https://www.instagram.com/p/Bpme5pcAvsy/","Open Post")</f>
        <v>Open Post</v>
      </c>
      <c r="L484" s="6" t="s">
        <v>3383</v>
      </c>
      <c r="M484" s="6" t="s">
        <v>3384</v>
      </c>
      <c r="N484" s="6" t="s">
        <v>3385</v>
      </c>
      <c r="O484" s="6" t="s">
        <v>59</v>
      </c>
      <c r="P484" s="6" t="s">
        <v>3386</v>
      </c>
    </row>
    <row r="485">
      <c r="A485" s="6" t="s">
        <v>983</v>
      </c>
      <c r="B485" s="6">
        <v>376.0</v>
      </c>
      <c r="F485" s="6" t="s">
        <v>65</v>
      </c>
      <c r="G485" s="6" t="s">
        <v>1008</v>
      </c>
      <c r="H485" s="6" t="s">
        <v>48</v>
      </c>
      <c r="I485" s="6" t="s">
        <v>48</v>
      </c>
      <c r="J485" s="6" t="s">
        <v>48</v>
      </c>
      <c r="K485" s="9" t="str">
        <f>HYPERLINK("https://www.instagram.com/reel/BpmQBkhhsX4/","Open Reel")</f>
        <v>Open Reel</v>
      </c>
      <c r="L485" s="6" t="s">
        <v>3389</v>
      </c>
      <c r="M485" s="6" t="s">
        <v>3390</v>
      </c>
      <c r="N485" s="6" t="s">
        <v>3391</v>
      </c>
      <c r="O485" s="6" t="s">
        <v>59</v>
      </c>
      <c r="P485" s="6" t="s">
        <v>3393</v>
      </c>
    </row>
    <row r="486">
      <c r="A486" s="6" t="s">
        <v>983</v>
      </c>
      <c r="B486" s="6">
        <v>377.0</v>
      </c>
      <c r="F486" s="6" t="s">
        <v>984</v>
      </c>
      <c r="G486" s="6" t="s">
        <v>479</v>
      </c>
      <c r="H486" s="6" t="s">
        <v>48</v>
      </c>
      <c r="I486" s="6" t="s">
        <v>48</v>
      </c>
      <c r="J486" s="6" t="s">
        <v>48</v>
      </c>
      <c r="K486" s="9" t="str">
        <f>HYPERLINK("https://www.instagram.com/p/Bpiu6WGHa73/","Open Post")</f>
        <v>Open Post</v>
      </c>
      <c r="L486" s="6" t="s">
        <v>3395</v>
      </c>
      <c r="M486" s="6" t="s">
        <v>3397</v>
      </c>
      <c r="N486" s="6" t="s">
        <v>3398</v>
      </c>
      <c r="O486" s="6" t="s">
        <v>59</v>
      </c>
      <c r="P486" s="6" t="s">
        <v>3399</v>
      </c>
    </row>
    <row r="487">
      <c r="A487" s="6" t="s">
        <v>983</v>
      </c>
      <c r="B487" s="6">
        <v>378.0</v>
      </c>
      <c r="F487" s="6" t="s">
        <v>984</v>
      </c>
      <c r="G487" s="6" t="s">
        <v>1251</v>
      </c>
      <c r="H487" s="6" t="s">
        <v>48</v>
      </c>
      <c r="I487" s="6" t="s">
        <v>48</v>
      </c>
      <c r="J487" s="6" t="s">
        <v>48</v>
      </c>
      <c r="K487" s="9" t="str">
        <f>HYPERLINK("https://www.instagram.com/p/BpclO-jF27C/","Open Post")</f>
        <v>Open Post</v>
      </c>
      <c r="L487" s="6" t="s">
        <v>3400</v>
      </c>
      <c r="M487" s="6" t="s">
        <v>3401</v>
      </c>
      <c r="N487" s="6" t="s">
        <v>3402</v>
      </c>
      <c r="O487" s="6" t="s">
        <v>59</v>
      </c>
      <c r="P487" s="6" t="s">
        <v>3403</v>
      </c>
    </row>
    <row r="488">
      <c r="A488" s="6" t="s">
        <v>983</v>
      </c>
      <c r="B488" s="6">
        <v>379.0</v>
      </c>
      <c r="F488" s="6" t="s">
        <v>984</v>
      </c>
      <c r="G488" s="6" t="s">
        <v>369</v>
      </c>
      <c r="H488" s="6" t="s">
        <v>48</v>
      </c>
      <c r="I488" s="6" t="s">
        <v>48</v>
      </c>
      <c r="J488" s="6" t="s">
        <v>48</v>
      </c>
      <c r="K488" s="9" t="str">
        <f>HYPERLINK("https://www.instagram.com/p/BpXx0QSlAMH/","Open Post")</f>
        <v>Open Post</v>
      </c>
      <c r="L488" s="6" t="s">
        <v>3406</v>
      </c>
      <c r="M488" s="6" t="s">
        <v>55</v>
      </c>
      <c r="N488" s="6" t="s">
        <v>3409</v>
      </c>
      <c r="O488" s="6" t="s">
        <v>59</v>
      </c>
      <c r="P488" s="6" t="s">
        <v>3410</v>
      </c>
    </row>
    <row r="489">
      <c r="A489" s="6" t="s">
        <v>983</v>
      </c>
      <c r="B489" s="6">
        <v>380.0</v>
      </c>
      <c r="F489" s="6" t="s">
        <v>1026</v>
      </c>
      <c r="G489" s="6" t="s">
        <v>479</v>
      </c>
      <c r="H489" s="6" t="s">
        <v>48</v>
      </c>
      <c r="I489" s="6" t="s">
        <v>48</v>
      </c>
      <c r="J489" s="6" t="s">
        <v>48</v>
      </c>
      <c r="K489" s="9" t="str">
        <f>HYPERLINK("https://www.instagram.com/p/BpXuEc9hlJW/","Open Post")</f>
        <v>Open Post</v>
      </c>
      <c r="L489" s="6" t="s">
        <v>3411</v>
      </c>
      <c r="M489" s="6" t="s">
        <v>55</v>
      </c>
      <c r="N489" s="6" t="s">
        <v>3413</v>
      </c>
      <c r="O489" s="6" t="s">
        <v>59</v>
      </c>
      <c r="P489" s="6" t="s">
        <v>3414</v>
      </c>
    </row>
    <row r="490">
      <c r="A490" s="6" t="s">
        <v>983</v>
      </c>
      <c r="B490" s="6">
        <v>381.0</v>
      </c>
      <c r="F490" s="6" t="s">
        <v>984</v>
      </c>
      <c r="G490" s="6" t="s">
        <v>1127</v>
      </c>
      <c r="H490" s="6" t="s">
        <v>48</v>
      </c>
      <c r="I490" s="6" t="s">
        <v>48</v>
      </c>
      <c r="J490" s="6" t="s">
        <v>48</v>
      </c>
      <c r="K490" s="9" t="str">
        <f>HYPERLINK("https://www.instagram.com/p/BpWOsesl-fA/","Open Post")</f>
        <v>Open Post</v>
      </c>
      <c r="L490" s="6" t="s">
        <v>3418</v>
      </c>
      <c r="M490" s="6" t="s">
        <v>3420</v>
      </c>
      <c r="N490" s="6" t="s">
        <v>3421</v>
      </c>
      <c r="O490" s="6" t="s">
        <v>59</v>
      </c>
      <c r="P490" s="6" t="s">
        <v>3422</v>
      </c>
    </row>
    <row r="491">
      <c r="A491" s="6" t="s">
        <v>983</v>
      </c>
      <c r="B491" s="6">
        <v>382.0</v>
      </c>
      <c r="F491" s="6" t="s">
        <v>984</v>
      </c>
      <c r="G491" s="6" t="s">
        <v>1127</v>
      </c>
      <c r="H491" s="6" t="s">
        <v>48</v>
      </c>
      <c r="I491" s="6" t="s">
        <v>48</v>
      </c>
      <c r="J491" s="6" t="s">
        <v>48</v>
      </c>
      <c r="K491" s="9" t="str">
        <f>HYPERLINK("https://www.instagram.com/p/BpT6tIXhDt0/","Open Post")</f>
        <v>Open Post</v>
      </c>
      <c r="L491" s="6" t="s">
        <v>3426</v>
      </c>
      <c r="M491" s="6" t="s">
        <v>3427</v>
      </c>
      <c r="N491" s="6" t="s">
        <v>3429</v>
      </c>
      <c r="O491" s="6" t="s">
        <v>59</v>
      </c>
      <c r="P491" s="6" t="s">
        <v>3430</v>
      </c>
    </row>
    <row r="492">
      <c r="A492" s="6" t="s">
        <v>983</v>
      </c>
      <c r="B492" s="6">
        <v>383.0</v>
      </c>
      <c r="F492" s="6" t="s">
        <v>1026</v>
      </c>
      <c r="G492" s="6" t="s">
        <v>555</v>
      </c>
      <c r="H492" s="6" t="s">
        <v>48</v>
      </c>
      <c r="I492" s="6" t="s">
        <v>48</v>
      </c>
      <c r="J492" s="6" t="s">
        <v>48</v>
      </c>
      <c r="K492" s="9" t="str">
        <f>HYPERLINK("https://www.instagram.com/p/BpSJbmcFibe/","Open Post")</f>
        <v>Open Post</v>
      </c>
      <c r="L492" s="6" t="s">
        <v>3432</v>
      </c>
      <c r="M492" s="6" t="s">
        <v>3433</v>
      </c>
      <c r="N492" s="6" t="s">
        <v>3434</v>
      </c>
      <c r="O492" s="6" t="s">
        <v>59</v>
      </c>
      <c r="P492" s="6" t="s">
        <v>3436</v>
      </c>
    </row>
    <row r="493">
      <c r="A493" s="6" t="s">
        <v>983</v>
      </c>
      <c r="B493" s="6">
        <v>384.0</v>
      </c>
      <c r="F493" s="6" t="s">
        <v>984</v>
      </c>
      <c r="G493" s="6" t="s">
        <v>695</v>
      </c>
      <c r="H493" s="6" t="s">
        <v>48</v>
      </c>
      <c r="I493" s="6" t="s">
        <v>48</v>
      </c>
      <c r="J493" s="6" t="s">
        <v>48</v>
      </c>
      <c r="K493" s="9" t="str">
        <f>HYPERLINK("https://www.instagram.com/p/BpR4kwGBWek/","Open Post")</f>
        <v>Open Post</v>
      </c>
      <c r="L493" s="6" t="s">
        <v>3437</v>
      </c>
      <c r="M493" s="6" t="s">
        <v>3438</v>
      </c>
      <c r="N493" s="6" t="s">
        <v>3439</v>
      </c>
      <c r="O493" s="6" t="s">
        <v>59</v>
      </c>
      <c r="P493" s="6" t="s">
        <v>3440</v>
      </c>
    </row>
    <row r="494">
      <c r="A494" s="6" t="s">
        <v>983</v>
      </c>
      <c r="B494" s="6">
        <v>385.0</v>
      </c>
      <c r="F494" s="6" t="s">
        <v>984</v>
      </c>
      <c r="G494" s="6" t="s">
        <v>3442</v>
      </c>
      <c r="H494" s="6" t="s">
        <v>48</v>
      </c>
      <c r="I494" s="6" t="s">
        <v>48</v>
      </c>
      <c r="J494" s="6" t="s">
        <v>48</v>
      </c>
      <c r="K494" s="9" t="str">
        <f>HYPERLINK("https://www.instagram.com/p/BpR19l3lGhY/","Open Post")</f>
        <v>Open Post</v>
      </c>
      <c r="L494" s="6" t="s">
        <v>3445</v>
      </c>
      <c r="M494" s="6" t="s">
        <v>3446</v>
      </c>
      <c r="N494" s="6" t="s">
        <v>3447</v>
      </c>
      <c r="O494" s="6" t="s">
        <v>59</v>
      </c>
      <c r="P494" s="6" t="s">
        <v>3448</v>
      </c>
    </row>
    <row r="495">
      <c r="A495" s="6" t="s">
        <v>983</v>
      </c>
      <c r="B495" s="6">
        <v>386.0</v>
      </c>
      <c r="F495" s="6" t="s">
        <v>984</v>
      </c>
      <c r="G495" s="6" t="s">
        <v>3449</v>
      </c>
      <c r="H495" s="6" t="s">
        <v>48</v>
      </c>
      <c r="I495" s="6" t="s">
        <v>48</v>
      </c>
      <c r="J495" s="6" t="s">
        <v>48</v>
      </c>
      <c r="K495" s="9" t="str">
        <f>HYPERLINK("https://www.instagram.com/p/BpRTx2YlRfX/","Open Post")</f>
        <v>Open Post</v>
      </c>
      <c r="L495" s="6" t="s">
        <v>3450</v>
      </c>
      <c r="M495" s="6" t="s">
        <v>3450</v>
      </c>
      <c r="N495" s="6" t="s">
        <v>3453</v>
      </c>
      <c r="O495" s="6" t="s">
        <v>59</v>
      </c>
      <c r="P495" s="6" t="s">
        <v>3455</v>
      </c>
    </row>
    <row r="496">
      <c r="A496" s="6" t="s">
        <v>983</v>
      </c>
      <c r="B496" s="6">
        <v>387.0</v>
      </c>
      <c r="F496" s="6" t="s">
        <v>984</v>
      </c>
      <c r="G496" s="6" t="s">
        <v>1027</v>
      </c>
      <c r="H496" s="6" t="s">
        <v>48</v>
      </c>
      <c r="I496" s="6" t="s">
        <v>48</v>
      </c>
      <c r="J496" s="6" t="s">
        <v>48</v>
      </c>
      <c r="K496" s="9" t="str">
        <f>HYPERLINK("https://www.instagram.com/p/BpO4WQPAA7F/","Open Post")</f>
        <v>Open Post</v>
      </c>
      <c r="L496" s="6" t="s">
        <v>3457</v>
      </c>
      <c r="M496" s="6" t="s">
        <v>3458</v>
      </c>
      <c r="N496" s="6" t="s">
        <v>3459</v>
      </c>
      <c r="O496" s="6" t="s">
        <v>59</v>
      </c>
      <c r="P496" s="6" t="s">
        <v>3460</v>
      </c>
    </row>
    <row r="497">
      <c r="A497" s="6" t="s">
        <v>983</v>
      </c>
      <c r="B497" s="6">
        <v>388.0</v>
      </c>
      <c r="F497" s="6" t="s">
        <v>984</v>
      </c>
      <c r="G497" s="6" t="s">
        <v>1251</v>
      </c>
      <c r="H497" s="6" t="s">
        <v>48</v>
      </c>
      <c r="I497" s="6" t="s">
        <v>48</v>
      </c>
      <c r="J497" s="6" t="s">
        <v>48</v>
      </c>
      <c r="K497" s="9" t="str">
        <f>HYPERLINK("https://www.instagram.com/p/BpG_4zdBJm4/","Open Post")</f>
        <v>Open Post</v>
      </c>
      <c r="L497" s="6" t="s">
        <v>3463</v>
      </c>
      <c r="M497" s="6" t="s">
        <v>55</v>
      </c>
      <c r="N497" s="6" t="s">
        <v>3465</v>
      </c>
      <c r="O497" s="6" t="s">
        <v>59</v>
      </c>
      <c r="P497" s="6" t="s">
        <v>3466</v>
      </c>
    </row>
    <row r="498">
      <c r="A498" s="6" t="s">
        <v>983</v>
      </c>
      <c r="B498" s="6">
        <v>389.0</v>
      </c>
      <c r="F498" s="6" t="s">
        <v>1026</v>
      </c>
      <c r="G498" s="6" t="s">
        <v>1019</v>
      </c>
      <c r="H498" s="6" t="s">
        <v>48</v>
      </c>
      <c r="I498" s="6" t="s">
        <v>48</v>
      </c>
      <c r="J498" s="6" t="s">
        <v>48</v>
      </c>
      <c r="K498" s="9" t="str">
        <f>HYPERLINK("https://www.instagram.com/p/BpDNLL6AnQA/","Open Post")</f>
        <v>Open Post</v>
      </c>
      <c r="L498" s="6" t="s">
        <v>3467</v>
      </c>
      <c r="M498" s="6" t="s">
        <v>3468</v>
      </c>
      <c r="N498" s="6" t="s">
        <v>3469</v>
      </c>
      <c r="O498" s="6" t="s">
        <v>59</v>
      </c>
      <c r="P498" s="6" t="s">
        <v>3470</v>
      </c>
    </row>
    <row r="499">
      <c r="A499" s="6" t="s">
        <v>983</v>
      </c>
      <c r="B499" s="6">
        <v>390.0</v>
      </c>
      <c r="F499" s="6" t="s">
        <v>984</v>
      </c>
      <c r="G499" s="6" t="s">
        <v>300</v>
      </c>
      <c r="H499" s="6" t="s">
        <v>48</v>
      </c>
      <c r="I499" s="6" t="s">
        <v>48</v>
      </c>
      <c r="J499" s="6" t="s">
        <v>48</v>
      </c>
      <c r="K499" s="9" t="str">
        <f>HYPERLINK("https://www.instagram.com/p/BpBvqI3hyho/","Open Post")</f>
        <v>Open Post</v>
      </c>
      <c r="L499" s="6" t="s">
        <v>3473</v>
      </c>
      <c r="M499" s="6" t="s">
        <v>3475</v>
      </c>
      <c r="N499" s="6" t="s">
        <v>3476</v>
      </c>
      <c r="O499" s="6" t="s">
        <v>59</v>
      </c>
      <c r="P499" s="6" t="s">
        <v>3477</v>
      </c>
    </row>
    <row r="500">
      <c r="A500" s="6" t="s">
        <v>983</v>
      </c>
      <c r="B500" s="6">
        <v>391.0</v>
      </c>
      <c r="F500" s="6" t="s">
        <v>984</v>
      </c>
      <c r="G500" s="6" t="s">
        <v>3478</v>
      </c>
      <c r="H500" s="6" t="s">
        <v>48</v>
      </c>
      <c r="I500" s="6" t="s">
        <v>48</v>
      </c>
      <c r="J500" s="6" t="s">
        <v>48</v>
      </c>
      <c r="K500" s="9" t="str">
        <f>HYPERLINK("https://www.instagram.com/p/BozsQ_SFcyQ/","Open Post")</f>
        <v>Open Post</v>
      </c>
      <c r="L500" s="6" t="s">
        <v>3479</v>
      </c>
      <c r="M500" s="6" t="s">
        <v>3480</v>
      </c>
      <c r="N500" s="6" t="s">
        <v>3482</v>
      </c>
      <c r="O500" s="6" t="s">
        <v>59</v>
      </c>
      <c r="P500" s="6" t="s">
        <v>3483</v>
      </c>
    </row>
    <row r="501">
      <c r="A501" s="6" t="s">
        <v>983</v>
      </c>
      <c r="B501" s="6">
        <v>392.0</v>
      </c>
      <c r="F501" s="6" t="s">
        <v>984</v>
      </c>
      <c r="G501" s="6" t="s">
        <v>3484</v>
      </c>
      <c r="H501" s="6" t="s">
        <v>48</v>
      </c>
      <c r="I501" s="6" t="s">
        <v>48</v>
      </c>
      <c r="J501" s="6" t="s">
        <v>48</v>
      </c>
      <c r="K501" s="9" t="str">
        <f>HYPERLINK("https://www.instagram.com/p/BozXBShFuEM/","Open Post")</f>
        <v>Open Post</v>
      </c>
      <c r="L501" s="6" t="s">
        <v>3488</v>
      </c>
      <c r="M501" s="6" t="s">
        <v>3489</v>
      </c>
      <c r="N501" s="6" t="s">
        <v>3490</v>
      </c>
      <c r="O501" s="6" t="s">
        <v>59</v>
      </c>
      <c r="P501" s="6" t="s">
        <v>3491</v>
      </c>
    </row>
    <row r="502">
      <c r="A502" s="6" t="s">
        <v>983</v>
      </c>
      <c r="B502" s="6">
        <v>393.0</v>
      </c>
      <c r="F502" s="6" t="s">
        <v>984</v>
      </c>
      <c r="G502" s="6" t="s">
        <v>477</v>
      </c>
      <c r="H502" s="6" t="s">
        <v>48</v>
      </c>
      <c r="I502" s="6" t="s">
        <v>48</v>
      </c>
      <c r="J502" s="6" t="s">
        <v>48</v>
      </c>
      <c r="K502" s="9" t="str">
        <f>HYPERLINK("https://www.instagram.com/p/Bov0zTeFW5l/","Open Post")</f>
        <v>Open Post</v>
      </c>
      <c r="L502" s="6" t="s">
        <v>3494</v>
      </c>
      <c r="M502" s="6" t="s">
        <v>3495</v>
      </c>
      <c r="N502" s="6" t="s">
        <v>3496</v>
      </c>
      <c r="O502" s="6" t="s">
        <v>59</v>
      </c>
      <c r="P502" s="6" t="s">
        <v>3497</v>
      </c>
    </row>
    <row r="503">
      <c r="A503" s="6" t="s">
        <v>983</v>
      </c>
      <c r="B503" s="6">
        <v>394.0</v>
      </c>
      <c r="F503" s="6" t="s">
        <v>1026</v>
      </c>
      <c r="G503" s="6" t="s">
        <v>286</v>
      </c>
      <c r="H503" s="6" t="s">
        <v>48</v>
      </c>
      <c r="I503" s="6" t="s">
        <v>48</v>
      </c>
      <c r="J503" s="6" t="s">
        <v>48</v>
      </c>
      <c r="K503" s="9" t="str">
        <f>HYPERLINK("https://www.instagram.com/p/BouNSbfjj0d/","Open Post")</f>
        <v>Open Post</v>
      </c>
      <c r="L503" s="6" t="s">
        <v>3503</v>
      </c>
      <c r="M503" s="6" t="s">
        <v>3504</v>
      </c>
      <c r="N503" s="6" t="s">
        <v>3505</v>
      </c>
      <c r="O503" s="6" t="s">
        <v>59</v>
      </c>
      <c r="P503" s="6" t="s">
        <v>3506</v>
      </c>
    </row>
    <row r="504">
      <c r="A504" s="6" t="s">
        <v>983</v>
      </c>
      <c r="B504" s="6">
        <v>395.0</v>
      </c>
      <c r="F504" s="6" t="s">
        <v>1026</v>
      </c>
      <c r="G504" s="6" t="s">
        <v>985</v>
      </c>
      <c r="H504" s="6" t="s">
        <v>48</v>
      </c>
      <c r="I504" s="6" t="s">
        <v>48</v>
      </c>
      <c r="J504" s="6" t="s">
        <v>48</v>
      </c>
      <c r="K504" s="9" t="str">
        <f>HYPERLINK("https://www.instagram.com/p/BouBgqHhULx/","Open Post")</f>
        <v>Open Post</v>
      </c>
      <c r="L504" s="6" t="s">
        <v>3507</v>
      </c>
      <c r="M504" s="6" t="s">
        <v>3508</v>
      </c>
      <c r="N504" s="6" t="s">
        <v>3509</v>
      </c>
      <c r="O504" s="6" t="s">
        <v>59</v>
      </c>
      <c r="P504" s="6" t="s">
        <v>3510</v>
      </c>
    </row>
    <row r="505">
      <c r="A505" s="6" t="s">
        <v>983</v>
      </c>
      <c r="B505" s="6">
        <v>396.0</v>
      </c>
      <c r="F505" s="6" t="s">
        <v>984</v>
      </c>
      <c r="G505" s="6" t="s">
        <v>3511</v>
      </c>
      <c r="H505" s="6" t="s">
        <v>48</v>
      </c>
      <c r="I505" s="6" t="s">
        <v>48</v>
      </c>
      <c r="J505" s="6" t="s">
        <v>48</v>
      </c>
      <c r="K505" s="9" t="str">
        <f>HYPERLINK("https://www.instagram.com/p/BotwRaKg88p/","Open Post")</f>
        <v>Open Post</v>
      </c>
      <c r="L505" s="6" t="s">
        <v>3515</v>
      </c>
      <c r="M505" s="6" t="s">
        <v>3516</v>
      </c>
      <c r="N505" s="6" t="s">
        <v>3517</v>
      </c>
      <c r="O505" s="6" t="s">
        <v>59</v>
      </c>
      <c r="P505" s="6" t="s">
        <v>3518</v>
      </c>
    </row>
    <row r="506">
      <c r="A506" s="6" t="s">
        <v>983</v>
      </c>
      <c r="B506" s="6">
        <v>397.0</v>
      </c>
      <c r="F506" s="6" t="s">
        <v>984</v>
      </c>
      <c r="G506" s="6" t="s">
        <v>1027</v>
      </c>
      <c r="H506" s="6" t="s">
        <v>48</v>
      </c>
      <c r="I506" s="6" t="s">
        <v>48</v>
      </c>
      <c r="J506" s="6" t="s">
        <v>48</v>
      </c>
      <c r="K506" s="9" t="str">
        <f>HYPERLINK("https://www.instagram.com/p/BotI7h9l-ek/","Open Post")</f>
        <v>Open Post</v>
      </c>
      <c r="L506" s="6" t="s">
        <v>3519</v>
      </c>
      <c r="M506" s="6" t="s">
        <v>3520</v>
      </c>
      <c r="N506" s="6" t="s">
        <v>3521</v>
      </c>
      <c r="O506" s="6" t="s">
        <v>59</v>
      </c>
      <c r="P506" s="6" t="s">
        <v>3522</v>
      </c>
    </row>
    <row r="507">
      <c r="A507" s="6" t="s">
        <v>983</v>
      </c>
      <c r="B507" s="6">
        <v>398.0</v>
      </c>
      <c r="F507" s="6" t="s">
        <v>984</v>
      </c>
      <c r="G507" s="6" t="s">
        <v>985</v>
      </c>
      <c r="H507" s="6" t="s">
        <v>48</v>
      </c>
      <c r="I507" s="6" t="s">
        <v>48</v>
      </c>
      <c r="J507" s="6" t="s">
        <v>48</v>
      </c>
      <c r="K507" s="9" t="str">
        <f>HYPERLINK("https://www.instagram.com/p/BotIbPgFdH2/","Open Post")</f>
        <v>Open Post</v>
      </c>
      <c r="L507" s="6" t="s">
        <v>3526</v>
      </c>
      <c r="M507" s="6" t="s">
        <v>3527</v>
      </c>
      <c r="N507" s="6" t="s">
        <v>3528</v>
      </c>
      <c r="O507" s="6" t="s">
        <v>59</v>
      </c>
      <c r="P507" s="6" t="s">
        <v>3529</v>
      </c>
    </row>
    <row r="508">
      <c r="A508" s="6" t="s">
        <v>983</v>
      </c>
      <c r="B508" s="6">
        <v>399.0</v>
      </c>
      <c r="F508" s="6" t="s">
        <v>1026</v>
      </c>
      <c r="G508" s="6" t="s">
        <v>300</v>
      </c>
      <c r="H508" s="6" t="s">
        <v>48</v>
      </c>
      <c r="I508" s="6" t="s">
        <v>48</v>
      </c>
      <c r="J508" s="6" t="s">
        <v>48</v>
      </c>
      <c r="K508" s="9" t="str">
        <f>HYPERLINK("https://www.instagram.com/p/BohFa71FzL5/","Open Post")</f>
        <v>Open Post</v>
      </c>
      <c r="L508" s="6" t="s">
        <v>3530</v>
      </c>
      <c r="M508" s="6" t="s">
        <v>3531</v>
      </c>
      <c r="N508" s="6" t="s">
        <v>3533</v>
      </c>
      <c r="O508" s="6" t="s">
        <v>59</v>
      </c>
      <c r="P508" s="6" t="s">
        <v>3534</v>
      </c>
    </row>
    <row r="509">
      <c r="A509" s="6" t="s">
        <v>983</v>
      </c>
      <c r="B509" s="6">
        <v>400.0</v>
      </c>
      <c r="F509" s="6" t="s">
        <v>65</v>
      </c>
      <c r="G509" s="6" t="s">
        <v>66</v>
      </c>
      <c r="H509" s="6" t="s">
        <v>48</v>
      </c>
      <c r="I509" s="6" t="s">
        <v>48</v>
      </c>
      <c r="J509" s="6" t="s">
        <v>48</v>
      </c>
      <c r="K509" s="9" t="str">
        <f>HYPERLINK("https://www.instagram.com/reel/Boeu8cECQrv/","Open Reel")</f>
        <v>Open Reel</v>
      </c>
      <c r="L509" s="6" t="s">
        <v>3537</v>
      </c>
      <c r="M509" s="6" t="s">
        <v>3538</v>
      </c>
      <c r="N509" s="6" t="s">
        <v>3539</v>
      </c>
      <c r="O509" s="6" t="s">
        <v>59</v>
      </c>
      <c r="P509" s="6" t="s">
        <v>3540</v>
      </c>
    </row>
    <row r="510">
      <c r="A510" s="6" t="s">
        <v>983</v>
      </c>
      <c r="B510" s="6">
        <v>401.0</v>
      </c>
      <c r="F510" s="6" t="s">
        <v>984</v>
      </c>
      <c r="G510" s="6" t="s">
        <v>390</v>
      </c>
      <c r="H510" s="6" t="s">
        <v>48</v>
      </c>
      <c r="I510" s="6" t="s">
        <v>48</v>
      </c>
      <c r="J510" s="6" t="s">
        <v>48</v>
      </c>
      <c r="K510" s="9" t="str">
        <f>HYPERLINK("https://www.instagram.com/p/BobE5iFFG1-/","Open Post")</f>
        <v>Open Post</v>
      </c>
      <c r="L510" s="6" t="s">
        <v>3542</v>
      </c>
      <c r="M510" s="6" t="s">
        <v>3543</v>
      </c>
      <c r="N510" s="6" t="s">
        <v>3544</v>
      </c>
      <c r="O510" s="6" t="s">
        <v>59</v>
      </c>
      <c r="P510" s="6" t="s">
        <v>3545</v>
      </c>
    </row>
    <row r="511">
      <c r="A511" s="6" t="s">
        <v>983</v>
      </c>
      <c r="B511" s="6">
        <v>402.0</v>
      </c>
      <c r="F511" s="6" t="s">
        <v>984</v>
      </c>
      <c r="G511" s="6" t="s">
        <v>1027</v>
      </c>
      <c r="H511" s="6" t="s">
        <v>48</v>
      </c>
      <c r="I511" s="6" t="s">
        <v>48</v>
      </c>
      <c r="J511" s="6" t="s">
        <v>48</v>
      </c>
      <c r="K511" s="9" t="str">
        <f>HYPERLINK("https://www.instagram.com/p/BoZeU2XnWyx/","Open Post")</f>
        <v>Open Post</v>
      </c>
      <c r="L511" s="6" t="s">
        <v>3548</v>
      </c>
      <c r="M511" s="6" t="s">
        <v>3549</v>
      </c>
      <c r="N511" s="6" t="s">
        <v>3551</v>
      </c>
      <c r="O511" s="6" t="s">
        <v>59</v>
      </c>
      <c r="P511" s="6" t="s">
        <v>3552</v>
      </c>
    </row>
    <row r="512">
      <c r="A512" s="6" t="s">
        <v>983</v>
      </c>
      <c r="B512" s="6">
        <v>403.0</v>
      </c>
      <c r="F512" s="6" t="s">
        <v>984</v>
      </c>
      <c r="G512" s="6" t="s">
        <v>555</v>
      </c>
      <c r="H512" s="6" t="s">
        <v>48</v>
      </c>
      <c r="I512" s="6" t="s">
        <v>48</v>
      </c>
      <c r="J512" s="6" t="s">
        <v>48</v>
      </c>
      <c r="K512" s="9" t="str">
        <f>HYPERLINK("https://www.instagram.com/p/BoW9jMxgAw3/","Open Post")</f>
        <v>Open Post</v>
      </c>
      <c r="L512" s="6" t="s">
        <v>3555</v>
      </c>
      <c r="M512" s="6" t="s">
        <v>3556</v>
      </c>
      <c r="N512" s="6" t="s">
        <v>3557</v>
      </c>
      <c r="O512" s="6" t="s">
        <v>59</v>
      </c>
      <c r="P512" s="6" t="s">
        <v>3558</v>
      </c>
    </row>
    <row r="513">
      <c r="A513" s="6" t="s">
        <v>983</v>
      </c>
      <c r="B513" s="6">
        <v>404.0</v>
      </c>
      <c r="F513" s="6" t="s">
        <v>984</v>
      </c>
      <c r="G513" s="6" t="s">
        <v>1027</v>
      </c>
      <c r="H513" s="6" t="s">
        <v>48</v>
      </c>
      <c r="I513" s="6" t="s">
        <v>48</v>
      </c>
      <c r="J513" s="6" t="s">
        <v>48</v>
      </c>
      <c r="K513" s="9" t="str">
        <f>HYPERLINK("https://www.instagram.com/p/BoUHDbjgM2t/","Open Post")</f>
        <v>Open Post</v>
      </c>
      <c r="L513" s="6" t="s">
        <v>3561</v>
      </c>
      <c r="M513" s="6" t="s">
        <v>3562</v>
      </c>
      <c r="N513" s="6" t="s">
        <v>3563</v>
      </c>
      <c r="O513" s="6" t="s">
        <v>59</v>
      </c>
      <c r="P513" s="6" t="s">
        <v>3564</v>
      </c>
    </row>
    <row r="514">
      <c r="A514" s="6" t="s">
        <v>983</v>
      </c>
      <c r="B514" s="6">
        <v>405.0</v>
      </c>
      <c r="F514" s="6" t="s">
        <v>1026</v>
      </c>
      <c r="G514" s="6" t="s">
        <v>1251</v>
      </c>
      <c r="H514" s="6" t="s">
        <v>48</v>
      </c>
      <c r="I514" s="6" t="s">
        <v>48</v>
      </c>
      <c r="J514" s="6" t="s">
        <v>48</v>
      </c>
      <c r="K514" s="9" t="str">
        <f>HYPERLINK("https://www.instagram.com/p/BoT3Ucqlz7B/","Open Post")</f>
        <v>Open Post</v>
      </c>
      <c r="L514" s="6" t="s">
        <v>3566</v>
      </c>
      <c r="M514" s="6" t="s">
        <v>3567</v>
      </c>
      <c r="N514" s="6" t="s">
        <v>3568</v>
      </c>
      <c r="O514" s="6" t="s">
        <v>59</v>
      </c>
      <c r="P514" s="6" t="s">
        <v>3569</v>
      </c>
    </row>
    <row r="515">
      <c r="A515" s="6" t="s">
        <v>983</v>
      </c>
      <c r="B515" s="6">
        <v>406.0</v>
      </c>
      <c r="F515" s="6" t="s">
        <v>1026</v>
      </c>
      <c r="G515" s="6" t="s">
        <v>369</v>
      </c>
      <c r="H515" s="6" t="s">
        <v>48</v>
      </c>
      <c r="I515" s="6" t="s">
        <v>48</v>
      </c>
      <c r="J515" s="6" t="s">
        <v>48</v>
      </c>
      <c r="K515" s="9" t="str">
        <f>HYPERLINK("https://www.instagram.com/p/BoRygKFlpxN/","Open Post")</f>
        <v>Open Post</v>
      </c>
      <c r="L515" s="6" t="s">
        <v>3571</v>
      </c>
      <c r="M515" s="6" t="s">
        <v>55</v>
      </c>
      <c r="N515" s="6" t="s">
        <v>3572</v>
      </c>
      <c r="O515" s="6" t="s">
        <v>59</v>
      </c>
      <c r="P515" s="6" t="s">
        <v>3573</v>
      </c>
    </row>
    <row r="516">
      <c r="A516" s="6" t="s">
        <v>983</v>
      </c>
      <c r="B516" s="6">
        <v>407.0</v>
      </c>
      <c r="F516" s="6" t="s">
        <v>984</v>
      </c>
      <c r="G516" s="6" t="s">
        <v>1251</v>
      </c>
      <c r="H516" s="6" t="s">
        <v>48</v>
      </c>
      <c r="I516" s="6" t="s">
        <v>48</v>
      </c>
      <c r="J516" s="6" t="s">
        <v>48</v>
      </c>
      <c r="K516" s="9" t="str">
        <f>HYPERLINK("https://www.instagram.com/p/BoRyGsbAFgh/","Open Post")</f>
        <v>Open Post</v>
      </c>
      <c r="L516" s="6" t="s">
        <v>3575</v>
      </c>
      <c r="M516" s="6" t="s">
        <v>3567</v>
      </c>
      <c r="N516" s="6" t="s">
        <v>3576</v>
      </c>
      <c r="O516" s="6" t="s">
        <v>59</v>
      </c>
      <c r="P516" s="6" t="s">
        <v>3578</v>
      </c>
    </row>
    <row r="517">
      <c r="A517" s="6" t="s">
        <v>983</v>
      </c>
      <c r="B517" s="6">
        <v>408.0</v>
      </c>
      <c r="F517" s="6" t="s">
        <v>984</v>
      </c>
      <c r="G517" s="6" t="s">
        <v>369</v>
      </c>
      <c r="H517" s="6" t="s">
        <v>48</v>
      </c>
      <c r="I517" s="6" t="s">
        <v>48</v>
      </c>
      <c r="J517" s="6" t="s">
        <v>48</v>
      </c>
      <c r="K517" s="9" t="str">
        <f>HYPERLINK("https://www.instagram.com/p/BoRxNHalMNE/","Open Post")</f>
        <v>Open Post</v>
      </c>
      <c r="L517" s="6" t="s">
        <v>3580</v>
      </c>
      <c r="M517" s="6" t="s">
        <v>55</v>
      </c>
      <c r="N517" s="6" t="s">
        <v>3581</v>
      </c>
      <c r="O517" s="6" t="s">
        <v>59</v>
      </c>
      <c r="P517" s="6" t="s">
        <v>3582</v>
      </c>
    </row>
    <row r="518">
      <c r="A518" s="6" t="s">
        <v>983</v>
      </c>
      <c r="B518" s="6">
        <v>409.0</v>
      </c>
      <c r="F518" s="6" t="s">
        <v>984</v>
      </c>
      <c r="G518" s="6" t="s">
        <v>1251</v>
      </c>
      <c r="H518" s="6" t="s">
        <v>48</v>
      </c>
      <c r="I518" s="6" t="s">
        <v>48</v>
      </c>
      <c r="J518" s="6" t="s">
        <v>48</v>
      </c>
      <c r="K518" s="9" t="str">
        <f>HYPERLINK("https://www.instagram.com/p/BoRSnj0n7c1/","Open Post")</f>
        <v>Open Post</v>
      </c>
      <c r="L518" s="6" t="s">
        <v>3584</v>
      </c>
      <c r="M518" s="6" t="s">
        <v>3585</v>
      </c>
      <c r="N518" s="6" t="s">
        <v>3586</v>
      </c>
      <c r="O518" s="6" t="s">
        <v>59</v>
      </c>
      <c r="P518" s="6" t="s">
        <v>3587</v>
      </c>
    </row>
    <row r="519">
      <c r="A519" s="6" t="s">
        <v>983</v>
      </c>
      <c r="B519" s="6">
        <v>410.0</v>
      </c>
      <c r="F519" s="6" t="s">
        <v>984</v>
      </c>
      <c r="G519" s="6" t="s">
        <v>172</v>
      </c>
      <c r="H519" s="6" t="s">
        <v>48</v>
      </c>
      <c r="I519" s="6" t="s">
        <v>48</v>
      </c>
      <c r="J519" s="6" t="s">
        <v>48</v>
      </c>
      <c r="K519" s="9" t="str">
        <f>HYPERLINK("https://www.instagram.com/p/BoM0INWnVSE/","Open Post")</f>
        <v>Open Post</v>
      </c>
      <c r="L519" s="6" t="s">
        <v>3590</v>
      </c>
      <c r="M519" s="6" t="s">
        <v>3592</v>
      </c>
      <c r="N519" s="6" t="s">
        <v>3593</v>
      </c>
      <c r="O519" s="6" t="s">
        <v>59</v>
      </c>
      <c r="P519" s="6" t="s">
        <v>3594</v>
      </c>
    </row>
    <row r="520">
      <c r="A520" s="6" t="s">
        <v>983</v>
      </c>
      <c r="B520" s="6">
        <v>411.0</v>
      </c>
      <c r="F520" s="6" t="s">
        <v>984</v>
      </c>
      <c r="G520" s="6" t="s">
        <v>1008</v>
      </c>
      <c r="H520" s="6" t="s">
        <v>48</v>
      </c>
      <c r="I520" s="6" t="s">
        <v>48</v>
      </c>
      <c r="J520" s="6" t="s">
        <v>48</v>
      </c>
      <c r="K520" s="9" t="str">
        <f>HYPERLINK("https://www.instagram.com/p/BoKIQKph0sM/","Open Post")</f>
        <v>Open Post</v>
      </c>
      <c r="L520" s="6" t="s">
        <v>3595</v>
      </c>
      <c r="M520" s="6" t="s">
        <v>3596</v>
      </c>
      <c r="N520" s="6" t="s">
        <v>3597</v>
      </c>
      <c r="O520" s="6" t="s">
        <v>59</v>
      </c>
      <c r="P520" s="6" t="s">
        <v>3599</v>
      </c>
    </row>
    <row r="521">
      <c r="A521" s="6" t="s">
        <v>983</v>
      </c>
      <c r="B521" s="6">
        <v>412.0</v>
      </c>
      <c r="F521" s="6" t="s">
        <v>984</v>
      </c>
      <c r="G521" s="6" t="s">
        <v>1008</v>
      </c>
      <c r="H521" s="6" t="s">
        <v>48</v>
      </c>
      <c r="I521" s="6" t="s">
        <v>48</v>
      </c>
      <c r="J521" s="6" t="s">
        <v>48</v>
      </c>
      <c r="K521" s="9" t="str">
        <f>HYPERLINK("https://www.instagram.com/p/BoH-IgnFxJL/","Open Post")</f>
        <v>Open Post</v>
      </c>
      <c r="L521" s="6" t="s">
        <v>3603</v>
      </c>
      <c r="M521" s="6" t="s">
        <v>3604</v>
      </c>
      <c r="N521" s="6" t="s">
        <v>3605</v>
      </c>
      <c r="O521" s="6" t="s">
        <v>59</v>
      </c>
      <c r="P521" s="6" t="s">
        <v>3606</v>
      </c>
    </row>
    <row r="522">
      <c r="A522" s="6" t="s">
        <v>983</v>
      </c>
      <c r="B522" s="6">
        <v>413.0</v>
      </c>
      <c r="F522" s="6" t="s">
        <v>984</v>
      </c>
      <c r="G522" s="6" t="s">
        <v>172</v>
      </c>
      <c r="H522" s="6" t="s">
        <v>48</v>
      </c>
      <c r="I522" s="6" t="s">
        <v>48</v>
      </c>
      <c r="J522" s="6" t="s">
        <v>48</v>
      </c>
      <c r="K522" s="9" t="str">
        <f>HYPERLINK("https://www.instagram.com/p/BoGPhM-lEsi/","Open Post")</f>
        <v>Open Post</v>
      </c>
      <c r="L522" s="6" t="s">
        <v>3607</v>
      </c>
      <c r="M522" s="6" t="s">
        <v>3608</v>
      </c>
      <c r="N522" s="6" t="s">
        <v>3609</v>
      </c>
      <c r="O522" s="6" t="s">
        <v>59</v>
      </c>
      <c r="P522" s="6" t="s">
        <v>3610</v>
      </c>
    </row>
    <row r="523">
      <c r="A523" s="6" t="s">
        <v>983</v>
      </c>
      <c r="B523" s="6">
        <v>414.0</v>
      </c>
      <c r="F523" s="6" t="s">
        <v>984</v>
      </c>
      <c r="G523" s="6" t="s">
        <v>1027</v>
      </c>
      <c r="H523" s="6" t="s">
        <v>48</v>
      </c>
      <c r="I523" s="6" t="s">
        <v>48</v>
      </c>
      <c r="J523" s="6" t="s">
        <v>48</v>
      </c>
      <c r="K523" s="9" t="str">
        <f>HYPERLINK("https://www.instagram.com/p/BoAWncChZgx/","Open Post")</f>
        <v>Open Post</v>
      </c>
      <c r="L523" s="6" t="s">
        <v>3614</v>
      </c>
      <c r="M523" s="6" t="s">
        <v>3615</v>
      </c>
      <c r="N523" s="6" t="s">
        <v>3616</v>
      </c>
      <c r="O523" s="6" t="s">
        <v>59</v>
      </c>
      <c r="P523" s="6" t="s">
        <v>3617</v>
      </c>
    </row>
    <row r="524">
      <c r="A524" s="6" t="s">
        <v>983</v>
      </c>
      <c r="B524" s="6">
        <v>415.0</v>
      </c>
      <c r="F524" s="6" t="s">
        <v>984</v>
      </c>
      <c r="G524" s="6" t="s">
        <v>3618</v>
      </c>
      <c r="H524" s="6" t="s">
        <v>48</v>
      </c>
      <c r="I524" s="6" t="s">
        <v>48</v>
      </c>
      <c r="J524" s="6" t="s">
        <v>48</v>
      </c>
      <c r="K524" s="9" t="str">
        <f>HYPERLINK("https://www.instagram.com/p/Bnp2hDSAeCq/","Open Post")</f>
        <v>Open Post</v>
      </c>
      <c r="L524" s="6" t="s">
        <v>3620</v>
      </c>
      <c r="M524" s="6" t="s">
        <v>3621</v>
      </c>
      <c r="N524" s="6" t="s">
        <v>3622</v>
      </c>
      <c r="O524" s="6" t="s">
        <v>59</v>
      </c>
      <c r="P524" s="6" t="s">
        <v>3624</v>
      </c>
    </row>
    <row r="525">
      <c r="A525" s="6" t="s">
        <v>983</v>
      </c>
      <c r="B525" s="6">
        <v>416.0</v>
      </c>
      <c r="F525" s="6" t="s">
        <v>984</v>
      </c>
      <c r="G525" s="6" t="s">
        <v>390</v>
      </c>
      <c r="H525" s="6" t="s">
        <v>48</v>
      </c>
      <c r="I525" s="6" t="s">
        <v>48</v>
      </c>
      <c r="J525" s="6" t="s">
        <v>48</v>
      </c>
      <c r="K525" s="9" t="str">
        <f>HYPERLINK("https://www.instagram.com/p/Bn97BVbAPUq/","Open Post")</f>
        <v>Open Post</v>
      </c>
      <c r="L525" s="6" t="s">
        <v>3627</v>
      </c>
      <c r="M525" s="6" t="s">
        <v>3628</v>
      </c>
      <c r="N525" s="6" t="s">
        <v>3629</v>
      </c>
      <c r="O525" s="6" t="s">
        <v>59</v>
      </c>
      <c r="P525" s="6" t="s">
        <v>3630</v>
      </c>
    </row>
    <row r="526">
      <c r="A526" s="6" t="s">
        <v>983</v>
      </c>
      <c r="B526" s="6">
        <v>417.0</v>
      </c>
      <c r="F526" s="6" t="s">
        <v>984</v>
      </c>
      <c r="G526" s="6" t="s">
        <v>985</v>
      </c>
      <c r="H526" s="6" t="s">
        <v>48</v>
      </c>
      <c r="I526" s="6" t="s">
        <v>48</v>
      </c>
      <c r="J526" s="6" t="s">
        <v>48</v>
      </c>
      <c r="K526" s="9" t="str">
        <f>HYPERLINK("https://www.instagram.com/p/Bn7l0QlBcC6/","Open Post")</f>
        <v>Open Post</v>
      </c>
      <c r="L526" s="6" t="s">
        <v>3631</v>
      </c>
      <c r="M526" s="6" t="s">
        <v>3632</v>
      </c>
      <c r="N526" s="6" t="s">
        <v>3633</v>
      </c>
      <c r="O526" s="6" t="s">
        <v>59</v>
      </c>
      <c r="P526" s="6" t="s">
        <v>3634</v>
      </c>
    </row>
    <row r="527">
      <c r="A527" s="6" t="s">
        <v>983</v>
      </c>
      <c r="B527" s="6">
        <v>418.0</v>
      </c>
      <c r="F527" s="6" t="s">
        <v>984</v>
      </c>
      <c r="G527" s="6" t="s">
        <v>985</v>
      </c>
      <c r="H527" s="6" t="s">
        <v>48</v>
      </c>
      <c r="I527" s="6" t="s">
        <v>48</v>
      </c>
      <c r="J527" s="6" t="s">
        <v>48</v>
      </c>
      <c r="K527" s="9" t="str">
        <f>HYPERLINK("https://www.instagram.com/p/Bn69oR6FK9-/","Open Post")</f>
        <v>Open Post</v>
      </c>
      <c r="L527" s="6" t="s">
        <v>3638</v>
      </c>
      <c r="M527" s="6" t="s">
        <v>3639</v>
      </c>
      <c r="N527" s="6" t="s">
        <v>3640</v>
      </c>
      <c r="O527" s="6" t="s">
        <v>59</v>
      </c>
      <c r="P527" s="6" t="s">
        <v>3641</v>
      </c>
    </row>
    <row r="528">
      <c r="A528" s="6" t="s">
        <v>983</v>
      </c>
      <c r="B528" s="6">
        <v>419.0</v>
      </c>
      <c r="F528" s="6" t="s">
        <v>984</v>
      </c>
      <c r="G528" s="6" t="s">
        <v>2407</v>
      </c>
      <c r="H528" s="6" t="s">
        <v>48</v>
      </c>
      <c r="I528" s="6" t="s">
        <v>48</v>
      </c>
      <c r="J528" s="6" t="s">
        <v>48</v>
      </c>
      <c r="K528" s="9" t="str">
        <f>HYPERLINK("https://www.instagram.com/p/Bn3-v7RBrvz/","Open Post")</f>
        <v>Open Post</v>
      </c>
      <c r="L528" s="6" t="s">
        <v>3644</v>
      </c>
      <c r="M528" s="6" t="s">
        <v>3645</v>
      </c>
      <c r="N528" s="6" t="s">
        <v>3646</v>
      </c>
      <c r="O528" s="6" t="s">
        <v>59</v>
      </c>
      <c r="P528" s="6" t="s">
        <v>3647</v>
      </c>
    </row>
    <row r="529">
      <c r="A529" s="6" t="s">
        <v>983</v>
      </c>
      <c r="B529" s="6">
        <v>420.0</v>
      </c>
      <c r="F529" s="6" t="s">
        <v>984</v>
      </c>
      <c r="G529" s="6" t="s">
        <v>555</v>
      </c>
      <c r="H529" s="6" t="s">
        <v>48</v>
      </c>
      <c r="I529" s="6" t="s">
        <v>48</v>
      </c>
      <c r="J529" s="6" t="s">
        <v>48</v>
      </c>
      <c r="K529" s="9" t="str">
        <f>HYPERLINK("https://www.instagram.com/p/BnqOUqZl1Ja/","Open Post")</f>
        <v>Open Post</v>
      </c>
      <c r="L529" s="6" t="s">
        <v>3649</v>
      </c>
      <c r="M529" s="6" t="s">
        <v>3650</v>
      </c>
      <c r="N529" s="6" t="s">
        <v>3651</v>
      </c>
      <c r="O529" s="6" t="s">
        <v>59</v>
      </c>
      <c r="P529" s="6" t="s">
        <v>3652</v>
      </c>
    </row>
    <row r="530">
      <c r="A530" s="6" t="s">
        <v>983</v>
      </c>
      <c r="B530" s="6">
        <v>421.0</v>
      </c>
      <c r="F530" s="6" t="s">
        <v>984</v>
      </c>
      <c r="G530" s="6" t="s">
        <v>172</v>
      </c>
      <c r="H530" s="6" t="s">
        <v>48</v>
      </c>
      <c r="I530" s="6" t="s">
        <v>48</v>
      </c>
      <c r="J530" s="6" t="s">
        <v>48</v>
      </c>
      <c r="K530" s="9" t="str">
        <f>HYPERLINK("https://www.instagram.com/p/BnqGowKAqFF/","Open Post")</f>
        <v>Open Post</v>
      </c>
      <c r="L530" s="6" t="s">
        <v>3654</v>
      </c>
      <c r="M530" s="6" t="s">
        <v>55</v>
      </c>
      <c r="N530" s="6" t="s">
        <v>3655</v>
      </c>
      <c r="O530" s="6" t="s">
        <v>59</v>
      </c>
      <c r="P530" s="6" t="s">
        <v>3657</v>
      </c>
    </row>
    <row r="531">
      <c r="A531" s="6" t="s">
        <v>983</v>
      </c>
      <c r="B531" s="6">
        <v>422.0</v>
      </c>
      <c r="F531" s="6" t="s">
        <v>984</v>
      </c>
      <c r="G531" s="6" t="s">
        <v>3659</v>
      </c>
      <c r="H531" s="6" t="s">
        <v>48</v>
      </c>
      <c r="I531" s="6" t="s">
        <v>48</v>
      </c>
      <c r="J531" s="6" t="s">
        <v>48</v>
      </c>
      <c r="K531" s="9" t="str">
        <f>HYPERLINK("https://www.instagram.com/p/Bnn4jTVFprV/","Open Post")</f>
        <v>Open Post</v>
      </c>
      <c r="L531" s="6" t="s">
        <v>3660</v>
      </c>
      <c r="M531" s="6" t="s">
        <v>3662</v>
      </c>
      <c r="N531" s="6" t="s">
        <v>3664</v>
      </c>
      <c r="O531" s="6" t="s">
        <v>59</v>
      </c>
      <c r="P531" s="6" t="s">
        <v>3665</v>
      </c>
    </row>
    <row r="532">
      <c r="A532" s="6" t="s">
        <v>983</v>
      </c>
      <c r="B532" s="6">
        <v>423.0</v>
      </c>
      <c r="F532" s="6" t="s">
        <v>984</v>
      </c>
      <c r="G532" s="6" t="s">
        <v>555</v>
      </c>
      <c r="H532" s="6" t="s">
        <v>48</v>
      </c>
      <c r="I532" s="6" t="s">
        <v>48</v>
      </c>
      <c r="J532" s="6" t="s">
        <v>48</v>
      </c>
      <c r="K532" s="9" t="str">
        <f>HYPERLINK("https://www.instagram.com/p/BnlUwCNFYp9/","Open Post")</f>
        <v>Open Post</v>
      </c>
      <c r="L532" s="6" t="s">
        <v>3667</v>
      </c>
      <c r="M532" s="6" t="s">
        <v>3009</v>
      </c>
      <c r="N532" s="6" t="s">
        <v>3668</v>
      </c>
      <c r="O532" s="6" t="s">
        <v>59</v>
      </c>
      <c r="P532" s="6" t="s">
        <v>3669</v>
      </c>
    </row>
    <row r="533">
      <c r="A533" s="6" t="s">
        <v>983</v>
      </c>
      <c r="B533" s="6">
        <v>424.0</v>
      </c>
      <c r="F533" s="6" t="s">
        <v>984</v>
      </c>
      <c r="G533" s="6" t="s">
        <v>1027</v>
      </c>
      <c r="H533" s="6" t="s">
        <v>48</v>
      </c>
      <c r="I533" s="6" t="s">
        <v>48</v>
      </c>
      <c r="J533" s="6" t="s">
        <v>48</v>
      </c>
      <c r="K533" s="9" t="str">
        <f>HYPERLINK("https://www.instagram.com/p/BnlRvDkFjds/","Open Post")</f>
        <v>Open Post</v>
      </c>
      <c r="L533" s="6" t="s">
        <v>3674</v>
      </c>
      <c r="M533" s="6" t="s">
        <v>3675</v>
      </c>
      <c r="N533" s="6" t="s">
        <v>3676</v>
      </c>
      <c r="O533" s="6" t="s">
        <v>59</v>
      </c>
      <c r="P533" s="6" t="s">
        <v>3677</v>
      </c>
    </row>
    <row r="534">
      <c r="A534" s="6" t="s">
        <v>983</v>
      </c>
      <c r="B534" s="6">
        <v>425.0</v>
      </c>
      <c r="F534" s="6" t="s">
        <v>984</v>
      </c>
      <c r="G534" s="6" t="s">
        <v>300</v>
      </c>
      <c r="H534" s="6" t="s">
        <v>48</v>
      </c>
      <c r="I534" s="6" t="s">
        <v>48</v>
      </c>
      <c r="J534" s="6" t="s">
        <v>48</v>
      </c>
      <c r="K534" s="9" t="str">
        <f>HYPERLINK("https://www.instagram.com/p/Bnd79VDgSEP/","Open Post")</f>
        <v>Open Post</v>
      </c>
      <c r="L534" s="6" t="s">
        <v>3679</v>
      </c>
      <c r="M534" s="6" t="s">
        <v>3681</v>
      </c>
      <c r="N534" s="6" t="s">
        <v>3682</v>
      </c>
      <c r="O534" s="6" t="s">
        <v>59</v>
      </c>
      <c r="P534" s="6" t="s">
        <v>3683</v>
      </c>
    </row>
    <row r="535">
      <c r="A535" s="6" t="s">
        <v>983</v>
      </c>
      <c r="B535" s="6">
        <v>426.0</v>
      </c>
      <c r="F535" s="6" t="s">
        <v>984</v>
      </c>
      <c r="G535" s="6" t="s">
        <v>1008</v>
      </c>
      <c r="H535" s="6" t="s">
        <v>48</v>
      </c>
      <c r="I535" s="6" t="s">
        <v>48</v>
      </c>
      <c r="J535" s="6" t="s">
        <v>48</v>
      </c>
      <c r="K535" s="9" t="str">
        <f>HYPERLINK("https://www.instagram.com/p/Bnd0MwRg2Df/","Open Post")</f>
        <v>Open Post</v>
      </c>
      <c r="L535" s="6" t="s">
        <v>3686</v>
      </c>
      <c r="M535" s="6" t="s">
        <v>3687</v>
      </c>
      <c r="N535" s="6" t="s">
        <v>3688</v>
      </c>
      <c r="O535" s="6" t="s">
        <v>59</v>
      </c>
      <c r="P535" s="6" t="s">
        <v>3689</v>
      </c>
    </row>
    <row r="536">
      <c r="A536" s="6" t="s">
        <v>983</v>
      </c>
      <c r="B536" s="6">
        <v>427.0</v>
      </c>
      <c r="F536" s="6" t="s">
        <v>984</v>
      </c>
      <c r="G536" s="6" t="s">
        <v>555</v>
      </c>
      <c r="H536" s="6" t="s">
        <v>48</v>
      </c>
      <c r="I536" s="6" t="s">
        <v>48</v>
      </c>
      <c r="J536" s="6" t="s">
        <v>48</v>
      </c>
      <c r="K536" s="9" t="str">
        <f>HYPERLINK("https://www.instagram.com/p/Bna6V67F3zx/","Open Post")</f>
        <v>Open Post</v>
      </c>
      <c r="L536" s="6" t="s">
        <v>3691</v>
      </c>
      <c r="M536" s="6" t="s">
        <v>3692</v>
      </c>
      <c r="N536" s="6" t="s">
        <v>3693</v>
      </c>
      <c r="O536" s="6" t="s">
        <v>59</v>
      </c>
      <c r="P536" s="6" t="s">
        <v>3694</v>
      </c>
    </row>
    <row r="537">
      <c r="A537" s="6" t="s">
        <v>983</v>
      </c>
      <c r="B537" s="6">
        <v>428.0</v>
      </c>
      <c r="F537" s="6" t="s">
        <v>984</v>
      </c>
      <c r="G537" s="6" t="s">
        <v>1027</v>
      </c>
      <c r="H537" s="6" t="s">
        <v>48</v>
      </c>
      <c r="I537" s="6" t="s">
        <v>48</v>
      </c>
      <c r="J537" s="6" t="s">
        <v>48</v>
      </c>
      <c r="K537" s="9" t="str">
        <f>HYPERLINK("https://www.instagram.com/p/BnWGvyMjGU3/","Open Post")</f>
        <v>Open Post</v>
      </c>
      <c r="L537" s="6" t="s">
        <v>3696</v>
      </c>
      <c r="M537" s="6" t="s">
        <v>3697</v>
      </c>
      <c r="N537" s="6" t="s">
        <v>3699</v>
      </c>
      <c r="O537" s="6" t="s">
        <v>59</v>
      </c>
      <c r="P537" s="6" t="s">
        <v>3700</v>
      </c>
    </row>
    <row r="538">
      <c r="A538" s="6" t="s">
        <v>983</v>
      </c>
      <c r="B538" s="6">
        <v>429.0</v>
      </c>
      <c r="F538" s="6" t="s">
        <v>984</v>
      </c>
      <c r="G538" s="6" t="s">
        <v>1251</v>
      </c>
      <c r="H538" s="6" t="s">
        <v>48</v>
      </c>
      <c r="I538" s="6" t="s">
        <v>48</v>
      </c>
      <c r="J538" s="6" t="s">
        <v>48</v>
      </c>
      <c r="K538" s="9" t="str">
        <f>HYPERLINK("https://www.instagram.com/p/BnU4SmHFUex/","Open Post")</f>
        <v>Open Post</v>
      </c>
      <c r="L538" s="6" t="s">
        <v>3703</v>
      </c>
      <c r="M538" s="6" t="s">
        <v>3704</v>
      </c>
      <c r="N538" s="6" t="s">
        <v>3705</v>
      </c>
      <c r="O538" s="6" t="s">
        <v>59</v>
      </c>
      <c r="P538" s="6" t="s">
        <v>3707</v>
      </c>
    </row>
    <row r="539">
      <c r="A539" s="6" t="s">
        <v>983</v>
      </c>
      <c r="B539" s="6">
        <v>430.0</v>
      </c>
      <c r="F539" s="6" t="s">
        <v>984</v>
      </c>
      <c r="G539" s="6" t="s">
        <v>228</v>
      </c>
      <c r="H539" s="6" t="s">
        <v>48</v>
      </c>
      <c r="I539" s="6" t="s">
        <v>48</v>
      </c>
      <c r="J539" s="6" t="s">
        <v>48</v>
      </c>
      <c r="K539" s="9" t="str">
        <f>HYPERLINK("https://www.instagram.com/p/BnUdTTFjDNN/","Open Post")</f>
        <v>Open Post</v>
      </c>
      <c r="L539" s="6" t="s">
        <v>3710</v>
      </c>
      <c r="M539" s="6" t="s">
        <v>3711</v>
      </c>
      <c r="N539" s="6" t="s">
        <v>3712</v>
      </c>
      <c r="O539" s="6" t="s">
        <v>59</v>
      </c>
      <c r="P539" s="6" t="s">
        <v>3713</v>
      </c>
    </row>
    <row r="540">
      <c r="A540" s="6" t="s">
        <v>983</v>
      </c>
      <c r="B540" s="6">
        <v>431.0</v>
      </c>
      <c r="F540" s="6" t="s">
        <v>984</v>
      </c>
      <c r="G540" s="6" t="s">
        <v>286</v>
      </c>
      <c r="H540" s="6" t="s">
        <v>48</v>
      </c>
      <c r="I540" s="6" t="s">
        <v>48</v>
      </c>
      <c r="J540" s="6" t="s">
        <v>48</v>
      </c>
      <c r="K540" s="9" t="str">
        <f>HYPERLINK("https://www.instagram.com/p/BnCyD_TgpsN/","Open Post")</f>
        <v>Open Post</v>
      </c>
      <c r="L540" s="6" t="s">
        <v>3717</v>
      </c>
      <c r="M540" s="6" t="s">
        <v>55</v>
      </c>
      <c r="N540" s="6" t="s">
        <v>3718</v>
      </c>
      <c r="O540" s="6" t="s">
        <v>59</v>
      </c>
      <c r="P540" s="6" t="s">
        <v>3719</v>
      </c>
    </row>
    <row r="541">
      <c r="A541" s="6" t="s">
        <v>983</v>
      </c>
      <c r="B541" s="6">
        <v>432.0</v>
      </c>
      <c r="F541" s="6" t="s">
        <v>984</v>
      </c>
      <c r="G541" s="6" t="s">
        <v>1027</v>
      </c>
      <c r="H541" s="6" t="s">
        <v>48</v>
      </c>
      <c r="I541" s="6" t="s">
        <v>48</v>
      </c>
      <c r="J541" s="6" t="s">
        <v>48</v>
      </c>
      <c r="K541" s="9" t="str">
        <f>HYPERLINK("https://www.instagram.com/p/Bm_cFLplONe/","Open Post")</f>
        <v>Open Post</v>
      </c>
      <c r="L541" s="6" t="s">
        <v>3721</v>
      </c>
      <c r="M541" s="6" t="s">
        <v>3722</v>
      </c>
      <c r="N541" s="6" t="s">
        <v>3723</v>
      </c>
      <c r="O541" s="6" t="s">
        <v>59</v>
      </c>
      <c r="P541" s="6" t="s">
        <v>3724</v>
      </c>
    </row>
    <row r="542">
      <c r="A542" s="6" t="s">
        <v>983</v>
      </c>
      <c r="B542" s="6">
        <v>433.0</v>
      </c>
      <c r="F542" s="6" t="s">
        <v>984</v>
      </c>
      <c r="G542" s="6" t="s">
        <v>228</v>
      </c>
      <c r="H542" s="6" t="s">
        <v>48</v>
      </c>
      <c r="I542" s="6" t="s">
        <v>48</v>
      </c>
      <c r="J542" s="6" t="s">
        <v>48</v>
      </c>
      <c r="K542" s="9" t="str">
        <f>HYPERLINK("https://www.instagram.com/p/Bm4Ew0sFfvY/","Open Post")</f>
        <v>Open Post</v>
      </c>
      <c r="L542" s="6" t="s">
        <v>3728</v>
      </c>
      <c r="M542" s="6" t="s">
        <v>3729</v>
      </c>
      <c r="N542" s="6" t="s">
        <v>3730</v>
      </c>
      <c r="O542" s="6" t="s">
        <v>59</v>
      </c>
      <c r="P542" s="6" t="s">
        <v>3732</v>
      </c>
    </row>
    <row r="543">
      <c r="A543" s="6" t="s">
        <v>983</v>
      </c>
      <c r="B543" s="6">
        <v>434.0</v>
      </c>
      <c r="F543" s="6" t="s">
        <v>984</v>
      </c>
      <c r="G543" s="6" t="s">
        <v>443</v>
      </c>
      <c r="H543" s="6" t="s">
        <v>48</v>
      </c>
      <c r="I543" s="6" t="s">
        <v>48</v>
      </c>
      <c r="J543" s="6" t="s">
        <v>48</v>
      </c>
      <c r="K543" s="9" t="str">
        <f>HYPERLINK("https://www.instagram.com/p/Bm3B_CQBSNt/","Open Post")</f>
        <v>Open Post</v>
      </c>
      <c r="L543" s="6" t="s">
        <v>3733</v>
      </c>
      <c r="M543" s="6" t="s">
        <v>3734</v>
      </c>
      <c r="N543" s="6" t="s">
        <v>3735</v>
      </c>
      <c r="O543" s="6" t="s">
        <v>59</v>
      </c>
      <c r="P543" s="6" t="s">
        <v>3736</v>
      </c>
    </row>
    <row r="544">
      <c r="A544" s="6" t="s">
        <v>983</v>
      </c>
      <c r="B544" s="6">
        <v>435.0</v>
      </c>
      <c r="F544" s="6" t="s">
        <v>984</v>
      </c>
      <c r="G544" s="6" t="s">
        <v>286</v>
      </c>
      <c r="H544" s="6" t="s">
        <v>48</v>
      </c>
      <c r="I544" s="6" t="s">
        <v>48</v>
      </c>
      <c r="J544" s="6" t="s">
        <v>48</v>
      </c>
      <c r="K544" s="9" t="str">
        <f>HYPERLINK("https://www.instagram.com/p/BmxDRrIFghM/","Open Post")</f>
        <v>Open Post</v>
      </c>
      <c r="L544" s="6" t="s">
        <v>3738</v>
      </c>
      <c r="M544" s="6" t="s">
        <v>55</v>
      </c>
      <c r="N544" s="6" t="s">
        <v>3739</v>
      </c>
      <c r="O544" s="6" t="s">
        <v>59</v>
      </c>
      <c r="P544" s="6" t="s">
        <v>3741</v>
      </c>
    </row>
    <row r="545">
      <c r="A545" s="6" t="s">
        <v>983</v>
      </c>
      <c r="B545" s="6">
        <v>436.0</v>
      </c>
      <c r="F545" s="6" t="s">
        <v>984</v>
      </c>
      <c r="G545" s="6" t="s">
        <v>3742</v>
      </c>
      <c r="H545" s="6" t="s">
        <v>48</v>
      </c>
      <c r="I545" s="6" t="s">
        <v>48</v>
      </c>
      <c r="J545" s="6" t="s">
        <v>48</v>
      </c>
      <c r="K545" s="9" t="str">
        <f>HYPERLINK("https://www.instagram.com/p/BmxAtAUlGT5/","Open Post")</f>
        <v>Open Post</v>
      </c>
      <c r="L545" s="6" t="s">
        <v>3744</v>
      </c>
      <c r="M545" s="6" t="s">
        <v>3745</v>
      </c>
      <c r="N545" s="6" t="s">
        <v>3746</v>
      </c>
      <c r="O545" s="6" t="s">
        <v>59</v>
      </c>
      <c r="P545" s="6" t="s">
        <v>3747</v>
      </c>
    </row>
    <row r="546">
      <c r="A546" s="6" t="s">
        <v>983</v>
      </c>
      <c r="B546" s="6">
        <v>437.0</v>
      </c>
      <c r="F546" s="6" t="s">
        <v>984</v>
      </c>
      <c r="G546" s="6" t="s">
        <v>1228</v>
      </c>
      <c r="H546" s="6" t="s">
        <v>48</v>
      </c>
      <c r="I546" s="6" t="s">
        <v>48</v>
      </c>
      <c r="J546" s="6" t="s">
        <v>48</v>
      </c>
      <c r="K546" s="9" t="str">
        <f>HYPERLINK("https://www.instagram.com/p/BmwGcjDFQdP/","Open Post")</f>
        <v>Open Post</v>
      </c>
      <c r="L546" s="6" t="s">
        <v>3749</v>
      </c>
      <c r="M546" s="6" t="s">
        <v>55</v>
      </c>
      <c r="N546" s="6" t="s">
        <v>3750</v>
      </c>
      <c r="O546" s="6" t="s">
        <v>59</v>
      </c>
      <c r="P546" s="6" t="s">
        <v>3752</v>
      </c>
    </row>
    <row r="547">
      <c r="A547" s="6" t="s">
        <v>983</v>
      </c>
      <c r="B547" s="6">
        <v>438.0</v>
      </c>
      <c r="F547" s="6" t="s">
        <v>984</v>
      </c>
      <c r="G547" s="6" t="s">
        <v>369</v>
      </c>
      <c r="H547" s="6" t="s">
        <v>48</v>
      </c>
      <c r="I547" s="6" t="s">
        <v>48</v>
      </c>
      <c r="J547" s="6" t="s">
        <v>48</v>
      </c>
      <c r="K547" s="9" t="str">
        <f>HYPERLINK("https://www.instagram.com/p/Bmtq0A-F9fU/","Open Post")</f>
        <v>Open Post</v>
      </c>
      <c r="L547" s="6" t="s">
        <v>3753</v>
      </c>
      <c r="M547" s="6" t="s">
        <v>55</v>
      </c>
      <c r="N547" s="6" t="s">
        <v>3755</v>
      </c>
      <c r="O547" s="6" t="s">
        <v>59</v>
      </c>
      <c r="P547" s="6" t="s">
        <v>3756</v>
      </c>
    </row>
    <row r="548">
      <c r="A548" s="6" t="s">
        <v>983</v>
      </c>
      <c r="B548" s="6">
        <v>439.0</v>
      </c>
      <c r="F548" s="6" t="s">
        <v>984</v>
      </c>
      <c r="G548" s="6" t="s">
        <v>3442</v>
      </c>
      <c r="H548" s="6" t="s">
        <v>48</v>
      </c>
      <c r="I548" s="6" t="s">
        <v>48</v>
      </c>
      <c r="J548" s="6" t="s">
        <v>48</v>
      </c>
      <c r="K548" s="9" t="str">
        <f>HYPERLINK("https://www.instagram.com/p/Bms0m3rlSCx/","Open Post")</f>
        <v>Open Post</v>
      </c>
      <c r="L548" s="6" t="s">
        <v>3758</v>
      </c>
      <c r="M548" s="6" t="s">
        <v>3446</v>
      </c>
      <c r="N548" s="6" t="s">
        <v>3759</v>
      </c>
      <c r="O548" s="6" t="s">
        <v>59</v>
      </c>
      <c r="P548" s="6" t="s">
        <v>3760</v>
      </c>
    </row>
    <row r="549">
      <c r="A549" s="6" t="s">
        <v>983</v>
      </c>
      <c r="B549" s="6">
        <v>440.0</v>
      </c>
      <c r="F549" s="6" t="s">
        <v>984</v>
      </c>
      <c r="G549" s="6" t="s">
        <v>3761</v>
      </c>
      <c r="H549" s="6" t="s">
        <v>48</v>
      </c>
      <c r="I549" s="6" t="s">
        <v>48</v>
      </c>
      <c r="J549" s="6" t="s">
        <v>48</v>
      </c>
      <c r="K549" s="9" t="str">
        <f>HYPERLINK("https://www.instagram.com/p/Bmo6swRgCqu/","Open Post")</f>
        <v>Open Post</v>
      </c>
      <c r="L549" s="6" t="s">
        <v>3763</v>
      </c>
      <c r="M549" s="6" t="s">
        <v>3764</v>
      </c>
      <c r="N549" s="6" t="s">
        <v>3765</v>
      </c>
      <c r="O549" s="6" t="s">
        <v>59</v>
      </c>
      <c r="P549" s="6" t="s">
        <v>3766</v>
      </c>
    </row>
    <row r="550">
      <c r="A550" s="6" t="s">
        <v>983</v>
      </c>
      <c r="B550" s="6">
        <v>441.0</v>
      </c>
      <c r="F550" s="6" t="s">
        <v>984</v>
      </c>
      <c r="G550" s="6" t="s">
        <v>300</v>
      </c>
      <c r="H550" s="6" t="s">
        <v>48</v>
      </c>
      <c r="I550" s="6" t="s">
        <v>48</v>
      </c>
      <c r="J550" s="6" t="s">
        <v>48</v>
      </c>
      <c r="K550" s="9" t="str">
        <f>HYPERLINK("https://www.instagram.com/p/BmhA1dZgilJ/","Open Post")</f>
        <v>Open Post</v>
      </c>
      <c r="L550" s="6" t="s">
        <v>3768</v>
      </c>
      <c r="M550" s="6" t="s">
        <v>55</v>
      </c>
      <c r="N550" s="6" t="s">
        <v>3769</v>
      </c>
      <c r="O550" s="6" t="s">
        <v>59</v>
      </c>
      <c r="P550" s="6" t="s">
        <v>3770</v>
      </c>
    </row>
    <row r="551">
      <c r="A551" s="6" t="s">
        <v>983</v>
      </c>
      <c r="B551" s="6">
        <v>442.0</v>
      </c>
      <c r="F551" s="6" t="s">
        <v>1026</v>
      </c>
      <c r="G551" s="6" t="s">
        <v>1228</v>
      </c>
      <c r="H551" s="6" t="s">
        <v>48</v>
      </c>
      <c r="I551" s="6" t="s">
        <v>48</v>
      </c>
      <c r="J551" s="6" t="s">
        <v>48</v>
      </c>
      <c r="K551" s="9" t="str">
        <f>HYPERLINK("https://www.instagram.com/p/Bmf4bBngvy6/","Open Post")</f>
        <v>Open Post</v>
      </c>
      <c r="L551" s="6" t="s">
        <v>3773</v>
      </c>
      <c r="M551" s="6" t="s">
        <v>55</v>
      </c>
      <c r="N551" s="6" t="s">
        <v>3774</v>
      </c>
      <c r="O551" s="6" t="s">
        <v>59</v>
      </c>
      <c r="P551" s="6" t="s">
        <v>3775</v>
      </c>
    </row>
    <row r="552">
      <c r="A552" s="6" t="s">
        <v>983</v>
      </c>
      <c r="B552" s="6">
        <v>443.0</v>
      </c>
      <c r="F552" s="6" t="s">
        <v>984</v>
      </c>
      <c r="G552" s="6" t="s">
        <v>228</v>
      </c>
      <c r="H552" s="6" t="s">
        <v>48</v>
      </c>
      <c r="I552" s="6" t="s">
        <v>48</v>
      </c>
      <c r="J552" s="6" t="s">
        <v>48</v>
      </c>
      <c r="K552" s="9" t="str">
        <f>HYPERLINK("https://www.instagram.com/p/BmedHDVFcyn/","Open Post")</f>
        <v>Open Post</v>
      </c>
      <c r="L552" s="6" t="s">
        <v>3776</v>
      </c>
      <c r="M552" s="6" t="s">
        <v>55</v>
      </c>
      <c r="N552" s="6" t="s">
        <v>3777</v>
      </c>
      <c r="O552" s="6" t="s">
        <v>59</v>
      </c>
      <c r="P552" s="6" t="s">
        <v>3778</v>
      </c>
    </row>
    <row r="553">
      <c r="A553" s="6" t="s">
        <v>983</v>
      </c>
      <c r="B553" s="6">
        <v>444.0</v>
      </c>
      <c r="F553" s="6" t="s">
        <v>984</v>
      </c>
      <c r="G553" s="6" t="s">
        <v>1228</v>
      </c>
      <c r="H553" s="6" t="s">
        <v>48</v>
      </c>
      <c r="I553" s="6" t="s">
        <v>48</v>
      </c>
      <c r="J553" s="6" t="s">
        <v>48</v>
      </c>
      <c r="K553" s="9" t="str">
        <f>HYPERLINK("https://www.instagram.com/p/BmeHNFsgkkT/","Open Post")</f>
        <v>Open Post</v>
      </c>
      <c r="L553" s="6" t="s">
        <v>3782</v>
      </c>
      <c r="M553" s="6" t="s">
        <v>3783</v>
      </c>
      <c r="N553" s="6" t="s">
        <v>3784</v>
      </c>
      <c r="O553" s="6" t="s">
        <v>59</v>
      </c>
      <c r="P553" s="6" t="s">
        <v>3785</v>
      </c>
    </row>
    <row r="554">
      <c r="A554" s="6" t="s">
        <v>983</v>
      </c>
      <c r="B554" s="6">
        <v>445.0</v>
      </c>
      <c r="F554" s="6" t="s">
        <v>984</v>
      </c>
      <c r="G554" s="6" t="s">
        <v>408</v>
      </c>
      <c r="H554" s="6" t="s">
        <v>48</v>
      </c>
      <c r="I554" s="6" t="s">
        <v>48</v>
      </c>
      <c r="J554" s="6" t="s">
        <v>48</v>
      </c>
      <c r="K554" s="9" t="str">
        <f>HYPERLINK("https://www.instagram.com/p/Bmd8MLclUZw/","Open Post")</f>
        <v>Open Post</v>
      </c>
      <c r="L554" s="6" t="s">
        <v>3786</v>
      </c>
      <c r="M554" s="6" t="s">
        <v>3787</v>
      </c>
      <c r="N554" s="6" t="s">
        <v>3788</v>
      </c>
      <c r="O554" s="6" t="s">
        <v>59</v>
      </c>
      <c r="P554" s="6" t="s">
        <v>3789</v>
      </c>
    </row>
    <row r="555">
      <c r="A555" s="6" t="s">
        <v>983</v>
      </c>
      <c r="B555" s="6">
        <v>446.0</v>
      </c>
      <c r="F555" s="6" t="s">
        <v>984</v>
      </c>
      <c r="G555" s="6" t="s">
        <v>369</v>
      </c>
      <c r="H555" s="6" t="s">
        <v>48</v>
      </c>
      <c r="I555" s="6" t="s">
        <v>48</v>
      </c>
      <c r="J555" s="6" t="s">
        <v>48</v>
      </c>
      <c r="K555" s="9" t="str">
        <f>HYPERLINK("https://www.instagram.com/p/BmT_pRNHwdC/","Open Post")</f>
        <v>Open Post</v>
      </c>
      <c r="L555" s="6" t="s">
        <v>3793</v>
      </c>
      <c r="M555" s="6" t="s">
        <v>55</v>
      </c>
      <c r="N555" s="6" t="s">
        <v>3794</v>
      </c>
      <c r="O555" s="6" t="s">
        <v>59</v>
      </c>
      <c r="P555" s="6" t="s">
        <v>3795</v>
      </c>
    </row>
    <row r="556">
      <c r="A556" s="6" t="s">
        <v>983</v>
      </c>
      <c r="B556" s="6">
        <v>447.0</v>
      </c>
      <c r="F556" s="6" t="s">
        <v>984</v>
      </c>
      <c r="G556" s="6" t="s">
        <v>985</v>
      </c>
      <c r="H556" s="6" t="s">
        <v>48</v>
      </c>
      <c r="I556" s="6" t="s">
        <v>48</v>
      </c>
      <c r="J556" s="6" t="s">
        <v>48</v>
      </c>
      <c r="K556" s="9" t="str">
        <f>HYPERLINK("https://www.instagram.com/p/BmRCDOXBHCo/","Open Post")</f>
        <v>Open Post</v>
      </c>
      <c r="L556" s="6" t="s">
        <v>3796</v>
      </c>
      <c r="M556" s="6" t="s">
        <v>3797</v>
      </c>
      <c r="N556" s="6" t="s">
        <v>3798</v>
      </c>
      <c r="O556" s="6" t="s">
        <v>59</v>
      </c>
      <c r="P556" s="6" t="s">
        <v>3800</v>
      </c>
    </row>
    <row r="557">
      <c r="A557" s="6" t="s">
        <v>983</v>
      </c>
      <c r="B557" s="6">
        <v>448.0</v>
      </c>
      <c r="F557" s="6" t="s">
        <v>984</v>
      </c>
      <c r="G557" s="6" t="s">
        <v>369</v>
      </c>
      <c r="H557" s="6" t="s">
        <v>48</v>
      </c>
      <c r="I557" s="6" t="s">
        <v>48</v>
      </c>
      <c r="J557" s="6" t="s">
        <v>48</v>
      </c>
      <c r="K557" s="9" t="str">
        <f>HYPERLINK("https://www.instagram.com/p/Bl8THHYHK5f/","Open Post")</f>
        <v>Open Post</v>
      </c>
      <c r="L557" s="6" t="s">
        <v>3803</v>
      </c>
      <c r="M557" s="6" t="s">
        <v>55</v>
      </c>
      <c r="N557" s="6" t="s">
        <v>3804</v>
      </c>
      <c r="O557" s="6" t="s">
        <v>59</v>
      </c>
      <c r="P557" s="6" t="s">
        <v>3805</v>
      </c>
    </row>
    <row r="558">
      <c r="A558" s="6" t="s">
        <v>983</v>
      </c>
      <c r="B558" s="6">
        <v>449.0</v>
      </c>
      <c r="F558" s="6" t="s">
        <v>984</v>
      </c>
      <c r="G558" s="6" t="s">
        <v>1027</v>
      </c>
      <c r="H558" s="6" t="s">
        <v>48</v>
      </c>
      <c r="I558" s="6" t="s">
        <v>48</v>
      </c>
      <c r="J558" s="6" t="s">
        <v>48</v>
      </c>
      <c r="K558" s="9" t="str">
        <f>HYPERLINK("https://www.instagram.com/p/Bl6IjYpArKE/","Open Post")</f>
        <v>Open Post</v>
      </c>
      <c r="L558" s="6" t="s">
        <v>3808</v>
      </c>
      <c r="M558" s="6" t="s">
        <v>3810</v>
      </c>
      <c r="N558" s="6" t="s">
        <v>3811</v>
      </c>
      <c r="O558" s="6" t="s">
        <v>59</v>
      </c>
      <c r="P558" s="6" t="s">
        <v>3812</v>
      </c>
    </row>
    <row r="559">
      <c r="A559" s="6" t="s">
        <v>983</v>
      </c>
      <c r="B559" s="6">
        <v>450.0</v>
      </c>
      <c r="F559" s="6" t="s">
        <v>984</v>
      </c>
      <c r="G559" s="6" t="s">
        <v>1251</v>
      </c>
      <c r="H559" s="6" t="s">
        <v>48</v>
      </c>
      <c r="I559" s="6" t="s">
        <v>48</v>
      </c>
      <c r="J559" s="6" t="s">
        <v>48</v>
      </c>
      <c r="K559" s="9" t="str">
        <f>HYPERLINK("https://www.instagram.com/p/BlxFqFLniuX/","Open Post")</f>
        <v>Open Post</v>
      </c>
      <c r="L559" s="6" t="s">
        <v>3815</v>
      </c>
      <c r="M559" s="6" t="s">
        <v>55</v>
      </c>
      <c r="N559" s="6" t="s">
        <v>3816</v>
      </c>
      <c r="O559" s="6" t="s">
        <v>59</v>
      </c>
      <c r="P559" s="6" t="s">
        <v>3817</v>
      </c>
    </row>
    <row r="560">
      <c r="A560" s="6" t="s">
        <v>983</v>
      </c>
      <c r="B560" s="6">
        <v>451.0</v>
      </c>
      <c r="F560" s="6" t="s">
        <v>984</v>
      </c>
      <c r="G560" s="6" t="s">
        <v>494</v>
      </c>
      <c r="H560" s="6" t="s">
        <v>48</v>
      </c>
      <c r="I560" s="6" t="s">
        <v>48</v>
      </c>
      <c r="J560" s="6" t="s">
        <v>48</v>
      </c>
      <c r="K560" s="9" t="str">
        <f>HYPERLINK("https://www.instagram.com/p/BlsPFz1lJkD/","Open Post")</f>
        <v>Open Post</v>
      </c>
      <c r="L560" s="6" t="s">
        <v>3819</v>
      </c>
      <c r="M560" s="6" t="s">
        <v>3820</v>
      </c>
      <c r="N560" s="6" t="s">
        <v>3821</v>
      </c>
      <c r="O560" s="6" t="s">
        <v>59</v>
      </c>
      <c r="P560" s="6" t="s">
        <v>3822</v>
      </c>
    </row>
    <row r="561">
      <c r="A561" s="6" t="s">
        <v>983</v>
      </c>
      <c r="B561" s="6">
        <v>452.0</v>
      </c>
      <c r="F561" s="6" t="s">
        <v>984</v>
      </c>
      <c r="G561" s="6" t="s">
        <v>172</v>
      </c>
      <c r="H561" s="6" t="s">
        <v>48</v>
      </c>
      <c r="I561" s="6" t="s">
        <v>48</v>
      </c>
      <c r="J561" s="6" t="s">
        <v>48</v>
      </c>
      <c r="K561" s="9" t="str">
        <f>HYPERLINK("https://www.instagram.com/p/BlkOdaYBhXP/","Open Post")</f>
        <v>Open Post</v>
      </c>
      <c r="L561" s="6" t="s">
        <v>3825</v>
      </c>
      <c r="M561" s="6" t="s">
        <v>3826</v>
      </c>
      <c r="N561" s="6" t="s">
        <v>3827</v>
      </c>
      <c r="O561" s="6" t="s">
        <v>59</v>
      </c>
      <c r="P561" s="6" t="s">
        <v>3828</v>
      </c>
    </row>
    <row r="562">
      <c r="A562" s="6" t="s">
        <v>983</v>
      </c>
      <c r="B562" s="6">
        <v>453.0</v>
      </c>
      <c r="F562" s="6" t="s">
        <v>984</v>
      </c>
      <c r="G562" s="6" t="s">
        <v>1027</v>
      </c>
      <c r="H562" s="6" t="s">
        <v>48</v>
      </c>
      <c r="I562" s="6" t="s">
        <v>48</v>
      </c>
      <c r="J562" s="6" t="s">
        <v>48</v>
      </c>
      <c r="K562" s="9" t="str">
        <f>HYPERLINK("https://www.instagram.com/p/Blf7yfOg65M/","Open Post")</f>
        <v>Open Post</v>
      </c>
      <c r="L562" s="6" t="s">
        <v>3830</v>
      </c>
      <c r="M562" s="6" t="s">
        <v>3832</v>
      </c>
      <c r="N562" s="6" t="s">
        <v>3833</v>
      </c>
      <c r="O562" s="6" t="s">
        <v>59</v>
      </c>
      <c r="P562" s="6" t="s">
        <v>3834</v>
      </c>
    </row>
    <row r="563">
      <c r="A563" s="6" t="s">
        <v>983</v>
      </c>
      <c r="B563" s="6">
        <v>454.0</v>
      </c>
      <c r="F563" s="6" t="s">
        <v>984</v>
      </c>
      <c r="G563" s="6" t="s">
        <v>286</v>
      </c>
      <c r="H563" s="6" t="s">
        <v>48</v>
      </c>
      <c r="I563" s="6" t="s">
        <v>48</v>
      </c>
      <c r="J563" s="6" t="s">
        <v>48</v>
      </c>
      <c r="K563" s="9" t="str">
        <f>HYPERLINK("https://www.instagram.com/p/BlWia7qHpaC/","Open Post")</f>
        <v>Open Post</v>
      </c>
      <c r="L563" s="6" t="s">
        <v>3836</v>
      </c>
      <c r="M563" s="6" t="s">
        <v>3837</v>
      </c>
      <c r="N563" s="6" t="s">
        <v>3838</v>
      </c>
      <c r="O563" s="6" t="s">
        <v>59</v>
      </c>
      <c r="P563" s="6" t="s">
        <v>3839</v>
      </c>
    </row>
    <row r="564">
      <c r="A564" s="6" t="s">
        <v>983</v>
      </c>
      <c r="B564" s="6">
        <v>455.0</v>
      </c>
      <c r="F564" s="6" t="s">
        <v>984</v>
      </c>
      <c r="G564" s="6" t="s">
        <v>555</v>
      </c>
      <c r="H564" s="6" t="s">
        <v>48</v>
      </c>
      <c r="I564" s="6" t="s">
        <v>48</v>
      </c>
      <c r="J564" s="6" t="s">
        <v>48</v>
      </c>
      <c r="K564" s="9" t="str">
        <f>HYPERLINK("https://www.instagram.com/p/BlNJ0XIHjXS/","Open Post")</f>
        <v>Open Post</v>
      </c>
      <c r="L564" s="6" t="s">
        <v>3842</v>
      </c>
      <c r="M564" s="6" t="s">
        <v>3844</v>
      </c>
      <c r="N564" s="6" t="s">
        <v>3845</v>
      </c>
      <c r="O564" s="6" t="s">
        <v>59</v>
      </c>
      <c r="P564" s="6" t="s">
        <v>3846</v>
      </c>
    </row>
    <row r="565">
      <c r="A565" s="6" t="s">
        <v>983</v>
      </c>
      <c r="B565" s="6">
        <v>456.0</v>
      </c>
      <c r="F565" s="6" t="s">
        <v>984</v>
      </c>
      <c r="G565" s="6" t="s">
        <v>1236</v>
      </c>
      <c r="H565" s="6" t="s">
        <v>48</v>
      </c>
      <c r="I565" s="6" t="s">
        <v>48</v>
      </c>
      <c r="J565" s="6" t="s">
        <v>48</v>
      </c>
      <c r="K565" s="9" t="str">
        <f>HYPERLINK("https://www.instagram.com/p/BlIP8FpD3s7/","Open Post")</f>
        <v>Open Post</v>
      </c>
      <c r="L565" s="6" t="s">
        <v>3848</v>
      </c>
      <c r="M565" s="6" t="s">
        <v>55</v>
      </c>
      <c r="N565" s="6" t="s">
        <v>3849</v>
      </c>
      <c r="O565" s="6" t="s">
        <v>59</v>
      </c>
      <c r="P565" s="6" t="s">
        <v>3851</v>
      </c>
    </row>
    <row r="566">
      <c r="A566" s="6" t="s">
        <v>983</v>
      </c>
      <c r="B566" s="6">
        <v>457.0</v>
      </c>
      <c r="F566" s="6" t="s">
        <v>984</v>
      </c>
      <c r="G566" s="6" t="s">
        <v>300</v>
      </c>
      <c r="H566" s="6" t="s">
        <v>48</v>
      </c>
      <c r="I566" s="6" t="s">
        <v>48</v>
      </c>
      <c r="J566" s="6" t="s">
        <v>48</v>
      </c>
      <c r="K566" s="9" t="str">
        <f>HYPERLINK("https://www.instagram.com/p/BlGaLNcn-OJ/","Open Post")</f>
        <v>Open Post</v>
      </c>
      <c r="L566" s="6" t="s">
        <v>3855</v>
      </c>
      <c r="M566" s="6" t="s">
        <v>55</v>
      </c>
      <c r="N566" s="6" t="s">
        <v>3856</v>
      </c>
      <c r="O566" s="6" t="s">
        <v>59</v>
      </c>
      <c r="P566" s="6" t="s">
        <v>3857</v>
      </c>
    </row>
    <row r="567">
      <c r="A567" s="6" t="s">
        <v>983</v>
      </c>
      <c r="B567" s="6">
        <v>458.0</v>
      </c>
      <c r="F567" s="6" t="s">
        <v>984</v>
      </c>
      <c r="G567" s="6" t="s">
        <v>1236</v>
      </c>
      <c r="H567" s="6" t="s">
        <v>48</v>
      </c>
      <c r="I567" s="6" t="s">
        <v>48</v>
      </c>
      <c r="J567" s="6" t="s">
        <v>48</v>
      </c>
      <c r="K567" s="9" t="str">
        <f>HYPERLINK("https://www.instagram.com/p/BkyvuVgh-xk/","Open Post")</f>
        <v>Open Post</v>
      </c>
      <c r="L567" s="6" t="s">
        <v>3858</v>
      </c>
      <c r="M567" s="6" t="s">
        <v>3859</v>
      </c>
      <c r="N567" s="6" t="s">
        <v>3860</v>
      </c>
      <c r="O567" s="6" t="s">
        <v>59</v>
      </c>
      <c r="P567" s="6" t="s">
        <v>3861</v>
      </c>
    </row>
    <row r="568">
      <c r="A568" s="6" t="s">
        <v>983</v>
      </c>
      <c r="B568" s="6">
        <v>459.0</v>
      </c>
      <c r="F568" s="6" t="s">
        <v>984</v>
      </c>
      <c r="G568" s="6" t="s">
        <v>3862</v>
      </c>
      <c r="H568" s="6" t="s">
        <v>48</v>
      </c>
      <c r="I568" s="6" t="s">
        <v>48</v>
      </c>
      <c r="J568" s="6" t="s">
        <v>48</v>
      </c>
      <c r="K568" s="9" t="str">
        <f>HYPERLINK("https://www.instagram.com/p/BksPu11goLQ/","Open Post")</f>
        <v>Open Post</v>
      </c>
      <c r="L568" s="6" t="s">
        <v>3865</v>
      </c>
      <c r="M568" s="6" t="s">
        <v>3866</v>
      </c>
      <c r="N568" s="6" t="s">
        <v>3867</v>
      </c>
      <c r="O568" s="6" t="s">
        <v>59</v>
      </c>
      <c r="P568" s="6" t="s">
        <v>3868</v>
      </c>
    </row>
    <row r="569">
      <c r="A569" s="6" t="s">
        <v>983</v>
      </c>
      <c r="B569" s="6">
        <v>460.0</v>
      </c>
      <c r="F569" s="6" t="s">
        <v>984</v>
      </c>
      <c r="G569" s="6" t="s">
        <v>300</v>
      </c>
      <c r="H569" s="6" t="s">
        <v>48</v>
      </c>
      <c r="I569" s="6" t="s">
        <v>48</v>
      </c>
      <c r="J569" s="6" t="s">
        <v>48</v>
      </c>
      <c r="K569" s="9" t="str">
        <f>HYPERLINK("https://www.instagram.com/p/BkiqsV8hSA3/","Open Post")</f>
        <v>Open Post</v>
      </c>
      <c r="L569" s="6" t="s">
        <v>3870</v>
      </c>
      <c r="M569" s="6" t="s">
        <v>3871</v>
      </c>
      <c r="N569" s="6" t="s">
        <v>3872</v>
      </c>
      <c r="O569" s="6" t="s">
        <v>59</v>
      </c>
      <c r="P569" s="6" t="s">
        <v>3873</v>
      </c>
    </row>
    <row r="570">
      <c r="A570" s="6" t="s">
        <v>983</v>
      </c>
      <c r="B570" s="6">
        <v>461.0</v>
      </c>
      <c r="F570" s="6" t="s">
        <v>984</v>
      </c>
      <c r="G570" s="6" t="s">
        <v>3874</v>
      </c>
      <c r="H570" s="6" t="s">
        <v>48</v>
      </c>
      <c r="I570" s="6" t="s">
        <v>48</v>
      </c>
      <c r="J570" s="6" t="s">
        <v>48</v>
      </c>
      <c r="K570" s="9" t="str">
        <f>HYPERLINK("https://www.instagram.com/p/BkdNoBvHXwz/","Open Post")</f>
        <v>Open Post</v>
      </c>
      <c r="L570" s="6" t="s">
        <v>3875</v>
      </c>
      <c r="M570" s="6" t="s">
        <v>3876</v>
      </c>
      <c r="N570" s="6" t="s">
        <v>3877</v>
      </c>
      <c r="O570" s="6" t="s">
        <v>59</v>
      </c>
      <c r="P570" s="6" t="s">
        <v>3878</v>
      </c>
    </row>
    <row r="571">
      <c r="A571" s="6" t="s">
        <v>983</v>
      </c>
      <c r="B571" s="6">
        <v>462.0</v>
      </c>
      <c r="F571" s="6" t="s">
        <v>984</v>
      </c>
      <c r="G571" s="6" t="s">
        <v>1027</v>
      </c>
      <c r="H571" s="6" t="s">
        <v>48</v>
      </c>
      <c r="I571" s="6" t="s">
        <v>48</v>
      </c>
      <c r="J571" s="6" t="s">
        <v>48</v>
      </c>
      <c r="K571" s="9" t="str">
        <f>HYPERLINK("https://www.instagram.com/p/BkaslcnhCaw/","Open Post")</f>
        <v>Open Post</v>
      </c>
      <c r="L571" s="6" t="s">
        <v>3882</v>
      </c>
      <c r="M571" s="6" t="s">
        <v>3883</v>
      </c>
      <c r="N571" s="6" t="s">
        <v>3884</v>
      </c>
      <c r="O571" s="6" t="s">
        <v>59</v>
      </c>
      <c r="P571" s="6" t="s">
        <v>3885</v>
      </c>
    </row>
    <row r="572">
      <c r="A572" s="6" t="s">
        <v>983</v>
      </c>
      <c r="B572" s="6">
        <v>463.0</v>
      </c>
      <c r="F572" s="6" t="s">
        <v>1026</v>
      </c>
      <c r="G572" s="6" t="s">
        <v>1008</v>
      </c>
      <c r="H572" s="6" t="s">
        <v>48</v>
      </c>
      <c r="I572" s="6" t="s">
        <v>48</v>
      </c>
      <c r="J572" s="6" t="s">
        <v>48</v>
      </c>
      <c r="K572" s="9" t="str">
        <f>HYPERLINK("https://www.instagram.com/p/BkVJwVnhYTQ/","Open Post")</f>
        <v>Open Post</v>
      </c>
      <c r="L572" s="6" t="s">
        <v>3886</v>
      </c>
      <c r="M572" s="6" t="s">
        <v>3887</v>
      </c>
      <c r="N572" s="6" t="s">
        <v>3888</v>
      </c>
      <c r="O572" s="6" t="s">
        <v>59</v>
      </c>
      <c r="P572" s="6" t="s">
        <v>3890</v>
      </c>
    </row>
    <row r="573">
      <c r="A573" s="6" t="s">
        <v>983</v>
      </c>
      <c r="B573" s="6">
        <v>464.0</v>
      </c>
      <c r="F573" s="6" t="s">
        <v>984</v>
      </c>
      <c r="G573" s="6" t="s">
        <v>443</v>
      </c>
      <c r="H573" s="6" t="s">
        <v>48</v>
      </c>
      <c r="I573" s="6" t="s">
        <v>48</v>
      </c>
      <c r="J573" s="6" t="s">
        <v>48</v>
      </c>
      <c r="K573" s="9" t="str">
        <f>HYPERLINK("https://www.instagram.com/p/BkPjfSOF7Ev/","Open Post")</f>
        <v>Open Post</v>
      </c>
      <c r="L573" s="6" t="s">
        <v>3893</v>
      </c>
      <c r="M573" s="6" t="s">
        <v>3894</v>
      </c>
      <c r="N573" s="6" t="s">
        <v>3895</v>
      </c>
      <c r="O573" s="6" t="s">
        <v>59</v>
      </c>
      <c r="P573" s="6" t="s">
        <v>3896</v>
      </c>
    </row>
    <row r="574">
      <c r="A574" s="6" t="s">
        <v>983</v>
      </c>
      <c r="B574" s="6">
        <v>465.0</v>
      </c>
      <c r="F574" s="6" t="s">
        <v>984</v>
      </c>
      <c r="G574" s="6" t="s">
        <v>172</v>
      </c>
      <c r="H574" s="6" t="s">
        <v>48</v>
      </c>
      <c r="I574" s="6" t="s">
        <v>48</v>
      </c>
      <c r="J574" s="6" t="s">
        <v>48</v>
      </c>
      <c r="K574" s="9" t="str">
        <f>HYPERLINK("https://www.instagram.com/p/Bj__ykeFQTi/","Open Post")</f>
        <v>Open Post</v>
      </c>
      <c r="L574" s="6" t="s">
        <v>3897</v>
      </c>
      <c r="M574" s="6" t="s">
        <v>3898</v>
      </c>
      <c r="N574" s="6" t="s">
        <v>3900</v>
      </c>
      <c r="O574" s="6" t="s">
        <v>59</v>
      </c>
      <c r="P574" s="6" t="s">
        <v>3901</v>
      </c>
    </row>
    <row r="575">
      <c r="A575" s="6" t="s">
        <v>983</v>
      </c>
      <c r="B575" s="6">
        <v>466.0</v>
      </c>
      <c r="F575" s="6" t="s">
        <v>984</v>
      </c>
      <c r="G575" s="6" t="s">
        <v>1251</v>
      </c>
      <c r="H575" s="6" t="s">
        <v>48</v>
      </c>
      <c r="I575" s="6" t="s">
        <v>48</v>
      </c>
      <c r="J575" s="6" t="s">
        <v>48</v>
      </c>
      <c r="K575" s="9" t="str">
        <f>HYPERLINK("https://www.instagram.com/p/Bj48XITFo32/","Open Post")</f>
        <v>Open Post</v>
      </c>
      <c r="L575" s="6" t="s">
        <v>3904</v>
      </c>
      <c r="M575" s="6" t="s">
        <v>3905</v>
      </c>
      <c r="N575" s="6" t="s">
        <v>3906</v>
      </c>
      <c r="O575" s="6" t="s">
        <v>59</v>
      </c>
      <c r="P575" s="6" t="s">
        <v>3907</v>
      </c>
    </row>
    <row r="576">
      <c r="A576" s="6" t="s">
        <v>983</v>
      </c>
      <c r="B576" s="6">
        <v>467.0</v>
      </c>
      <c r="F576" s="6" t="s">
        <v>984</v>
      </c>
      <c r="G576" s="6" t="s">
        <v>555</v>
      </c>
      <c r="H576" s="6" t="s">
        <v>48</v>
      </c>
      <c r="I576" s="6" t="s">
        <v>48</v>
      </c>
      <c r="J576" s="6" t="s">
        <v>48</v>
      </c>
      <c r="K576" s="9" t="str">
        <f>HYPERLINK("https://www.instagram.com/p/Bju1FL1H13Q/","Open Post")</f>
        <v>Open Post</v>
      </c>
      <c r="L576" s="6" t="s">
        <v>3908</v>
      </c>
      <c r="M576" s="6" t="s">
        <v>3909</v>
      </c>
      <c r="N576" s="6" t="s">
        <v>3910</v>
      </c>
      <c r="O576" s="6" t="s">
        <v>59</v>
      </c>
      <c r="P576" s="6" t="s">
        <v>3912</v>
      </c>
    </row>
    <row r="577">
      <c r="A577" s="6" t="s">
        <v>983</v>
      </c>
      <c r="B577" s="6">
        <v>468.0</v>
      </c>
      <c r="F577" s="6" t="s">
        <v>984</v>
      </c>
      <c r="G577" s="6" t="s">
        <v>172</v>
      </c>
      <c r="H577" s="6" t="s">
        <v>48</v>
      </c>
      <c r="I577" s="6" t="s">
        <v>48</v>
      </c>
      <c r="J577" s="6" t="s">
        <v>48</v>
      </c>
      <c r="K577" s="9" t="str">
        <f>HYPERLINK("https://www.instagram.com/p/Bjp1vRnhgPq/","Open Post")</f>
        <v>Open Post</v>
      </c>
      <c r="L577" s="6" t="s">
        <v>3914</v>
      </c>
      <c r="M577" s="6" t="s">
        <v>3915</v>
      </c>
      <c r="N577" s="6" t="s">
        <v>3916</v>
      </c>
      <c r="O577" s="6" t="s">
        <v>59</v>
      </c>
      <c r="P577" s="6" t="s">
        <v>3918</v>
      </c>
    </row>
    <row r="578">
      <c r="A578" s="6" t="s">
        <v>983</v>
      </c>
      <c r="B578" s="6">
        <v>469.0</v>
      </c>
      <c r="F578" s="6" t="s">
        <v>984</v>
      </c>
      <c r="G578" s="6" t="s">
        <v>1599</v>
      </c>
      <c r="H578" s="6" t="s">
        <v>48</v>
      </c>
      <c r="I578" s="6" t="s">
        <v>48</v>
      </c>
      <c r="J578" s="6" t="s">
        <v>48</v>
      </c>
      <c r="K578" s="9" t="str">
        <f>HYPERLINK("https://www.instagram.com/p/BjlPLiqDa5b/","Open Post")</f>
        <v>Open Post</v>
      </c>
      <c r="L578" s="6" t="s">
        <v>3919</v>
      </c>
      <c r="M578" s="6" t="s">
        <v>3920</v>
      </c>
      <c r="N578" s="6" t="s">
        <v>3921</v>
      </c>
      <c r="O578" s="6" t="s">
        <v>59</v>
      </c>
      <c r="P578" s="6" t="s">
        <v>3923</v>
      </c>
    </row>
    <row r="579">
      <c r="A579" s="6" t="s">
        <v>983</v>
      </c>
      <c r="B579" s="6">
        <v>470.0</v>
      </c>
      <c r="F579" s="6" t="s">
        <v>984</v>
      </c>
      <c r="G579" s="6" t="s">
        <v>3924</v>
      </c>
      <c r="H579" s="6" t="s">
        <v>48</v>
      </c>
      <c r="I579" s="6" t="s">
        <v>48</v>
      </c>
      <c r="J579" s="6" t="s">
        <v>48</v>
      </c>
      <c r="K579" s="9" t="str">
        <f>HYPERLINK("https://www.instagram.com/p/BjdacZSgeXt/","Open Post")</f>
        <v>Open Post</v>
      </c>
      <c r="L579" s="6" t="s">
        <v>3926</v>
      </c>
      <c r="M579" s="6" t="s">
        <v>3927</v>
      </c>
      <c r="N579" s="6" t="s">
        <v>3928</v>
      </c>
      <c r="O579" s="6" t="s">
        <v>59</v>
      </c>
      <c r="P579" s="6" t="s">
        <v>3929</v>
      </c>
    </row>
    <row r="580">
      <c r="A580" s="6" t="s">
        <v>983</v>
      </c>
      <c r="B580" s="6">
        <v>471.0</v>
      </c>
      <c r="F580" s="6" t="s">
        <v>984</v>
      </c>
      <c r="G580" s="6" t="s">
        <v>1599</v>
      </c>
      <c r="H580" s="6" t="s">
        <v>48</v>
      </c>
      <c r="I580" s="6" t="s">
        <v>48</v>
      </c>
      <c r="J580" s="6" t="s">
        <v>48</v>
      </c>
      <c r="K580" s="9" t="str">
        <f>HYPERLINK("https://www.instagram.com/p/BjcvK18lHQM/","Open Post")</f>
        <v>Open Post</v>
      </c>
      <c r="L580" s="6" t="s">
        <v>3931</v>
      </c>
      <c r="M580" s="6" t="s">
        <v>3933</v>
      </c>
      <c r="N580" s="6" t="s">
        <v>3934</v>
      </c>
      <c r="O580" s="6" t="s">
        <v>59</v>
      </c>
      <c r="P580" s="6" t="s">
        <v>3935</v>
      </c>
    </row>
    <row r="581">
      <c r="A581" s="6" t="s">
        <v>983</v>
      </c>
      <c r="B581" s="6">
        <v>472.0</v>
      </c>
      <c r="F581" s="6" t="s">
        <v>984</v>
      </c>
      <c r="G581" s="6" t="s">
        <v>985</v>
      </c>
      <c r="H581" s="6" t="s">
        <v>48</v>
      </c>
      <c r="I581" s="6" t="s">
        <v>48</v>
      </c>
      <c r="J581" s="6" t="s">
        <v>48</v>
      </c>
      <c r="K581" s="9" t="str">
        <f>HYPERLINK("https://www.instagram.com/p/BjcR1l6A7wH/","Open Post")</f>
        <v>Open Post</v>
      </c>
      <c r="L581" s="6" t="s">
        <v>3937</v>
      </c>
      <c r="M581" s="6" t="s">
        <v>55</v>
      </c>
      <c r="N581" s="6" t="s">
        <v>3938</v>
      </c>
      <c r="O581" s="6" t="s">
        <v>59</v>
      </c>
      <c r="P581" s="6" t="s">
        <v>3939</v>
      </c>
    </row>
    <row r="582">
      <c r="A582" s="6" t="s">
        <v>983</v>
      </c>
      <c r="B582" s="6">
        <v>473.0</v>
      </c>
      <c r="F582" s="6" t="s">
        <v>984</v>
      </c>
      <c r="G582" s="6" t="s">
        <v>1251</v>
      </c>
      <c r="H582" s="6" t="s">
        <v>48</v>
      </c>
      <c r="I582" s="6" t="s">
        <v>48</v>
      </c>
      <c r="J582" s="6" t="s">
        <v>48</v>
      </c>
      <c r="K582" s="9" t="str">
        <f>HYPERLINK("https://www.instagram.com/p/BjFeuDdAJkl/","Open Post")</f>
        <v>Open Post</v>
      </c>
      <c r="L582" s="6" t="s">
        <v>3943</v>
      </c>
      <c r="M582" s="6" t="s">
        <v>3944</v>
      </c>
      <c r="N582" s="6" t="s">
        <v>3945</v>
      </c>
      <c r="O582" s="6" t="s">
        <v>59</v>
      </c>
      <c r="P582" s="6" t="s">
        <v>3946</v>
      </c>
    </row>
    <row r="583">
      <c r="A583" s="6" t="s">
        <v>983</v>
      </c>
      <c r="B583" s="6">
        <v>474.0</v>
      </c>
      <c r="F583" s="6" t="s">
        <v>984</v>
      </c>
      <c r="G583" s="6" t="s">
        <v>1008</v>
      </c>
      <c r="H583" s="6" t="s">
        <v>48</v>
      </c>
      <c r="I583" s="6" t="s">
        <v>48</v>
      </c>
      <c r="J583" s="6" t="s">
        <v>48</v>
      </c>
      <c r="K583" s="9" t="str">
        <f>HYPERLINK("https://www.instagram.com/p/Bi7O8UJhCEy/","Open Post")</f>
        <v>Open Post</v>
      </c>
      <c r="L583" s="6" t="s">
        <v>3948</v>
      </c>
      <c r="M583" s="6" t="s">
        <v>3949</v>
      </c>
      <c r="N583" s="6" t="s">
        <v>3950</v>
      </c>
      <c r="O583" s="6" t="s">
        <v>59</v>
      </c>
      <c r="P583" s="6" t="s">
        <v>3951</v>
      </c>
    </row>
    <row r="584">
      <c r="A584" s="6" t="s">
        <v>983</v>
      </c>
      <c r="B584" s="6">
        <v>475.0</v>
      </c>
      <c r="F584" s="6" t="s">
        <v>984</v>
      </c>
      <c r="G584" s="6" t="s">
        <v>985</v>
      </c>
      <c r="H584" s="6" t="s">
        <v>48</v>
      </c>
      <c r="I584" s="6" t="s">
        <v>48</v>
      </c>
      <c r="J584" s="6" t="s">
        <v>48</v>
      </c>
      <c r="K584" s="9" t="str">
        <f>HYPERLINK("https://www.instagram.com/p/Bi7GFJkgEyH/","Open Post")</f>
        <v>Open Post</v>
      </c>
      <c r="L584" s="6" t="s">
        <v>3954</v>
      </c>
      <c r="M584" s="6" t="s">
        <v>55</v>
      </c>
      <c r="N584" s="6" t="s">
        <v>3955</v>
      </c>
      <c r="O584" s="6" t="s">
        <v>59</v>
      </c>
      <c r="P584" s="6" t="s">
        <v>3956</v>
      </c>
    </row>
    <row r="585">
      <c r="A585" s="6" t="s">
        <v>983</v>
      </c>
      <c r="B585" s="6">
        <v>476.0</v>
      </c>
      <c r="F585" s="6" t="s">
        <v>1026</v>
      </c>
      <c r="G585" s="6" t="s">
        <v>300</v>
      </c>
      <c r="H585" s="6" t="s">
        <v>48</v>
      </c>
      <c r="I585" s="6" t="s">
        <v>48</v>
      </c>
      <c r="J585" s="6" t="s">
        <v>48</v>
      </c>
      <c r="K585" s="9" t="str">
        <f>HYPERLINK("https://www.instagram.com/p/Bi6sdB5lz6n/","Open Post")</f>
        <v>Open Post</v>
      </c>
      <c r="L585" s="6" t="s">
        <v>3958</v>
      </c>
      <c r="M585" s="6" t="s">
        <v>3959</v>
      </c>
      <c r="N585" s="6" t="s">
        <v>3960</v>
      </c>
      <c r="O585" s="6" t="s">
        <v>59</v>
      </c>
      <c r="P585" s="6" t="s">
        <v>3961</v>
      </c>
    </row>
    <row r="586">
      <c r="A586" s="6" t="s">
        <v>983</v>
      </c>
      <c r="B586" s="6">
        <v>477.0</v>
      </c>
      <c r="F586" s="6" t="s">
        <v>984</v>
      </c>
      <c r="G586" s="6" t="s">
        <v>1027</v>
      </c>
      <c r="H586" s="6" t="s">
        <v>48</v>
      </c>
      <c r="I586" s="6" t="s">
        <v>48</v>
      </c>
      <c r="J586" s="6" t="s">
        <v>48</v>
      </c>
      <c r="K586" s="9" t="str">
        <f>HYPERLINK("https://www.instagram.com/p/BihgWr8gRB0/","Open Post")</f>
        <v>Open Post</v>
      </c>
      <c r="L586" s="6" t="s">
        <v>3963</v>
      </c>
      <c r="M586" s="6" t="s">
        <v>3964</v>
      </c>
      <c r="N586" s="6" t="s">
        <v>3966</v>
      </c>
      <c r="O586" s="6" t="s">
        <v>59</v>
      </c>
      <c r="P586" s="6" t="s">
        <v>3967</v>
      </c>
    </row>
    <row r="587">
      <c r="A587" s="6" t="s">
        <v>983</v>
      </c>
      <c r="B587" s="6">
        <v>478.0</v>
      </c>
      <c r="F587" s="6" t="s">
        <v>984</v>
      </c>
      <c r="G587" s="6" t="s">
        <v>3969</v>
      </c>
      <c r="H587" s="6" t="s">
        <v>48</v>
      </c>
      <c r="I587" s="6" t="s">
        <v>48</v>
      </c>
      <c r="J587" s="6" t="s">
        <v>48</v>
      </c>
      <c r="K587" s="9" t="str">
        <f>HYPERLINK("https://www.instagram.com/p/BiRfRj0gwJQ/","Open Post")</f>
        <v>Open Post</v>
      </c>
      <c r="L587" s="6" t="s">
        <v>3971</v>
      </c>
      <c r="M587" s="6" t="s">
        <v>3973</v>
      </c>
      <c r="N587" s="6" t="s">
        <v>3974</v>
      </c>
      <c r="O587" s="6" t="s">
        <v>59</v>
      </c>
      <c r="P587" s="6" t="s">
        <v>3975</v>
      </c>
    </row>
    <row r="588">
      <c r="A588" s="6" t="s">
        <v>983</v>
      </c>
      <c r="B588" s="6">
        <v>479.0</v>
      </c>
      <c r="F588" s="6" t="s">
        <v>1026</v>
      </c>
      <c r="G588" s="6" t="s">
        <v>228</v>
      </c>
      <c r="H588" s="6" t="s">
        <v>48</v>
      </c>
      <c r="I588" s="6" t="s">
        <v>48</v>
      </c>
      <c r="J588" s="6" t="s">
        <v>48</v>
      </c>
      <c r="K588" s="9" t="str">
        <f>HYPERLINK("https://www.instagram.com/p/BiQLGWJhFZv/","Open Post")</f>
        <v>Open Post</v>
      </c>
      <c r="L588" s="6" t="s">
        <v>3977</v>
      </c>
      <c r="M588" s="6" t="s">
        <v>55</v>
      </c>
      <c r="N588" s="6" t="s">
        <v>3979</v>
      </c>
      <c r="O588" s="6" t="s">
        <v>59</v>
      </c>
      <c r="P588" s="6" t="s">
        <v>3980</v>
      </c>
    </row>
    <row r="589">
      <c r="A589" s="6" t="s">
        <v>983</v>
      </c>
      <c r="B589" s="6">
        <v>480.0</v>
      </c>
      <c r="F589" s="6" t="s">
        <v>984</v>
      </c>
      <c r="G589" s="6" t="s">
        <v>390</v>
      </c>
      <c r="H589" s="6" t="s">
        <v>48</v>
      </c>
      <c r="I589" s="6" t="s">
        <v>48</v>
      </c>
      <c r="J589" s="6" t="s">
        <v>48</v>
      </c>
      <c r="K589" s="9" t="str">
        <f>HYPERLINK("https://www.instagram.com/p/BiAFuPwgids/","Open Post")</f>
        <v>Open Post</v>
      </c>
      <c r="L589" s="6" t="s">
        <v>3983</v>
      </c>
      <c r="M589" s="6" t="s">
        <v>3984</v>
      </c>
      <c r="N589" s="6" t="s">
        <v>3985</v>
      </c>
      <c r="O589" s="6" t="s">
        <v>59</v>
      </c>
      <c r="P589" s="6" t="s">
        <v>3987</v>
      </c>
    </row>
    <row r="590">
      <c r="A590" s="6" t="s">
        <v>983</v>
      </c>
      <c r="B590" s="6">
        <v>481.0</v>
      </c>
      <c r="F590" s="6" t="s">
        <v>984</v>
      </c>
      <c r="G590" s="6" t="s">
        <v>1008</v>
      </c>
      <c r="H590" s="6" t="s">
        <v>48</v>
      </c>
      <c r="I590" s="6" t="s">
        <v>48</v>
      </c>
      <c r="J590" s="6" t="s">
        <v>48</v>
      </c>
      <c r="K590" s="9" t="str">
        <f>HYPERLINK("https://www.instagram.com/p/Bhl5X0CBR0q/","Open Post")</f>
        <v>Open Post</v>
      </c>
      <c r="L590" s="6" t="s">
        <v>3990</v>
      </c>
      <c r="M590" s="6" t="s">
        <v>3991</v>
      </c>
      <c r="N590" s="6" t="s">
        <v>3992</v>
      </c>
      <c r="O590" s="6" t="s">
        <v>59</v>
      </c>
      <c r="P590" s="6" t="s">
        <v>3993</v>
      </c>
    </row>
    <row r="591">
      <c r="A591" s="6" t="s">
        <v>983</v>
      </c>
      <c r="B591" s="6">
        <v>482.0</v>
      </c>
      <c r="F591" s="6" t="s">
        <v>984</v>
      </c>
      <c r="G591" s="6" t="s">
        <v>1228</v>
      </c>
      <c r="H591" s="6" t="s">
        <v>48</v>
      </c>
      <c r="I591" s="6" t="s">
        <v>48</v>
      </c>
      <c r="J591" s="6" t="s">
        <v>48</v>
      </c>
      <c r="K591" s="9" t="str">
        <f>HYPERLINK("https://www.instagram.com/p/Bhieq9Dl0Qo/","Open Post")</f>
        <v>Open Post</v>
      </c>
      <c r="L591" s="6" t="s">
        <v>3996</v>
      </c>
      <c r="M591" s="6" t="s">
        <v>3997</v>
      </c>
      <c r="N591" s="6" t="s">
        <v>3998</v>
      </c>
      <c r="O591" s="6" t="s">
        <v>59</v>
      </c>
      <c r="P591" s="6" t="s">
        <v>3999</v>
      </c>
    </row>
    <row r="592">
      <c r="A592" s="6" t="s">
        <v>983</v>
      </c>
      <c r="B592" s="6">
        <v>483.0</v>
      </c>
      <c r="F592" s="6" t="s">
        <v>984</v>
      </c>
      <c r="G592" s="6" t="s">
        <v>555</v>
      </c>
      <c r="H592" s="6" t="s">
        <v>48</v>
      </c>
      <c r="I592" s="6" t="s">
        <v>48</v>
      </c>
      <c r="J592" s="6" t="s">
        <v>48</v>
      </c>
      <c r="K592" s="9" t="str">
        <f>HYPERLINK("https://www.instagram.com/p/BhXk8r1hrQK/","Open Post")</f>
        <v>Open Post</v>
      </c>
      <c r="L592" s="6" t="s">
        <v>4002</v>
      </c>
      <c r="M592" s="6" t="s">
        <v>4003</v>
      </c>
      <c r="N592" s="6" t="s">
        <v>4004</v>
      </c>
      <c r="O592" s="6" t="s">
        <v>59</v>
      </c>
      <c r="P592" s="6" t="s">
        <v>4005</v>
      </c>
    </row>
    <row r="593">
      <c r="A593" s="6" t="s">
        <v>983</v>
      </c>
      <c r="B593" s="6">
        <v>484.0</v>
      </c>
      <c r="F593" s="6" t="s">
        <v>984</v>
      </c>
      <c r="G593" s="6" t="s">
        <v>555</v>
      </c>
      <c r="H593" s="6" t="s">
        <v>48</v>
      </c>
      <c r="I593" s="6" t="s">
        <v>48</v>
      </c>
      <c r="J593" s="6" t="s">
        <v>48</v>
      </c>
      <c r="K593" s="9" t="str">
        <f>HYPERLINK("https://www.instagram.com/p/BhXkp1SBjIY/","Open Post")</f>
        <v>Open Post</v>
      </c>
      <c r="L593" s="6" t="s">
        <v>4006</v>
      </c>
      <c r="M593" s="6" t="s">
        <v>4007</v>
      </c>
      <c r="N593" s="6" t="s">
        <v>4008</v>
      </c>
      <c r="O593" s="6" t="s">
        <v>59</v>
      </c>
      <c r="P593" s="6" t="s">
        <v>4009</v>
      </c>
    </row>
    <row r="594">
      <c r="A594" s="6" t="s">
        <v>983</v>
      </c>
      <c r="B594" s="6">
        <v>485.0</v>
      </c>
      <c r="F594" s="6" t="s">
        <v>984</v>
      </c>
      <c r="G594" s="6" t="s">
        <v>1251</v>
      </c>
      <c r="H594" s="6" t="s">
        <v>48</v>
      </c>
      <c r="I594" s="6" t="s">
        <v>48</v>
      </c>
      <c r="J594" s="6" t="s">
        <v>48</v>
      </c>
      <c r="K594" s="9" t="str">
        <f>HYPERLINK("https://www.instagram.com/p/BhRdYavA9UT/","Open Post")</f>
        <v>Open Post</v>
      </c>
      <c r="L594" s="6" t="s">
        <v>4013</v>
      </c>
      <c r="M594" s="6" t="s">
        <v>4014</v>
      </c>
      <c r="N594" s="6" t="s">
        <v>4015</v>
      </c>
      <c r="O594" s="6" t="s">
        <v>59</v>
      </c>
      <c r="P594" s="6" t="s">
        <v>4016</v>
      </c>
    </row>
    <row r="595">
      <c r="A595" s="6" t="s">
        <v>983</v>
      </c>
      <c r="B595" s="6">
        <v>486.0</v>
      </c>
      <c r="F595" s="6" t="s">
        <v>984</v>
      </c>
      <c r="G595" s="6" t="s">
        <v>1027</v>
      </c>
      <c r="H595" s="6" t="s">
        <v>48</v>
      </c>
      <c r="I595" s="6" t="s">
        <v>48</v>
      </c>
      <c r="J595" s="6" t="s">
        <v>48</v>
      </c>
      <c r="K595" s="9" t="str">
        <f>HYPERLINK("https://www.instagram.com/p/BhRb9pvAb5q/","Open Post")</f>
        <v>Open Post</v>
      </c>
      <c r="L595" s="6" t="s">
        <v>4018</v>
      </c>
      <c r="M595" s="6" t="s">
        <v>4019</v>
      </c>
      <c r="N595" s="6" t="s">
        <v>4020</v>
      </c>
      <c r="O595" s="6" t="s">
        <v>59</v>
      </c>
      <c r="P595" s="6" t="s">
        <v>4021</v>
      </c>
    </row>
    <row r="596">
      <c r="A596" s="6" t="s">
        <v>983</v>
      </c>
      <c r="B596" s="6">
        <v>487.0</v>
      </c>
      <c r="F596" s="6" t="s">
        <v>984</v>
      </c>
      <c r="G596" s="6" t="s">
        <v>1251</v>
      </c>
      <c r="H596" s="6" t="s">
        <v>48</v>
      </c>
      <c r="I596" s="6" t="s">
        <v>48</v>
      </c>
      <c r="J596" s="6" t="s">
        <v>48</v>
      </c>
      <c r="K596" s="9" t="str">
        <f>HYPERLINK("https://www.instagram.com/p/BhO734SAFkj/","Open Post")</f>
        <v>Open Post</v>
      </c>
      <c r="L596" s="6" t="s">
        <v>4028</v>
      </c>
      <c r="M596" s="6" t="s">
        <v>4029</v>
      </c>
      <c r="N596" s="6" t="s">
        <v>4030</v>
      </c>
      <c r="O596" s="6" t="s">
        <v>59</v>
      </c>
      <c r="P596" s="6" t="s">
        <v>4031</v>
      </c>
    </row>
    <row r="597">
      <c r="A597" s="6" t="s">
        <v>983</v>
      </c>
      <c r="B597" s="6">
        <v>488.0</v>
      </c>
      <c r="F597" s="6" t="s">
        <v>984</v>
      </c>
      <c r="G597" s="6" t="s">
        <v>1228</v>
      </c>
      <c r="H597" s="6" t="s">
        <v>48</v>
      </c>
      <c r="I597" s="6" t="s">
        <v>48</v>
      </c>
      <c r="J597" s="6" t="s">
        <v>48</v>
      </c>
      <c r="K597" s="9" t="str">
        <f>HYPERLINK("https://www.instagram.com/p/BgtSOXCHd4l/","Open Post")</f>
        <v>Open Post</v>
      </c>
      <c r="L597" s="6" t="s">
        <v>4033</v>
      </c>
      <c r="M597" s="6" t="s">
        <v>55</v>
      </c>
      <c r="N597" s="6" t="s">
        <v>4035</v>
      </c>
      <c r="O597" s="6" t="s">
        <v>59</v>
      </c>
      <c r="P597" s="6" t="s">
        <v>4038</v>
      </c>
    </row>
    <row r="598">
      <c r="A598" s="6" t="s">
        <v>983</v>
      </c>
      <c r="B598" s="6">
        <v>489.0</v>
      </c>
      <c r="F598" s="6" t="s">
        <v>1026</v>
      </c>
      <c r="G598" s="6" t="s">
        <v>985</v>
      </c>
      <c r="H598" s="6" t="s">
        <v>48</v>
      </c>
      <c r="I598" s="6" t="s">
        <v>48</v>
      </c>
      <c r="J598" s="6" t="s">
        <v>48</v>
      </c>
      <c r="K598" s="9" t="str">
        <f>HYPERLINK("https://www.instagram.com/p/BgUXZx8ADdu/","Open Post")</f>
        <v>Open Post</v>
      </c>
      <c r="L598" s="6" t="s">
        <v>4039</v>
      </c>
      <c r="M598" s="6" t="s">
        <v>4040</v>
      </c>
      <c r="N598" s="6" t="s">
        <v>4041</v>
      </c>
      <c r="O598" s="6" t="s">
        <v>59</v>
      </c>
      <c r="P598" s="6" t="s">
        <v>4042</v>
      </c>
    </row>
    <row r="599">
      <c r="A599" s="6" t="s">
        <v>983</v>
      </c>
      <c r="B599" s="6">
        <v>490.0</v>
      </c>
      <c r="F599" s="6" t="s">
        <v>984</v>
      </c>
      <c r="G599" s="6" t="s">
        <v>985</v>
      </c>
      <c r="H599" s="6" t="s">
        <v>48</v>
      </c>
      <c r="I599" s="6" t="s">
        <v>48</v>
      </c>
      <c r="J599" s="6" t="s">
        <v>48</v>
      </c>
      <c r="K599" s="9" t="str">
        <f>HYPERLINK("https://www.instagram.com/p/BgEHNhXniFq/","Open Post")</f>
        <v>Open Post</v>
      </c>
      <c r="L599" s="6" t="s">
        <v>4044</v>
      </c>
      <c r="M599" s="6" t="s">
        <v>55</v>
      </c>
      <c r="N599" s="6" t="s">
        <v>4046</v>
      </c>
      <c r="O599" s="6" t="s">
        <v>59</v>
      </c>
      <c r="P599" s="6" t="s">
        <v>4047</v>
      </c>
    </row>
    <row r="600">
      <c r="A600" s="6" t="s">
        <v>983</v>
      </c>
      <c r="B600" s="6">
        <v>491.0</v>
      </c>
      <c r="F600" s="6" t="s">
        <v>984</v>
      </c>
      <c r="G600" s="6" t="s">
        <v>1019</v>
      </c>
      <c r="H600" s="6" t="s">
        <v>48</v>
      </c>
      <c r="I600" s="6" t="s">
        <v>48</v>
      </c>
      <c r="J600" s="6" t="s">
        <v>48</v>
      </c>
      <c r="K600" s="9" t="str">
        <f>HYPERLINK("https://www.instagram.com/p/Bfs8r9cg2v0/","Open Post")</f>
        <v>Open Post</v>
      </c>
      <c r="L600" s="6" t="s">
        <v>4050</v>
      </c>
      <c r="M600" s="6" t="s">
        <v>4051</v>
      </c>
      <c r="N600" s="6" t="s">
        <v>4052</v>
      </c>
      <c r="O600" s="6" t="s">
        <v>59</v>
      </c>
      <c r="P600" s="6" t="s">
        <v>4053</v>
      </c>
    </row>
    <row r="601">
      <c r="A601" s="6" t="s">
        <v>983</v>
      </c>
      <c r="B601" s="6">
        <v>492.0</v>
      </c>
      <c r="F601" s="6" t="s">
        <v>984</v>
      </c>
      <c r="G601" s="6" t="s">
        <v>286</v>
      </c>
      <c r="H601" s="6" t="s">
        <v>48</v>
      </c>
      <c r="I601" s="6" t="s">
        <v>48</v>
      </c>
      <c r="J601" s="6" t="s">
        <v>48</v>
      </c>
      <c r="K601" s="9" t="str">
        <f>HYPERLINK("https://www.instagram.com/p/BfgpHKRnw-j/","Open Post")</f>
        <v>Open Post</v>
      </c>
      <c r="L601" s="6" t="s">
        <v>4055</v>
      </c>
      <c r="M601" s="6" t="s">
        <v>4057</v>
      </c>
      <c r="N601" s="6" t="s">
        <v>4058</v>
      </c>
      <c r="O601" s="6" t="s">
        <v>59</v>
      </c>
      <c r="P601" s="6" t="s">
        <v>4059</v>
      </c>
    </row>
    <row r="602">
      <c r="A602" s="6" t="s">
        <v>983</v>
      </c>
      <c r="B602" s="6">
        <v>493.0</v>
      </c>
      <c r="F602" s="6" t="s">
        <v>984</v>
      </c>
      <c r="G602" s="6" t="s">
        <v>172</v>
      </c>
      <c r="H602" s="6" t="s">
        <v>48</v>
      </c>
      <c r="I602" s="6" t="s">
        <v>48</v>
      </c>
      <c r="J602" s="6" t="s">
        <v>48</v>
      </c>
      <c r="K602" s="9" t="str">
        <f>HYPERLINK("https://www.instagram.com/p/BfdehmtlMDO/","Open Post")</f>
        <v>Open Post</v>
      </c>
      <c r="L602" s="6" t="s">
        <v>4060</v>
      </c>
      <c r="M602" s="6" t="s">
        <v>55</v>
      </c>
      <c r="N602" s="6" t="s">
        <v>4062</v>
      </c>
      <c r="O602" s="6" t="s">
        <v>59</v>
      </c>
      <c r="P602" s="6" t="s">
        <v>4063</v>
      </c>
    </row>
    <row r="603">
      <c r="A603" s="6" t="s">
        <v>983</v>
      </c>
      <c r="B603" s="6">
        <v>494.0</v>
      </c>
      <c r="F603" s="6" t="s">
        <v>984</v>
      </c>
      <c r="G603" s="6" t="s">
        <v>443</v>
      </c>
      <c r="H603" s="6" t="s">
        <v>48</v>
      </c>
      <c r="I603" s="6" t="s">
        <v>48</v>
      </c>
      <c r="J603" s="6" t="s">
        <v>48</v>
      </c>
      <c r="K603" s="9" t="str">
        <f>HYPERLINK("https://www.instagram.com/p/BfRn0rlnX4y/","Open Post")</f>
        <v>Open Post</v>
      </c>
      <c r="L603" s="6" t="s">
        <v>4065</v>
      </c>
      <c r="M603" s="6" t="s">
        <v>55</v>
      </c>
      <c r="N603" s="6" t="s">
        <v>4066</v>
      </c>
      <c r="O603" s="6" t="s">
        <v>59</v>
      </c>
      <c r="P603" s="6" t="s">
        <v>4067</v>
      </c>
    </row>
    <row r="604">
      <c r="A604" s="6" t="s">
        <v>983</v>
      </c>
      <c r="B604" s="6">
        <v>495.0</v>
      </c>
      <c r="F604" s="6" t="s">
        <v>984</v>
      </c>
      <c r="G604" s="6" t="s">
        <v>172</v>
      </c>
      <c r="H604" s="6" t="s">
        <v>48</v>
      </c>
      <c r="I604" s="6" t="s">
        <v>48</v>
      </c>
      <c r="J604" s="6" t="s">
        <v>48</v>
      </c>
      <c r="K604" s="9" t="str">
        <f>HYPERLINK("https://www.instagram.com/p/BfBePADna0S/","Open Post")</f>
        <v>Open Post</v>
      </c>
      <c r="L604" s="6" t="s">
        <v>4070</v>
      </c>
      <c r="M604" s="6" t="s">
        <v>4071</v>
      </c>
      <c r="N604" s="6" t="s">
        <v>4072</v>
      </c>
      <c r="O604" s="6" t="s">
        <v>59</v>
      </c>
      <c r="P604" s="6" t="s">
        <v>4073</v>
      </c>
    </row>
    <row r="605">
      <c r="A605" s="6" t="s">
        <v>983</v>
      </c>
      <c r="B605" s="6">
        <v>496.0</v>
      </c>
      <c r="F605" s="6" t="s">
        <v>984</v>
      </c>
      <c r="G605" s="6" t="s">
        <v>555</v>
      </c>
      <c r="H605" s="6" t="s">
        <v>48</v>
      </c>
      <c r="I605" s="6" t="s">
        <v>48</v>
      </c>
      <c r="J605" s="6" t="s">
        <v>48</v>
      </c>
      <c r="K605" s="9" t="str">
        <f>HYPERLINK("https://www.instagram.com/p/Be2T9LEHoKz/","Open Post")</f>
        <v>Open Post</v>
      </c>
      <c r="L605" s="6" t="s">
        <v>4075</v>
      </c>
      <c r="M605" s="6" t="s">
        <v>4076</v>
      </c>
      <c r="N605" s="6" t="s">
        <v>4077</v>
      </c>
      <c r="O605" s="6" t="s">
        <v>59</v>
      </c>
      <c r="P605" s="6" t="s">
        <v>4078</v>
      </c>
    </row>
    <row r="606">
      <c r="A606" s="6" t="s">
        <v>983</v>
      </c>
      <c r="B606" s="6">
        <v>497.0</v>
      </c>
      <c r="F606" s="6" t="s">
        <v>984</v>
      </c>
      <c r="G606" s="6" t="s">
        <v>172</v>
      </c>
      <c r="H606" s="6" t="s">
        <v>48</v>
      </c>
      <c r="I606" s="6" t="s">
        <v>48</v>
      </c>
      <c r="J606" s="6" t="s">
        <v>48</v>
      </c>
      <c r="K606" s="9" t="str">
        <f>HYPERLINK("https://www.instagram.com/p/Be1FHN3n4ic/","Open Post")</f>
        <v>Open Post</v>
      </c>
      <c r="L606" s="6" t="s">
        <v>4081</v>
      </c>
      <c r="M606" s="6" t="s">
        <v>55</v>
      </c>
      <c r="N606" s="6" t="s">
        <v>4082</v>
      </c>
      <c r="O606" s="6" t="s">
        <v>59</v>
      </c>
      <c r="P606" s="6" t="s">
        <v>4084</v>
      </c>
    </row>
    <row r="607">
      <c r="A607" s="6" t="s">
        <v>983</v>
      </c>
      <c r="B607" s="6">
        <v>498.0</v>
      </c>
      <c r="F607" s="6" t="s">
        <v>984</v>
      </c>
      <c r="G607" s="6" t="s">
        <v>1019</v>
      </c>
      <c r="H607" s="6" t="s">
        <v>48</v>
      </c>
      <c r="I607" s="6" t="s">
        <v>48</v>
      </c>
      <c r="J607" s="6" t="s">
        <v>48</v>
      </c>
      <c r="K607" s="9" t="str">
        <f>HYPERLINK("https://www.instagram.com/p/BencWLdh2fp/","Open Post")</f>
        <v>Open Post</v>
      </c>
      <c r="L607" s="6" t="s">
        <v>4085</v>
      </c>
      <c r="M607" s="6" t="s">
        <v>4086</v>
      </c>
      <c r="N607" s="6" t="s">
        <v>4088</v>
      </c>
      <c r="O607" s="6" t="s">
        <v>59</v>
      </c>
      <c r="P607" s="6" t="s">
        <v>4089</v>
      </c>
    </row>
    <row r="608">
      <c r="A608" s="6" t="s">
        <v>983</v>
      </c>
      <c r="B608" s="6">
        <v>499.0</v>
      </c>
      <c r="F608" s="6" t="s">
        <v>984</v>
      </c>
      <c r="G608" s="6" t="s">
        <v>4090</v>
      </c>
      <c r="H608" s="6" t="s">
        <v>48</v>
      </c>
      <c r="I608" s="6" t="s">
        <v>48</v>
      </c>
      <c r="J608" s="6" t="s">
        <v>48</v>
      </c>
      <c r="K608" s="9" t="str">
        <f>HYPERLINK("https://www.instagram.com/p/BeS3ZTjnA5i/","Open Post")</f>
        <v>Open Post</v>
      </c>
      <c r="L608" s="6" t="s">
        <v>4092</v>
      </c>
      <c r="M608" s="6" t="s">
        <v>4093</v>
      </c>
      <c r="N608" s="6" t="s">
        <v>4094</v>
      </c>
      <c r="O608" s="6" t="s">
        <v>59</v>
      </c>
      <c r="P608" s="6" t="s">
        <v>4095</v>
      </c>
    </row>
    <row r="609">
      <c r="A609" s="6" t="s">
        <v>983</v>
      </c>
      <c r="B609" s="6">
        <v>500.0</v>
      </c>
      <c r="F609" s="6" t="s">
        <v>984</v>
      </c>
      <c r="G609" s="6" t="s">
        <v>555</v>
      </c>
      <c r="H609" s="6" t="s">
        <v>48</v>
      </c>
      <c r="I609" s="6" t="s">
        <v>48</v>
      </c>
      <c r="J609" s="6" t="s">
        <v>48</v>
      </c>
      <c r="K609" s="9" t="str">
        <f>HYPERLINK("https://www.instagram.com/p/BeQa3Qalses/","Open Post")</f>
        <v>Open Post</v>
      </c>
      <c r="L609" s="6" t="s">
        <v>4098</v>
      </c>
      <c r="M609" s="6" t="s">
        <v>4099</v>
      </c>
      <c r="N609" s="6" t="s">
        <v>4100</v>
      </c>
      <c r="O609" s="6" t="s">
        <v>59</v>
      </c>
      <c r="P609" s="6" t="s">
        <v>4101</v>
      </c>
    </row>
    <row r="610">
      <c r="A610" s="6" t="s">
        <v>983</v>
      </c>
      <c r="B610" s="6">
        <v>501.0</v>
      </c>
      <c r="F610" s="6" t="s">
        <v>1026</v>
      </c>
      <c r="G610" s="6" t="s">
        <v>4103</v>
      </c>
      <c r="H610" s="6" t="s">
        <v>48</v>
      </c>
      <c r="I610" s="6" t="s">
        <v>48</v>
      </c>
      <c r="J610" s="6" t="s">
        <v>48</v>
      </c>
      <c r="K610" s="9" t="str">
        <f>HYPERLINK("https://www.instagram.com/p/Bd2hEgclAMU/","Open Post")</f>
        <v>Open Post</v>
      </c>
      <c r="L610" s="6" t="s">
        <v>4104</v>
      </c>
      <c r="M610" s="6" t="s">
        <v>4105</v>
      </c>
      <c r="N610" s="6" t="s">
        <v>4106</v>
      </c>
      <c r="O610" s="6" t="s">
        <v>59</v>
      </c>
      <c r="P610" s="6" t="s">
        <v>4107</v>
      </c>
    </row>
    <row r="611">
      <c r="A611" s="6" t="s">
        <v>983</v>
      </c>
      <c r="B611" s="6">
        <v>502.0</v>
      </c>
      <c r="F611" s="6" t="s">
        <v>984</v>
      </c>
      <c r="G611" s="6" t="s">
        <v>1008</v>
      </c>
      <c r="H611" s="6" t="s">
        <v>48</v>
      </c>
      <c r="I611" s="6" t="s">
        <v>48</v>
      </c>
      <c r="J611" s="6" t="s">
        <v>48</v>
      </c>
      <c r="K611" s="9" t="str">
        <f>HYPERLINK("https://www.instagram.com/p/BdyFiNTBSpB/","Open Post")</f>
        <v>Open Post</v>
      </c>
      <c r="L611" s="6" t="s">
        <v>4110</v>
      </c>
      <c r="M611" s="6" t="s">
        <v>4111</v>
      </c>
      <c r="N611" s="6" t="s">
        <v>4112</v>
      </c>
      <c r="O611" s="6" t="s">
        <v>59</v>
      </c>
      <c r="P611" s="6" t="s">
        <v>4114</v>
      </c>
    </row>
    <row r="612">
      <c r="A612" s="6" t="s">
        <v>983</v>
      </c>
      <c r="B612" s="6">
        <v>503.0</v>
      </c>
      <c r="F612" s="6" t="s">
        <v>984</v>
      </c>
      <c r="G612" s="6" t="s">
        <v>1236</v>
      </c>
      <c r="H612" s="6" t="s">
        <v>48</v>
      </c>
      <c r="I612" s="6" t="s">
        <v>48</v>
      </c>
      <c r="J612" s="6" t="s">
        <v>48</v>
      </c>
      <c r="K612" s="9" t="str">
        <f>HYPERLINK("https://www.instagram.com/p/Bdu18EwFvXP/","Open Post")</f>
        <v>Open Post</v>
      </c>
      <c r="L612" s="6" t="s">
        <v>4116</v>
      </c>
      <c r="M612" s="6" t="s">
        <v>4117</v>
      </c>
      <c r="N612" s="6" t="s">
        <v>4118</v>
      </c>
      <c r="O612" s="6" t="s">
        <v>59</v>
      </c>
      <c r="P612" s="6" t="s">
        <v>4119</v>
      </c>
    </row>
    <row r="613">
      <c r="A613" s="6" t="s">
        <v>983</v>
      </c>
      <c r="B613" s="6">
        <v>504.0</v>
      </c>
      <c r="F613" s="6" t="s">
        <v>984</v>
      </c>
      <c r="G613" s="6" t="s">
        <v>172</v>
      </c>
      <c r="H613" s="6" t="s">
        <v>48</v>
      </c>
      <c r="I613" s="6" t="s">
        <v>48</v>
      </c>
      <c r="J613" s="6" t="s">
        <v>48</v>
      </c>
      <c r="K613" s="9" t="str">
        <f>HYPERLINK("https://www.instagram.com/p/BdpC4L0Bqkk/","Open Post")</f>
        <v>Open Post</v>
      </c>
      <c r="L613" s="6" t="s">
        <v>4120</v>
      </c>
      <c r="M613" s="6" t="s">
        <v>4121</v>
      </c>
      <c r="N613" s="6" t="s">
        <v>4123</v>
      </c>
      <c r="O613" s="6" t="s">
        <v>59</v>
      </c>
      <c r="P613" s="6" t="s">
        <v>4124</v>
      </c>
    </row>
    <row r="614">
      <c r="A614" s="6" t="s">
        <v>983</v>
      </c>
      <c r="B614" s="6">
        <v>505.0</v>
      </c>
      <c r="F614" s="6" t="s">
        <v>984</v>
      </c>
      <c r="G614" s="6" t="s">
        <v>1027</v>
      </c>
      <c r="H614" s="6" t="s">
        <v>48</v>
      </c>
      <c r="I614" s="6" t="s">
        <v>48</v>
      </c>
      <c r="J614" s="6" t="s">
        <v>48</v>
      </c>
      <c r="K614" s="9" t="str">
        <f>HYPERLINK("https://www.instagram.com/p/BdnmukfBCd8/","Open Post")</f>
        <v>Open Post</v>
      </c>
      <c r="L614" s="6" t="s">
        <v>4126</v>
      </c>
      <c r="M614" s="6" t="s">
        <v>4127</v>
      </c>
      <c r="N614" s="6" t="s">
        <v>4128</v>
      </c>
      <c r="O614" s="6" t="s">
        <v>59</v>
      </c>
      <c r="P614" s="6" t="s">
        <v>4129</v>
      </c>
    </row>
    <row r="615">
      <c r="A615" s="6" t="s">
        <v>983</v>
      </c>
      <c r="B615" s="6">
        <v>506.0</v>
      </c>
      <c r="F615" s="6" t="s">
        <v>984</v>
      </c>
      <c r="G615" s="6" t="s">
        <v>555</v>
      </c>
      <c r="H615" s="6" t="s">
        <v>48</v>
      </c>
      <c r="I615" s="6" t="s">
        <v>48</v>
      </c>
      <c r="J615" s="6" t="s">
        <v>48</v>
      </c>
      <c r="K615" s="9" t="str">
        <f>HYPERLINK("https://www.instagram.com/p/BdgyLBCBtvc/","Open Post")</f>
        <v>Open Post</v>
      </c>
      <c r="L615" s="6" t="s">
        <v>4133</v>
      </c>
      <c r="M615" s="6" t="s">
        <v>4134</v>
      </c>
      <c r="N615" s="6" t="s">
        <v>4135</v>
      </c>
      <c r="O615" s="6" t="s">
        <v>59</v>
      </c>
      <c r="P615" s="6" t="s">
        <v>4136</v>
      </c>
    </row>
    <row r="616">
      <c r="A616" s="6" t="s">
        <v>983</v>
      </c>
      <c r="B616" s="6">
        <v>507.0</v>
      </c>
      <c r="F616" s="6" t="s">
        <v>1026</v>
      </c>
      <c r="G616" s="6" t="s">
        <v>4138</v>
      </c>
      <c r="H616" s="6" t="s">
        <v>48</v>
      </c>
      <c r="I616" s="6" t="s">
        <v>48</v>
      </c>
      <c r="J616" s="6" t="s">
        <v>48</v>
      </c>
      <c r="K616" s="9" t="str">
        <f>HYPERLINK("https://www.instagram.com/p/BdAsCiyni7_/","Open Post")</f>
        <v>Open Post</v>
      </c>
      <c r="L616" s="6" t="s">
        <v>4139</v>
      </c>
      <c r="M616" s="6" t="s">
        <v>4140</v>
      </c>
      <c r="N616" s="6" t="s">
        <v>4141</v>
      </c>
      <c r="O616" s="6" t="s">
        <v>59</v>
      </c>
      <c r="P616" s="6" t="s">
        <v>4142</v>
      </c>
    </row>
    <row r="617">
      <c r="A617" s="6" t="s">
        <v>983</v>
      </c>
      <c r="B617" s="6">
        <v>508.0</v>
      </c>
      <c r="F617" s="6" t="s">
        <v>984</v>
      </c>
      <c r="G617" s="6" t="s">
        <v>1008</v>
      </c>
      <c r="H617" s="6" t="s">
        <v>48</v>
      </c>
      <c r="I617" s="6" t="s">
        <v>48</v>
      </c>
      <c r="J617" s="6" t="s">
        <v>48</v>
      </c>
      <c r="K617" s="9" t="str">
        <f>HYPERLINK("https://www.instagram.com/p/BdArZgsl58W/","Open Post")</f>
        <v>Open Post</v>
      </c>
      <c r="L617" s="6" t="s">
        <v>4145</v>
      </c>
      <c r="M617" s="6" t="s">
        <v>4146</v>
      </c>
      <c r="N617" s="6" t="s">
        <v>4147</v>
      </c>
      <c r="O617" s="6" t="s">
        <v>59</v>
      </c>
      <c r="P617" s="6" t="s">
        <v>4149</v>
      </c>
    </row>
    <row r="618">
      <c r="A618" s="6" t="s">
        <v>983</v>
      </c>
      <c r="B618" s="6">
        <v>509.0</v>
      </c>
      <c r="F618" s="6" t="s">
        <v>984</v>
      </c>
      <c r="G618" s="6" t="s">
        <v>369</v>
      </c>
      <c r="H618" s="6" t="s">
        <v>48</v>
      </c>
      <c r="I618" s="6" t="s">
        <v>48</v>
      </c>
      <c r="J618" s="6" t="s">
        <v>48</v>
      </c>
      <c r="K618" s="9" t="str">
        <f>HYPERLINK("https://www.instagram.com/p/Bc93bcAgdyE/","Open Post")</f>
        <v>Open Post</v>
      </c>
      <c r="L618" s="6" t="s">
        <v>4150</v>
      </c>
      <c r="M618" s="6" t="s">
        <v>55</v>
      </c>
      <c r="N618" s="6" t="s">
        <v>4151</v>
      </c>
      <c r="O618" s="6" t="s">
        <v>59</v>
      </c>
      <c r="P618" s="6" t="s">
        <v>4152</v>
      </c>
    </row>
    <row r="619">
      <c r="A619" s="6" t="s">
        <v>983</v>
      </c>
      <c r="B619" s="6">
        <v>510.0</v>
      </c>
      <c r="F619" s="6" t="s">
        <v>984</v>
      </c>
      <c r="G619" s="6" t="s">
        <v>369</v>
      </c>
      <c r="H619" s="6" t="s">
        <v>48</v>
      </c>
      <c r="I619" s="6" t="s">
        <v>48</v>
      </c>
      <c r="J619" s="6" t="s">
        <v>48</v>
      </c>
      <c r="K619" s="9" t="str">
        <f>HYPERLINK("https://www.instagram.com/p/Bc93Md9AWXL/","Open Post")</f>
        <v>Open Post</v>
      </c>
      <c r="L619" s="6" t="s">
        <v>4155</v>
      </c>
      <c r="M619" s="6" t="s">
        <v>55</v>
      </c>
      <c r="N619" s="6" t="s">
        <v>4157</v>
      </c>
      <c r="O619" s="6" t="s">
        <v>59</v>
      </c>
      <c r="P619" s="6" t="s">
        <v>4158</v>
      </c>
    </row>
    <row r="620">
      <c r="A620" s="6" t="s">
        <v>983</v>
      </c>
      <c r="B620" s="6">
        <v>511.0</v>
      </c>
      <c r="F620" s="6" t="s">
        <v>984</v>
      </c>
      <c r="G620" s="6" t="s">
        <v>1228</v>
      </c>
      <c r="H620" s="6" t="s">
        <v>48</v>
      </c>
      <c r="I620" s="6" t="s">
        <v>48</v>
      </c>
      <c r="J620" s="6" t="s">
        <v>48</v>
      </c>
      <c r="K620" s="9" t="str">
        <f>HYPERLINK("https://www.instagram.com/p/Bc9096kDqMW/","Open Post")</f>
        <v>Open Post</v>
      </c>
      <c r="L620" s="6" t="s">
        <v>4161</v>
      </c>
      <c r="M620" s="6" t="s">
        <v>4162</v>
      </c>
      <c r="N620" s="6" t="s">
        <v>4163</v>
      </c>
      <c r="O620" s="6" t="s">
        <v>59</v>
      </c>
      <c r="P620" s="6" t="s">
        <v>4164</v>
      </c>
    </row>
    <row r="621">
      <c r="A621" s="6" t="s">
        <v>983</v>
      </c>
      <c r="B621" s="6">
        <v>512.0</v>
      </c>
      <c r="F621" s="6" t="s">
        <v>984</v>
      </c>
      <c r="G621" s="6" t="s">
        <v>4165</v>
      </c>
      <c r="H621" s="6" t="s">
        <v>48</v>
      </c>
      <c r="I621" s="6" t="s">
        <v>48</v>
      </c>
      <c r="J621" s="6" t="s">
        <v>48</v>
      </c>
      <c r="K621" s="9" t="str">
        <f>HYPERLINK("https://www.instagram.com/p/BcqSTRqBJwe/","Open Post")</f>
        <v>Open Post</v>
      </c>
      <c r="L621" s="6" t="s">
        <v>4168</v>
      </c>
      <c r="M621" s="6" t="s">
        <v>4169</v>
      </c>
      <c r="N621" s="6" t="s">
        <v>4170</v>
      </c>
      <c r="O621" s="6" t="s">
        <v>59</v>
      </c>
      <c r="P621" s="6" t="s">
        <v>4172</v>
      </c>
    </row>
    <row r="622">
      <c r="A622" s="6" t="s">
        <v>983</v>
      </c>
      <c r="B622" s="6">
        <v>513.0</v>
      </c>
      <c r="F622" s="6" t="s">
        <v>984</v>
      </c>
      <c r="G622" s="6" t="s">
        <v>369</v>
      </c>
      <c r="H622" s="6" t="s">
        <v>48</v>
      </c>
      <c r="I622" s="6" t="s">
        <v>48</v>
      </c>
      <c r="J622" s="6" t="s">
        <v>48</v>
      </c>
      <c r="K622" s="9" t="str">
        <f>HYPERLINK("https://www.instagram.com/p/BcmxgkUBmTS/","Open Post")</f>
        <v>Open Post</v>
      </c>
      <c r="L622" s="6" t="s">
        <v>4174</v>
      </c>
      <c r="M622" s="6" t="s">
        <v>55</v>
      </c>
      <c r="N622" s="6" t="s">
        <v>4175</v>
      </c>
      <c r="O622" s="6" t="s">
        <v>59</v>
      </c>
      <c r="P622" s="6" t="s">
        <v>4176</v>
      </c>
    </row>
    <row r="623">
      <c r="A623" s="6" t="s">
        <v>983</v>
      </c>
      <c r="B623" s="6">
        <v>514.0</v>
      </c>
      <c r="F623" s="6" t="s">
        <v>984</v>
      </c>
      <c r="G623" s="6" t="s">
        <v>985</v>
      </c>
      <c r="H623" s="6" t="s">
        <v>48</v>
      </c>
      <c r="I623" s="6" t="s">
        <v>48</v>
      </c>
      <c r="J623" s="6" t="s">
        <v>48</v>
      </c>
      <c r="K623" s="9" t="str">
        <f>HYPERLINK("https://www.instagram.com/p/BcjkxhuF3KN/","Open Post")</f>
        <v>Open Post</v>
      </c>
      <c r="L623" s="6" t="s">
        <v>4179</v>
      </c>
      <c r="M623" s="6" t="s">
        <v>2565</v>
      </c>
      <c r="N623" s="6" t="s">
        <v>4180</v>
      </c>
      <c r="O623" s="6" t="s">
        <v>59</v>
      </c>
      <c r="P623" s="6" t="s">
        <v>4181</v>
      </c>
    </row>
    <row r="624">
      <c r="A624" s="6" t="s">
        <v>983</v>
      </c>
      <c r="B624" s="6">
        <v>515.0</v>
      </c>
      <c r="F624" s="6" t="s">
        <v>984</v>
      </c>
      <c r="G624" s="6" t="s">
        <v>4182</v>
      </c>
      <c r="H624" s="6" t="s">
        <v>48</v>
      </c>
      <c r="I624" s="6" t="s">
        <v>48</v>
      </c>
      <c r="J624" s="6" t="s">
        <v>48</v>
      </c>
      <c r="K624" s="9" t="str">
        <f>HYPERLINK("https://www.instagram.com/p/BciCyz-BW-s/","Open Post")</f>
        <v>Open Post</v>
      </c>
      <c r="L624" s="6" t="s">
        <v>4183</v>
      </c>
      <c r="M624" s="6" t="s">
        <v>4184</v>
      </c>
      <c r="N624" s="6" t="s">
        <v>4185</v>
      </c>
      <c r="O624" s="6" t="s">
        <v>59</v>
      </c>
      <c r="P624" s="6" t="s">
        <v>4186</v>
      </c>
    </row>
    <row r="625">
      <c r="A625" s="6" t="s">
        <v>983</v>
      </c>
      <c r="B625" s="6">
        <v>516.0</v>
      </c>
      <c r="F625" s="6" t="s">
        <v>984</v>
      </c>
      <c r="G625" s="6" t="s">
        <v>369</v>
      </c>
      <c r="H625" s="6" t="s">
        <v>48</v>
      </c>
      <c r="I625" s="6" t="s">
        <v>48</v>
      </c>
      <c r="J625" s="6" t="s">
        <v>48</v>
      </c>
      <c r="K625" s="9" t="str">
        <f>HYPERLINK("https://www.instagram.com/p/BcczSbbnfJg/","Open Post")</f>
        <v>Open Post</v>
      </c>
      <c r="L625" s="6" t="s">
        <v>4191</v>
      </c>
      <c r="M625" s="6" t="s">
        <v>55</v>
      </c>
      <c r="N625" s="6" t="s">
        <v>4192</v>
      </c>
      <c r="O625" s="6" t="s">
        <v>59</v>
      </c>
      <c r="P625" s="6" t="s">
        <v>4193</v>
      </c>
    </row>
    <row r="626">
      <c r="A626" s="6" t="s">
        <v>983</v>
      </c>
      <c r="B626" s="6">
        <v>517.0</v>
      </c>
      <c r="F626" s="6" t="s">
        <v>984</v>
      </c>
      <c r="G626" s="6" t="s">
        <v>4194</v>
      </c>
      <c r="H626" s="6" t="s">
        <v>48</v>
      </c>
      <c r="I626" s="6" t="s">
        <v>48</v>
      </c>
      <c r="J626" s="6" t="s">
        <v>48</v>
      </c>
      <c r="K626" s="9" t="str">
        <f>HYPERLINK("https://www.instagram.com/p/BcbMuMKnEgG/","Open Post")</f>
        <v>Open Post</v>
      </c>
      <c r="L626" s="6" t="s">
        <v>4195</v>
      </c>
      <c r="M626" s="6" t="s">
        <v>4196</v>
      </c>
      <c r="N626" s="6" t="s">
        <v>4197</v>
      </c>
      <c r="O626" s="6" t="s">
        <v>59</v>
      </c>
      <c r="P626" s="6" t="s">
        <v>4198</v>
      </c>
    </row>
    <row r="627">
      <c r="A627" s="6" t="s">
        <v>983</v>
      </c>
      <c r="B627" s="6">
        <v>518.0</v>
      </c>
      <c r="F627" s="6" t="s">
        <v>984</v>
      </c>
      <c r="G627" s="6" t="s">
        <v>369</v>
      </c>
      <c r="H627" s="6" t="s">
        <v>48</v>
      </c>
      <c r="I627" s="6" t="s">
        <v>48</v>
      </c>
      <c r="J627" s="6" t="s">
        <v>48</v>
      </c>
      <c r="K627" s="9" t="str">
        <f>HYPERLINK("https://www.instagram.com/p/BcXFZqVh9R9/","Open Post")</f>
        <v>Open Post</v>
      </c>
      <c r="L627" s="6" t="s">
        <v>4202</v>
      </c>
      <c r="M627" s="6" t="s">
        <v>55</v>
      </c>
      <c r="N627" s="6" t="s">
        <v>4203</v>
      </c>
      <c r="O627" s="6" t="s">
        <v>59</v>
      </c>
      <c r="P627" s="6" t="s">
        <v>4204</v>
      </c>
    </row>
    <row r="628">
      <c r="A628" s="6" t="s">
        <v>983</v>
      </c>
      <c r="B628" s="6">
        <v>519.0</v>
      </c>
      <c r="F628" s="6" t="s">
        <v>984</v>
      </c>
      <c r="G628" s="6" t="s">
        <v>1228</v>
      </c>
      <c r="H628" s="6" t="s">
        <v>48</v>
      </c>
      <c r="I628" s="6" t="s">
        <v>48</v>
      </c>
      <c r="J628" s="6" t="s">
        <v>48</v>
      </c>
      <c r="K628" s="9" t="str">
        <f>HYPERLINK("https://www.instagram.com/p/BcWMRMmlxkS/","Open Post")</f>
        <v>Open Post</v>
      </c>
      <c r="L628" s="6" t="s">
        <v>4205</v>
      </c>
      <c r="M628" s="6" t="s">
        <v>4206</v>
      </c>
      <c r="N628" s="6" t="s">
        <v>4207</v>
      </c>
      <c r="O628" s="6" t="s">
        <v>59</v>
      </c>
      <c r="P628" s="6" t="s">
        <v>4208</v>
      </c>
    </row>
    <row r="629">
      <c r="A629" s="6" t="s">
        <v>983</v>
      </c>
      <c r="B629" s="6">
        <v>520.0</v>
      </c>
      <c r="F629" s="6" t="s">
        <v>984</v>
      </c>
      <c r="G629" s="6" t="s">
        <v>2789</v>
      </c>
      <c r="H629" s="6" t="s">
        <v>48</v>
      </c>
      <c r="I629" s="6" t="s">
        <v>48</v>
      </c>
      <c r="J629" s="6" t="s">
        <v>48</v>
      </c>
      <c r="K629" s="9" t="str">
        <f>HYPERLINK("https://www.instagram.com/p/BcUKTA3gV_y/","Open Post")</f>
        <v>Open Post</v>
      </c>
      <c r="L629" s="6" t="s">
        <v>4212</v>
      </c>
      <c r="M629" s="6" t="s">
        <v>4213</v>
      </c>
      <c r="N629" s="6" t="s">
        <v>4214</v>
      </c>
      <c r="O629" s="6" t="s">
        <v>59</v>
      </c>
      <c r="P629" s="6" t="s">
        <v>4215</v>
      </c>
    </row>
    <row r="630">
      <c r="A630" s="6" t="s">
        <v>983</v>
      </c>
      <c r="B630" s="6">
        <v>521.0</v>
      </c>
      <c r="F630" s="6" t="s">
        <v>984</v>
      </c>
      <c r="G630" s="6" t="s">
        <v>1127</v>
      </c>
      <c r="H630" s="6" t="s">
        <v>48</v>
      </c>
      <c r="I630" s="6" t="s">
        <v>48</v>
      </c>
      <c r="J630" s="6" t="s">
        <v>48</v>
      </c>
      <c r="K630" s="9" t="str">
        <f>HYPERLINK("https://www.instagram.com/p/BcFYObLFGxE/","Open Post")</f>
        <v>Open Post</v>
      </c>
      <c r="L630" s="6" t="s">
        <v>4216</v>
      </c>
      <c r="M630" s="6" t="s">
        <v>4217</v>
      </c>
      <c r="N630" s="6" t="s">
        <v>4218</v>
      </c>
      <c r="O630" s="6" t="s">
        <v>59</v>
      </c>
      <c r="P630" s="6" t="s">
        <v>4219</v>
      </c>
    </row>
    <row r="631">
      <c r="A631" s="6" t="s">
        <v>983</v>
      </c>
      <c r="B631" s="6">
        <v>522.0</v>
      </c>
      <c r="F631" s="6" t="s">
        <v>984</v>
      </c>
      <c r="G631" s="6" t="s">
        <v>443</v>
      </c>
      <c r="H631" s="6" t="s">
        <v>48</v>
      </c>
      <c r="I631" s="6" t="s">
        <v>48</v>
      </c>
      <c r="J631" s="6" t="s">
        <v>48</v>
      </c>
      <c r="K631" s="9" t="str">
        <f>HYPERLINK("https://www.instagram.com/p/BcA1NetFJlA/","Open Post")</f>
        <v>Open Post</v>
      </c>
      <c r="L631" s="6" t="s">
        <v>4222</v>
      </c>
      <c r="M631" s="6" t="s">
        <v>55</v>
      </c>
      <c r="N631" s="6" t="s">
        <v>4223</v>
      </c>
      <c r="O631" s="6" t="s">
        <v>59</v>
      </c>
      <c r="P631" s="6" t="s">
        <v>4224</v>
      </c>
    </row>
    <row r="632">
      <c r="A632" s="6" t="s">
        <v>983</v>
      </c>
      <c r="B632" s="6">
        <v>523.0</v>
      </c>
      <c r="F632" s="6" t="s">
        <v>984</v>
      </c>
      <c r="G632" s="6" t="s">
        <v>300</v>
      </c>
      <c r="H632" s="6" t="s">
        <v>48</v>
      </c>
      <c r="I632" s="6" t="s">
        <v>48</v>
      </c>
      <c r="J632" s="6" t="s">
        <v>48</v>
      </c>
      <c r="K632" s="9" t="str">
        <f>HYPERLINK("https://www.instagram.com/p/Bbu_V39De2Q/","Open Post")</f>
        <v>Open Post</v>
      </c>
      <c r="L632" s="6" t="s">
        <v>4225</v>
      </c>
      <c r="M632" s="6" t="s">
        <v>4226</v>
      </c>
      <c r="N632" s="6" t="s">
        <v>4227</v>
      </c>
      <c r="O632" s="6" t="s">
        <v>59</v>
      </c>
      <c r="P632" s="6" t="s">
        <v>4229</v>
      </c>
    </row>
    <row r="633">
      <c r="A633" s="6" t="s">
        <v>983</v>
      </c>
      <c r="B633" s="6">
        <v>524.0</v>
      </c>
      <c r="F633" s="6" t="s">
        <v>984</v>
      </c>
      <c r="G633" s="6" t="s">
        <v>1127</v>
      </c>
      <c r="H633" s="6" t="s">
        <v>48</v>
      </c>
      <c r="I633" s="6" t="s">
        <v>48</v>
      </c>
      <c r="J633" s="6" t="s">
        <v>48</v>
      </c>
      <c r="K633" s="9" t="str">
        <f>HYPERLINK("https://www.instagram.com/p/BbgarVfARsc/","Open Post")</f>
        <v>Open Post</v>
      </c>
      <c r="L633" s="6" t="s">
        <v>4232</v>
      </c>
      <c r="M633" s="6" t="s">
        <v>4233</v>
      </c>
      <c r="N633" s="6" t="s">
        <v>4234</v>
      </c>
      <c r="O633" s="6" t="s">
        <v>59</v>
      </c>
      <c r="P633" s="6" t="s">
        <v>4235</v>
      </c>
    </row>
    <row r="634">
      <c r="A634" s="6" t="s">
        <v>983</v>
      </c>
      <c r="B634" s="6">
        <v>525.0</v>
      </c>
      <c r="F634" s="6" t="s">
        <v>984</v>
      </c>
      <c r="G634" s="6" t="s">
        <v>1127</v>
      </c>
      <c r="H634" s="6" t="s">
        <v>48</v>
      </c>
      <c r="I634" s="6" t="s">
        <v>48</v>
      </c>
      <c r="J634" s="6" t="s">
        <v>48</v>
      </c>
      <c r="K634" s="9" t="str">
        <f>HYPERLINK("https://www.instagram.com/p/BbeNeaigPtI/","Open Post")</f>
        <v>Open Post</v>
      </c>
      <c r="L634" s="6" t="s">
        <v>4236</v>
      </c>
      <c r="M634" s="6" t="s">
        <v>4237</v>
      </c>
      <c r="N634" s="6" t="s">
        <v>4239</v>
      </c>
      <c r="O634" s="6" t="s">
        <v>59</v>
      </c>
      <c r="P634" s="6" t="s">
        <v>4240</v>
      </c>
    </row>
    <row r="635">
      <c r="A635" s="6" t="s">
        <v>983</v>
      </c>
      <c r="B635" s="6">
        <v>526.0</v>
      </c>
      <c r="F635" s="6" t="s">
        <v>984</v>
      </c>
      <c r="G635" s="6" t="s">
        <v>381</v>
      </c>
      <c r="H635" s="6" t="s">
        <v>48</v>
      </c>
      <c r="I635" s="6" t="s">
        <v>48</v>
      </c>
      <c r="J635" s="6" t="s">
        <v>48</v>
      </c>
      <c r="K635" s="9" t="str">
        <f>HYPERLINK("https://www.instagram.com/p/BbYnHdvhYQT/","Open Post")</f>
        <v>Open Post</v>
      </c>
      <c r="L635" s="6" t="s">
        <v>4243</v>
      </c>
      <c r="M635" s="6" t="s">
        <v>55</v>
      </c>
      <c r="N635" s="6" t="s">
        <v>4244</v>
      </c>
      <c r="O635" s="6" t="s">
        <v>59</v>
      </c>
      <c r="P635" s="6" t="s">
        <v>4245</v>
      </c>
    </row>
    <row r="636">
      <c r="A636" s="6" t="s">
        <v>983</v>
      </c>
      <c r="B636" s="6">
        <v>527.0</v>
      </c>
      <c r="F636" s="6" t="s">
        <v>984</v>
      </c>
      <c r="G636" s="6" t="s">
        <v>4246</v>
      </c>
      <c r="H636" s="6" t="s">
        <v>48</v>
      </c>
      <c r="I636" s="6" t="s">
        <v>48</v>
      </c>
      <c r="J636" s="6" t="s">
        <v>48</v>
      </c>
      <c r="K636" s="9" t="str">
        <f>HYPERLINK("https://www.instagram.com/p/BbNVhu8Bxj-/","Open Post")</f>
        <v>Open Post</v>
      </c>
      <c r="L636" s="6" t="s">
        <v>4248</v>
      </c>
      <c r="M636" s="6" t="s">
        <v>4249</v>
      </c>
      <c r="N636" s="6" t="s">
        <v>4250</v>
      </c>
      <c r="O636" s="6" t="s">
        <v>59</v>
      </c>
      <c r="P636" s="6" t="s">
        <v>4251</v>
      </c>
    </row>
    <row r="637">
      <c r="A637" s="6" t="s">
        <v>983</v>
      </c>
      <c r="B637" s="6">
        <v>528.0</v>
      </c>
      <c r="F637" s="6" t="s">
        <v>1026</v>
      </c>
      <c r="G637" s="6" t="s">
        <v>286</v>
      </c>
      <c r="H637" s="6" t="s">
        <v>48</v>
      </c>
      <c r="I637" s="6" t="s">
        <v>48</v>
      </c>
      <c r="J637" s="6" t="s">
        <v>48</v>
      </c>
      <c r="K637" s="9" t="str">
        <f>HYPERLINK("https://www.instagram.com/p/BahOwZaAQR6/","Open Post")</f>
        <v>Open Post</v>
      </c>
      <c r="L637" s="6" t="s">
        <v>4254</v>
      </c>
      <c r="M637" s="6" t="s">
        <v>4255</v>
      </c>
      <c r="N637" s="6" t="s">
        <v>4256</v>
      </c>
      <c r="O637" s="6" t="s">
        <v>59</v>
      </c>
      <c r="P637" s="6" t="s">
        <v>4257</v>
      </c>
    </row>
    <row r="638">
      <c r="A638" s="6" t="s">
        <v>983</v>
      </c>
      <c r="B638" s="6">
        <v>529.0</v>
      </c>
      <c r="F638" s="6" t="s">
        <v>984</v>
      </c>
      <c r="G638" s="6" t="s">
        <v>1008</v>
      </c>
      <c r="H638" s="6" t="s">
        <v>48</v>
      </c>
      <c r="I638" s="6" t="s">
        <v>48</v>
      </c>
      <c r="J638" s="6" t="s">
        <v>48</v>
      </c>
      <c r="K638" s="9" t="str">
        <f>HYPERLINK("https://www.instagram.com/p/BagJYZDgE-8/","Open Post")</f>
        <v>Open Post</v>
      </c>
      <c r="L638" s="6" t="s">
        <v>4259</v>
      </c>
      <c r="M638" s="6" t="s">
        <v>4260</v>
      </c>
      <c r="N638" s="6" t="s">
        <v>4261</v>
      </c>
      <c r="O638" s="6" t="s">
        <v>59</v>
      </c>
      <c r="P638" s="6" t="s">
        <v>4262</v>
      </c>
    </row>
    <row r="639">
      <c r="A639" s="6" t="s">
        <v>983</v>
      </c>
      <c r="B639" s="6">
        <v>530.0</v>
      </c>
      <c r="F639" s="6" t="s">
        <v>984</v>
      </c>
      <c r="G639" s="6" t="s">
        <v>286</v>
      </c>
      <c r="H639" s="6" t="s">
        <v>48</v>
      </c>
      <c r="I639" s="6" t="s">
        <v>48</v>
      </c>
      <c r="J639" s="6" t="s">
        <v>48</v>
      </c>
      <c r="K639" s="9" t="str">
        <f>HYPERLINK("https://www.instagram.com/p/BaeB2gYHUWG/","Open Post")</f>
        <v>Open Post</v>
      </c>
      <c r="L639" s="6" t="s">
        <v>4265</v>
      </c>
      <c r="M639" s="6" t="s">
        <v>55</v>
      </c>
      <c r="N639" s="6" t="s">
        <v>4266</v>
      </c>
      <c r="O639" s="6" t="s">
        <v>59</v>
      </c>
      <c r="P639" s="6" t="s">
        <v>4267</v>
      </c>
    </row>
    <row r="640">
      <c r="A640" s="6" t="s">
        <v>983</v>
      </c>
      <c r="B640" s="6">
        <v>531.0</v>
      </c>
      <c r="F640" s="6" t="s">
        <v>984</v>
      </c>
      <c r="G640" s="6" t="s">
        <v>1849</v>
      </c>
      <c r="H640" s="6" t="s">
        <v>48</v>
      </c>
      <c r="I640" s="6" t="s">
        <v>48</v>
      </c>
      <c r="J640" s="6" t="s">
        <v>48</v>
      </c>
      <c r="K640" s="9" t="str">
        <f>HYPERLINK("https://www.instagram.com/p/BaXT5WaHxmz/","Open Post")</f>
        <v>Open Post</v>
      </c>
      <c r="L640" s="6" t="s">
        <v>4269</v>
      </c>
      <c r="M640" s="6" t="s">
        <v>4270</v>
      </c>
      <c r="N640" s="6" t="s">
        <v>4271</v>
      </c>
      <c r="O640" s="6" t="s">
        <v>59</v>
      </c>
      <c r="P640" s="6" t="s">
        <v>4272</v>
      </c>
    </row>
    <row r="641">
      <c r="A641" s="6" t="s">
        <v>983</v>
      </c>
      <c r="B641" s="6">
        <v>532.0</v>
      </c>
      <c r="F641" s="6" t="s">
        <v>984</v>
      </c>
      <c r="G641" s="6" t="s">
        <v>300</v>
      </c>
      <c r="H641" s="6" t="s">
        <v>48</v>
      </c>
      <c r="I641" s="6" t="s">
        <v>48</v>
      </c>
      <c r="J641" s="6" t="s">
        <v>48</v>
      </c>
      <c r="K641" s="9" t="str">
        <f>HYPERLINK("https://www.instagram.com/p/BaPNPbShMhv/","Open Post")</f>
        <v>Open Post</v>
      </c>
      <c r="L641" s="6" t="s">
        <v>4274</v>
      </c>
      <c r="M641" s="6" t="s">
        <v>4275</v>
      </c>
      <c r="N641" s="6" t="s">
        <v>4276</v>
      </c>
      <c r="O641" s="6" t="s">
        <v>59</v>
      </c>
      <c r="P641" s="6" t="s">
        <v>4277</v>
      </c>
    </row>
    <row r="642">
      <c r="A642" s="6" t="s">
        <v>983</v>
      </c>
      <c r="B642" s="6">
        <v>533.0</v>
      </c>
      <c r="F642" s="6" t="s">
        <v>1026</v>
      </c>
      <c r="G642" s="6" t="s">
        <v>477</v>
      </c>
      <c r="H642" s="6" t="s">
        <v>48</v>
      </c>
      <c r="I642" s="6" t="s">
        <v>48</v>
      </c>
      <c r="J642" s="6" t="s">
        <v>48</v>
      </c>
      <c r="K642" s="9" t="str">
        <f>HYPERLINK("https://www.instagram.com/p/BaEtsW4lbzL/","Open Post")</f>
        <v>Open Post</v>
      </c>
      <c r="L642" s="6" t="s">
        <v>4280</v>
      </c>
      <c r="M642" s="6" t="s">
        <v>4281</v>
      </c>
      <c r="N642" s="6" t="s">
        <v>4282</v>
      </c>
      <c r="O642" s="6" t="s">
        <v>59</v>
      </c>
      <c r="P642" s="6" t="s">
        <v>4284</v>
      </c>
    </row>
    <row r="643">
      <c r="A643" s="6" t="s">
        <v>983</v>
      </c>
      <c r="B643" s="6">
        <v>534.0</v>
      </c>
      <c r="F643" s="6" t="s">
        <v>984</v>
      </c>
      <c r="G643" s="6" t="s">
        <v>443</v>
      </c>
      <c r="H643" s="6" t="s">
        <v>48</v>
      </c>
      <c r="I643" s="6" t="s">
        <v>48</v>
      </c>
      <c r="J643" s="6" t="s">
        <v>48</v>
      </c>
      <c r="K643" s="9" t="str">
        <f>HYPERLINK("https://www.instagram.com/p/BaC5ksMnreJ/","Open Post")</f>
        <v>Open Post</v>
      </c>
      <c r="L643" s="6" t="s">
        <v>4286</v>
      </c>
      <c r="M643" s="6" t="s">
        <v>4287</v>
      </c>
      <c r="N643" s="6" t="s">
        <v>4288</v>
      </c>
      <c r="O643" s="6" t="s">
        <v>59</v>
      </c>
      <c r="P643" s="6" t="s">
        <v>4289</v>
      </c>
    </row>
    <row r="644">
      <c r="A644" s="6" t="s">
        <v>983</v>
      </c>
      <c r="B644" s="6">
        <v>535.0</v>
      </c>
      <c r="F644" s="6" t="s">
        <v>984</v>
      </c>
      <c r="G644" s="6" t="s">
        <v>479</v>
      </c>
      <c r="H644" s="6" t="s">
        <v>48</v>
      </c>
      <c r="I644" s="6" t="s">
        <v>48</v>
      </c>
      <c r="J644" s="6" t="s">
        <v>48</v>
      </c>
      <c r="K644" s="9" t="str">
        <f>HYPERLINK("https://www.instagram.com/p/BZwxr55hY7m/","Open Post")</f>
        <v>Open Post</v>
      </c>
      <c r="L644" s="6" t="s">
        <v>4291</v>
      </c>
      <c r="M644" s="6" t="s">
        <v>4293</v>
      </c>
      <c r="N644" s="6" t="s">
        <v>4294</v>
      </c>
      <c r="O644" s="6" t="s">
        <v>59</v>
      </c>
      <c r="P644" s="6" t="s">
        <v>4295</v>
      </c>
    </row>
    <row r="645">
      <c r="A645" s="6" t="s">
        <v>983</v>
      </c>
      <c r="B645" s="6">
        <v>536.0</v>
      </c>
      <c r="F645" s="6" t="s">
        <v>984</v>
      </c>
      <c r="G645" s="6" t="s">
        <v>4182</v>
      </c>
      <c r="H645" s="6" t="s">
        <v>48</v>
      </c>
      <c r="I645" s="6" t="s">
        <v>48</v>
      </c>
      <c r="J645" s="6" t="s">
        <v>48</v>
      </c>
      <c r="K645" s="9" t="str">
        <f>HYPERLINK("https://www.instagram.com/p/BZl4UYPFFMU/","Open Post")</f>
        <v>Open Post</v>
      </c>
      <c r="L645" s="6" t="s">
        <v>4298</v>
      </c>
      <c r="M645" s="6" t="s">
        <v>4299</v>
      </c>
      <c r="N645" s="6" t="s">
        <v>4300</v>
      </c>
      <c r="O645" s="6" t="s">
        <v>59</v>
      </c>
      <c r="P645" s="6" t="s">
        <v>4301</v>
      </c>
    </row>
    <row r="646">
      <c r="A646" s="6" t="s">
        <v>983</v>
      </c>
      <c r="B646" s="6">
        <v>537.0</v>
      </c>
      <c r="F646" s="6" t="s">
        <v>984</v>
      </c>
      <c r="G646" s="6" t="s">
        <v>381</v>
      </c>
      <c r="H646" s="6" t="s">
        <v>48</v>
      </c>
      <c r="I646" s="6" t="s">
        <v>48</v>
      </c>
      <c r="J646" s="6" t="s">
        <v>48</v>
      </c>
      <c r="K646" s="9" t="str">
        <f>HYPERLINK("https://www.instagram.com/p/BZlnuZpnMno/","Open Post")</f>
        <v>Open Post</v>
      </c>
      <c r="L646" s="6" t="s">
        <v>4304</v>
      </c>
      <c r="M646" s="6" t="s">
        <v>4305</v>
      </c>
      <c r="N646" s="6" t="s">
        <v>4306</v>
      </c>
      <c r="O646" s="6" t="s">
        <v>59</v>
      </c>
      <c r="P646" s="6" t="s">
        <v>4307</v>
      </c>
    </row>
    <row r="647">
      <c r="A647" s="6" t="s">
        <v>983</v>
      </c>
      <c r="B647" s="6">
        <v>538.0</v>
      </c>
      <c r="F647" s="6" t="s">
        <v>984</v>
      </c>
      <c r="G647" s="6" t="s">
        <v>555</v>
      </c>
      <c r="H647" s="6" t="s">
        <v>48</v>
      </c>
      <c r="I647" s="6" t="s">
        <v>48</v>
      </c>
      <c r="J647" s="6" t="s">
        <v>48</v>
      </c>
      <c r="K647" s="9" t="str">
        <f>HYPERLINK("https://www.instagram.com/p/BZjmhF-gGjn/","Open Post")</f>
        <v>Open Post</v>
      </c>
      <c r="L647" s="6" t="s">
        <v>4309</v>
      </c>
      <c r="M647" s="6" t="s">
        <v>4310</v>
      </c>
      <c r="N647" s="6" t="s">
        <v>4311</v>
      </c>
      <c r="O647" s="6" t="s">
        <v>59</v>
      </c>
      <c r="P647" s="6" t="s">
        <v>4312</v>
      </c>
    </row>
    <row r="648">
      <c r="A648" s="6" t="s">
        <v>983</v>
      </c>
      <c r="B648" s="6">
        <v>539.0</v>
      </c>
      <c r="F648" s="6" t="s">
        <v>984</v>
      </c>
      <c r="G648" s="6" t="s">
        <v>286</v>
      </c>
      <c r="H648" s="6" t="s">
        <v>48</v>
      </c>
      <c r="I648" s="6" t="s">
        <v>48</v>
      </c>
      <c r="J648" s="6" t="s">
        <v>48</v>
      </c>
      <c r="K648" s="9" t="str">
        <f>HYPERLINK("https://www.instagram.com/p/BZRLpqlH18R/","Open Post")</f>
        <v>Open Post</v>
      </c>
      <c r="L648" s="6" t="s">
        <v>4314</v>
      </c>
      <c r="M648" s="6" t="s">
        <v>4315</v>
      </c>
      <c r="N648" s="6" t="s">
        <v>4316</v>
      </c>
      <c r="O648" s="6" t="s">
        <v>59</v>
      </c>
      <c r="P648" s="6" t="s">
        <v>4317</v>
      </c>
    </row>
    <row r="649">
      <c r="A649" s="6" t="s">
        <v>983</v>
      </c>
      <c r="B649" s="6">
        <v>540.0</v>
      </c>
      <c r="F649" s="6" t="s">
        <v>984</v>
      </c>
      <c r="G649" s="6" t="s">
        <v>555</v>
      </c>
      <c r="H649" s="6" t="s">
        <v>48</v>
      </c>
      <c r="I649" s="6" t="s">
        <v>48</v>
      </c>
      <c r="J649" s="6" t="s">
        <v>48</v>
      </c>
      <c r="K649" s="9" t="str">
        <f>HYPERLINK("https://www.instagram.com/p/BZBo_KCgXuE/","Open Post")</f>
        <v>Open Post</v>
      </c>
      <c r="L649" s="6" t="s">
        <v>4320</v>
      </c>
      <c r="M649" s="6" t="s">
        <v>4321</v>
      </c>
      <c r="N649" s="6" t="s">
        <v>4322</v>
      </c>
      <c r="O649" s="6" t="s">
        <v>59</v>
      </c>
      <c r="P649" s="6" t="s">
        <v>4323</v>
      </c>
    </row>
    <row r="650">
      <c r="A650" s="6" t="s">
        <v>983</v>
      </c>
      <c r="B650" s="6">
        <v>541.0</v>
      </c>
      <c r="F650" s="6" t="s">
        <v>984</v>
      </c>
      <c r="G650" s="6" t="s">
        <v>4165</v>
      </c>
      <c r="H650" s="6" t="s">
        <v>48</v>
      </c>
      <c r="I650" s="6" t="s">
        <v>48</v>
      </c>
      <c r="J650" s="6" t="s">
        <v>48</v>
      </c>
      <c r="K650" s="9" t="str">
        <f>HYPERLINK("https://www.instagram.com/p/BZAMpU2B-Cn/","Open Post")</f>
        <v>Open Post</v>
      </c>
      <c r="L650" s="6" t="s">
        <v>4326</v>
      </c>
      <c r="M650" s="6" t="s">
        <v>4169</v>
      </c>
      <c r="N650" s="6" t="s">
        <v>4327</v>
      </c>
      <c r="O650" s="6" t="s">
        <v>59</v>
      </c>
      <c r="P650" s="6" t="s">
        <v>4328</v>
      </c>
    </row>
    <row r="651">
      <c r="A651" s="6" t="s">
        <v>983</v>
      </c>
      <c r="B651" s="6">
        <v>542.0</v>
      </c>
      <c r="F651" s="6" t="s">
        <v>984</v>
      </c>
      <c r="G651" s="6" t="s">
        <v>172</v>
      </c>
      <c r="H651" s="6" t="s">
        <v>48</v>
      </c>
      <c r="I651" s="6" t="s">
        <v>48</v>
      </c>
      <c r="J651" s="6" t="s">
        <v>48</v>
      </c>
      <c r="K651" s="9" t="str">
        <f>HYPERLINK("https://www.instagram.com/p/BY_lcHUgIuj/","Open Post")</f>
        <v>Open Post</v>
      </c>
      <c r="L651" s="6" t="s">
        <v>4330</v>
      </c>
      <c r="M651" s="6" t="s">
        <v>4331</v>
      </c>
      <c r="N651" s="6" t="s">
        <v>4332</v>
      </c>
      <c r="O651" s="6" t="s">
        <v>59</v>
      </c>
      <c r="P651" s="6" t="s">
        <v>4334</v>
      </c>
    </row>
    <row r="652">
      <c r="A652" s="6" t="s">
        <v>983</v>
      </c>
      <c r="B652" s="6">
        <v>543.0</v>
      </c>
      <c r="F652" s="6" t="s">
        <v>984</v>
      </c>
      <c r="G652" s="6" t="s">
        <v>4335</v>
      </c>
      <c r="H652" s="6" t="s">
        <v>48</v>
      </c>
      <c r="I652" s="6" t="s">
        <v>48</v>
      </c>
      <c r="J652" s="6" t="s">
        <v>48</v>
      </c>
      <c r="K652" s="9" t="str">
        <f>HYPERLINK("https://www.instagram.com/p/BY9F78JDkgu/","Open Post")</f>
        <v>Open Post</v>
      </c>
      <c r="L652" s="6" t="s">
        <v>4337</v>
      </c>
      <c r="M652" s="6" t="s">
        <v>4338</v>
      </c>
      <c r="N652" s="6" t="s">
        <v>4339</v>
      </c>
      <c r="O652" s="6" t="s">
        <v>59</v>
      </c>
      <c r="P652" s="6" t="s">
        <v>4340</v>
      </c>
    </row>
    <row r="653">
      <c r="A653" s="6" t="s">
        <v>983</v>
      </c>
      <c r="B653" s="6">
        <v>544.0</v>
      </c>
      <c r="F653" s="6" t="s">
        <v>984</v>
      </c>
      <c r="G653" s="6" t="s">
        <v>1027</v>
      </c>
      <c r="H653" s="6" t="s">
        <v>48</v>
      </c>
      <c r="I653" s="6" t="s">
        <v>48</v>
      </c>
      <c r="J653" s="6" t="s">
        <v>48</v>
      </c>
      <c r="K653" s="9" t="str">
        <f>HYPERLINK("https://www.instagram.com/p/BYdmQBGj8wT/","Open Post")</f>
        <v>Open Post</v>
      </c>
      <c r="L653" s="6" t="s">
        <v>4346</v>
      </c>
      <c r="M653" s="6" t="s">
        <v>4347</v>
      </c>
      <c r="N653" s="6" t="s">
        <v>4348</v>
      </c>
      <c r="O653" s="6" t="s">
        <v>59</v>
      </c>
      <c r="P653" s="6" t="s">
        <v>4349</v>
      </c>
    </row>
    <row r="654">
      <c r="A654" s="6" t="s">
        <v>983</v>
      </c>
      <c r="B654" s="6">
        <v>545.0</v>
      </c>
      <c r="F654" s="6" t="s">
        <v>984</v>
      </c>
      <c r="G654" s="6" t="s">
        <v>4351</v>
      </c>
      <c r="H654" s="6" t="s">
        <v>48</v>
      </c>
      <c r="I654" s="6" t="s">
        <v>48</v>
      </c>
      <c r="J654" s="6" t="s">
        <v>48</v>
      </c>
      <c r="K654" s="9" t="str">
        <f>HYPERLINK("https://www.instagram.com/p/BYHm0zTgozt/","Open Post")</f>
        <v>Open Post</v>
      </c>
      <c r="L654" s="6" t="s">
        <v>4355</v>
      </c>
      <c r="M654" s="6" t="s">
        <v>4356</v>
      </c>
      <c r="N654" s="6" t="s">
        <v>4357</v>
      </c>
      <c r="O654" s="6" t="s">
        <v>59</v>
      </c>
      <c r="P654" s="6" t="s">
        <v>4358</v>
      </c>
    </row>
    <row r="655">
      <c r="A655" s="6" t="s">
        <v>983</v>
      </c>
      <c r="B655" s="6">
        <v>546.0</v>
      </c>
      <c r="F655" s="6" t="s">
        <v>984</v>
      </c>
      <c r="G655" s="6" t="s">
        <v>4359</v>
      </c>
      <c r="H655" s="6" t="s">
        <v>48</v>
      </c>
      <c r="I655" s="6" t="s">
        <v>48</v>
      </c>
      <c r="J655" s="6" t="s">
        <v>48</v>
      </c>
      <c r="K655" s="9" t="str">
        <f>HYPERLINK("https://www.instagram.com/p/BYF5BQLAv_o/","Open Post")</f>
        <v>Open Post</v>
      </c>
      <c r="L655" s="6" t="s">
        <v>4360</v>
      </c>
      <c r="M655" s="6" t="s">
        <v>4361</v>
      </c>
      <c r="N655" s="6" t="s">
        <v>4362</v>
      </c>
      <c r="O655" s="6" t="s">
        <v>59</v>
      </c>
      <c r="P655" s="6" t="s">
        <v>4364</v>
      </c>
    </row>
    <row r="656">
      <c r="A656" s="6" t="s">
        <v>983</v>
      </c>
      <c r="B656" s="6">
        <v>547.0</v>
      </c>
      <c r="F656" s="6" t="s">
        <v>984</v>
      </c>
      <c r="G656" s="6" t="s">
        <v>408</v>
      </c>
      <c r="H656" s="6" t="s">
        <v>48</v>
      </c>
      <c r="I656" s="6" t="s">
        <v>48</v>
      </c>
      <c r="J656" s="6" t="s">
        <v>48</v>
      </c>
      <c r="K656" s="9" t="str">
        <f>HYPERLINK("https://www.instagram.com/p/BYBL7F1BIi0/","Open Post")</f>
        <v>Open Post</v>
      </c>
      <c r="L656" s="6" t="s">
        <v>4367</v>
      </c>
      <c r="M656" s="6" t="s">
        <v>4169</v>
      </c>
      <c r="N656" s="6" t="s">
        <v>4368</v>
      </c>
      <c r="O656" s="6" t="s">
        <v>59</v>
      </c>
      <c r="P656" s="6" t="s">
        <v>4369</v>
      </c>
    </row>
    <row r="657">
      <c r="A657" s="6" t="s">
        <v>983</v>
      </c>
      <c r="B657" s="6">
        <v>548.0</v>
      </c>
      <c r="F657" s="6" t="s">
        <v>984</v>
      </c>
      <c r="G657" s="6" t="s">
        <v>228</v>
      </c>
      <c r="H657" s="6" t="s">
        <v>48</v>
      </c>
      <c r="I657" s="6" t="s">
        <v>48</v>
      </c>
      <c r="J657" s="6" t="s">
        <v>48</v>
      </c>
      <c r="K657" s="9" t="str">
        <f>HYPERLINK("https://www.instagram.com/p/BX8jqcFB6GD/","Open Post")</f>
        <v>Open Post</v>
      </c>
      <c r="L657" s="6" t="s">
        <v>4371</v>
      </c>
      <c r="M657" s="6" t="s">
        <v>4373</v>
      </c>
      <c r="N657" s="6" t="s">
        <v>4374</v>
      </c>
      <c r="O657" s="6" t="s">
        <v>59</v>
      </c>
      <c r="P657" s="6" t="s">
        <v>4375</v>
      </c>
    </row>
    <row r="658">
      <c r="A658" s="6" t="s">
        <v>983</v>
      </c>
      <c r="B658" s="6">
        <v>549.0</v>
      </c>
      <c r="F658" s="6" t="s">
        <v>984</v>
      </c>
      <c r="G658" s="6" t="s">
        <v>390</v>
      </c>
      <c r="H658" s="6" t="s">
        <v>48</v>
      </c>
      <c r="I658" s="6" t="s">
        <v>48</v>
      </c>
      <c r="J658" s="6" t="s">
        <v>48</v>
      </c>
      <c r="K658" s="9" t="str">
        <f>HYPERLINK("https://www.instagram.com/p/BX33NC1AvSx/","Open Post")</f>
        <v>Open Post</v>
      </c>
      <c r="L658" s="6" t="s">
        <v>4376</v>
      </c>
      <c r="M658" s="6" t="s">
        <v>4377</v>
      </c>
      <c r="N658" s="6" t="s">
        <v>4378</v>
      </c>
      <c r="O658" s="6" t="s">
        <v>59</v>
      </c>
      <c r="P658" s="6" t="s">
        <v>4380</v>
      </c>
    </row>
    <row r="659">
      <c r="A659" s="6" t="s">
        <v>983</v>
      </c>
      <c r="B659" s="6">
        <v>550.0</v>
      </c>
      <c r="F659" s="6" t="s">
        <v>1026</v>
      </c>
      <c r="G659" s="6" t="s">
        <v>4381</v>
      </c>
      <c r="H659" s="6" t="s">
        <v>48</v>
      </c>
      <c r="I659" s="6" t="s">
        <v>48</v>
      </c>
      <c r="J659" s="6" t="s">
        <v>48</v>
      </c>
      <c r="K659" s="9" t="str">
        <f>HYPERLINK("https://www.instagram.com/p/BXYRLm2BAcb/","Open Post")</f>
        <v>Open Post</v>
      </c>
      <c r="L659" s="6" t="s">
        <v>4382</v>
      </c>
      <c r="M659" s="6" t="s">
        <v>4383</v>
      </c>
      <c r="N659" s="6" t="s">
        <v>4384</v>
      </c>
      <c r="O659" s="6" t="s">
        <v>59</v>
      </c>
      <c r="P659" s="6" t="s">
        <v>4385</v>
      </c>
    </row>
    <row r="660">
      <c r="A660" s="6" t="s">
        <v>983</v>
      </c>
      <c r="B660" s="6">
        <v>551.0</v>
      </c>
      <c r="F660" s="6" t="s">
        <v>984</v>
      </c>
      <c r="G660" s="6" t="s">
        <v>985</v>
      </c>
      <c r="H660" s="6" t="s">
        <v>48</v>
      </c>
      <c r="I660" s="6" t="s">
        <v>48</v>
      </c>
      <c r="J660" s="6" t="s">
        <v>48</v>
      </c>
      <c r="K660" s="9" t="str">
        <f>HYPERLINK("https://www.instagram.com/p/BXPxcFpAPl9/","Open Post")</f>
        <v>Open Post</v>
      </c>
      <c r="L660" s="6" t="s">
        <v>4388</v>
      </c>
      <c r="M660" s="6" t="s">
        <v>4389</v>
      </c>
      <c r="N660" s="6" t="s">
        <v>4390</v>
      </c>
      <c r="O660" s="6" t="s">
        <v>59</v>
      </c>
      <c r="P660" s="6" t="s">
        <v>4391</v>
      </c>
    </row>
    <row r="661">
      <c r="A661" s="6" t="s">
        <v>983</v>
      </c>
      <c r="B661" s="6">
        <v>552.0</v>
      </c>
      <c r="F661" s="6" t="s">
        <v>984</v>
      </c>
      <c r="G661" s="6" t="s">
        <v>369</v>
      </c>
      <c r="H661" s="6" t="s">
        <v>48</v>
      </c>
      <c r="I661" s="6" t="s">
        <v>48</v>
      </c>
      <c r="J661" s="6" t="s">
        <v>48</v>
      </c>
      <c r="K661" s="9" t="str">
        <f>HYPERLINK("https://www.instagram.com/p/BXOb9wplXWC/","Open Post")</f>
        <v>Open Post</v>
      </c>
      <c r="L661" s="6" t="s">
        <v>4393</v>
      </c>
      <c r="M661" s="6" t="s">
        <v>55</v>
      </c>
      <c r="N661" s="6" t="s">
        <v>4395</v>
      </c>
      <c r="O661" s="6" t="s">
        <v>59</v>
      </c>
      <c r="P661" s="6" t="s">
        <v>4396</v>
      </c>
    </row>
    <row r="662">
      <c r="A662" s="6" t="s">
        <v>983</v>
      </c>
      <c r="B662" s="6">
        <v>553.0</v>
      </c>
      <c r="F662" s="6" t="s">
        <v>984</v>
      </c>
      <c r="G662" s="6" t="s">
        <v>1251</v>
      </c>
      <c r="H662" s="6" t="s">
        <v>48</v>
      </c>
      <c r="I662" s="6" t="s">
        <v>48</v>
      </c>
      <c r="J662" s="6" t="s">
        <v>48</v>
      </c>
      <c r="K662" s="9" t="str">
        <f>HYPERLINK("https://www.instagram.com/p/BXEWVoclgm4/","Open Post")</f>
        <v>Open Post</v>
      </c>
      <c r="L662" s="6" t="s">
        <v>4398</v>
      </c>
      <c r="M662" s="6" t="s">
        <v>4399</v>
      </c>
      <c r="N662" s="6" t="s">
        <v>4400</v>
      </c>
      <c r="O662" s="6" t="s">
        <v>59</v>
      </c>
      <c r="P662" s="6" t="s">
        <v>4401</v>
      </c>
    </row>
    <row r="663">
      <c r="A663" s="6" t="s">
        <v>983</v>
      </c>
      <c r="B663" s="6">
        <v>554.0</v>
      </c>
      <c r="F663" s="6" t="s">
        <v>1026</v>
      </c>
      <c r="G663" s="6" t="s">
        <v>228</v>
      </c>
      <c r="H663" s="6" t="s">
        <v>48</v>
      </c>
      <c r="I663" s="6" t="s">
        <v>48</v>
      </c>
      <c r="J663" s="6" t="s">
        <v>48</v>
      </c>
      <c r="K663" s="9" t="str">
        <f>HYPERLINK("https://www.instagram.com/p/BXAlnhFgblA/","Open Post")</f>
        <v>Open Post</v>
      </c>
      <c r="L663" s="6" t="s">
        <v>4402</v>
      </c>
      <c r="M663" s="6" t="s">
        <v>4404</v>
      </c>
      <c r="N663" s="6" t="s">
        <v>4405</v>
      </c>
      <c r="O663" s="6" t="s">
        <v>59</v>
      </c>
      <c r="P663" s="6" t="s">
        <v>4406</v>
      </c>
    </row>
    <row r="664">
      <c r="A664" s="6" t="s">
        <v>983</v>
      </c>
      <c r="B664" s="6">
        <v>555.0</v>
      </c>
      <c r="F664" s="6" t="s">
        <v>984</v>
      </c>
      <c r="G664" s="6" t="s">
        <v>985</v>
      </c>
      <c r="H664" s="6" t="s">
        <v>48</v>
      </c>
      <c r="I664" s="6" t="s">
        <v>48</v>
      </c>
      <c r="J664" s="6" t="s">
        <v>48</v>
      </c>
      <c r="K664" s="9" t="str">
        <f>HYPERLINK("https://www.instagram.com/p/BW-LQyJA0Hy/","Open Post")</f>
        <v>Open Post</v>
      </c>
      <c r="L664" s="6" t="s">
        <v>4410</v>
      </c>
      <c r="M664" s="6" t="s">
        <v>4411</v>
      </c>
      <c r="N664" s="6" t="s">
        <v>4412</v>
      </c>
      <c r="O664" s="6" t="s">
        <v>59</v>
      </c>
      <c r="P664" s="6" t="s">
        <v>4413</v>
      </c>
    </row>
    <row r="665">
      <c r="A665" s="6" t="s">
        <v>983</v>
      </c>
      <c r="B665" s="6">
        <v>556.0</v>
      </c>
      <c r="F665" s="6" t="s">
        <v>984</v>
      </c>
      <c r="G665" s="6" t="s">
        <v>1251</v>
      </c>
      <c r="H665" s="6" t="s">
        <v>48</v>
      </c>
      <c r="I665" s="6" t="s">
        <v>48</v>
      </c>
      <c r="J665" s="6" t="s">
        <v>48</v>
      </c>
      <c r="K665" s="9" t="str">
        <f>HYPERLINK("https://www.instagram.com/p/BWuDh8lBSD8/","Open Post")</f>
        <v>Open Post</v>
      </c>
      <c r="L665" s="6" t="s">
        <v>4415</v>
      </c>
      <c r="M665" s="6" t="s">
        <v>4416</v>
      </c>
      <c r="N665" s="6" t="s">
        <v>4417</v>
      </c>
      <c r="O665" s="6" t="s">
        <v>59</v>
      </c>
      <c r="P665" s="6" t="s">
        <v>4418</v>
      </c>
    </row>
    <row r="666">
      <c r="A666" s="6" t="s">
        <v>983</v>
      </c>
      <c r="B666" s="6">
        <v>557.0</v>
      </c>
      <c r="F666" s="6" t="s">
        <v>984</v>
      </c>
      <c r="G666" s="6" t="s">
        <v>1251</v>
      </c>
      <c r="H666" s="6" t="s">
        <v>48</v>
      </c>
      <c r="I666" s="6" t="s">
        <v>48</v>
      </c>
      <c r="J666" s="6" t="s">
        <v>48</v>
      </c>
      <c r="K666" s="9" t="str">
        <f>HYPERLINK("https://www.instagram.com/p/BWq7uDzFXLE/","Open Post")</f>
        <v>Open Post</v>
      </c>
      <c r="L666" s="6" t="s">
        <v>4420</v>
      </c>
      <c r="M666" s="6" t="s">
        <v>4421</v>
      </c>
      <c r="N666" s="6" t="s">
        <v>4422</v>
      </c>
      <c r="O666" s="6" t="s">
        <v>59</v>
      </c>
      <c r="P666" s="6" t="s">
        <v>4424</v>
      </c>
    </row>
    <row r="667">
      <c r="A667" s="6" t="s">
        <v>983</v>
      </c>
      <c r="B667" s="6">
        <v>558.0</v>
      </c>
      <c r="F667" s="6" t="s">
        <v>984</v>
      </c>
      <c r="G667" s="6" t="s">
        <v>1251</v>
      </c>
      <c r="H667" s="6" t="s">
        <v>48</v>
      </c>
      <c r="I667" s="6" t="s">
        <v>48</v>
      </c>
      <c r="J667" s="6" t="s">
        <v>48</v>
      </c>
      <c r="K667" s="9" t="str">
        <f>HYPERLINK("https://www.instagram.com/p/BWUWUCGl8iB/","Open Post")</f>
        <v>Open Post</v>
      </c>
      <c r="L667" s="6" t="s">
        <v>4426</v>
      </c>
      <c r="M667" s="6" t="s">
        <v>4427</v>
      </c>
      <c r="N667" s="6" t="s">
        <v>4428</v>
      </c>
      <c r="O667" s="6" t="s">
        <v>59</v>
      </c>
      <c r="P667" s="6" t="s">
        <v>4429</v>
      </c>
    </row>
    <row r="668">
      <c r="A668" s="6" t="s">
        <v>983</v>
      </c>
      <c r="B668" s="6">
        <v>559.0</v>
      </c>
      <c r="F668" s="6" t="s">
        <v>984</v>
      </c>
      <c r="G668" s="6" t="s">
        <v>228</v>
      </c>
      <c r="H668" s="6" t="s">
        <v>48</v>
      </c>
      <c r="I668" s="6" t="s">
        <v>48</v>
      </c>
      <c r="J668" s="6" t="s">
        <v>48</v>
      </c>
      <c r="K668" s="9" t="str">
        <f>HYPERLINK("https://www.instagram.com/p/BWJvBXHBjhZ/","Open Post")</f>
        <v>Open Post</v>
      </c>
      <c r="L668" s="6" t="s">
        <v>4432</v>
      </c>
      <c r="M668" s="6" t="s">
        <v>4433</v>
      </c>
      <c r="N668" s="6" t="s">
        <v>4434</v>
      </c>
      <c r="O668" s="6" t="s">
        <v>59</v>
      </c>
      <c r="P668" s="6" t="s">
        <v>4435</v>
      </c>
    </row>
    <row r="669">
      <c r="A669" s="6" t="s">
        <v>983</v>
      </c>
      <c r="B669" s="6">
        <v>560.0</v>
      </c>
      <c r="F669" s="6" t="s">
        <v>984</v>
      </c>
      <c r="G669" s="6" t="s">
        <v>4436</v>
      </c>
      <c r="H669" s="6" t="s">
        <v>48</v>
      </c>
      <c r="I669" s="6" t="s">
        <v>48</v>
      </c>
      <c r="J669" s="6" t="s">
        <v>48</v>
      </c>
      <c r="K669" s="9" t="str">
        <f>HYPERLINK("https://www.instagram.com/p/BWCgPHkjzG9/","Open Post")</f>
        <v>Open Post</v>
      </c>
      <c r="L669" s="6" t="s">
        <v>4439</v>
      </c>
      <c r="M669" s="6" t="s">
        <v>4440</v>
      </c>
      <c r="N669" s="6" t="s">
        <v>4441</v>
      </c>
      <c r="O669" s="6" t="s">
        <v>59</v>
      </c>
      <c r="P669" s="6" t="s">
        <v>4442</v>
      </c>
    </row>
    <row r="670">
      <c r="A670" s="6" t="s">
        <v>983</v>
      </c>
      <c r="B670" s="6">
        <v>561.0</v>
      </c>
      <c r="F670" s="6" t="s">
        <v>984</v>
      </c>
      <c r="G670" s="6" t="s">
        <v>4443</v>
      </c>
      <c r="H670" s="6" t="s">
        <v>48</v>
      </c>
      <c r="I670" s="6" t="s">
        <v>48</v>
      </c>
      <c r="J670" s="6" t="s">
        <v>48</v>
      </c>
      <c r="K670" s="9" t="str">
        <f>HYPERLINK("https://www.instagram.com/p/BV90KMIjIDM/","Open Post")</f>
        <v>Open Post</v>
      </c>
      <c r="L670" s="6" t="s">
        <v>4444</v>
      </c>
      <c r="M670" s="6" t="s">
        <v>4446</v>
      </c>
      <c r="N670" s="6" t="s">
        <v>4447</v>
      </c>
      <c r="O670" s="6" t="s">
        <v>59</v>
      </c>
      <c r="P670" s="6" t="s">
        <v>4448</v>
      </c>
    </row>
    <row r="671">
      <c r="A671" s="6" t="s">
        <v>983</v>
      </c>
      <c r="B671" s="6">
        <v>562.0</v>
      </c>
      <c r="F671" s="6" t="s">
        <v>984</v>
      </c>
      <c r="G671" s="6" t="s">
        <v>4450</v>
      </c>
      <c r="H671" s="6" t="s">
        <v>48</v>
      </c>
      <c r="I671" s="6" t="s">
        <v>48</v>
      </c>
      <c r="J671" s="6" t="s">
        <v>48</v>
      </c>
      <c r="K671" s="9" t="str">
        <f>HYPERLINK("https://www.instagram.com/p/BV74uzcgBQi/","Open Post")</f>
        <v>Open Post</v>
      </c>
      <c r="L671" s="6" t="s">
        <v>4452</v>
      </c>
      <c r="M671" s="6" t="s">
        <v>4453</v>
      </c>
      <c r="N671" s="6" t="s">
        <v>4454</v>
      </c>
      <c r="O671" s="6" t="s">
        <v>59</v>
      </c>
      <c r="P671" s="6" t="s">
        <v>4455</v>
      </c>
    </row>
    <row r="672">
      <c r="A672" s="6" t="s">
        <v>983</v>
      </c>
      <c r="B672" s="6">
        <v>563.0</v>
      </c>
      <c r="F672" s="6" t="s">
        <v>984</v>
      </c>
      <c r="G672" s="6" t="s">
        <v>1251</v>
      </c>
      <c r="H672" s="6" t="s">
        <v>48</v>
      </c>
      <c r="I672" s="6" t="s">
        <v>48</v>
      </c>
      <c r="J672" s="6" t="s">
        <v>48</v>
      </c>
      <c r="K672" s="9" t="str">
        <f>HYPERLINK("https://www.instagram.com/p/BV7OP-Th5Zi/","Open Post")</f>
        <v>Open Post</v>
      </c>
      <c r="L672" s="6" t="s">
        <v>4457</v>
      </c>
      <c r="M672" s="6" t="s">
        <v>4458</v>
      </c>
      <c r="N672" s="6" t="s">
        <v>4459</v>
      </c>
      <c r="O672" s="6" t="s">
        <v>59</v>
      </c>
      <c r="P672" s="6" t="s">
        <v>4460</v>
      </c>
    </row>
    <row r="673">
      <c r="A673" s="6" t="s">
        <v>983</v>
      </c>
      <c r="B673" s="6">
        <v>564.0</v>
      </c>
      <c r="F673" s="6" t="s">
        <v>984</v>
      </c>
      <c r="G673" s="6" t="s">
        <v>4450</v>
      </c>
      <c r="H673" s="6" t="s">
        <v>48</v>
      </c>
      <c r="I673" s="6" t="s">
        <v>48</v>
      </c>
      <c r="J673" s="6" t="s">
        <v>48</v>
      </c>
      <c r="K673" s="9" t="str">
        <f>HYPERLINK("https://www.instagram.com/p/BV6zaASFwlZ/","Open Post")</f>
        <v>Open Post</v>
      </c>
      <c r="L673" s="6" t="s">
        <v>4463</v>
      </c>
      <c r="M673" s="6" t="s">
        <v>4453</v>
      </c>
      <c r="N673" s="6" t="s">
        <v>4464</v>
      </c>
      <c r="O673" s="6" t="s">
        <v>59</v>
      </c>
      <c r="P673" s="6" t="s">
        <v>4465</v>
      </c>
    </row>
    <row r="674">
      <c r="A674" s="6" t="s">
        <v>983</v>
      </c>
      <c r="B674" s="6">
        <v>565.0</v>
      </c>
      <c r="F674" s="6" t="s">
        <v>984</v>
      </c>
      <c r="G674" s="6" t="s">
        <v>172</v>
      </c>
      <c r="H674" s="6" t="s">
        <v>48</v>
      </c>
      <c r="I674" s="6" t="s">
        <v>48</v>
      </c>
      <c r="J674" s="6" t="s">
        <v>48</v>
      </c>
      <c r="K674" s="9" t="str">
        <f>HYPERLINK("https://www.instagram.com/p/BV5AkLPggG8/","Open Post")</f>
        <v>Open Post</v>
      </c>
      <c r="L674" s="6" t="s">
        <v>4468</v>
      </c>
      <c r="M674" s="6" t="s">
        <v>4469</v>
      </c>
      <c r="N674" s="6" t="s">
        <v>4470</v>
      </c>
      <c r="O674" s="6" t="s">
        <v>59</v>
      </c>
      <c r="P674" s="6" t="s">
        <v>4471</v>
      </c>
    </row>
    <row r="675">
      <c r="A675" s="6" t="s">
        <v>983</v>
      </c>
      <c r="B675" s="6">
        <v>566.0</v>
      </c>
      <c r="F675" s="6" t="s">
        <v>984</v>
      </c>
      <c r="G675" s="6" t="s">
        <v>408</v>
      </c>
      <c r="H675" s="6" t="s">
        <v>48</v>
      </c>
      <c r="I675" s="6" t="s">
        <v>48</v>
      </c>
      <c r="J675" s="6" t="s">
        <v>48</v>
      </c>
      <c r="K675" s="9" t="str">
        <f>HYPERLINK("https://www.instagram.com/p/BV3midPhukS/","Open Post")</f>
        <v>Open Post</v>
      </c>
      <c r="L675" s="6" t="s">
        <v>4474</v>
      </c>
      <c r="M675" s="6" t="s">
        <v>55</v>
      </c>
      <c r="N675" s="6" t="s">
        <v>4475</v>
      </c>
      <c r="O675" s="6" t="s">
        <v>59</v>
      </c>
      <c r="P675" s="6" t="s">
        <v>4476</v>
      </c>
    </row>
    <row r="676">
      <c r="A676" s="6" t="s">
        <v>983</v>
      </c>
      <c r="B676" s="6">
        <v>567.0</v>
      </c>
      <c r="F676" s="6" t="s">
        <v>984</v>
      </c>
      <c r="G676" s="6" t="s">
        <v>462</v>
      </c>
      <c r="H676" s="6" t="s">
        <v>48</v>
      </c>
      <c r="I676" s="6" t="s">
        <v>48</v>
      </c>
      <c r="J676" s="6" t="s">
        <v>48</v>
      </c>
      <c r="K676" s="9" t="str">
        <f>HYPERLINK("https://www.instagram.com/p/BV2NPYslHj5/","Open Post")</f>
        <v>Open Post</v>
      </c>
      <c r="L676" s="6" t="s">
        <v>4478</v>
      </c>
      <c r="M676" s="6" t="s">
        <v>55</v>
      </c>
      <c r="N676" s="6" t="s">
        <v>4479</v>
      </c>
      <c r="O676" s="6" t="s">
        <v>59</v>
      </c>
      <c r="P676" s="6" t="s">
        <v>4480</v>
      </c>
    </row>
    <row r="677">
      <c r="A677" s="6" t="s">
        <v>983</v>
      </c>
      <c r="B677" s="6">
        <v>568.0</v>
      </c>
      <c r="F677" s="6" t="s">
        <v>984</v>
      </c>
      <c r="G677" s="6" t="s">
        <v>4450</v>
      </c>
      <c r="H677" s="6" t="s">
        <v>48</v>
      </c>
      <c r="I677" s="6" t="s">
        <v>48</v>
      </c>
      <c r="J677" s="6" t="s">
        <v>48</v>
      </c>
      <c r="K677" s="9" t="str">
        <f>HYPERLINK("https://www.instagram.com/p/BV1y7mlAEea/","Open Post")</f>
        <v>Open Post</v>
      </c>
      <c r="L677" s="6" t="s">
        <v>4483</v>
      </c>
      <c r="M677" s="6" t="s">
        <v>4453</v>
      </c>
      <c r="N677" s="6" t="s">
        <v>4484</v>
      </c>
      <c r="O677" s="6" t="s">
        <v>59</v>
      </c>
      <c r="P677" s="6" t="s">
        <v>4485</v>
      </c>
    </row>
    <row r="678">
      <c r="A678" s="6" t="s">
        <v>983</v>
      </c>
      <c r="B678" s="6">
        <v>569.0</v>
      </c>
      <c r="F678" s="6" t="s">
        <v>984</v>
      </c>
      <c r="G678" s="6" t="s">
        <v>1127</v>
      </c>
      <c r="H678" s="6" t="s">
        <v>48</v>
      </c>
      <c r="I678" s="6" t="s">
        <v>48</v>
      </c>
      <c r="J678" s="6" t="s">
        <v>48</v>
      </c>
      <c r="K678" s="9" t="str">
        <f>HYPERLINK("https://www.instagram.com/p/BVulF8GhmcW/","Open Post")</f>
        <v>Open Post</v>
      </c>
      <c r="L678" s="6" t="s">
        <v>4487</v>
      </c>
      <c r="M678" s="6" t="s">
        <v>4488</v>
      </c>
      <c r="N678" s="6" t="s">
        <v>4489</v>
      </c>
      <c r="O678" s="6" t="s">
        <v>59</v>
      </c>
      <c r="P678" s="6" t="s">
        <v>4490</v>
      </c>
    </row>
    <row r="679">
      <c r="A679" s="6" t="s">
        <v>983</v>
      </c>
      <c r="B679" s="6">
        <v>570.0</v>
      </c>
      <c r="F679" s="6" t="s">
        <v>984</v>
      </c>
      <c r="G679" s="6" t="s">
        <v>1127</v>
      </c>
      <c r="H679" s="6" t="s">
        <v>48</v>
      </c>
      <c r="I679" s="6" t="s">
        <v>48</v>
      </c>
      <c r="J679" s="6" t="s">
        <v>48</v>
      </c>
      <c r="K679" s="9" t="str">
        <f>HYPERLINK("https://www.instagram.com/p/BVr-ozYhEEN/","Open Post")</f>
        <v>Open Post</v>
      </c>
      <c r="L679" s="6" t="s">
        <v>4493</v>
      </c>
      <c r="M679" s="6" t="s">
        <v>4495</v>
      </c>
      <c r="N679" s="6" t="s">
        <v>4496</v>
      </c>
      <c r="O679" s="6" t="s">
        <v>59</v>
      </c>
      <c r="P679" s="6" t="s">
        <v>4497</v>
      </c>
    </row>
    <row r="680">
      <c r="A680" s="6" t="s">
        <v>983</v>
      </c>
      <c r="B680" s="6">
        <v>571.0</v>
      </c>
      <c r="F680" s="6" t="s">
        <v>984</v>
      </c>
      <c r="G680" s="6" t="s">
        <v>4498</v>
      </c>
      <c r="H680" s="6" t="s">
        <v>48</v>
      </c>
      <c r="I680" s="6" t="s">
        <v>48</v>
      </c>
      <c r="J680" s="6" t="s">
        <v>48</v>
      </c>
      <c r="K680" s="9" t="str">
        <f>HYPERLINK("https://www.instagram.com/p/BVpt_BJjb7M/","Open Post")</f>
        <v>Open Post</v>
      </c>
      <c r="L680" s="6" t="s">
        <v>4499</v>
      </c>
      <c r="M680" s="6" t="s">
        <v>4500</v>
      </c>
      <c r="N680" s="6" t="s">
        <v>4501</v>
      </c>
      <c r="O680" s="6" t="s">
        <v>59</v>
      </c>
      <c r="P680" s="6" t="s">
        <v>4502</v>
      </c>
    </row>
    <row r="681">
      <c r="A681" s="6" t="s">
        <v>983</v>
      </c>
      <c r="B681" s="6">
        <v>572.0</v>
      </c>
      <c r="F681" s="6" t="s">
        <v>984</v>
      </c>
      <c r="G681" s="6" t="s">
        <v>1027</v>
      </c>
      <c r="H681" s="6" t="s">
        <v>48</v>
      </c>
      <c r="I681" s="6" t="s">
        <v>48</v>
      </c>
      <c r="J681" s="6" t="s">
        <v>48</v>
      </c>
      <c r="K681" s="9" t="str">
        <f>HYPERLINK("https://www.instagram.com/p/BVXQRZTF2xg/","Open Post")</f>
        <v>Open Post</v>
      </c>
      <c r="L681" s="6" t="s">
        <v>4506</v>
      </c>
      <c r="M681" s="6" t="s">
        <v>4507</v>
      </c>
      <c r="N681" s="6" t="s">
        <v>4508</v>
      </c>
      <c r="O681" s="6" t="s">
        <v>59</v>
      </c>
      <c r="P681" s="6" t="s">
        <v>4509</v>
      </c>
    </row>
    <row r="682">
      <c r="A682" s="6" t="s">
        <v>983</v>
      </c>
      <c r="B682" s="6">
        <v>573.0</v>
      </c>
      <c r="F682" s="6" t="s">
        <v>984</v>
      </c>
      <c r="G682" s="6" t="s">
        <v>555</v>
      </c>
      <c r="H682" s="6" t="s">
        <v>48</v>
      </c>
      <c r="I682" s="6" t="s">
        <v>48</v>
      </c>
      <c r="J682" s="6" t="s">
        <v>48</v>
      </c>
      <c r="K682" s="9" t="str">
        <f>HYPERLINK("https://www.instagram.com/p/BVW3i0bj2Uv/","Open Post")</f>
        <v>Open Post</v>
      </c>
      <c r="L682" s="6" t="s">
        <v>4510</v>
      </c>
      <c r="M682" s="6" t="s">
        <v>4511</v>
      </c>
      <c r="N682" s="6" t="s">
        <v>4512</v>
      </c>
      <c r="O682" s="6" t="s">
        <v>59</v>
      </c>
      <c r="P682" s="6" t="s">
        <v>4513</v>
      </c>
    </row>
    <row r="683">
      <c r="A683" s="6" t="s">
        <v>983</v>
      </c>
      <c r="B683" s="6">
        <v>574.0</v>
      </c>
      <c r="F683" s="6" t="s">
        <v>984</v>
      </c>
      <c r="G683" s="6" t="s">
        <v>381</v>
      </c>
      <c r="H683" s="6" t="s">
        <v>48</v>
      </c>
      <c r="I683" s="6" t="s">
        <v>48</v>
      </c>
      <c r="J683" s="6" t="s">
        <v>48</v>
      </c>
      <c r="K683" s="9" t="str">
        <f>HYPERLINK("https://www.instagram.com/p/BVJHzkSl1EV/","Open Post")</f>
        <v>Open Post</v>
      </c>
      <c r="L683" s="6" t="s">
        <v>4516</v>
      </c>
      <c r="M683" s="6" t="s">
        <v>4518</v>
      </c>
      <c r="N683" s="6" t="s">
        <v>4519</v>
      </c>
      <c r="O683" s="6" t="s">
        <v>59</v>
      </c>
      <c r="P683" s="6" t="s">
        <v>4520</v>
      </c>
    </row>
    <row r="684">
      <c r="A684" s="6" t="s">
        <v>983</v>
      </c>
      <c r="B684" s="6">
        <v>575.0</v>
      </c>
      <c r="F684" s="6" t="s">
        <v>984</v>
      </c>
      <c r="G684" s="6" t="s">
        <v>1251</v>
      </c>
      <c r="H684" s="6" t="s">
        <v>48</v>
      </c>
      <c r="I684" s="6" t="s">
        <v>48</v>
      </c>
      <c r="J684" s="6" t="s">
        <v>48</v>
      </c>
      <c r="K684" s="9" t="str">
        <f>HYPERLINK("https://www.instagram.com/p/BUhZahFF_MB/","Open Post")</f>
        <v>Open Post</v>
      </c>
      <c r="L684" s="19" t="s">
        <v>4521</v>
      </c>
      <c r="M684" s="6" t="s">
        <v>4522</v>
      </c>
      <c r="N684" s="6" t="s">
        <v>4523</v>
      </c>
      <c r="O684" s="6" t="s">
        <v>59</v>
      </c>
      <c r="P684" s="6" t="s">
        <v>4524</v>
      </c>
    </row>
    <row r="685">
      <c r="A685" s="6" t="s">
        <v>983</v>
      </c>
      <c r="B685" s="6">
        <v>576.0</v>
      </c>
      <c r="F685" s="6" t="s">
        <v>984</v>
      </c>
      <c r="G685" s="6" t="s">
        <v>985</v>
      </c>
      <c r="H685" s="6" t="s">
        <v>48</v>
      </c>
      <c r="I685" s="6" t="s">
        <v>48</v>
      </c>
      <c r="J685" s="6" t="s">
        <v>48</v>
      </c>
      <c r="K685" s="9" t="str">
        <f>HYPERLINK("https://www.instagram.com/p/BUfKePXh6sv/","Open Post")</f>
        <v>Open Post</v>
      </c>
      <c r="L685" s="6" t="s">
        <v>4526</v>
      </c>
      <c r="M685" s="6" t="s">
        <v>4528</v>
      </c>
      <c r="N685" s="6" t="s">
        <v>4529</v>
      </c>
      <c r="O685" s="6" t="s">
        <v>59</v>
      </c>
      <c r="P685" s="6" t="s">
        <v>4530</v>
      </c>
    </row>
    <row r="686">
      <c r="A686" s="6" t="s">
        <v>983</v>
      </c>
      <c r="B686" s="6">
        <v>577.0</v>
      </c>
      <c r="F686" s="6" t="s">
        <v>984</v>
      </c>
      <c r="G686" s="6" t="s">
        <v>1236</v>
      </c>
      <c r="H686" s="6" t="s">
        <v>48</v>
      </c>
      <c r="I686" s="6" t="s">
        <v>48</v>
      </c>
      <c r="J686" s="6" t="s">
        <v>48</v>
      </c>
      <c r="K686" s="9" t="str">
        <f>HYPERLINK("https://www.instagram.com/p/BUdUhdighiF/","Open Post")</f>
        <v>Open Post</v>
      </c>
      <c r="L686" s="6" t="s">
        <v>4531</v>
      </c>
      <c r="M686" s="6" t="s">
        <v>4532</v>
      </c>
      <c r="N686" s="6" t="s">
        <v>4533</v>
      </c>
      <c r="O686" s="6" t="s">
        <v>59</v>
      </c>
      <c r="P686" s="6" t="s">
        <v>4535</v>
      </c>
    </row>
    <row r="687">
      <c r="A687" s="6" t="s">
        <v>983</v>
      </c>
      <c r="B687" s="6">
        <v>578.0</v>
      </c>
      <c r="F687" s="6" t="s">
        <v>984</v>
      </c>
      <c r="G687" s="6" t="s">
        <v>286</v>
      </c>
      <c r="H687" s="6" t="s">
        <v>48</v>
      </c>
      <c r="I687" s="6" t="s">
        <v>48</v>
      </c>
      <c r="J687" s="6" t="s">
        <v>48</v>
      </c>
      <c r="K687" s="9" t="str">
        <f>HYPERLINK("https://www.instagram.com/p/BT_iHunBydZ/","Open Post")</f>
        <v>Open Post</v>
      </c>
      <c r="L687" s="6" t="s">
        <v>4538</v>
      </c>
      <c r="M687" s="6" t="s">
        <v>4539</v>
      </c>
      <c r="N687" s="6" t="s">
        <v>4540</v>
      </c>
      <c r="O687" s="6" t="s">
        <v>59</v>
      </c>
      <c r="P687" s="6" t="s">
        <v>4541</v>
      </c>
    </row>
    <row r="688">
      <c r="A688" s="6" t="s">
        <v>983</v>
      </c>
      <c r="B688" s="6">
        <v>579.0</v>
      </c>
      <c r="F688" s="6" t="s">
        <v>984</v>
      </c>
      <c r="G688" s="6" t="s">
        <v>3761</v>
      </c>
      <c r="H688" s="6" t="s">
        <v>48</v>
      </c>
      <c r="I688" s="6" t="s">
        <v>48</v>
      </c>
      <c r="J688" s="6" t="s">
        <v>48</v>
      </c>
      <c r="K688" s="9" t="str">
        <f>HYPERLINK("https://www.instagram.com/p/BT9Yp06A0EQ/","Open Post")</f>
        <v>Open Post</v>
      </c>
      <c r="L688" s="6" t="s">
        <v>4543</v>
      </c>
      <c r="M688" s="6" t="s">
        <v>4544</v>
      </c>
      <c r="N688" s="6" t="s">
        <v>4545</v>
      </c>
      <c r="O688" s="6" t="s">
        <v>59</v>
      </c>
      <c r="P688" s="6" t="s">
        <v>4548</v>
      </c>
    </row>
    <row r="689">
      <c r="A689" s="6" t="s">
        <v>983</v>
      </c>
      <c r="B689" s="6">
        <v>580.0</v>
      </c>
      <c r="F689" s="6" t="s">
        <v>984</v>
      </c>
      <c r="G689" s="6" t="s">
        <v>300</v>
      </c>
      <c r="H689" s="6" t="s">
        <v>48</v>
      </c>
      <c r="I689" s="6" t="s">
        <v>48</v>
      </c>
      <c r="J689" s="6" t="s">
        <v>48</v>
      </c>
      <c r="K689" s="9" t="str">
        <f>HYPERLINK("https://www.instagram.com/p/BT8aUpmhKhj/","Open Post")</f>
        <v>Open Post</v>
      </c>
      <c r="L689" s="6" t="s">
        <v>4549</v>
      </c>
      <c r="M689" s="6" t="s">
        <v>4550</v>
      </c>
      <c r="N689" s="6" t="s">
        <v>4551</v>
      </c>
      <c r="O689" s="6" t="s">
        <v>59</v>
      </c>
      <c r="P689" s="6" t="s">
        <v>4552</v>
      </c>
    </row>
    <row r="690">
      <c r="A690" s="6" t="s">
        <v>983</v>
      </c>
      <c r="B690" s="6">
        <v>581.0</v>
      </c>
      <c r="F690" s="6" t="s">
        <v>984</v>
      </c>
      <c r="G690" s="6" t="s">
        <v>3742</v>
      </c>
      <c r="H690" s="6" t="s">
        <v>48</v>
      </c>
      <c r="I690" s="6" t="s">
        <v>48</v>
      </c>
      <c r="J690" s="6" t="s">
        <v>48</v>
      </c>
      <c r="K690" s="9" t="str">
        <f>HYPERLINK("https://www.instagram.com/p/BTluMbfg6di/","Open Post")</f>
        <v>Open Post</v>
      </c>
      <c r="L690" s="6" t="s">
        <v>4555</v>
      </c>
      <c r="M690" s="6" t="s">
        <v>4556</v>
      </c>
      <c r="N690" s="6" t="s">
        <v>4558</v>
      </c>
      <c r="O690" s="6" t="s">
        <v>59</v>
      </c>
      <c r="P690" s="6" t="s">
        <v>4559</v>
      </c>
    </row>
    <row r="691">
      <c r="A691" s="6" t="s">
        <v>983</v>
      </c>
      <c r="B691" s="6">
        <v>582.0</v>
      </c>
      <c r="F691" s="6" t="s">
        <v>984</v>
      </c>
      <c r="G691" s="6" t="s">
        <v>4560</v>
      </c>
      <c r="H691" s="6" t="s">
        <v>48</v>
      </c>
      <c r="I691" s="6" t="s">
        <v>48</v>
      </c>
      <c r="J691" s="6" t="s">
        <v>48</v>
      </c>
      <c r="K691" s="9" t="str">
        <f>HYPERLINK("https://www.instagram.com/p/BTlpk2mgOfX/","Open Post")</f>
        <v>Open Post</v>
      </c>
      <c r="L691" s="6" t="s">
        <v>4561</v>
      </c>
      <c r="M691" s="6" t="s">
        <v>4562</v>
      </c>
      <c r="N691" s="6" t="s">
        <v>4563</v>
      </c>
      <c r="O691" s="6" t="s">
        <v>59</v>
      </c>
      <c r="P691" s="6" t="s">
        <v>4564</v>
      </c>
    </row>
    <row r="692">
      <c r="A692" s="6" t="s">
        <v>983</v>
      </c>
      <c r="B692" s="6">
        <v>583.0</v>
      </c>
      <c r="F692" s="6" t="s">
        <v>984</v>
      </c>
      <c r="G692" s="6" t="s">
        <v>172</v>
      </c>
      <c r="H692" s="6" t="s">
        <v>48</v>
      </c>
      <c r="I692" s="6" t="s">
        <v>48</v>
      </c>
      <c r="J692" s="6" t="s">
        <v>48</v>
      </c>
      <c r="K692" s="9" t="str">
        <f>HYPERLINK("https://www.instagram.com/p/BTllbGtjZ0C/","Open Post")</f>
        <v>Open Post</v>
      </c>
      <c r="L692" s="6" t="s">
        <v>4566</v>
      </c>
      <c r="M692" s="6" t="s">
        <v>4568</v>
      </c>
      <c r="N692" s="6" t="s">
        <v>4569</v>
      </c>
      <c r="O692" s="6" t="s">
        <v>59</v>
      </c>
      <c r="P692" s="6" t="s">
        <v>4570</v>
      </c>
    </row>
    <row r="693">
      <c r="A693" s="6" t="s">
        <v>983</v>
      </c>
      <c r="B693" s="6">
        <v>584.0</v>
      </c>
      <c r="F693" s="6" t="s">
        <v>984</v>
      </c>
      <c r="G693" s="6" t="s">
        <v>4571</v>
      </c>
      <c r="H693" s="6" t="s">
        <v>48</v>
      </c>
      <c r="I693" s="6" t="s">
        <v>48</v>
      </c>
      <c r="J693" s="6" t="s">
        <v>48</v>
      </c>
      <c r="K693" s="9" t="str">
        <f>HYPERLINK("https://www.instagram.com/p/BTXhLspA7A6/","Open Post")</f>
        <v>Open Post</v>
      </c>
      <c r="L693" s="6" t="s">
        <v>4573</v>
      </c>
      <c r="M693" s="6" t="s">
        <v>4574</v>
      </c>
      <c r="N693" s="6" t="s">
        <v>4575</v>
      </c>
      <c r="O693" s="6" t="s">
        <v>59</v>
      </c>
      <c r="P693" s="6" t="s">
        <v>4577</v>
      </c>
    </row>
    <row r="694">
      <c r="A694" s="6" t="s">
        <v>983</v>
      </c>
      <c r="B694" s="6">
        <v>585.0</v>
      </c>
      <c r="F694" s="6" t="s">
        <v>984</v>
      </c>
      <c r="G694" s="6" t="s">
        <v>4578</v>
      </c>
      <c r="H694" s="6" t="s">
        <v>48</v>
      </c>
      <c r="I694" s="6" t="s">
        <v>48</v>
      </c>
      <c r="J694" s="6" t="s">
        <v>48</v>
      </c>
      <c r="K694" s="9" t="str">
        <f>HYPERLINK("https://www.instagram.com/p/BTWj9GiA6lx/","Open Post")</f>
        <v>Open Post</v>
      </c>
      <c r="L694" s="6" t="s">
        <v>4580</v>
      </c>
      <c r="M694" s="6" t="s">
        <v>4581</v>
      </c>
      <c r="N694" s="6" t="s">
        <v>4582</v>
      </c>
      <c r="O694" s="6" t="s">
        <v>59</v>
      </c>
      <c r="P694" s="6" t="s">
        <v>4583</v>
      </c>
    </row>
    <row r="695">
      <c r="A695" s="6" t="s">
        <v>983</v>
      </c>
      <c r="B695" s="6">
        <v>586.0</v>
      </c>
      <c r="F695" s="6" t="s">
        <v>984</v>
      </c>
      <c r="G695" s="6" t="s">
        <v>172</v>
      </c>
      <c r="H695" s="6" t="s">
        <v>48</v>
      </c>
      <c r="I695" s="6" t="s">
        <v>48</v>
      </c>
      <c r="J695" s="6" t="s">
        <v>48</v>
      </c>
      <c r="K695" s="9" t="str">
        <f>HYPERLINK("https://www.instagram.com/p/BTDDaFyluLt/","Open Post")</f>
        <v>Open Post</v>
      </c>
      <c r="L695" s="6" t="s">
        <v>4586</v>
      </c>
      <c r="M695" s="6" t="s">
        <v>4587</v>
      </c>
      <c r="N695" s="6" t="s">
        <v>4588</v>
      </c>
      <c r="O695" s="6" t="s">
        <v>59</v>
      </c>
      <c r="P695" s="6" t="s">
        <v>4589</v>
      </c>
    </row>
    <row r="696">
      <c r="A696" s="6" t="s">
        <v>983</v>
      </c>
      <c r="B696" s="6">
        <v>587.0</v>
      </c>
      <c r="F696" s="6" t="s">
        <v>984</v>
      </c>
      <c r="G696" s="6" t="s">
        <v>1127</v>
      </c>
      <c r="H696" s="6" t="s">
        <v>48</v>
      </c>
      <c r="I696" s="6" t="s">
        <v>48</v>
      </c>
      <c r="J696" s="6" t="s">
        <v>48</v>
      </c>
      <c r="K696" s="9" t="str">
        <f>HYPERLINK("https://www.instagram.com/p/BSwNJ2NBLQz/","Open Post")</f>
        <v>Open Post</v>
      </c>
      <c r="L696" s="6" t="s">
        <v>4593</v>
      </c>
      <c r="M696" s="6" t="s">
        <v>4594</v>
      </c>
      <c r="N696" s="6" t="s">
        <v>4595</v>
      </c>
      <c r="O696" s="6" t="s">
        <v>59</v>
      </c>
      <c r="P696" s="6" t="s">
        <v>4596</v>
      </c>
    </row>
    <row r="697">
      <c r="A697" s="6" t="s">
        <v>983</v>
      </c>
      <c r="B697" s="6">
        <v>588.0</v>
      </c>
      <c r="F697" s="6" t="s">
        <v>984</v>
      </c>
      <c r="G697" s="6" t="s">
        <v>1599</v>
      </c>
      <c r="H697" s="6" t="s">
        <v>48</v>
      </c>
      <c r="I697" s="6" t="s">
        <v>48</v>
      </c>
      <c r="J697" s="6" t="s">
        <v>48</v>
      </c>
      <c r="K697" s="9" t="str">
        <f>HYPERLINK("https://www.instagram.com/p/BStd171gcEc/","Open Post")</f>
        <v>Open Post</v>
      </c>
      <c r="L697" s="6" t="s">
        <v>4598</v>
      </c>
      <c r="M697" s="6" t="s">
        <v>4600</v>
      </c>
      <c r="N697" s="6" t="s">
        <v>4601</v>
      </c>
      <c r="O697" s="6" t="s">
        <v>59</v>
      </c>
      <c r="P697" s="6" t="s">
        <v>4603</v>
      </c>
    </row>
    <row r="698">
      <c r="A698" s="6" t="s">
        <v>983</v>
      </c>
      <c r="B698" s="6">
        <v>589.0</v>
      </c>
      <c r="F698" s="6" t="s">
        <v>1026</v>
      </c>
      <c r="G698" s="6" t="s">
        <v>1251</v>
      </c>
      <c r="H698" s="6" t="s">
        <v>48</v>
      </c>
      <c r="I698" s="6" t="s">
        <v>48</v>
      </c>
      <c r="J698" s="6" t="s">
        <v>48</v>
      </c>
      <c r="K698" s="9" t="str">
        <f>HYPERLINK("https://www.instagram.com/p/BSnv2kmDLY7/","Open Post")</f>
        <v>Open Post</v>
      </c>
      <c r="L698" s="6" t="s">
        <v>4604</v>
      </c>
      <c r="M698" s="6" t="s">
        <v>4605</v>
      </c>
      <c r="N698" s="6" t="s">
        <v>4606</v>
      </c>
      <c r="O698" s="6" t="s">
        <v>59</v>
      </c>
      <c r="P698" s="6" t="s">
        <v>4607</v>
      </c>
    </row>
    <row r="699">
      <c r="A699" s="6" t="s">
        <v>983</v>
      </c>
      <c r="B699" s="6">
        <v>590.0</v>
      </c>
      <c r="F699" s="6" t="s">
        <v>984</v>
      </c>
      <c r="G699" s="6" t="s">
        <v>369</v>
      </c>
      <c r="H699" s="6" t="s">
        <v>48</v>
      </c>
      <c r="I699" s="6" t="s">
        <v>48</v>
      </c>
      <c r="J699" s="6" t="s">
        <v>48</v>
      </c>
      <c r="K699" s="9" t="str">
        <f>HYPERLINK("https://www.instagram.com/p/BSl0AbhBunO/","Open Post")</f>
        <v>Open Post</v>
      </c>
      <c r="L699" s="6" t="s">
        <v>4610</v>
      </c>
      <c r="M699" s="6" t="s">
        <v>55</v>
      </c>
      <c r="N699" s="6" t="s">
        <v>4611</v>
      </c>
      <c r="O699" s="6" t="s">
        <v>59</v>
      </c>
      <c r="P699" s="6" t="s">
        <v>4612</v>
      </c>
    </row>
    <row r="700">
      <c r="A700" s="6" t="s">
        <v>983</v>
      </c>
      <c r="B700" s="6">
        <v>591.0</v>
      </c>
      <c r="F700" s="6" t="s">
        <v>984</v>
      </c>
      <c r="G700" s="6" t="s">
        <v>1251</v>
      </c>
      <c r="H700" s="6" t="s">
        <v>48</v>
      </c>
      <c r="I700" s="6" t="s">
        <v>48</v>
      </c>
      <c r="J700" s="6" t="s">
        <v>48</v>
      </c>
      <c r="K700" s="9" t="str">
        <f>HYPERLINK("https://www.instagram.com/p/BSlToDuhnJh/","Open Post")</f>
        <v>Open Post</v>
      </c>
      <c r="L700" s="6" t="s">
        <v>4616</v>
      </c>
      <c r="M700" s="6" t="s">
        <v>4617</v>
      </c>
      <c r="N700" s="6" t="s">
        <v>4618</v>
      </c>
      <c r="O700" s="6" t="s">
        <v>59</v>
      </c>
      <c r="P700" s="6" t="s">
        <v>4619</v>
      </c>
    </row>
    <row r="701">
      <c r="A701" s="6" t="s">
        <v>983</v>
      </c>
      <c r="B701" s="6">
        <v>592.0</v>
      </c>
      <c r="F701" s="6" t="s">
        <v>984</v>
      </c>
      <c r="G701" s="6" t="s">
        <v>555</v>
      </c>
      <c r="H701" s="6" t="s">
        <v>48</v>
      </c>
      <c r="I701" s="6" t="s">
        <v>48</v>
      </c>
      <c r="J701" s="6" t="s">
        <v>48</v>
      </c>
      <c r="K701" s="9" t="str">
        <f>HYPERLINK("https://www.instagram.com/p/BSTO7BUDsYM/","Open Post")</f>
        <v>Open Post</v>
      </c>
      <c r="L701" s="6" t="s">
        <v>4620</v>
      </c>
      <c r="M701" s="6" t="s">
        <v>4621</v>
      </c>
      <c r="N701" s="6" t="s">
        <v>4623</v>
      </c>
      <c r="O701" s="6" t="s">
        <v>59</v>
      </c>
      <c r="P701" s="6" t="s">
        <v>4625</v>
      </c>
    </row>
    <row r="702">
      <c r="A702" s="6" t="s">
        <v>983</v>
      </c>
      <c r="B702" s="6">
        <v>593.0</v>
      </c>
      <c r="F702" s="6" t="s">
        <v>984</v>
      </c>
      <c r="G702" s="6" t="s">
        <v>555</v>
      </c>
      <c r="H702" s="6" t="s">
        <v>48</v>
      </c>
      <c r="I702" s="6" t="s">
        <v>48</v>
      </c>
      <c r="J702" s="6" t="s">
        <v>48</v>
      </c>
      <c r="K702" s="9" t="str">
        <f>HYPERLINK("https://www.instagram.com/p/BSQxUiTDWYN/","Open Post")</f>
        <v>Open Post</v>
      </c>
      <c r="L702" s="6" t="s">
        <v>4627</v>
      </c>
      <c r="M702" s="6" t="s">
        <v>4628</v>
      </c>
      <c r="N702" s="6" t="s">
        <v>4629</v>
      </c>
      <c r="O702" s="6" t="s">
        <v>59</v>
      </c>
      <c r="P702" s="6" t="s">
        <v>4630</v>
      </c>
    </row>
    <row r="703">
      <c r="A703" s="6" t="s">
        <v>983</v>
      </c>
      <c r="B703" s="6">
        <v>594.0</v>
      </c>
      <c r="F703" s="6" t="s">
        <v>984</v>
      </c>
      <c r="G703" s="6" t="s">
        <v>555</v>
      </c>
      <c r="H703" s="6" t="s">
        <v>48</v>
      </c>
      <c r="I703" s="6" t="s">
        <v>48</v>
      </c>
      <c r="J703" s="6" t="s">
        <v>48</v>
      </c>
      <c r="K703" s="9" t="str">
        <f>HYPERLINK("https://www.instagram.com/p/BSNn-1GjPv8/","Open Post")</f>
        <v>Open Post</v>
      </c>
      <c r="L703" s="6" t="s">
        <v>4635</v>
      </c>
      <c r="M703" s="6" t="s">
        <v>4636</v>
      </c>
      <c r="N703" s="6" t="s">
        <v>4637</v>
      </c>
      <c r="O703" s="6" t="s">
        <v>59</v>
      </c>
      <c r="P703" s="6" t="s">
        <v>4638</v>
      </c>
    </row>
    <row r="704">
      <c r="A704" s="6" t="s">
        <v>983</v>
      </c>
      <c r="B704" s="6">
        <v>595.0</v>
      </c>
      <c r="F704" s="6" t="s">
        <v>984</v>
      </c>
      <c r="G704" s="6" t="s">
        <v>4639</v>
      </c>
      <c r="H704" s="6" t="s">
        <v>48</v>
      </c>
      <c r="I704" s="6" t="s">
        <v>48</v>
      </c>
      <c r="J704" s="6" t="s">
        <v>48</v>
      </c>
      <c r="K704" s="9" t="str">
        <f>HYPERLINK("https://www.instagram.com/p/BRsxnGhAZqh/","Open Post")</f>
        <v>Open Post</v>
      </c>
      <c r="L704" s="6" t="s">
        <v>4640</v>
      </c>
      <c r="M704" s="6" t="s">
        <v>4642</v>
      </c>
      <c r="N704" s="6" t="s">
        <v>4643</v>
      </c>
      <c r="O704" s="6" t="s">
        <v>59</v>
      </c>
      <c r="P704" s="6" t="s">
        <v>4644</v>
      </c>
    </row>
    <row r="705">
      <c r="A705" s="6" t="s">
        <v>983</v>
      </c>
      <c r="B705" s="6">
        <v>596.0</v>
      </c>
      <c r="F705" s="6" t="s">
        <v>984</v>
      </c>
      <c r="G705" s="6" t="s">
        <v>4646</v>
      </c>
      <c r="H705" s="6" t="s">
        <v>48</v>
      </c>
      <c r="I705" s="6" t="s">
        <v>48</v>
      </c>
      <c r="J705" s="6" t="s">
        <v>48</v>
      </c>
      <c r="K705" s="9" t="str">
        <f>HYPERLINK("https://www.instagram.com/p/BReYlTAFOfi/","Open Post")</f>
        <v>Open Post</v>
      </c>
      <c r="L705" s="6" t="s">
        <v>4648</v>
      </c>
      <c r="M705" s="6" t="s">
        <v>4649</v>
      </c>
      <c r="N705" s="6" t="s">
        <v>4650</v>
      </c>
      <c r="O705" s="6" t="s">
        <v>59</v>
      </c>
      <c r="P705" s="6" t="s">
        <v>4651</v>
      </c>
    </row>
    <row r="706">
      <c r="A706" s="6" t="s">
        <v>983</v>
      </c>
      <c r="B706" s="6">
        <v>597.0</v>
      </c>
      <c r="F706" s="6" t="s">
        <v>984</v>
      </c>
      <c r="G706" s="6" t="s">
        <v>1251</v>
      </c>
      <c r="H706" s="6" t="s">
        <v>48</v>
      </c>
      <c r="I706" s="6" t="s">
        <v>48</v>
      </c>
      <c r="J706" s="6" t="s">
        <v>48</v>
      </c>
      <c r="K706" s="9" t="str">
        <f>HYPERLINK("https://www.instagram.com/p/BRYUXpZhGl9/","Open Post")</f>
        <v>Open Post</v>
      </c>
      <c r="L706" s="6" t="s">
        <v>4656</v>
      </c>
      <c r="M706" s="6" t="s">
        <v>4657</v>
      </c>
      <c r="N706" s="6" t="s">
        <v>4658</v>
      </c>
      <c r="O706" s="6" t="s">
        <v>59</v>
      </c>
      <c r="P706" s="6" t="s">
        <v>4659</v>
      </c>
    </row>
    <row r="707">
      <c r="A707" s="6" t="s">
        <v>983</v>
      </c>
      <c r="B707" s="6">
        <v>598.0</v>
      </c>
      <c r="F707" s="6" t="s">
        <v>984</v>
      </c>
      <c r="G707" s="6" t="s">
        <v>1251</v>
      </c>
      <c r="H707" s="6" t="s">
        <v>48</v>
      </c>
      <c r="I707" s="6" t="s">
        <v>48</v>
      </c>
      <c r="J707" s="6" t="s">
        <v>48</v>
      </c>
      <c r="K707" s="9" t="str">
        <f>HYPERLINK("https://www.instagram.com/p/BQnko7GACDS/","Open Post")</f>
        <v>Open Post</v>
      </c>
      <c r="L707" s="6" t="s">
        <v>4660</v>
      </c>
      <c r="M707" s="6" t="s">
        <v>4661</v>
      </c>
      <c r="N707" s="6" t="s">
        <v>4662</v>
      </c>
      <c r="O707" s="6" t="s">
        <v>59</v>
      </c>
      <c r="P707" s="6" t="s">
        <v>4663</v>
      </c>
    </row>
    <row r="708">
      <c r="A708" s="6" t="s">
        <v>983</v>
      </c>
      <c r="B708" s="6">
        <v>599.0</v>
      </c>
      <c r="F708" s="6" t="s">
        <v>984</v>
      </c>
      <c r="G708" s="6" t="s">
        <v>2607</v>
      </c>
      <c r="H708" s="6" t="s">
        <v>48</v>
      </c>
      <c r="I708" s="6" t="s">
        <v>48</v>
      </c>
      <c r="J708" s="6" t="s">
        <v>48</v>
      </c>
      <c r="K708" s="9" t="str">
        <f>HYPERLINK("https://www.instagram.com/p/BQm_rPEAvnV/","Open Post")</f>
        <v>Open Post</v>
      </c>
      <c r="L708" s="6" t="s">
        <v>4667</v>
      </c>
      <c r="M708" s="6" t="s">
        <v>55</v>
      </c>
      <c r="N708" s="6" t="s">
        <v>4668</v>
      </c>
      <c r="O708" s="6" t="s">
        <v>59</v>
      </c>
      <c r="P708" s="6" t="s">
        <v>4669</v>
      </c>
    </row>
    <row r="709">
      <c r="A709" s="6" t="s">
        <v>983</v>
      </c>
      <c r="B709" s="6">
        <v>600.0</v>
      </c>
      <c r="F709" s="6" t="s">
        <v>984</v>
      </c>
      <c r="G709" s="6" t="s">
        <v>4671</v>
      </c>
      <c r="H709" s="6" t="s">
        <v>48</v>
      </c>
      <c r="I709" s="6" t="s">
        <v>48</v>
      </c>
      <c r="J709" s="6" t="s">
        <v>48</v>
      </c>
      <c r="K709" s="9" t="str">
        <f>HYPERLINK("https://www.instagram.com/p/BQXV0vzjrJx/","Open Post")</f>
        <v>Open Post</v>
      </c>
      <c r="L709" s="6" t="s">
        <v>4672</v>
      </c>
      <c r="M709" s="6" t="s">
        <v>4673</v>
      </c>
      <c r="N709" s="6" t="s">
        <v>4674</v>
      </c>
      <c r="O709" s="6" t="s">
        <v>59</v>
      </c>
      <c r="P709" s="6" t="s">
        <v>4676</v>
      </c>
    </row>
    <row r="710">
      <c r="A710" s="6" t="s">
        <v>983</v>
      </c>
      <c r="B710" s="6">
        <v>601.0</v>
      </c>
      <c r="F710" s="6" t="s">
        <v>984</v>
      </c>
      <c r="G710" s="6" t="s">
        <v>477</v>
      </c>
      <c r="H710" s="6" t="s">
        <v>48</v>
      </c>
      <c r="I710" s="6" t="s">
        <v>48</v>
      </c>
      <c r="J710" s="6" t="s">
        <v>48</v>
      </c>
      <c r="K710" s="9" t="str">
        <f>HYPERLINK("https://www.instagram.com/p/BQP6Wq5jr08/","Open Post")</f>
        <v>Open Post</v>
      </c>
      <c r="L710" s="6" t="s">
        <v>4679</v>
      </c>
      <c r="M710" s="6" t="s">
        <v>4680</v>
      </c>
      <c r="N710" s="6" t="s">
        <v>4681</v>
      </c>
      <c r="O710" s="6" t="s">
        <v>59</v>
      </c>
      <c r="P710" s="6" t="s">
        <v>4682</v>
      </c>
    </row>
    <row r="711">
      <c r="A711" s="6" t="s">
        <v>983</v>
      </c>
      <c r="B711" s="6">
        <v>602.0</v>
      </c>
      <c r="F711" s="6" t="s">
        <v>984</v>
      </c>
      <c r="G711" s="6" t="s">
        <v>555</v>
      </c>
      <c r="H711" s="6" t="s">
        <v>48</v>
      </c>
      <c r="I711" s="6" t="s">
        <v>48</v>
      </c>
      <c r="J711" s="6" t="s">
        <v>48</v>
      </c>
      <c r="K711" s="9" t="str">
        <f>HYPERLINK("https://www.instagram.com/p/BQNagjmgHBs/","Open Post")</f>
        <v>Open Post</v>
      </c>
      <c r="L711" s="6" t="s">
        <v>4685</v>
      </c>
      <c r="M711" s="6" t="s">
        <v>4686</v>
      </c>
      <c r="N711" s="6" t="s">
        <v>4687</v>
      </c>
      <c r="O711" s="6" t="s">
        <v>59</v>
      </c>
      <c r="P711" s="6" t="s">
        <v>4688</v>
      </c>
    </row>
    <row r="712">
      <c r="A712" s="6" t="s">
        <v>983</v>
      </c>
      <c r="B712" s="6">
        <v>603.0</v>
      </c>
      <c r="F712" s="6" t="s">
        <v>984</v>
      </c>
      <c r="G712" s="6" t="s">
        <v>4689</v>
      </c>
      <c r="H712" s="6" t="s">
        <v>48</v>
      </c>
      <c r="I712" s="6" t="s">
        <v>48</v>
      </c>
      <c r="J712" s="6" t="s">
        <v>48</v>
      </c>
      <c r="K712" s="9" t="str">
        <f>HYPERLINK("https://www.instagram.com/p/BPuUU50jcCJ/","Open Post")</f>
        <v>Open Post</v>
      </c>
      <c r="L712" s="6" t="s">
        <v>4691</v>
      </c>
      <c r="M712" s="6" t="s">
        <v>4692</v>
      </c>
      <c r="N712" s="6" t="s">
        <v>4693</v>
      </c>
      <c r="O712" s="6" t="s">
        <v>59</v>
      </c>
      <c r="P712" s="6" t="s">
        <v>4695</v>
      </c>
    </row>
    <row r="713">
      <c r="A713" s="6" t="s">
        <v>983</v>
      </c>
      <c r="B713" s="6">
        <v>604.0</v>
      </c>
      <c r="F713" s="6" t="s">
        <v>984</v>
      </c>
      <c r="G713" s="6" t="s">
        <v>4696</v>
      </c>
      <c r="H713" s="6" t="s">
        <v>48</v>
      </c>
      <c r="I713" s="6" t="s">
        <v>48</v>
      </c>
      <c r="J713" s="6" t="s">
        <v>48</v>
      </c>
      <c r="K713" s="9" t="str">
        <f>HYPERLINK("https://www.instagram.com/p/BPaLjDxAvX9/","Open Post")</f>
        <v>Open Post</v>
      </c>
      <c r="L713" s="6" t="s">
        <v>4698</v>
      </c>
      <c r="M713" s="6" t="s">
        <v>4699</v>
      </c>
      <c r="N713" s="6" t="s">
        <v>4700</v>
      </c>
      <c r="O713" s="6" t="s">
        <v>59</v>
      </c>
      <c r="P713" s="6" t="s">
        <v>4701</v>
      </c>
    </row>
    <row r="714">
      <c r="A714" s="6" t="s">
        <v>983</v>
      </c>
      <c r="B714" s="6">
        <v>605.0</v>
      </c>
      <c r="F714" s="6" t="s">
        <v>984</v>
      </c>
      <c r="G714" s="6" t="s">
        <v>555</v>
      </c>
      <c r="H714" s="6" t="s">
        <v>48</v>
      </c>
      <c r="I714" s="6" t="s">
        <v>48</v>
      </c>
      <c r="J714" s="6" t="s">
        <v>48</v>
      </c>
      <c r="K714" s="9" t="str">
        <f>HYPERLINK("https://www.instagram.com/p/BPOK3ithSwT/","Open Post")</f>
        <v>Open Post</v>
      </c>
      <c r="L714" s="6" t="s">
        <v>4703</v>
      </c>
      <c r="M714" s="6" t="s">
        <v>4704</v>
      </c>
      <c r="N714" s="6" t="s">
        <v>4705</v>
      </c>
      <c r="O714" s="6" t="s">
        <v>59</v>
      </c>
      <c r="P714" s="6" t="s">
        <v>4706</v>
      </c>
    </row>
    <row r="715">
      <c r="A715" s="6" t="s">
        <v>983</v>
      </c>
      <c r="B715" s="6">
        <v>606.0</v>
      </c>
      <c r="F715" s="6" t="s">
        <v>984</v>
      </c>
      <c r="G715" s="6" t="s">
        <v>390</v>
      </c>
      <c r="H715" s="6" t="s">
        <v>48</v>
      </c>
      <c r="I715" s="6" t="s">
        <v>48</v>
      </c>
      <c r="J715" s="6" t="s">
        <v>48</v>
      </c>
      <c r="K715" s="9" t="str">
        <f>HYPERLINK("https://www.instagram.com/p/BPF8E4WhoTN/","Open Post")</f>
        <v>Open Post</v>
      </c>
      <c r="L715" s="6" t="s">
        <v>4709</v>
      </c>
      <c r="M715" s="6" t="s">
        <v>4710</v>
      </c>
      <c r="N715" s="6" t="s">
        <v>4711</v>
      </c>
      <c r="O715" s="6" t="s">
        <v>59</v>
      </c>
      <c r="P715" s="6" t="s">
        <v>4712</v>
      </c>
    </row>
    <row r="716">
      <c r="A716" s="6" t="s">
        <v>983</v>
      </c>
      <c r="B716" s="6">
        <v>607.0</v>
      </c>
      <c r="F716" s="6" t="s">
        <v>984</v>
      </c>
      <c r="G716" s="6" t="s">
        <v>4713</v>
      </c>
      <c r="H716" s="6" t="s">
        <v>48</v>
      </c>
      <c r="I716" s="6" t="s">
        <v>48</v>
      </c>
      <c r="J716" s="6" t="s">
        <v>48</v>
      </c>
      <c r="K716" s="9" t="str">
        <f>HYPERLINK("https://www.instagram.com/p/BOVNaZ0AICa/","Open Post")</f>
        <v>Open Post</v>
      </c>
      <c r="L716" s="6" t="s">
        <v>4715</v>
      </c>
      <c r="M716" s="6" t="s">
        <v>4717</v>
      </c>
      <c r="N716" s="6" t="s">
        <v>4718</v>
      </c>
      <c r="O716" s="6" t="s">
        <v>59</v>
      </c>
      <c r="P716" s="6" t="s">
        <v>4719</v>
      </c>
    </row>
    <row r="717">
      <c r="A717" s="6" t="s">
        <v>983</v>
      </c>
      <c r="B717" s="6">
        <v>608.0</v>
      </c>
      <c r="F717" s="6" t="s">
        <v>984</v>
      </c>
      <c r="G717" s="6" t="s">
        <v>4721</v>
      </c>
      <c r="H717" s="6" t="s">
        <v>48</v>
      </c>
      <c r="I717" s="6" t="s">
        <v>48</v>
      </c>
      <c r="J717" s="6" t="s">
        <v>48</v>
      </c>
      <c r="K717" s="9" t="str">
        <f>HYPERLINK("https://www.instagram.com/p/BOSK0kmDkB4/","Open Post")</f>
        <v>Open Post</v>
      </c>
      <c r="L717" s="6" t="s">
        <v>4722</v>
      </c>
      <c r="M717" s="6" t="s">
        <v>4723</v>
      </c>
      <c r="N717" s="6" t="s">
        <v>4724</v>
      </c>
      <c r="O717" s="6" t="s">
        <v>59</v>
      </c>
      <c r="P717" s="6" t="s">
        <v>4725</v>
      </c>
    </row>
    <row r="718">
      <c r="A718" s="6" t="s">
        <v>983</v>
      </c>
      <c r="B718" s="6">
        <v>609.0</v>
      </c>
      <c r="F718" s="6" t="s">
        <v>984</v>
      </c>
      <c r="G718" s="6" t="s">
        <v>4726</v>
      </c>
      <c r="H718" s="6" t="s">
        <v>48</v>
      </c>
      <c r="I718" s="6" t="s">
        <v>48</v>
      </c>
      <c r="J718" s="6" t="s">
        <v>48</v>
      </c>
      <c r="K718" s="9" t="str">
        <f>HYPERLINK("https://www.instagram.com/p/BOO1BfUjDA0/","Open Post")</f>
        <v>Open Post</v>
      </c>
      <c r="L718" s="6" t="s">
        <v>4730</v>
      </c>
      <c r="M718" s="6" t="s">
        <v>4731</v>
      </c>
      <c r="N718" s="6" t="s">
        <v>4732</v>
      </c>
      <c r="O718" s="6" t="s">
        <v>59</v>
      </c>
      <c r="P718" s="6" t="s">
        <v>4733</v>
      </c>
    </row>
    <row r="719">
      <c r="A719" s="6" t="s">
        <v>983</v>
      </c>
      <c r="B719" s="6">
        <v>610.0</v>
      </c>
      <c r="F719" s="6" t="s">
        <v>984</v>
      </c>
      <c r="G719" s="6" t="s">
        <v>4734</v>
      </c>
      <c r="H719" s="6" t="s">
        <v>48</v>
      </c>
      <c r="I719" s="6" t="s">
        <v>48</v>
      </c>
      <c r="J719" s="6" t="s">
        <v>48</v>
      </c>
      <c r="K719" s="9" t="str">
        <f>HYPERLINK("https://www.instagram.com/p/BOIDP-Bjy-e/","Open Post")</f>
        <v>Open Post</v>
      </c>
      <c r="L719" s="6" t="s">
        <v>4735</v>
      </c>
      <c r="M719" s="6" t="s">
        <v>4736</v>
      </c>
      <c r="N719" s="6" t="s">
        <v>4737</v>
      </c>
      <c r="O719" s="6" t="s">
        <v>59</v>
      </c>
      <c r="P719" s="6" t="s">
        <v>4738</v>
      </c>
    </row>
    <row r="720">
      <c r="A720" s="6" t="s">
        <v>983</v>
      </c>
      <c r="B720" s="6">
        <v>611.0</v>
      </c>
      <c r="F720" s="6" t="s">
        <v>984</v>
      </c>
      <c r="G720" s="6" t="s">
        <v>369</v>
      </c>
      <c r="H720" s="6" t="s">
        <v>48</v>
      </c>
      <c r="I720" s="6" t="s">
        <v>48</v>
      </c>
      <c r="J720" s="6" t="s">
        <v>48</v>
      </c>
      <c r="K720" s="9" t="str">
        <f>HYPERLINK("https://www.instagram.com/p/BOFmzfKgUIR/","Open Post")</f>
        <v>Open Post</v>
      </c>
      <c r="L720" s="6" t="s">
        <v>4742</v>
      </c>
      <c r="M720" s="6" t="s">
        <v>55</v>
      </c>
      <c r="N720" s="6" t="s">
        <v>4743</v>
      </c>
      <c r="O720" s="6" t="s">
        <v>59</v>
      </c>
      <c r="P720" s="6" t="s">
        <v>4744</v>
      </c>
    </row>
    <row r="721">
      <c r="A721" s="6" t="s">
        <v>983</v>
      </c>
      <c r="B721" s="6">
        <v>612.0</v>
      </c>
      <c r="F721" s="6" t="s">
        <v>984</v>
      </c>
      <c r="G721" s="6" t="s">
        <v>300</v>
      </c>
      <c r="H721" s="6" t="s">
        <v>48</v>
      </c>
      <c r="I721" s="6" t="s">
        <v>48</v>
      </c>
      <c r="J721" s="6" t="s">
        <v>48</v>
      </c>
      <c r="K721" s="9" t="str">
        <f>HYPERLINK("https://www.instagram.com/p/BNyzXKIBa-i/","Open Post")</f>
        <v>Open Post</v>
      </c>
      <c r="L721" s="6" t="s">
        <v>4745</v>
      </c>
      <c r="M721" s="6" t="s">
        <v>55</v>
      </c>
      <c r="N721" s="6" t="s">
        <v>4746</v>
      </c>
      <c r="O721" s="6" t="s">
        <v>59</v>
      </c>
      <c r="P721" s="6" t="s">
        <v>4747</v>
      </c>
    </row>
    <row r="722">
      <c r="A722" s="6" t="s">
        <v>983</v>
      </c>
      <c r="B722" s="6">
        <v>613.0</v>
      </c>
      <c r="F722" s="6" t="s">
        <v>984</v>
      </c>
      <c r="G722" s="6" t="s">
        <v>369</v>
      </c>
      <c r="H722" s="6" t="s">
        <v>48</v>
      </c>
      <c r="I722" s="6" t="s">
        <v>48</v>
      </c>
      <c r="J722" s="6" t="s">
        <v>48</v>
      </c>
      <c r="K722" s="9" t="str">
        <f>HYPERLINK("https://www.instagram.com/p/BNrCV9oje_R/","Open Post")</f>
        <v>Open Post</v>
      </c>
      <c r="L722" s="6" t="s">
        <v>4751</v>
      </c>
      <c r="M722" s="6" t="s">
        <v>55</v>
      </c>
      <c r="N722" s="6" t="s">
        <v>4752</v>
      </c>
      <c r="O722" s="6" t="s">
        <v>59</v>
      </c>
      <c r="P722" s="6" t="s">
        <v>4753</v>
      </c>
    </row>
    <row r="723">
      <c r="A723" s="6" t="s">
        <v>983</v>
      </c>
      <c r="B723" s="6">
        <v>614.0</v>
      </c>
      <c r="F723" s="6" t="s">
        <v>984</v>
      </c>
      <c r="G723" s="6" t="s">
        <v>172</v>
      </c>
      <c r="H723" s="6" t="s">
        <v>48</v>
      </c>
      <c r="I723" s="6" t="s">
        <v>48</v>
      </c>
      <c r="J723" s="6" t="s">
        <v>48</v>
      </c>
      <c r="K723" s="9" t="str">
        <f>HYPERLINK("https://www.instagram.com/p/BNq2DxkDPgX/","Open Post")</f>
        <v>Open Post</v>
      </c>
      <c r="L723" s="6" t="s">
        <v>4754</v>
      </c>
      <c r="M723" s="6" t="s">
        <v>4756</v>
      </c>
      <c r="N723" s="6" t="s">
        <v>4757</v>
      </c>
      <c r="O723" s="6" t="s">
        <v>59</v>
      </c>
      <c r="P723" s="6" t="s">
        <v>4758</v>
      </c>
    </row>
    <row r="724">
      <c r="A724" s="6" t="s">
        <v>983</v>
      </c>
      <c r="B724" s="6">
        <v>615.0</v>
      </c>
      <c r="F724" s="6" t="s">
        <v>984</v>
      </c>
      <c r="G724" s="6" t="s">
        <v>985</v>
      </c>
      <c r="H724" s="6" t="s">
        <v>48</v>
      </c>
      <c r="I724" s="6" t="s">
        <v>48</v>
      </c>
      <c r="J724" s="6" t="s">
        <v>48</v>
      </c>
      <c r="K724" s="9" t="str">
        <f>HYPERLINK("https://www.instagram.com/p/BNZ3wNnAo3F/","Open Post")</f>
        <v>Open Post</v>
      </c>
      <c r="L724" s="6" t="s">
        <v>4762</v>
      </c>
      <c r="M724" s="6" t="s">
        <v>4763</v>
      </c>
      <c r="N724" s="6" t="s">
        <v>4764</v>
      </c>
      <c r="O724" s="6" t="s">
        <v>59</v>
      </c>
      <c r="P724" s="6" t="s">
        <v>4765</v>
      </c>
    </row>
    <row r="725">
      <c r="A725" s="6" t="s">
        <v>983</v>
      </c>
      <c r="B725" s="6">
        <v>616.0</v>
      </c>
      <c r="F725" s="6" t="s">
        <v>984</v>
      </c>
      <c r="G725" s="6" t="s">
        <v>4766</v>
      </c>
      <c r="H725" s="6" t="s">
        <v>48</v>
      </c>
      <c r="I725" s="6" t="s">
        <v>48</v>
      </c>
      <c r="J725" s="6" t="s">
        <v>48</v>
      </c>
      <c r="K725" s="9" t="str">
        <f>HYPERLINK("https://www.instagram.com/p/BNVBTIIDHQ7/","Open Post")</f>
        <v>Open Post</v>
      </c>
      <c r="L725" s="6" t="s">
        <v>4768</v>
      </c>
      <c r="M725" s="6" t="s">
        <v>4770</v>
      </c>
      <c r="N725" s="6" t="s">
        <v>4771</v>
      </c>
      <c r="O725" s="6" t="s">
        <v>59</v>
      </c>
      <c r="P725" s="6" t="s">
        <v>4772</v>
      </c>
    </row>
    <row r="726">
      <c r="A726" s="6" t="s">
        <v>983</v>
      </c>
      <c r="B726" s="6">
        <v>617.0</v>
      </c>
      <c r="F726" s="6" t="s">
        <v>984</v>
      </c>
      <c r="G726" s="6" t="s">
        <v>4773</v>
      </c>
      <c r="H726" s="6" t="s">
        <v>48</v>
      </c>
      <c r="I726" s="6" t="s">
        <v>48</v>
      </c>
      <c r="J726" s="6" t="s">
        <v>48</v>
      </c>
      <c r="K726" s="9" t="str">
        <f>HYPERLINK("https://www.instagram.com/p/BNEwEaSBDeD/","Open Post")</f>
        <v>Open Post</v>
      </c>
      <c r="L726" s="6" t="s">
        <v>4775</v>
      </c>
      <c r="M726" s="6" t="s">
        <v>4777</v>
      </c>
      <c r="N726" s="6" t="s">
        <v>4778</v>
      </c>
      <c r="O726" s="6" t="s">
        <v>59</v>
      </c>
      <c r="P726" s="6" t="s">
        <v>4779</v>
      </c>
    </row>
    <row r="727">
      <c r="A727" s="6" t="s">
        <v>983</v>
      </c>
      <c r="B727" s="6">
        <v>618.0</v>
      </c>
      <c r="F727" s="6" t="s">
        <v>984</v>
      </c>
      <c r="G727" s="6" t="s">
        <v>555</v>
      </c>
      <c r="H727" s="6" t="s">
        <v>48</v>
      </c>
      <c r="I727" s="6" t="s">
        <v>48</v>
      </c>
      <c r="J727" s="6" t="s">
        <v>48</v>
      </c>
      <c r="K727" s="9" t="str">
        <f>HYPERLINK("https://www.instagram.com/p/BM64If1gNHI/","Open Post")</f>
        <v>Open Post</v>
      </c>
      <c r="L727" s="6" t="s">
        <v>4781</v>
      </c>
      <c r="M727" s="6" t="s">
        <v>55</v>
      </c>
      <c r="N727" s="6" t="s">
        <v>4782</v>
      </c>
      <c r="O727" s="6" t="s">
        <v>59</v>
      </c>
      <c r="P727" s="6" t="s">
        <v>4783</v>
      </c>
    </row>
    <row r="728">
      <c r="A728" s="6" t="s">
        <v>983</v>
      </c>
      <c r="B728" s="6">
        <v>619.0</v>
      </c>
      <c r="F728" s="6" t="s">
        <v>984</v>
      </c>
      <c r="G728" s="6" t="s">
        <v>443</v>
      </c>
      <c r="H728" s="6" t="s">
        <v>48</v>
      </c>
      <c r="I728" s="6" t="s">
        <v>48</v>
      </c>
      <c r="J728" s="6" t="s">
        <v>48</v>
      </c>
      <c r="K728" s="9" t="str">
        <f>HYPERLINK("https://www.instagram.com/p/BM6nthfgZfg/","Open Post")</f>
        <v>Open Post</v>
      </c>
      <c r="L728" s="6" t="s">
        <v>4786</v>
      </c>
      <c r="M728" s="6" t="s">
        <v>4787</v>
      </c>
      <c r="N728" s="6" t="s">
        <v>4788</v>
      </c>
      <c r="O728" s="6" t="s">
        <v>59</v>
      </c>
      <c r="P728" s="6" t="s">
        <v>4790</v>
      </c>
    </row>
    <row r="729">
      <c r="A729" s="6" t="s">
        <v>983</v>
      </c>
      <c r="B729" s="6">
        <v>620.0</v>
      </c>
      <c r="F729" s="6" t="s">
        <v>984</v>
      </c>
      <c r="G729" s="6" t="s">
        <v>300</v>
      </c>
      <c r="H729" s="6" t="s">
        <v>48</v>
      </c>
      <c r="I729" s="6" t="s">
        <v>48</v>
      </c>
      <c r="J729" s="6" t="s">
        <v>48</v>
      </c>
      <c r="K729" s="9" t="str">
        <f>HYPERLINK("https://www.instagram.com/p/BMxs8MwjqQ0/","Open Post")</f>
        <v>Open Post</v>
      </c>
      <c r="L729" s="6" t="s">
        <v>4791</v>
      </c>
      <c r="M729" s="6" t="s">
        <v>4793</v>
      </c>
      <c r="N729" s="6" t="s">
        <v>4794</v>
      </c>
      <c r="O729" s="6" t="s">
        <v>59</v>
      </c>
      <c r="P729" s="6" t="s">
        <v>4795</v>
      </c>
    </row>
    <row r="730">
      <c r="A730" s="6" t="s">
        <v>983</v>
      </c>
      <c r="B730" s="6">
        <v>621.0</v>
      </c>
      <c r="F730" s="6" t="s">
        <v>984</v>
      </c>
      <c r="G730" s="6" t="s">
        <v>985</v>
      </c>
      <c r="H730" s="6" t="s">
        <v>48</v>
      </c>
      <c r="I730" s="6" t="s">
        <v>48</v>
      </c>
      <c r="J730" s="6" t="s">
        <v>48</v>
      </c>
      <c r="K730" s="9" t="str">
        <f>HYPERLINK("https://www.instagram.com/p/BLeo_s6jHCB/","Open Post")</f>
        <v>Open Post</v>
      </c>
      <c r="L730" s="6" t="s">
        <v>4797</v>
      </c>
      <c r="M730" s="6" t="s">
        <v>1671</v>
      </c>
      <c r="N730" s="6" t="s">
        <v>4798</v>
      </c>
      <c r="O730" s="6" t="s">
        <v>59</v>
      </c>
      <c r="P730" s="6" t="s">
        <v>4800</v>
      </c>
    </row>
    <row r="731">
      <c r="A731" s="6" t="s">
        <v>983</v>
      </c>
      <c r="B731" s="6">
        <v>622.0</v>
      </c>
      <c r="F731" s="6" t="s">
        <v>984</v>
      </c>
      <c r="G731" s="6" t="s">
        <v>369</v>
      </c>
      <c r="H731" s="6" t="s">
        <v>48</v>
      </c>
      <c r="I731" s="6" t="s">
        <v>48</v>
      </c>
      <c r="J731" s="6" t="s">
        <v>48</v>
      </c>
      <c r="K731" s="9" t="str">
        <f>HYPERLINK("https://www.instagram.com/p/BLdcup1jBXO/","Open Post")</f>
        <v>Open Post</v>
      </c>
      <c r="L731" s="6" t="s">
        <v>4803</v>
      </c>
      <c r="M731" s="6" t="s">
        <v>55</v>
      </c>
      <c r="N731" s="6" t="s">
        <v>4804</v>
      </c>
      <c r="O731" s="6" t="s">
        <v>59</v>
      </c>
      <c r="P731" s="6" t="s">
        <v>4805</v>
      </c>
    </row>
    <row r="732">
      <c r="A732" s="6" t="s">
        <v>983</v>
      </c>
      <c r="B732" s="6">
        <v>623.0</v>
      </c>
      <c r="F732" s="6" t="s">
        <v>984</v>
      </c>
      <c r="G732" s="6" t="s">
        <v>4806</v>
      </c>
      <c r="H732" s="6" t="s">
        <v>48</v>
      </c>
      <c r="I732" s="6" t="s">
        <v>48</v>
      </c>
      <c r="J732" s="6" t="s">
        <v>48</v>
      </c>
      <c r="K732" s="9" t="str">
        <f>HYPERLINK("https://www.instagram.com/p/BLZ0AivhYBY/","Open Post")</f>
        <v>Open Post</v>
      </c>
      <c r="L732" s="6" t="s">
        <v>4807</v>
      </c>
      <c r="M732" s="6" t="s">
        <v>4808</v>
      </c>
      <c r="N732" s="6" t="s">
        <v>4809</v>
      </c>
      <c r="O732" s="6" t="s">
        <v>59</v>
      </c>
      <c r="P732" s="6" t="s">
        <v>4810</v>
      </c>
    </row>
    <row r="733">
      <c r="A733" s="6" t="s">
        <v>983</v>
      </c>
      <c r="B733" s="6">
        <v>624.0</v>
      </c>
      <c r="F733" s="6" t="s">
        <v>984</v>
      </c>
      <c r="G733" s="6" t="s">
        <v>985</v>
      </c>
      <c r="H733" s="6" t="s">
        <v>48</v>
      </c>
      <c r="I733" s="6" t="s">
        <v>48</v>
      </c>
      <c r="J733" s="6" t="s">
        <v>48</v>
      </c>
      <c r="K733" s="9" t="str">
        <f>HYPERLINK("https://www.instagram.com/p/BLOuaHKhwRU/","Open Post")</f>
        <v>Open Post</v>
      </c>
      <c r="L733" s="6" t="s">
        <v>4814</v>
      </c>
      <c r="M733" s="6" t="s">
        <v>4815</v>
      </c>
      <c r="N733" s="6" t="s">
        <v>4816</v>
      </c>
      <c r="O733" s="6" t="s">
        <v>59</v>
      </c>
      <c r="P733" s="6" t="s">
        <v>4817</v>
      </c>
    </row>
    <row r="734">
      <c r="A734" s="6" t="s">
        <v>983</v>
      </c>
      <c r="B734" s="6">
        <v>625.0</v>
      </c>
      <c r="F734" s="6" t="s">
        <v>984</v>
      </c>
      <c r="G734" s="6" t="s">
        <v>2789</v>
      </c>
      <c r="H734" s="6" t="s">
        <v>48</v>
      </c>
      <c r="I734" s="6" t="s">
        <v>48</v>
      </c>
      <c r="J734" s="6" t="s">
        <v>48</v>
      </c>
      <c r="K734" s="9" t="str">
        <f>HYPERLINK("https://www.instagram.com/p/BLOLZJPl90f/","Open Post")</f>
        <v>Open Post</v>
      </c>
      <c r="L734" s="6" t="s">
        <v>4818</v>
      </c>
      <c r="M734" s="6" t="s">
        <v>4819</v>
      </c>
      <c r="N734" s="6" t="s">
        <v>4820</v>
      </c>
      <c r="O734" s="6" t="s">
        <v>59</v>
      </c>
      <c r="P734" s="6" t="s">
        <v>4822</v>
      </c>
    </row>
    <row r="735">
      <c r="A735" s="6" t="s">
        <v>983</v>
      </c>
      <c r="B735" s="6">
        <v>626.0</v>
      </c>
      <c r="F735" s="6" t="s">
        <v>984</v>
      </c>
      <c r="G735" s="6" t="s">
        <v>1251</v>
      </c>
      <c r="H735" s="6" t="s">
        <v>48</v>
      </c>
      <c r="I735" s="6" t="s">
        <v>48</v>
      </c>
      <c r="J735" s="6" t="s">
        <v>48</v>
      </c>
      <c r="K735" s="9" t="str">
        <f>HYPERLINK("https://www.instagram.com/p/BJ23aX3Bhct/","Open Post")</f>
        <v>Open Post</v>
      </c>
      <c r="L735" s="6" t="s">
        <v>4825</v>
      </c>
      <c r="M735" s="6" t="s">
        <v>4826</v>
      </c>
      <c r="N735" s="6" t="s">
        <v>4827</v>
      </c>
      <c r="O735" s="6" t="s">
        <v>59</v>
      </c>
      <c r="P735" s="6" t="s">
        <v>4828</v>
      </c>
    </row>
    <row r="736">
      <c r="A736" s="6" t="s">
        <v>983</v>
      </c>
      <c r="B736" s="6">
        <v>627.0</v>
      </c>
      <c r="F736" s="6" t="s">
        <v>984</v>
      </c>
      <c r="G736" s="6" t="s">
        <v>286</v>
      </c>
      <c r="H736" s="6" t="s">
        <v>48</v>
      </c>
      <c r="I736" s="6" t="s">
        <v>48</v>
      </c>
      <c r="J736" s="6" t="s">
        <v>48</v>
      </c>
      <c r="K736" s="9" t="str">
        <f>HYPERLINK("https://www.instagram.com/p/BJvwfE3B51Y/","Open Post")</f>
        <v>Open Post</v>
      </c>
      <c r="L736" s="6" t="s">
        <v>4830</v>
      </c>
      <c r="M736" s="6" t="s">
        <v>4831</v>
      </c>
      <c r="N736" s="6" t="s">
        <v>4832</v>
      </c>
      <c r="O736" s="6" t="s">
        <v>59</v>
      </c>
      <c r="P736" s="6" t="s">
        <v>4833</v>
      </c>
    </row>
    <row r="737">
      <c r="A737" s="6" t="s">
        <v>983</v>
      </c>
      <c r="B737" s="6">
        <v>628.0</v>
      </c>
      <c r="F737" s="6" t="s">
        <v>984</v>
      </c>
      <c r="G737" s="6" t="s">
        <v>1008</v>
      </c>
      <c r="H737" s="6" t="s">
        <v>48</v>
      </c>
      <c r="I737" s="6" t="s">
        <v>48</v>
      </c>
      <c r="J737" s="6" t="s">
        <v>48</v>
      </c>
      <c r="K737" s="9" t="str">
        <f>HYPERLINK("https://www.instagram.com/p/BJIVIi1BeST/","Open Post")</f>
        <v>Open Post</v>
      </c>
      <c r="L737" s="6" t="s">
        <v>4835</v>
      </c>
      <c r="M737" s="6" t="s">
        <v>4837</v>
      </c>
      <c r="N737" s="6" t="s">
        <v>4838</v>
      </c>
      <c r="O737" s="6" t="s">
        <v>59</v>
      </c>
      <c r="P737" s="6" t="s">
        <v>4839</v>
      </c>
    </row>
    <row r="738">
      <c r="A738" s="6" t="s">
        <v>983</v>
      </c>
      <c r="B738" s="6">
        <v>629.0</v>
      </c>
      <c r="F738" s="6" t="s">
        <v>984</v>
      </c>
      <c r="G738" s="6" t="s">
        <v>4721</v>
      </c>
      <c r="H738" s="6" t="s">
        <v>48</v>
      </c>
      <c r="I738" s="6" t="s">
        <v>48</v>
      </c>
      <c r="J738" s="6" t="s">
        <v>48</v>
      </c>
      <c r="K738" s="9" t="str">
        <f>HYPERLINK("https://www.instagram.com/p/BI7SFS_gkWV/","Open Post")</f>
        <v>Open Post</v>
      </c>
      <c r="L738" s="6" t="s">
        <v>4842</v>
      </c>
      <c r="M738" s="6" t="s">
        <v>4723</v>
      </c>
      <c r="N738" s="6" t="s">
        <v>4843</v>
      </c>
      <c r="O738" s="6" t="s">
        <v>59</v>
      </c>
      <c r="P738" s="6" t="s">
        <v>4844</v>
      </c>
    </row>
    <row r="739">
      <c r="A739" s="6" t="s">
        <v>983</v>
      </c>
      <c r="B739" s="6">
        <v>630.0</v>
      </c>
      <c r="F739" s="6" t="s">
        <v>984</v>
      </c>
      <c r="G739" s="6" t="s">
        <v>104</v>
      </c>
      <c r="H739" s="6" t="s">
        <v>48</v>
      </c>
      <c r="I739" s="6" t="s">
        <v>48</v>
      </c>
      <c r="J739" s="6" t="s">
        <v>48</v>
      </c>
      <c r="K739" s="9" t="str">
        <f>HYPERLINK("https://www.instagram.com/p/BIFlBVygRtn/","Open Post")</f>
        <v>Open Post</v>
      </c>
      <c r="L739" s="6" t="s">
        <v>4845</v>
      </c>
      <c r="M739" s="6" t="s">
        <v>4846</v>
      </c>
      <c r="N739" s="6" t="s">
        <v>4847</v>
      </c>
      <c r="O739" s="6" t="s">
        <v>59</v>
      </c>
      <c r="P739" s="6" t="s">
        <v>4849</v>
      </c>
    </row>
    <row r="740">
      <c r="A740" s="6" t="s">
        <v>983</v>
      </c>
      <c r="B740" s="6">
        <v>631.0</v>
      </c>
      <c r="F740" s="6" t="s">
        <v>984</v>
      </c>
      <c r="G740" s="6" t="s">
        <v>4850</v>
      </c>
      <c r="H740" s="6" t="s">
        <v>48</v>
      </c>
      <c r="I740" s="6" t="s">
        <v>48</v>
      </c>
      <c r="J740" s="6" t="s">
        <v>48</v>
      </c>
      <c r="K740" s="9" t="str">
        <f>HYPERLINK("https://www.instagram.com/p/BHp8GpWgd8a/","Open Post")</f>
        <v>Open Post</v>
      </c>
      <c r="L740" s="6" t="s">
        <v>4853</v>
      </c>
      <c r="M740" s="6" t="s">
        <v>4854</v>
      </c>
      <c r="N740" s="6" t="s">
        <v>4855</v>
      </c>
      <c r="O740" s="6" t="s">
        <v>59</v>
      </c>
      <c r="P740" s="6" t="s">
        <v>4856</v>
      </c>
    </row>
    <row r="741">
      <c r="A741" s="6" t="s">
        <v>983</v>
      </c>
      <c r="B741" s="6">
        <v>632.0</v>
      </c>
      <c r="F741" s="6" t="s">
        <v>984</v>
      </c>
      <c r="G741" s="6" t="s">
        <v>4857</v>
      </c>
      <c r="H741" s="6" t="s">
        <v>48</v>
      </c>
      <c r="I741" s="6" t="s">
        <v>48</v>
      </c>
      <c r="J741" s="6" t="s">
        <v>48</v>
      </c>
      <c r="K741" s="9" t="str">
        <f>HYPERLINK("https://www.instagram.com/p/BHm--8LjrGC/","Open Post")</f>
        <v>Open Post</v>
      </c>
      <c r="L741" s="6" t="s">
        <v>4858</v>
      </c>
      <c r="M741" s="6" t="s">
        <v>4859</v>
      </c>
      <c r="N741" s="6" t="s">
        <v>4860</v>
      </c>
      <c r="O741" s="6" t="s">
        <v>59</v>
      </c>
      <c r="P741" s="6" t="s">
        <v>4861</v>
      </c>
    </row>
    <row r="742">
      <c r="A742" s="6" t="s">
        <v>983</v>
      </c>
      <c r="B742" s="6">
        <v>633.0</v>
      </c>
      <c r="F742" s="6" t="s">
        <v>984</v>
      </c>
      <c r="G742" s="6" t="s">
        <v>4862</v>
      </c>
      <c r="H742" s="6" t="s">
        <v>48</v>
      </c>
      <c r="I742" s="6" t="s">
        <v>48</v>
      </c>
      <c r="J742" s="6" t="s">
        <v>48</v>
      </c>
      <c r="K742" s="9" t="str">
        <f>HYPERLINK("https://www.instagram.com/p/BHmT-iTjALq/","Open Post")</f>
        <v>Open Post</v>
      </c>
      <c r="L742" s="6" t="s">
        <v>4866</v>
      </c>
      <c r="M742" s="6" t="s">
        <v>4867</v>
      </c>
      <c r="N742" s="6" t="s">
        <v>4868</v>
      </c>
      <c r="O742" s="6" t="s">
        <v>59</v>
      </c>
      <c r="P742" s="6" t="s">
        <v>4869</v>
      </c>
    </row>
    <row r="743">
      <c r="A743" s="6" t="s">
        <v>983</v>
      </c>
      <c r="B743" s="6">
        <v>634.0</v>
      </c>
      <c r="F743" s="6" t="s">
        <v>984</v>
      </c>
      <c r="G743" s="6" t="s">
        <v>4870</v>
      </c>
      <c r="H743" s="6" t="s">
        <v>48</v>
      </c>
      <c r="I743" s="6" t="s">
        <v>48</v>
      </c>
      <c r="J743" s="6" t="s">
        <v>48</v>
      </c>
      <c r="K743" s="9" t="str">
        <f>HYPERLINK("https://www.instagram.com/p/BHXI7C4gp2z/","Open Post")</f>
        <v>Open Post</v>
      </c>
      <c r="L743" s="6" t="s">
        <v>4872</v>
      </c>
      <c r="M743" s="6" t="s">
        <v>4873</v>
      </c>
      <c r="N743" s="6" t="s">
        <v>4874</v>
      </c>
      <c r="O743" s="6" t="s">
        <v>59</v>
      </c>
      <c r="P743" s="6" t="s">
        <v>4875</v>
      </c>
    </row>
    <row r="744">
      <c r="A744" s="6" t="s">
        <v>983</v>
      </c>
      <c r="B744" s="6">
        <v>635.0</v>
      </c>
      <c r="F744" s="6" t="s">
        <v>984</v>
      </c>
      <c r="G744" s="6" t="s">
        <v>1251</v>
      </c>
      <c r="H744" s="6" t="s">
        <v>48</v>
      </c>
      <c r="I744" s="6" t="s">
        <v>48</v>
      </c>
      <c r="J744" s="6" t="s">
        <v>48</v>
      </c>
      <c r="K744" s="9" t="str">
        <f>HYPERLINK("https://www.instagram.com/p/BHUe3m1AO7z/","Open Post")</f>
        <v>Open Post</v>
      </c>
      <c r="L744" s="6" t="s">
        <v>4878</v>
      </c>
      <c r="M744" s="6" t="s">
        <v>4879</v>
      </c>
      <c r="N744" s="6" t="s">
        <v>4880</v>
      </c>
      <c r="O744" s="6" t="s">
        <v>59</v>
      </c>
      <c r="P744" s="6" t="s">
        <v>4881</v>
      </c>
    </row>
    <row r="745">
      <c r="A745" s="6" t="s">
        <v>983</v>
      </c>
      <c r="B745" s="6">
        <v>636.0</v>
      </c>
      <c r="F745" s="6" t="s">
        <v>984</v>
      </c>
      <c r="G745" s="6" t="s">
        <v>104</v>
      </c>
      <c r="H745" s="6" t="s">
        <v>48</v>
      </c>
      <c r="I745" s="6" t="s">
        <v>48</v>
      </c>
      <c r="J745" s="6" t="s">
        <v>48</v>
      </c>
      <c r="K745" s="9" t="str">
        <f>HYPERLINK("https://www.instagram.com/p/BHP7XBXAp8v/","Open Post")</f>
        <v>Open Post</v>
      </c>
      <c r="L745" s="6" t="s">
        <v>4884</v>
      </c>
      <c r="M745" s="6" t="s">
        <v>4885</v>
      </c>
      <c r="N745" s="6" t="s">
        <v>4886</v>
      </c>
      <c r="O745" s="6" t="s">
        <v>59</v>
      </c>
      <c r="P745" s="6" t="s">
        <v>4887</v>
      </c>
    </row>
    <row r="746">
      <c r="A746" s="6" t="s">
        <v>983</v>
      </c>
      <c r="B746" s="6">
        <v>637.0</v>
      </c>
      <c r="F746" s="6" t="s">
        <v>984</v>
      </c>
      <c r="G746" s="6" t="s">
        <v>369</v>
      </c>
      <c r="H746" s="6" t="s">
        <v>48</v>
      </c>
      <c r="I746" s="6" t="s">
        <v>48</v>
      </c>
      <c r="J746" s="6" t="s">
        <v>48</v>
      </c>
      <c r="K746" s="9" t="str">
        <f>HYPERLINK("https://www.instagram.com/p/BGd6C68mEd8/","Open Post")</f>
        <v>Open Post</v>
      </c>
      <c r="L746" s="6" t="s">
        <v>4891</v>
      </c>
      <c r="M746" s="6" t="s">
        <v>55</v>
      </c>
      <c r="N746" s="6" t="s">
        <v>4893</v>
      </c>
      <c r="O746" s="6" t="s">
        <v>59</v>
      </c>
      <c r="P746" s="6" t="s">
        <v>4894</v>
      </c>
    </row>
    <row r="747">
      <c r="A747" s="6" t="s">
        <v>983</v>
      </c>
      <c r="B747" s="6">
        <v>638.0</v>
      </c>
      <c r="F747" s="6" t="s">
        <v>984</v>
      </c>
      <c r="G747" s="6" t="s">
        <v>1251</v>
      </c>
      <c r="H747" s="6" t="s">
        <v>48</v>
      </c>
      <c r="I747" s="6" t="s">
        <v>48</v>
      </c>
      <c r="J747" s="6" t="s">
        <v>48</v>
      </c>
      <c r="K747" s="9" t="str">
        <f>HYPERLINK("https://www.instagram.com/p/BGUl7Hrxemz/","Open Post")</f>
        <v>Open Post</v>
      </c>
      <c r="L747" s="6" t="s">
        <v>4895</v>
      </c>
      <c r="M747" s="6" t="s">
        <v>55</v>
      </c>
      <c r="N747" s="6" t="s">
        <v>4896</v>
      </c>
      <c r="O747" s="6" t="s">
        <v>59</v>
      </c>
      <c r="P747" s="6" t="s">
        <v>4897</v>
      </c>
    </row>
    <row r="748">
      <c r="A748" s="6" t="s">
        <v>983</v>
      </c>
      <c r="B748" s="6">
        <v>639.0</v>
      </c>
      <c r="F748" s="6" t="s">
        <v>984</v>
      </c>
      <c r="G748" s="6" t="s">
        <v>4898</v>
      </c>
      <c r="H748" s="6" t="s">
        <v>48</v>
      </c>
      <c r="I748" s="6" t="s">
        <v>48</v>
      </c>
      <c r="J748" s="6" t="s">
        <v>48</v>
      </c>
      <c r="K748" s="9" t="str">
        <f>HYPERLINK("https://www.instagram.com/p/BFo_X6qJjSR/","Open Post")</f>
        <v>Open Post</v>
      </c>
      <c r="L748" s="6" t="s">
        <v>4900</v>
      </c>
      <c r="M748" s="6" t="s">
        <v>4902</v>
      </c>
      <c r="N748" s="6" t="s">
        <v>4903</v>
      </c>
      <c r="O748" s="6" t="s">
        <v>59</v>
      </c>
      <c r="P748" s="6" t="s">
        <v>4904</v>
      </c>
    </row>
    <row r="749">
      <c r="A749" s="6" t="s">
        <v>983</v>
      </c>
      <c r="B749" s="6">
        <v>640.0</v>
      </c>
      <c r="F749" s="6" t="s">
        <v>984</v>
      </c>
      <c r="G749" s="6" t="s">
        <v>3250</v>
      </c>
      <c r="H749" s="6" t="s">
        <v>48</v>
      </c>
      <c r="I749" s="6" t="s">
        <v>48</v>
      </c>
      <c r="J749" s="6" t="s">
        <v>48</v>
      </c>
      <c r="K749" s="9" t="str">
        <f>HYPERLINK("https://www.instagram.com/p/BEMG9XpHgSJ/","Open Post")</f>
        <v>Open Post</v>
      </c>
      <c r="L749" s="6" t="s">
        <v>4906</v>
      </c>
      <c r="M749" s="6" t="s">
        <v>4907</v>
      </c>
      <c r="N749" s="6" t="s">
        <v>4908</v>
      </c>
      <c r="O749" s="6" t="s">
        <v>59</v>
      </c>
      <c r="P749" s="6" t="s">
        <v>4909</v>
      </c>
    </row>
    <row r="750">
      <c r="A750" s="6" t="s">
        <v>983</v>
      </c>
      <c r="B750" s="6">
        <v>641.0</v>
      </c>
      <c r="F750" s="6" t="s">
        <v>984</v>
      </c>
      <c r="G750" s="6" t="s">
        <v>1027</v>
      </c>
      <c r="H750" s="6" t="s">
        <v>48</v>
      </c>
      <c r="I750" s="6" t="s">
        <v>48</v>
      </c>
      <c r="J750" s="6" t="s">
        <v>48</v>
      </c>
      <c r="K750" s="9" t="str">
        <f>HYPERLINK("https://www.instagram.com/p/BEGIZfgIt05/","Open Post")</f>
        <v>Open Post</v>
      </c>
      <c r="L750" s="6" t="s">
        <v>4911</v>
      </c>
      <c r="M750" s="6" t="s">
        <v>4913</v>
      </c>
      <c r="N750" s="6" t="s">
        <v>4914</v>
      </c>
      <c r="O750" s="6" t="s">
        <v>59</v>
      </c>
      <c r="P750" s="6" t="s">
        <v>4915</v>
      </c>
    </row>
    <row r="751">
      <c r="A751" s="6" t="s">
        <v>983</v>
      </c>
      <c r="B751" s="6">
        <v>642.0</v>
      </c>
      <c r="F751" s="6" t="s">
        <v>984</v>
      </c>
      <c r="G751" s="6" t="s">
        <v>4916</v>
      </c>
      <c r="H751" s="6" t="s">
        <v>48</v>
      </c>
      <c r="I751" s="6" t="s">
        <v>48</v>
      </c>
      <c r="J751" s="6" t="s">
        <v>48</v>
      </c>
      <c r="K751" s="9" t="str">
        <f>HYPERLINK("https://www.instagram.com/p/BDvY7g4MkwS/","Open Post")</f>
        <v>Open Post</v>
      </c>
      <c r="L751" s="6" t="s">
        <v>4918</v>
      </c>
      <c r="M751" s="6" t="s">
        <v>4919</v>
      </c>
      <c r="N751" s="6" t="s">
        <v>4920</v>
      </c>
      <c r="O751" s="6" t="s">
        <v>59</v>
      </c>
      <c r="P751" s="6" t="s">
        <v>4921</v>
      </c>
    </row>
    <row r="752">
      <c r="A752" s="6" t="s">
        <v>983</v>
      </c>
      <c r="B752" s="6">
        <v>643.0</v>
      </c>
      <c r="F752" s="6" t="s">
        <v>984</v>
      </c>
      <c r="G752" s="6" t="s">
        <v>477</v>
      </c>
      <c r="H752" s="6" t="s">
        <v>48</v>
      </c>
      <c r="I752" s="6" t="s">
        <v>48</v>
      </c>
      <c r="J752" s="6" t="s">
        <v>48</v>
      </c>
      <c r="K752" s="9" t="str">
        <f>HYPERLINK("https://www.instagram.com/p/BDnkk4ERJpA/","Open Post")</f>
        <v>Open Post</v>
      </c>
      <c r="L752" s="6" t="s">
        <v>4924</v>
      </c>
      <c r="M752" s="6" t="s">
        <v>4925</v>
      </c>
      <c r="N752" s="6" t="s">
        <v>4926</v>
      </c>
      <c r="O752" s="6" t="s">
        <v>59</v>
      </c>
      <c r="P752" s="6" t="s">
        <v>4927</v>
      </c>
    </row>
    <row r="753">
      <c r="A753" s="6" t="s">
        <v>983</v>
      </c>
      <c r="B753" s="6">
        <v>644.0</v>
      </c>
      <c r="F753" s="6" t="s">
        <v>984</v>
      </c>
      <c r="G753" s="6" t="s">
        <v>555</v>
      </c>
      <c r="H753" s="6" t="s">
        <v>48</v>
      </c>
      <c r="I753" s="6" t="s">
        <v>48</v>
      </c>
      <c r="J753" s="6" t="s">
        <v>48</v>
      </c>
      <c r="K753" s="9" t="str">
        <f>HYPERLINK("https://www.instagram.com/p/BDd6zzeAp-A/","Open Post")</f>
        <v>Open Post</v>
      </c>
      <c r="L753" s="6" t="s">
        <v>4928</v>
      </c>
      <c r="M753" s="6" t="s">
        <v>4929</v>
      </c>
      <c r="N753" s="6" t="s">
        <v>4930</v>
      </c>
      <c r="O753" s="6" t="s">
        <v>59</v>
      </c>
      <c r="P753" s="6" t="s">
        <v>4931</v>
      </c>
    </row>
    <row r="754">
      <c r="A754" s="6" t="s">
        <v>983</v>
      </c>
      <c r="B754" s="6">
        <v>645.0</v>
      </c>
      <c r="F754" s="6" t="s">
        <v>984</v>
      </c>
      <c r="G754" s="6" t="s">
        <v>477</v>
      </c>
      <c r="H754" s="6" t="s">
        <v>48</v>
      </c>
      <c r="I754" s="6" t="s">
        <v>48</v>
      </c>
      <c r="J754" s="6" t="s">
        <v>48</v>
      </c>
      <c r="K754" s="9" t="str">
        <f>HYPERLINK("https://www.instagram.com/p/BDOPc_EOam0/","Open Post")</f>
        <v>Open Post</v>
      </c>
      <c r="L754" s="6" t="s">
        <v>4935</v>
      </c>
      <c r="M754" s="6" t="s">
        <v>4936</v>
      </c>
      <c r="N754" s="6" t="s">
        <v>4937</v>
      </c>
      <c r="O754" s="6" t="s">
        <v>59</v>
      </c>
      <c r="P754" s="6" t="s">
        <v>4938</v>
      </c>
    </row>
    <row r="755">
      <c r="A755" s="6" t="s">
        <v>983</v>
      </c>
      <c r="B755" s="6">
        <v>646.0</v>
      </c>
      <c r="F755" s="6" t="s">
        <v>984</v>
      </c>
      <c r="G755" s="6" t="s">
        <v>4941</v>
      </c>
      <c r="H755" s="6" t="s">
        <v>48</v>
      </c>
      <c r="I755" s="6" t="s">
        <v>48</v>
      </c>
      <c r="J755" s="6" t="s">
        <v>48</v>
      </c>
      <c r="K755" s="9" t="str">
        <f>HYPERLINK("https://www.instagram.com/p/BDGQ_KUReuW/","Open Post")</f>
        <v>Open Post</v>
      </c>
      <c r="L755" s="6" t="s">
        <v>4942</v>
      </c>
      <c r="M755" s="6" t="s">
        <v>4943</v>
      </c>
      <c r="N755" s="6" t="s">
        <v>4944</v>
      </c>
      <c r="O755" s="6" t="s">
        <v>59</v>
      </c>
      <c r="P755" s="6" t="s">
        <v>4945</v>
      </c>
    </row>
    <row r="756">
      <c r="A756" s="6" t="s">
        <v>983</v>
      </c>
      <c r="B756" s="6">
        <v>647.0</v>
      </c>
      <c r="F756" s="6" t="s">
        <v>984</v>
      </c>
      <c r="G756" s="6" t="s">
        <v>4941</v>
      </c>
      <c r="H756" s="6" t="s">
        <v>48</v>
      </c>
      <c r="I756" s="6" t="s">
        <v>48</v>
      </c>
      <c r="J756" s="6" t="s">
        <v>48</v>
      </c>
      <c r="K756" s="9" t="str">
        <f>HYPERLINK("https://www.instagram.com/p/BDGQwzoxet3/","Open Post")</f>
        <v>Open Post</v>
      </c>
      <c r="L756" s="6" t="s">
        <v>4946</v>
      </c>
      <c r="M756" s="6" t="s">
        <v>4943</v>
      </c>
      <c r="N756" s="6" t="s">
        <v>4947</v>
      </c>
      <c r="O756" s="6" t="s">
        <v>59</v>
      </c>
      <c r="P756" s="6" t="s">
        <v>4948</v>
      </c>
    </row>
    <row r="757">
      <c r="A757" s="6" t="s">
        <v>983</v>
      </c>
      <c r="B757" s="6">
        <v>648.0</v>
      </c>
      <c r="F757" s="6" t="s">
        <v>984</v>
      </c>
      <c r="G757" s="6" t="s">
        <v>369</v>
      </c>
      <c r="H757" s="6" t="s">
        <v>48</v>
      </c>
      <c r="I757" s="6" t="s">
        <v>48</v>
      </c>
      <c r="J757" s="6" t="s">
        <v>48</v>
      </c>
      <c r="K757" s="9" t="str">
        <f>HYPERLINK("https://www.instagram.com/p/BDEiwofg9ri/","Open Post")</f>
        <v>Open Post</v>
      </c>
      <c r="L757" s="6" t="s">
        <v>4953</v>
      </c>
      <c r="M757" s="6" t="s">
        <v>55</v>
      </c>
      <c r="N757" s="6" t="s">
        <v>4954</v>
      </c>
      <c r="O757" s="6" t="s">
        <v>59</v>
      </c>
      <c r="P757" s="6" t="s">
        <v>4955</v>
      </c>
    </row>
    <row r="758">
      <c r="A758" s="6" t="s">
        <v>983</v>
      </c>
      <c r="B758" s="6">
        <v>649.0</v>
      </c>
      <c r="F758" s="6" t="s">
        <v>984</v>
      </c>
      <c r="G758" s="6" t="s">
        <v>4956</v>
      </c>
      <c r="H758" s="6" t="s">
        <v>48</v>
      </c>
      <c r="I758" s="6" t="s">
        <v>48</v>
      </c>
      <c r="J758" s="6" t="s">
        <v>48</v>
      </c>
      <c r="K758" s="9" t="str">
        <f>HYPERLINK("https://www.instagram.com/p/BDEDXY4HPR9/","Open Post")</f>
        <v>Open Post</v>
      </c>
      <c r="L758" s="19" t="s">
        <v>4958</v>
      </c>
      <c r="M758" s="6" t="s">
        <v>4959</v>
      </c>
      <c r="N758" s="6" t="s">
        <v>4960</v>
      </c>
      <c r="O758" s="6" t="s">
        <v>59</v>
      </c>
      <c r="P758" s="6" t="s">
        <v>4961</v>
      </c>
    </row>
    <row r="759">
      <c r="A759" s="6" t="s">
        <v>983</v>
      </c>
      <c r="B759" s="6">
        <v>650.0</v>
      </c>
      <c r="F759" s="6" t="s">
        <v>984</v>
      </c>
      <c r="G759" s="6" t="s">
        <v>228</v>
      </c>
      <c r="H759" s="6" t="s">
        <v>48</v>
      </c>
      <c r="I759" s="6" t="s">
        <v>48</v>
      </c>
      <c r="J759" s="6" t="s">
        <v>48</v>
      </c>
      <c r="K759" s="9" t="str">
        <f>HYPERLINK("https://www.instagram.com/p/BDDIXQrlKQL/","Open Post")</f>
        <v>Open Post</v>
      </c>
      <c r="L759" s="6" t="s">
        <v>4965</v>
      </c>
      <c r="M759" s="6" t="s">
        <v>4966</v>
      </c>
      <c r="N759" s="6" t="s">
        <v>4967</v>
      </c>
      <c r="O759" s="6" t="s">
        <v>59</v>
      </c>
      <c r="P759" s="6" t="s">
        <v>4968</v>
      </c>
    </row>
    <row r="760">
      <c r="A760" s="6" t="s">
        <v>983</v>
      </c>
      <c r="B760" s="6">
        <v>651.0</v>
      </c>
      <c r="F760" s="6" t="s">
        <v>984</v>
      </c>
      <c r="G760" s="6" t="s">
        <v>1027</v>
      </c>
      <c r="H760" s="6" t="s">
        <v>48</v>
      </c>
      <c r="I760" s="6" t="s">
        <v>48</v>
      </c>
      <c r="J760" s="6" t="s">
        <v>48</v>
      </c>
      <c r="K760" s="9" t="str">
        <f>HYPERLINK("https://www.instagram.com/p/BCu0T_sHBm9/","Open Post")</f>
        <v>Open Post</v>
      </c>
      <c r="L760" s="6" t="s">
        <v>4970</v>
      </c>
      <c r="M760" s="6" t="s">
        <v>4971</v>
      </c>
      <c r="N760" s="6" t="s">
        <v>4972</v>
      </c>
      <c r="O760" s="6" t="s">
        <v>59</v>
      </c>
      <c r="P760" s="6" t="s">
        <v>4973</v>
      </c>
    </row>
    <row r="761">
      <c r="A761" s="6" t="s">
        <v>983</v>
      </c>
      <c r="B761" s="6">
        <v>652.0</v>
      </c>
      <c r="F761" s="6" t="s">
        <v>984</v>
      </c>
      <c r="G761" s="6" t="s">
        <v>1251</v>
      </c>
      <c r="H761" s="6" t="s">
        <v>48</v>
      </c>
      <c r="I761" s="6" t="s">
        <v>48</v>
      </c>
      <c r="J761" s="6" t="s">
        <v>48</v>
      </c>
      <c r="K761" s="9" t="str">
        <f>HYPERLINK("https://www.instagram.com/p/BB_AxTTDU5w/","Open Post")</f>
        <v>Open Post</v>
      </c>
      <c r="L761" s="6" t="s">
        <v>4976</v>
      </c>
      <c r="M761" s="6" t="s">
        <v>4977</v>
      </c>
      <c r="N761" s="6" t="s">
        <v>4978</v>
      </c>
      <c r="O761" s="6" t="s">
        <v>59</v>
      </c>
      <c r="P761" s="6" t="s">
        <v>4980</v>
      </c>
    </row>
    <row r="762">
      <c r="A762" s="6" t="s">
        <v>983</v>
      </c>
      <c r="B762" s="6">
        <v>653.0</v>
      </c>
      <c r="F762" s="6" t="s">
        <v>984</v>
      </c>
      <c r="G762" s="6" t="s">
        <v>479</v>
      </c>
      <c r="H762" s="6" t="s">
        <v>48</v>
      </c>
      <c r="I762" s="6" t="s">
        <v>48</v>
      </c>
      <c r="J762" s="6" t="s">
        <v>48</v>
      </c>
      <c r="K762" s="9" t="str">
        <f>HYPERLINK("https://www.instagram.com/p/BB-pC8QOdn8/","Open Post")</f>
        <v>Open Post</v>
      </c>
      <c r="L762" s="6" t="s">
        <v>4983</v>
      </c>
      <c r="M762" s="6" t="s">
        <v>4984</v>
      </c>
      <c r="N762" s="6" t="s">
        <v>4985</v>
      </c>
      <c r="O762" s="6" t="s">
        <v>59</v>
      </c>
      <c r="P762" s="6" t="s">
        <v>4986</v>
      </c>
    </row>
    <row r="763">
      <c r="A763" s="6" t="s">
        <v>983</v>
      </c>
      <c r="B763" s="6">
        <v>654.0</v>
      </c>
      <c r="F763" s="6" t="s">
        <v>984</v>
      </c>
      <c r="G763" s="6" t="s">
        <v>555</v>
      </c>
      <c r="H763" s="6" t="s">
        <v>48</v>
      </c>
      <c r="I763" s="6" t="s">
        <v>48</v>
      </c>
      <c r="J763" s="6" t="s">
        <v>48</v>
      </c>
      <c r="K763" s="9" t="str">
        <f>HYPERLINK("https://www.instagram.com/p/BB-BvaRgu-p/","Open Post")</f>
        <v>Open Post</v>
      </c>
      <c r="L763" s="6" t="s">
        <v>4987</v>
      </c>
      <c r="M763" s="6" t="s">
        <v>4988</v>
      </c>
      <c r="N763" s="6" t="s">
        <v>4989</v>
      </c>
      <c r="O763" s="6" t="s">
        <v>59</v>
      </c>
      <c r="P763" s="6" t="s">
        <v>4990</v>
      </c>
    </row>
    <row r="764">
      <c r="A764" s="6" t="s">
        <v>983</v>
      </c>
      <c r="B764" s="6">
        <v>655.0</v>
      </c>
      <c r="F764" s="6" t="s">
        <v>984</v>
      </c>
      <c r="G764" s="6" t="s">
        <v>1228</v>
      </c>
      <c r="H764" s="6" t="s">
        <v>48</v>
      </c>
      <c r="I764" s="6" t="s">
        <v>48</v>
      </c>
      <c r="J764" s="6" t="s">
        <v>48</v>
      </c>
      <c r="K764" s="9" t="str">
        <f>HYPERLINK("https://www.instagram.com/p/BAJvEXUymLz/","Open Post")</f>
        <v>Open Post</v>
      </c>
      <c r="L764" s="6" t="s">
        <v>4994</v>
      </c>
      <c r="M764" s="6" t="s">
        <v>55</v>
      </c>
      <c r="N764" s="6" t="s">
        <v>4995</v>
      </c>
      <c r="O764" s="6" t="s">
        <v>59</v>
      </c>
      <c r="P764" s="6" t="s">
        <v>4996</v>
      </c>
    </row>
    <row r="765">
      <c r="A765" s="6" t="s">
        <v>983</v>
      </c>
      <c r="B765" s="6">
        <v>656.0</v>
      </c>
      <c r="F765" s="6" t="s">
        <v>984</v>
      </c>
      <c r="G765" s="6" t="s">
        <v>1027</v>
      </c>
      <c r="H765" s="6" t="s">
        <v>48</v>
      </c>
      <c r="I765" s="6" t="s">
        <v>48</v>
      </c>
      <c r="J765" s="6" t="s">
        <v>48</v>
      </c>
      <c r="K765" s="9" t="str">
        <f>HYPERLINK("https://www.instagram.com/p/BAIOARtuaqB/","Open Post")</f>
        <v>Open Post</v>
      </c>
      <c r="L765" s="6" t="s">
        <v>5000</v>
      </c>
      <c r="M765" s="6" t="s">
        <v>5001</v>
      </c>
      <c r="N765" s="6" t="s">
        <v>5002</v>
      </c>
      <c r="O765" s="6" t="s">
        <v>59</v>
      </c>
      <c r="P765" s="6" t="s">
        <v>5003</v>
      </c>
    </row>
    <row r="766">
      <c r="A766" s="6" t="s">
        <v>983</v>
      </c>
      <c r="B766" s="6">
        <v>657.0</v>
      </c>
      <c r="F766" s="6" t="s">
        <v>984</v>
      </c>
      <c r="G766" s="6" t="s">
        <v>369</v>
      </c>
      <c r="H766" s="6" t="s">
        <v>48</v>
      </c>
      <c r="I766" s="6" t="s">
        <v>48</v>
      </c>
      <c r="J766" s="6" t="s">
        <v>48</v>
      </c>
      <c r="K766" s="9" t="str">
        <f>HYPERLINK("https://www.instagram.com/p/_64XAaJN5E/","Open Post")</f>
        <v>Open Post</v>
      </c>
      <c r="L766" s="6" t="s">
        <v>5005</v>
      </c>
      <c r="M766" s="6" t="s">
        <v>55</v>
      </c>
      <c r="N766" s="6" t="s">
        <v>5006</v>
      </c>
      <c r="O766" s="6" t="s">
        <v>59</v>
      </c>
      <c r="P766" s="6" t="s">
        <v>5007</v>
      </c>
    </row>
    <row r="767">
      <c r="A767" s="6" t="s">
        <v>983</v>
      </c>
      <c r="B767" s="6">
        <v>658.0</v>
      </c>
      <c r="F767" s="6" t="s">
        <v>984</v>
      </c>
      <c r="G767" s="6" t="s">
        <v>1027</v>
      </c>
      <c r="H767" s="6" t="s">
        <v>48</v>
      </c>
      <c r="I767" s="6" t="s">
        <v>48</v>
      </c>
      <c r="J767" s="6" t="s">
        <v>48</v>
      </c>
      <c r="K767" s="9" t="str">
        <f>HYPERLINK("https://www.instagram.com/p/_H9fYeOaqV/","Open Post")</f>
        <v>Open Post</v>
      </c>
      <c r="L767" s="6" t="s">
        <v>5011</v>
      </c>
      <c r="M767" s="6" t="s">
        <v>5012</v>
      </c>
      <c r="N767" s="6" t="s">
        <v>5013</v>
      </c>
      <c r="O767" s="6" t="s">
        <v>59</v>
      </c>
      <c r="P767" s="6" t="s">
        <v>5014</v>
      </c>
    </row>
    <row r="768">
      <c r="A768" s="6" t="s">
        <v>983</v>
      </c>
      <c r="B768" s="6">
        <v>659.0</v>
      </c>
      <c r="F768" s="6" t="s">
        <v>984</v>
      </c>
      <c r="G768" s="6" t="s">
        <v>5015</v>
      </c>
      <c r="H768" s="6" t="s">
        <v>48</v>
      </c>
      <c r="I768" s="6" t="s">
        <v>48</v>
      </c>
      <c r="J768" s="6" t="s">
        <v>48</v>
      </c>
      <c r="K768" s="9" t="str">
        <f>HYPERLINK("https://www.instagram.com/p/-zV8TglB_A/","Open Post")</f>
        <v>Open Post</v>
      </c>
      <c r="L768" s="6" t="s">
        <v>5016</v>
      </c>
      <c r="M768" s="6" t="s">
        <v>5018</v>
      </c>
      <c r="N768" s="6" t="s">
        <v>5019</v>
      </c>
      <c r="O768" s="6" t="s">
        <v>59</v>
      </c>
      <c r="P768" s="6" t="s">
        <v>5020</v>
      </c>
    </row>
    <row r="769">
      <c r="A769" s="6" t="s">
        <v>983</v>
      </c>
      <c r="B769" s="6">
        <v>660.0</v>
      </c>
      <c r="F769" s="6" t="s">
        <v>984</v>
      </c>
      <c r="G769" s="6" t="s">
        <v>369</v>
      </c>
      <c r="H769" s="6" t="s">
        <v>48</v>
      </c>
      <c r="I769" s="6" t="s">
        <v>48</v>
      </c>
      <c r="J769" s="6" t="s">
        <v>48</v>
      </c>
      <c r="K769" s="9" t="str">
        <f>HYPERLINK("https://www.instagram.com/p/-B_a9mlzT9/","Open Post")</f>
        <v>Open Post</v>
      </c>
      <c r="L769" s="6" t="s">
        <v>5023</v>
      </c>
      <c r="M769" s="6" t="s">
        <v>55</v>
      </c>
      <c r="N769" s="6" t="s">
        <v>5024</v>
      </c>
      <c r="O769" s="6" t="s">
        <v>59</v>
      </c>
      <c r="P769" s="6" t="s">
        <v>5025</v>
      </c>
    </row>
    <row r="770">
      <c r="A770" s="6" t="s">
        <v>983</v>
      </c>
      <c r="B770" s="6">
        <v>661.0</v>
      </c>
      <c r="F770" s="6" t="s">
        <v>984</v>
      </c>
      <c r="G770" s="6" t="s">
        <v>390</v>
      </c>
      <c r="H770" s="6" t="s">
        <v>48</v>
      </c>
      <c r="I770" s="6" t="s">
        <v>48</v>
      </c>
      <c r="J770" s="6" t="s">
        <v>48</v>
      </c>
      <c r="K770" s="9" t="str">
        <f>HYPERLINK("https://www.instagram.com/p/95ICsahB57/","Open Post")</f>
        <v>Open Post</v>
      </c>
      <c r="L770" s="6" t="s">
        <v>5028</v>
      </c>
      <c r="M770" s="6" t="s">
        <v>5029</v>
      </c>
      <c r="N770" s="6" t="s">
        <v>5030</v>
      </c>
      <c r="O770" s="6" t="s">
        <v>59</v>
      </c>
      <c r="P770" s="6" t="s">
        <v>5032</v>
      </c>
    </row>
    <row r="771">
      <c r="A771" s="6" t="s">
        <v>983</v>
      </c>
      <c r="B771" s="6">
        <v>662.0</v>
      </c>
      <c r="F771" s="6" t="s">
        <v>984</v>
      </c>
      <c r="G771" s="6" t="s">
        <v>390</v>
      </c>
      <c r="H771" s="6" t="s">
        <v>48</v>
      </c>
      <c r="I771" s="6" t="s">
        <v>48</v>
      </c>
      <c r="J771" s="6" t="s">
        <v>48</v>
      </c>
      <c r="K771" s="9" t="str">
        <f>HYPERLINK("https://www.instagram.com/p/9MCclGB3n2/","Open Post")</f>
        <v>Open Post</v>
      </c>
      <c r="L771" s="6" t="s">
        <v>5035</v>
      </c>
      <c r="M771" s="6" t="s">
        <v>5037</v>
      </c>
      <c r="N771" s="6" t="s">
        <v>5038</v>
      </c>
      <c r="O771" s="6" t="s">
        <v>59</v>
      </c>
      <c r="P771" s="6" t="s">
        <v>5039</v>
      </c>
    </row>
    <row r="772">
      <c r="A772" s="6" t="s">
        <v>983</v>
      </c>
      <c r="B772" s="6">
        <v>663.0</v>
      </c>
      <c r="F772" s="6" t="s">
        <v>984</v>
      </c>
      <c r="G772" s="6" t="s">
        <v>1027</v>
      </c>
      <c r="H772" s="6" t="s">
        <v>48</v>
      </c>
      <c r="I772" s="6" t="s">
        <v>48</v>
      </c>
      <c r="J772" s="6" t="s">
        <v>48</v>
      </c>
      <c r="K772" s="9" t="str">
        <f>HYPERLINK("https://www.instagram.com/p/8zmiwkmf39/","Open Post")</f>
        <v>Open Post</v>
      </c>
      <c r="L772" s="6" t="s">
        <v>5040</v>
      </c>
      <c r="M772" s="6" t="s">
        <v>5041</v>
      </c>
      <c r="N772" s="6" t="s">
        <v>5043</v>
      </c>
      <c r="O772" s="6" t="s">
        <v>59</v>
      </c>
      <c r="P772" s="6" t="s">
        <v>5045</v>
      </c>
    </row>
    <row r="773">
      <c r="A773" s="6" t="s">
        <v>983</v>
      </c>
      <c r="B773" s="6">
        <v>664.0</v>
      </c>
      <c r="F773" s="6" t="s">
        <v>984</v>
      </c>
      <c r="G773" s="6" t="s">
        <v>1251</v>
      </c>
      <c r="H773" s="6" t="s">
        <v>48</v>
      </c>
      <c r="I773" s="6" t="s">
        <v>48</v>
      </c>
      <c r="J773" s="6" t="s">
        <v>48</v>
      </c>
      <c r="K773" s="9" t="str">
        <f>HYPERLINK("https://www.instagram.com/p/8lygd3CCJC/","Open Post")</f>
        <v>Open Post</v>
      </c>
      <c r="L773" s="6" t="s">
        <v>5047</v>
      </c>
      <c r="M773" s="6" t="s">
        <v>4416</v>
      </c>
      <c r="N773" s="6" t="s">
        <v>5048</v>
      </c>
      <c r="O773" s="6" t="s">
        <v>59</v>
      </c>
      <c r="P773" s="6" t="s">
        <v>5049</v>
      </c>
    </row>
    <row r="774">
      <c r="A774" s="6" t="s">
        <v>983</v>
      </c>
      <c r="B774" s="6">
        <v>665.0</v>
      </c>
      <c r="F774" s="6" t="s">
        <v>984</v>
      </c>
      <c r="G774" s="6" t="s">
        <v>228</v>
      </c>
      <c r="H774" s="6" t="s">
        <v>48</v>
      </c>
      <c r="I774" s="6" t="s">
        <v>48</v>
      </c>
      <c r="J774" s="6" t="s">
        <v>48</v>
      </c>
      <c r="K774" s="9" t="str">
        <f>HYPERLINK("https://www.instagram.com/p/8JmeniubSx/","Open Post")</f>
        <v>Open Post</v>
      </c>
      <c r="L774" s="6" t="s">
        <v>5052</v>
      </c>
      <c r="M774" s="6" t="s">
        <v>5053</v>
      </c>
      <c r="N774" s="6" t="s">
        <v>5054</v>
      </c>
      <c r="O774" s="6" t="s">
        <v>59</v>
      </c>
      <c r="P774" s="6" t="s">
        <v>5055</v>
      </c>
    </row>
    <row r="775">
      <c r="A775" s="6" t="s">
        <v>983</v>
      </c>
      <c r="B775" s="6">
        <v>666.0</v>
      </c>
      <c r="F775" s="6" t="s">
        <v>984</v>
      </c>
      <c r="G775" s="6" t="s">
        <v>1027</v>
      </c>
      <c r="H775" s="6" t="s">
        <v>48</v>
      </c>
      <c r="I775" s="6" t="s">
        <v>48</v>
      </c>
      <c r="J775" s="6" t="s">
        <v>48</v>
      </c>
      <c r="K775" s="9" t="str">
        <f>HYPERLINK("https://www.instagram.com/p/7ISWVgOarO/","Open Post")</f>
        <v>Open Post</v>
      </c>
      <c r="L775" s="6" t="s">
        <v>5059</v>
      </c>
      <c r="M775" s="6" t="s">
        <v>5060</v>
      </c>
      <c r="N775" s="6" t="s">
        <v>5061</v>
      </c>
      <c r="O775" s="6" t="s">
        <v>59</v>
      </c>
      <c r="P775" s="6" t="s">
        <v>5062</v>
      </c>
    </row>
    <row r="776">
      <c r="A776" s="6" t="s">
        <v>983</v>
      </c>
      <c r="B776" s="6">
        <v>667.0</v>
      </c>
      <c r="F776" s="6" t="s">
        <v>984</v>
      </c>
      <c r="G776" s="6" t="s">
        <v>555</v>
      </c>
      <c r="H776" s="6" t="s">
        <v>48</v>
      </c>
      <c r="I776" s="6" t="s">
        <v>48</v>
      </c>
      <c r="J776" s="6" t="s">
        <v>48</v>
      </c>
      <c r="K776" s="9" t="str">
        <f>HYPERLINK("https://www.instagram.com/p/1jJQdmsk0w/","Open Post")</f>
        <v>Open Post</v>
      </c>
      <c r="L776" s="6" t="s">
        <v>5063</v>
      </c>
      <c r="M776" s="6" t="s">
        <v>5065</v>
      </c>
      <c r="N776" s="6" t="s">
        <v>5066</v>
      </c>
      <c r="O776" s="6" t="s">
        <v>59</v>
      </c>
      <c r="P776" s="6" t="s">
        <v>5067</v>
      </c>
    </row>
    <row r="777">
      <c r="A777" s="6" t="s">
        <v>983</v>
      </c>
      <c r="B777" s="6">
        <v>668.0</v>
      </c>
      <c r="F777" s="6" t="s">
        <v>984</v>
      </c>
      <c r="G777" s="6" t="s">
        <v>5069</v>
      </c>
      <c r="H777" s="6" t="s">
        <v>48</v>
      </c>
      <c r="I777" s="6" t="s">
        <v>48</v>
      </c>
      <c r="J777" s="6" t="s">
        <v>48</v>
      </c>
      <c r="K777" s="9" t="str">
        <f>HYPERLINK("https://www.instagram.com/p/dpXRy1SWcl/","Open Post")</f>
        <v>Open Post</v>
      </c>
      <c r="L777" s="6" t="s">
        <v>5070</v>
      </c>
      <c r="M777" s="6" t="s">
        <v>5071</v>
      </c>
      <c r="N777" s="6" t="s">
        <v>5072</v>
      </c>
      <c r="O777" s="6" t="s">
        <v>59</v>
      </c>
      <c r="P777" s="6" t="s">
        <v>5073</v>
      </c>
    </row>
    <row r="779">
      <c r="A779" s="6" t="s">
        <v>5074</v>
      </c>
      <c r="B779" s="6">
        <v>1.0</v>
      </c>
      <c r="F779" s="6" t="s">
        <v>984</v>
      </c>
      <c r="G779" s="6" t="s">
        <v>369</v>
      </c>
      <c r="H779" s="6" t="s">
        <v>48</v>
      </c>
      <c r="I779" s="6" t="s">
        <v>48</v>
      </c>
      <c r="J779" s="6" t="s">
        <v>48</v>
      </c>
      <c r="K779" s="9" t="str">
        <f>HYPERLINK("https://www.instagram.com/p/DbVYp8_uoCw/","Open Post")</f>
        <v>Open Post</v>
      </c>
      <c r="L779" s="6" t="s">
        <v>439</v>
      </c>
      <c r="M779" s="6" t="s">
        <v>55</v>
      </c>
      <c r="N779" s="6" t="s">
        <v>989</v>
      </c>
      <c r="O779" s="6" t="s">
        <v>59</v>
      </c>
      <c r="P779" s="6" t="s">
        <v>5077</v>
      </c>
    </row>
    <row r="780">
      <c r="A780" s="6" t="s">
        <v>5074</v>
      </c>
      <c r="B780" s="6">
        <v>2.0</v>
      </c>
      <c r="F780" s="6" t="s">
        <v>1026</v>
      </c>
      <c r="G780" s="6" t="s">
        <v>228</v>
      </c>
      <c r="H780" s="6" t="s">
        <v>48</v>
      </c>
      <c r="I780" s="6" t="s">
        <v>48</v>
      </c>
      <c r="J780" s="6" t="s">
        <v>48</v>
      </c>
      <c r="K780" s="9" t="str">
        <f>HYPERLINK("https://www.instagram.com/p/DYZVm4dgPkF/","Open Post")</f>
        <v>Open Post</v>
      </c>
      <c r="L780" s="6" t="s">
        <v>5081</v>
      </c>
      <c r="M780" s="6" t="s">
        <v>55</v>
      </c>
      <c r="N780" s="6" t="s">
        <v>5082</v>
      </c>
      <c r="O780" s="6" t="s">
        <v>59</v>
      </c>
      <c r="P780" s="6" t="s">
        <v>5083</v>
      </c>
    </row>
    <row r="781">
      <c r="A781" s="6" t="s">
        <v>5074</v>
      </c>
      <c r="B781" s="6">
        <v>3.0</v>
      </c>
      <c r="F781" s="6" t="s">
        <v>1026</v>
      </c>
      <c r="G781" s="6" t="s">
        <v>5084</v>
      </c>
      <c r="H781" s="6" t="s">
        <v>48</v>
      </c>
      <c r="I781" s="6" t="s">
        <v>48</v>
      </c>
      <c r="J781" s="6" t="s">
        <v>48</v>
      </c>
      <c r="K781" s="9" t="str">
        <f>HYPERLINK("https://www.instagram.com/p/DMxkh9cMAyE/","Open Post")</f>
        <v>Open Post</v>
      </c>
      <c r="L781" s="6" t="s">
        <v>5086</v>
      </c>
      <c r="M781" s="6" t="s">
        <v>5087</v>
      </c>
      <c r="N781" s="6" t="s">
        <v>5089</v>
      </c>
      <c r="O781" s="6" t="s">
        <v>59</v>
      </c>
      <c r="P781" s="6" t="s">
        <v>5090</v>
      </c>
    </row>
    <row r="782">
      <c r="A782" s="6" t="s">
        <v>5074</v>
      </c>
      <c r="B782" s="6">
        <v>4.0</v>
      </c>
      <c r="F782" s="6" t="s">
        <v>984</v>
      </c>
      <c r="G782" s="6" t="s">
        <v>5091</v>
      </c>
      <c r="H782" s="6" t="s">
        <v>48</v>
      </c>
      <c r="I782" s="6" t="s">
        <v>48</v>
      </c>
      <c r="J782" s="6" t="s">
        <v>48</v>
      </c>
      <c r="K782" s="9" t="str">
        <f>HYPERLINK("https://www.instagram.com/p/Cz26h7Vr1PP/","Open Post")</f>
        <v>Open Post</v>
      </c>
      <c r="L782" s="6" t="s">
        <v>5093</v>
      </c>
      <c r="M782" s="6" t="s">
        <v>5094</v>
      </c>
      <c r="N782" s="6" t="s">
        <v>5095</v>
      </c>
      <c r="O782" s="6" t="s">
        <v>59</v>
      </c>
      <c r="P782" s="6" t="s">
        <v>5096</v>
      </c>
    </row>
    <row r="783">
      <c r="A783" s="6" t="s">
        <v>5074</v>
      </c>
      <c r="B783" s="6">
        <v>5.0</v>
      </c>
      <c r="F783" s="6" t="s">
        <v>1026</v>
      </c>
      <c r="G783" s="6" t="s">
        <v>5098</v>
      </c>
      <c r="H783" s="6" t="s">
        <v>48</v>
      </c>
      <c r="I783" s="6" t="s">
        <v>48</v>
      </c>
      <c r="J783" s="6" t="s">
        <v>48</v>
      </c>
      <c r="K783" s="9" t="str">
        <f>HYPERLINK("https://www.instagram.com/p/CqBOWfJyP89/","Open Post")</f>
        <v>Open Post</v>
      </c>
      <c r="L783" s="6" t="s">
        <v>5101</v>
      </c>
      <c r="M783" s="6" t="s">
        <v>5102</v>
      </c>
      <c r="N783" s="6" t="s">
        <v>5103</v>
      </c>
      <c r="O783" s="6" t="s">
        <v>59</v>
      </c>
      <c r="P783" s="6" t="s">
        <v>5104</v>
      </c>
    </row>
    <row r="784">
      <c r="A784" s="6" t="s">
        <v>5074</v>
      </c>
      <c r="B784" s="6">
        <v>6.0</v>
      </c>
      <c r="F784" s="6" t="s">
        <v>1026</v>
      </c>
      <c r="G784" s="6" t="s">
        <v>5105</v>
      </c>
      <c r="H784" s="6" t="s">
        <v>48</v>
      </c>
      <c r="I784" s="6" t="s">
        <v>48</v>
      </c>
      <c r="J784" s="6" t="s">
        <v>48</v>
      </c>
      <c r="K784" s="9" t="str">
        <f>HYPERLINK("https://www.instagram.com/p/CkQEJals7Oi/","Open Post")</f>
        <v>Open Post</v>
      </c>
      <c r="L784" s="6" t="s">
        <v>5107</v>
      </c>
      <c r="M784" s="6" t="s">
        <v>5109</v>
      </c>
      <c r="N784" s="6" t="s">
        <v>1036</v>
      </c>
      <c r="O784" s="6" t="s">
        <v>59</v>
      </c>
      <c r="P784" s="6" t="s">
        <v>5111</v>
      </c>
    </row>
    <row r="785">
      <c r="A785" s="6" t="s">
        <v>5074</v>
      </c>
      <c r="B785" s="6">
        <v>7.0</v>
      </c>
      <c r="F785" s="6" t="s">
        <v>1026</v>
      </c>
      <c r="G785" s="6" t="s">
        <v>5112</v>
      </c>
      <c r="H785" s="6" t="s">
        <v>48</v>
      </c>
      <c r="I785" s="6" t="s">
        <v>48</v>
      </c>
      <c r="J785" s="6" t="s">
        <v>48</v>
      </c>
      <c r="K785" s="9" t="str">
        <f>HYPERLINK("https://www.instagram.com/p/CjnUkS8P5P3/","Open Post")</f>
        <v>Open Post</v>
      </c>
      <c r="L785" s="6" t="s">
        <v>5114</v>
      </c>
      <c r="M785" s="6" t="s">
        <v>5115</v>
      </c>
      <c r="N785" s="6" t="s">
        <v>5117</v>
      </c>
      <c r="O785" s="6" t="s">
        <v>59</v>
      </c>
      <c r="P785" s="6" t="s">
        <v>5118</v>
      </c>
    </row>
    <row r="786">
      <c r="A786" s="6" t="s">
        <v>5074</v>
      </c>
      <c r="B786" s="6">
        <v>8.0</v>
      </c>
      <c r="F786" s="6" t="s">
        <v>984</v>
      </c>
      <c r="G786" s="6" t="s">
        <v>5120</v>
      </c>
      <c r="H786" s="6" t="s">
        <v>48</v>
      </c>
      <c r="I786" s="6" t="s">
        <v>48</v>
      </c>
      <c r="J786" s="6" t="s">
        <v>48</v>
      </c>
      <c r="K786" s="9" t="str">
        <f>HYPERLINK("https://www.instagram.com/p/CgjRvEhhYkz/","Open Post")</f>
        <v>Open Post</v>
      </c>
      <c r="L786" s="6" t="s">
        <v>5121</v>
      </c>
      <c r="M786" s="6" t="s">
        <v>5122</v>
      </c>
      <c r="N786" s="6" t="s">
        <v>1055</v>
      </c>
      <c r="O786" s="6" t="s">
        <v>59</v>
      </c>
      <c r="P786" s="6" t="s">
        <v>5123</v>
      </c>
    </row>
    <row r="787">
      <c r="A787" s="6" t="s">
        <v>5074</v>
      </c>
      <c r="B787" s="6">
        <v>9.0</v>
      </c>
      <c r="F787" s="6" t="s">
        <v>1026</v>
      </c>
      <c r="G787" s="6" t="s">
        <v>369</v>
      </c>
      <c r="H787" s="6" t="s">
        <v>48</v>
      </c>
      <c r="I787" s="6" t="s">
        <v>48</v>
      </c>
      <c r="J787" s="6" t="s">
        <v>48</v>
      </c>
      <c r="K787" s="9" t="str">
        <f>HYPERLINK("https://www.instagram.com/p/CeToVfyFntP/","Open Post")</f>
        <v>Open Post</v>
      </c>
      <c r="L787" s="6" t="s">
        <v>5127</v>
      </c>
      <c r="M787" s="6" t="s">
        <v>55</v>
      </c>
      <c r="N787" s="6" t="s">
        <v>5128</v>
      </c>
      <c r="O787" s="6" t="s">
        <v>59</v>
      </c>
      <c r="P787" s="6" t="s">
        <v>5129</v>
      </c>
    </row>
    <row r="788">
      <c r="A788" s="6" t="s">
        <v>5074</v>
      </c>
      <c r="B788" s="6">
        <v>10.0</v>
      </c>
      <c r="F788" s="6" t="s">
        <v>984</v>
      </c>
      <c r="G788" s="6" t="s">
        <v>5098</v>
      </c>
      <c r="H788" s="6" t="s">
        <v>48</v>
      </c>
      <c r="I788" s="6" t="s">
        <v>48</v>
      </c>
      <c r="J788" s="6" t="s">
        <v>48</v>
      </c>
      <c r="K788" s="9" t="str">
        <f>HYPERLINK("https://www.instagram.com/p/CdU97ldJjyD/","Open Post")</f>
        <v>Open Post</v>
      </c>
      <c r="L788" s="6" t="s">
        <v>5131</v>
      </c>
      <c r="M788" s="6" t="s">
        <v>5132</v>
      </c>
      <c r="N788" s="6" t="s">
        <v>1079</v>
      </c>
      <c r="O788" s="6" t="s">
        <v>59</v>
      </c>
      <c r="P788" s="6" t="s">
        <v>5134</v>
      </c>
    </row>
    <row r="789">
      <c r="A789" s="6" t="s">
        <v>5074</v>
      </c>
      <c r="B789" s="6">
        <v>11.0</v>
      </c>
      <c r="F789" s="6" t="s">
        <v>984</v>
      </c>
      <c r="G789" s="6" t="s">
        <v>5098</v>
      </c>
      <c r="H789" s="6" t="s">
        <v>48</v>
      </c>
      <c r="I789" s="6" t="s">
        <v>48</v>
      </c>
      <c r="J789" s="6" t="s">
        <v>48</v>
      </c>
      <c r="K789" s="9" t="str">
        <f>HYPERLINK("https://www.instagram.com/p/CWYItKUAjHW/","Open Post")</f>
        <v>Open Post</v>
      </c>
      <c r="L789" s="6" t="s">
        <v>5136</v>
      </c>
      <c r="M789" s="6" t="s">
        <v>5137</v>
      </c>
      <c r="N789" s="6" t="s">
        <v>1092</v>
      </c>
      <c r="O789" s="6" t="s">
        <v>59</v>
      </c>
      <c r="P789" s="6" t="s">
        <v>5139</v>
      </c>
    </row>
    <row r="790">
      <c r="A790" s="6" t="s">
        <v>5074</v>
      </c>
      <c r="B790" s="6">
        <v>12.0</v>
      </c>
      <c r="F790" s="6" t="s">
        <v>65</v>
      </c>
      <c r="G790" s="6" t="s">
        <v>5140</v>
      </c>
      <c r="H790" s="6" t="s">
        <v>48</v>
      </c>
      <c r="I790" s="6">
        <v>60.0</v>
      </c>
      <c r="J790" s="6" t="s">
        <v>48</v>
      </c>
      <c r="K790" s="9" t="str">
        <f>HYPERLINK("https://www.instagram.com/reel/CRqthtansyJ/?utm_source=ig_web_copy_link&amp;stkn=MzRlODBiNWFlZA==","Open Reel")</f>
        <v>Open Reel</v>
      </c>
      <c r="L790" s="6" t="s">
        <v>699</v>
      </c>
      <c r="M790" s="6" t="s">
        <v>700</v>
      </c>
      <c r="N790" s="6" t="s">
        <v>186</v>
      </c>
      <c r="O790" s="6" t="s">
        <v>68</v>
      </c>
      <c r="P790" s="6" t="s">
        <v>5142</v>
      </c>
    </row>
    <row r="791">
      <c r="A791" s="6" t="s">
        <v>5074</v>
      </c>
      <c r="B791" s="6">
        <v>13.0</v>
      </c>
      <c r="F791" s="6" t="s">
        <v>1026</v>
      </c>
      <c r="G791" s="6" t="s">
        <v>5144</v>
      </c>
      <c r="H791" s="6" t="s">
        <v>48</v>
      </c>
      <c r="I791" s="6" t="s">
        <v>48</v>
      </c>
      <c r="J791" s="6" t="s">
        <v>48</v>
      </c>
      <c r="K791" s="9" t="str">
        <f>HYPERLINK("https://www.instagram.com/p/CCcteqDDhpj/","Open Post")</f>
        <v>Open Post</v>
      </c>
      <c r="L791" s="18" t="s">
        <v>5146</v>
      </c>
      <c r="M791" s="18" t="s">
        <v>5147</v>
      </c>
      <c r="N791" s="6" t="s">
        <v>5148</v>
      </c>
      <c r="O791" s="6" t="s">
        <v>59</v>
      </c>
      <c r="P791" s="6" t="s">
        <v>5149</v>
      </c>
    </row>
    <row r="792">
      <c r="A792" s="6" t="s">
        <v>5074</v>
      </c>
      <c r="B792" s="6">
        <v>14.0</v>
      </c>
      <c r="F792" s="6" t="s">
        <v>65</v>
      </c>
      <c r="G792" s="6" t="s">
        <v>5091</v>
      </c>
      <c r="H792" s="6">
        <v>15.0</v>
      </c>
      <c r="I792" s="6" t="s">
        <v>48</v>
      </c>
      <c r="J792" s="6" t="s">
        <v>48</v>
      </c>
      <c r="K792" s="9" t="str">
        <f>HYPERLINK("https://www.instagram.com/p/B60XJCNJJ4o/?utm_source=ig_web_copy_link&amp;stkn=MzRlODBiNWFlZA==","Open Reel")</f>
        <v>Open Reel</v>
      </c>
      <c r="L792" s="6" t="s">
        <v>5153</v>
      </c>
      <c r="M792" s="6" t="s">
        <v>5154</v>
      </c>
      <c r="N792" s="6" t="s">
        <v>206</v>
      </c>
      <c r="O792" s="6" t="s">
        <v>68</v>
      </c>
      <c r="P792" s="6" t="s">
        <v>5155</v>
      </c>
    </row>
    <row r="793">
      <c r="A793" s="6" t="s">
        <v>5074</v>
      </c>
      <c r="B793" s="6">
        <v>15.0</v>
      </c>
      <c r="F793" s="6" t="s">
        <v>1026</v>
      </c>
      <c r="G793" s="6" t="s">
        <v>5098</v>
      </c>
      <c r="H793" s="6" t="s">
        <v>48</v>
      </c>
      <c r="I793" s="6" t="s">
        <v>48</v>
      </c>
      <c r="J793" s="6" t="s">
        <v>48</v>
      </c>
      <c r="K793" s="9" t="str">
        <f>HYPERLINK("https://www.instagram.com/p/By8k43SAh5j/","Open Post")</f>
        <v>Open Post</v>
      </c>
      <c r="L793" s="6" t="s">
        <v>5159</v>
      </c>
      <c r="M793" s="6" t="s">
        <v>5160</v>
      </c>
      <c r="N793" s="6" t="s">
        <v>5161</v>
      </c>
      <c r="O793" s="6" t="s">
        <v>59</v>
      </c>
      <c r="P793" s="6" t="s">
        <v>5162</v>
      </c>
    </row>
    <row r="794">
      <c r="A794" s="6" t="s">
        <v>5074</v>
      </c>
      <c r="B794" s="6">
        <v>16.0</v>
      </c>
      <c r="F794" s="6" t="s">
        <v>1026</v>
      </c>
      <c r="G794" s="6" t="s">
        <v>5112</v>
      </c>
      <c r="H794" s="6" t="s">
        <v>48</v>
      </c>
      <c r="I794" s="6" t="s">
        <v>48</v>
      </c>
      <c r="J794" s="6" t="s">
        <v>48</v>
      </c>
      <c r="K794" s="9" t="str">
        <f>HYPERLINK("https://www.instagram.com/p/BytGF6wAuBS/","Open Post")</f>
        <v>Open Post</v>
      </c>
      <c r="L794" s="6" t="s">
        <v>5163</v>
      </c>
      <c r="M794" s="6" t="s">
        <v>5164</v>
      </c>
      <c r="N794" s="6" t="s">
        <v>1144</v>
      </c>
      <c r="O794" s="6" t="s">
        <v>59</v>
      </c>
      <c r="P794" s="6" t="s">
        <v>5165</v>
      </c>
    </row>
    <row r="795">
      <c r="A795" s="6" t="s">
        <v>5074</v>
      </c>
      <c r="B795" s="6">
        <v>17.0</v>
      </c>
      <c r="F795" s="6" t="s">
        <v>984</v>
      </c>
      <c r="G795" s="6" t="s">
        <v>5167</v>
      </c>
      <c r="H795" s="6" t="s">
        <v>48</v>
      </c>
      <c r="I795" s="6" t="s">
        <v>48</v>
      </c>
      <c r="J795" s="6" t="s">
        <v>48</v>
      </c>
      <c r="K795" s="9" t="str">
        <f>HYPERLINK("https://www.instagram.com/p/BwbkVEtFvCg/","Open Post")</f>
        <v>Open Post</v>
      </c>
      <c r="L795" s="6" t="s">
        <v>2547</v>
      </c>
      <c r="M795" s="6" t="s">
        <v>2548</v>
      </c>
      <c r="N795" s="6" t="s">
        <v>1157</v>
      </c>
      <c r="O795" s="6" t="s">
        <v>59</v>
      </c>
      <c r="P795" s="6" t="s">
        <v>5170</v>
      </c>
    </row>
    <row r="796">
      <c r="A796" s="6" t="s">
        <v>5074</v>
      </c>
      <c r="B796" s="6">
        <v>18.0</v>
      </c>
      <c r="F796" s="6" t="s">
        <v>1026</v>
      </c>
      <c r="G796" s="6" t="s">
        <v>5098</v>
      </c>
      <c r="H796" s="6" t="s">
        <v>48</v>
      </c>
      <c r="I796" s="6" t="s">
        <v>48</v>
      </c>
      <c r="J796" s="6" t="s">
        <v>48</v>
      </c>
      <c r="K796" s="9" t="str">
        <f>HYPERLINK("https://www.instagram.com/p/BwHJUS7A0-z/","Open Post")</f>
        <v>Open Post</v>
      </c>
      <c r="L796" s="6" t="s">
        <v>5172</v>
      </c>
      <c r="M796" s="6" t="s">
        <v>5174</v>
      </c>
      <c r="N796" s="6" t="s">
        <v>5175</v>
      </c>
      <c r="O796" s="6" t="s">
        <v>59</v>
      </c>
      <c r="P796" s="6" t="s">
        <v>5176</v>
      </c>
    </row>
    <row r="797">
      <c r="A797" s="6" t="s">
        <v>5074</v>
      </c>
      <c r="B797" s="6">
        <v>19.0</v>
      </c>
      <c r="F797" s="6" t="s">
        <v>1026</v>
      </c>
      <c r="G797" s="6" t="s">
        <v>5112</v>
      </c>
      <c r="H797" s="6" t="s">
        <v>48</v>
      </c>
      <c r="I797" s="6" t="s">
        <v>48</v>
      </c>
      <c r="J797" s="6" t="s">
        <v>48</v>
      </c>
      <c r="K797" s="9" t="str">
        <f>HYPERLINK("https://www.instagram.com/p/BwFRI1ugmtI/","Open Post")</f>
        <v>Open Post</v>
      </c>
      <c r="L797" s="6" t="s">
        <v>5178</v>
      </c>
      <c r="M797" s="6" t="s">
        <v>5179</v>
      </c>
      <c r="N797" s="6" t="s">
        <v>5180</v>
      </c>
      <c r="O797" s="6" t="s">
        <v>59</v>
      </c>
      <c r="P797" s="6" t="s">
        <v>5181</v>
      </c>
    </row>
    <row r="798">
      <c r="A798" s="6" t="s">
        <v>5074</v>
      </c>
      <c r="B798" s="6">
        <v>20.0</v>
      </c>
      <c r="F798" s="6" t="s">
        <v>984</v>
      </c>
      <c r="G798" s="6" t="s">
        <v>286</v>
      </c>
      <c r="H798" s="6" t="s">
        <v>48</v>
      </c>
      <c r="I798" s="6" t="s">
        <v>48</v>
      </c>
      <c r="J798" s="6" t="s">
        <v>48</v>
      </c>
      <c r="K798" s="9" t="str">
        <f>HYPERLINK("https://www.instagram.com/p/Bv2fM8zns2D/","Open Post")</f>
        <v>Open Post</v>
      </c>
      <c r="L798" s="6" t="s">
        <v>5184</v>
      </c>
      <c r="M798" s="6" t="s">
        <v>5185</v>
      </c>
      <c r="N798" s="6" t="s">
        <v>5186</v>
      </c>
      <c r="O798" s="6" t="s">
        <v>59</v>
      </c>
      <c r="P798" s="6" t="s">
        <v>5187</v>
      </c>
    </row>
    <row r="799">
      <c r="A799" s="6" t="s">
        <v>5074</v>
      </c>
      <c r="B799" s="6">
        <v>21.0</v>
      </c>
      <c r="F799" s="6" t="s">
        <v>984</v>
      </c>
      <c r="G799" s="6" t="s">
        <v>5144</v>
      </c>
      <c r="H799" s="6" t="s">
        <v>48</v>
      </c>
      <c r="I799" s="6" t="s">
        <v>48</v>
      </c>
      <c r="J799" s="6" t="s">
        <v>48</v>
      </c>
      <c r="K799" s="9" t="str">
        <f>HYPERLINK("https://www.instagram.com/p/BoqsOi7HtO2/","Open Post")</f>
        <v>Open Post</v>
      </c>
      <c r="L799" s="6" t="s">
        <v>5190</v>
      </c>
      <c r="M799" s="6" t="s">
        <v>5191</v>
      </c>
      <c r="N799" s="6" t="s">
        <v>1198</v>
      </c>
      <c r="O799" s="6" t="s">
        <v>59</v>
      </c>
      <c r="P799" s="6" t="s">
        <v>5192</v>
      </c>
    </row>
    <row r="800">
      <c r="A800" s="6" t="s">
        <v>5074</v>
      </c>
      <c r="B800" s="6">
        <v>22.0</v>
      </c>
      <c r="F800" s="6" t="s">
        <v>984</v>
      </c>
      <c r="G800" s="6" t="s">
        <v>5194</v>
      </c>
      <c r="H800" s="6" t="s">
        <v>48</v>
      </c>
      <c r="I800" s="6" t="s">
        <v>48</v>
      </c>
      <c r="J800" s="6" t="s">
        <v>48</v>
      </c>
      <c r="K800" s="9" t="str">
        <f>HYPERLINK("https://www.instagram.com/p/Bh_fNdJlD8y/","Open Post")</f>
        <v>Open Post</v>
      </c>
      <c r="L800" s="6" t="s">
        <v>5196</v>
      </c>
      <c r="M800" s="6" t="s">
        <v>5197</v>
      </c>
      <c r="N800" s="6" t="s">
        <v>1203</v>
      </c>
      <c r="O800" s="6" t="s">
        <v>59</v>
      </c>
      <c r="P800" s="6" t="s">
        <v>5199</v>
      </c>
    </row>
    <row r="802">
      <c r="A802" s="6" t="s">
        <v>5200</v>
      </c>
      <c r="B802" s="6">
        <v>1.0</v>
      </c>
      <c r="F802" s="6" t="s">
        <v>65</v>
      </c>
      <c r="G802" s="6" t="s">
        <v>5202</v>
      </c>
      <c r="H802" s="6" t="s">
        <v>48</v>
      </c>
      <c r="I802" s="6" t="s">
        <v>48</v>
      </c>
      <c r="J802" s="6" t="s">
        <v>48</v>
      </c>
      <c r="K802" s="9" t="str">
        <f>HYPERLINK("https://www.instagram.com/reel/Dc_Yxsch-6v/?utm_source=ig_web_copy_link&amp;stkn=MzRlODBiNWFlZA==","Open Reel")</f>
        <v>Open Reel</v>
      </c>
      <c r="L802" s="6" t="s">
        <v>5203</v>
      </c>
      <c r="M802" s="6" t="s">
        <v>5205</v>
      </c>
      <c r="N802" s="6" t="s">
        <v>305</v>
      </c>
      <c r="O802" s="6" t="s">
        <v>68</v>
      </c>
      <c r="P802" s="6" t="s">
        <v>5206</v>
      </c>
    </row>
    <row r="803">
      <c r="A803" s="6" t="s">
        <v>5200</v>
      </c>
      <c r="B803" s="6">
        <v>2.0</v>
      </c>
      <c r="F803" s="6" t="s">
        <v>65</v>
      </c>
      <c r="G803" s="6" t="s">
        <v>228</v>
      </c>
      <c r="H803" s="6" t="s">
        <v>48</v>
      </c>
      <c r="I803" s="6">
        <v>66.0</v>
      </c>
      <c r="J803" s="6" t="s">
        <v>48</v>
      </c>
      <c r="K803" s="9" t="str">
        <f>HYPERLINK("https://www.instagram.com/reel/DcAI3PDtYYZ/?utm_source=ig_web_copy_link&amp;stkn=MzRlODBiNWFlZA==","Open Reel")</f>
        <v>Open Reel</v>
      </c>
      <c r="L803" s="6" t="s">
        <v>5209</v>
      </c>
      <c r="M803" s="6" t="s">
        <v>5210</v>
      </c>
      <c r="N803" s="6" t="s">
        <v>75</v>
      </c>
      <c r="O803" s="6" t="s">
        <v>68</v>
      </c>
      <c r="P803" s="6" t="s">
        <v>5211</v>
      </c>
    </row>
    <row r="804">
      <c r="A804" s="6" t="s">
        <v>5200</v>
      </c>
      <c r="B804" s="6">
        <v>3.0</v>
      </c>
      <c r="F804" s="6" t="s">
        <v>65</v>
      </c>
      <c r="G804" s="6" t="s">
        <v>228</v>
      </c>
      <c r="H804" s="6" t="s">
        <v>48</v>
      </c>
      <c r="I804" s="6">
        <v>4.0</v>
      </c>
      <c r="J804" s="6" t="s">
        <v>48</v>
      </c>
      <c r="K804" s="9" t="str">
        <f>HYPERLINK("https://www.instagram.com/reel/Db-0I7IIQK6/?utm_source=ig_web_copy_link&amp;stkn=MzRlODBiNWFlZA==","Open Reel")</f>
        <v>Open Reel</v>
      </c>
      <c r="L804" s="6" t="s">
        <v>5215</v>
      </c>
      <c r="M804" s="6" t="s">
        <v>5216</v>
      </c>
      <c r="N804" s="6" t="s">
        <v>82</v>
      </c>
      <c r="O804" s="6" t="s">
        <v>68</v>
      </c>
      <c r="P804" s="6" t="s">
        <v>5218</v>
      </c>
    </row>
    <row r="805">
      <c r="A805" s="6" t="s">
        <v>5200</v>
      </c>
      <c r="B805" s="6">
        <v>4.0</v>
      </c>
      <c r="F805" s="6" t="s">
        <v>65</v>
      </c>
      <c r="G805" s="6" t="s">
        <v>85</v>
      </c>
      <c r="H805" s="6" t="s">
        <v>48</v>
      </c>
      <c r="I805" s="6">
        <v>19.0</v>
      </c>
      <c r="J805" s="6" t="s">
        <v>48</v>
      </c>
      <c r="K805" s="9" t="str">
        <f>HYPERLINK("https://www.instagram.com/reel/DaueRh8oKDb/?utm_source=ig_web_copy_link&amp;stkn=MzRlODBiNWFlZA==","Open Reel")</f>
        <v>Open Reel</v>
      </c>
      <c r="L805" s="6" t="s">
        <v>5221</v>
      </c>
      <c r="M805" s="6" t="s">
        <v>55</v>
      </c>
      <c r="N805" s="6" t="s">
        <v>89</v>
      </c>
      <c r="O805" s="6" t="s">
        <v>68</v>
      </c>
      <c r="P805" s="6" t="s">
        <v>5222</v>
      </c>
    </row>
    <row r="806">
      <c r="A806" s="6" t="s">
        <v>5200</v>
      </c>
      <c r="B806" s="6">
        <v>5.0</v>
      </c>
      <c r="F806" s="6" t="s">
        <v>1026</v>
      </c>
      <c r="G806" s="6" t="s">
        <v>5223</v>
      </c>
      <c r="H806" s="6" t="s">
        <v>48</v>
      </c>
      <c r="I806" s="6" t="s">
        <v>48</v>
      </c>
      <c r="J806" s="6" t="s">
        <v>48</v>
      </c>
      <c r="K806" s="9" t="str">
        <f>HYPERLINK("https://www.instagram.com/p/Dajx_9ljI3S/","Open Post")</f>
        <v>Open Post</v>
      </c>
      <c r="L806" s="6" t="s">
        <v>5228</v>
      </c>
      <c r="M806" s="6" t="s">
        <v>5229</v>
      </c>
      <c r="N806" s="6" t="s">
        <v>5103</v>
      </c>
      <c r="O806" s="6" t="s">
        <v>59</v>
      </c>
      <c r="P806" s="6" t="s">
        <v>5104</v>
      </c>
    </row>
    <row r="807">
      <c r="A807" s="6" t="s">
        <v>5200</v>
      </c>
      <c r="B807" s="6">
        <v>6.0</v>
      </c>
      <c r="F807" s="6" t="s">
        <v>65</v>
      </c>
      <c r="G807" s="6" t="s">
        <v>5230</v>
      </c>
      <c r="H807" s="6" t="s">
        <v>48</v>
      </c>
      <c r="I807" s="6" t="s">
        <v>48</v>
      </c>
      <c r="J807" s="6" t="s">
        <v>48</v>
      </c>
      <c r="K807" s="9" t="str">
        <f>HYPERLINK("https://www.instagram.com/reel/DafiqzlqTaI/?utm_source=ig_web_copy_link&amp;stkn=MzRlODBiNWFlZA==","Open Reel")</f>
        <v>Open Reel</v>
      </c>
      <c r="L807" s="6" t="s">
        <v>5234</v>
      </c>
      <c r="M807" s="6" t="s">
        <v>5235</v>
      </c>
      <c r="N807" s="6" t="s">
        <v>115</v>
      </c>
      <c r="O807" s="6" t="s">
        <v>68</v>
      </c>
      <c r="P807" s="6" t="s">
        <v>5236</v>
      </c>
    </row>
    <row r="808">
      <c r="A808" s="6" t="s">
        <v>5200</v>
      </c>
      <c r="B808" s="6">
        <v>7.0</v>
      </c>
      <c r="F808" s="6" t="s">
        <v>984</v>
      </c>
      <c r="G808" s="6" t="s">
        <v>5223</v>
      </c>
      <c r="H808" s="6" t="s">
        <v>48</v>
      </c>
      <c r="I808" s="6" t="s">
        <v>48</v>
      </c>
      <c r="J808" s="6" t="s">
        <v>48</v>
      </c>
      <c r="K808" s="9" t="str">
        <f>HYPERLINK("https://www.instagram.com/p/DZw8L4ukk5L/","Open Post")</f>
        <v>Open Post</v>
      </c>
      <c r="L808" s="6" t="s">
        <v>5241</v>
      </c>
      <c r="M808" s="6" t="s">
        <v>5242</v>
      </c>
      <c r="N808" s="6" t="s">
        <v>1045</v>
      </c>
      <c r="O808" s="6" t="s">
        <v>59</v>
      </c>
      <c r="P808" s="6" t="s">
        <v>5118</v>
      </c>
    </row>
    <row r="809">
      <c r="A809" s="6" t="s">
        <v>5200</v>
      </c>
      <c r="B809" s="6">
        <v>8.0</v>
      </c>
      <c r="F809" s="6" t="s">
        <v>65</v>
      </c>
      <c r="G809" s="6" t="s">
        <v>85</v>
      </c>
      <c r="H809" s="6" t="s">
        <v>48</v>
      </c>
      <c r="I809" s="6">
        <v>46.0</v>
      </c>
      <c r="J809" s="6" t="s">
        <v>48</v>
      </c>
      <c r="K809" s="9" t="str">
        <f>HYPERLINK("https://www.instagram.com/reel/DZb4Vz-o0z8/?utm_source=ig_web_copy_link&amp;stkn=MzRlODBiNWFlZA==","Open Reel")</f>
        <v>Open Reel</v>
      </c>
      <c r="L809" s="6" t="s">
        <v>5246</v>
      </c>
      <c r="M809" s="6" t="s">
        <v>55</v>
      </c>
      <c r="N809" s="6" t="s">
        <v>502</v>
      </c>
      <c r="O809" s="6" t="s">
        <v>68</v>
      </c>
      <c r="P809" s="6" t="s">
        <v>5247</v>
      </c>
    </row>
    <row r="810">
      <c r="A810" s="6" t="s">
        <v>5200</v>
      </c>
      <c r="B810" s="6">
        <v>9.0</v>
      </c>
      <c r="F810" s="6" t="s">
        <v>65</v>
      </c>
      <c r="G810" s="6" t="s">
        <v>5223</v>
      </c>
      <c r="H810" s="6" t="s">
        <v>48</v>
      </c>
      <c r="I810" s="6">
        <v>59.0</v>
      </c>
      <c r="J810" s="6" t="s">
        <v>48</v>
      </c>
      <c r="K810" s="9" t="str">
        <f>HYPERLINK("https://www.instagram.com/reel/DZAqjXCh0zv/?utm_source=ig_web_copy_link&amp;stkn=MzRlODBiNWFlZA==","Open Reel")</f>
        <v>Open Reel</v>
      </c>
      <c r="L810" s="6" t="s">
        <v>5249</v>
      </c>
      <c r="M810" s="6" t="s">
        <v>5250</v>
      </c>
      <c r="N810" s="6" t="s">
        <v>151</v>
      </c>
      <c r="O810" s="6" t="s">
        <v>68</v>
      </c>
      <c r="P810" s="6" t="s">
        <v>5251</v>
      </c>
    </row>
    <row r="811">
      <c r="A811" s="6" t="s">
        <v>5200</v>
      </c>
      <c r="B811" s="6">
        <v>10.0</v>
      </c>
      <c r="F811" s="6" t="s">
        <v>984</v>
      </c>
      <c r="G811" s="6" t="s">
        <v>5223</v>
      </c>
      <c r="H811" s="6" t="s">
        <v>48</v>
      </c>
      <c r="I811" s="6" t="s">
        <v>48</v>
      </c>
      <c r="J811" s="6" t="s">
        <v>48</v>
      </c>
      <c r="K811" s="9" t="str">
        <f>HYPERLINK("https://www.instagram.com/p/DYWhZj5Aokh/","Open Post")</f>
        <v>Open Post</v>
      </c>
      <c r="L811" s="6" t="s">
        <v>5254</v>
      </c>
      <c r="M811" s="6" t="s">
        <v>55</v>
      </c>
      <c r="N811" s="6" t="s">
        <v>1079</v>
      </c>
      <c r="O811" s="6" t="s">
        <v>59</v>
      </c>
      <c r="P811" s="6" t="s">
        <v>5134</v>
      </c>
    </row>
    <row r="812">
      <c r="A812" s="6" t="s">
        <v>5200</v>
      </c>
      <c r="B812" s="6">
        <v>11.0</v>
      </c>
      <c r="F812" s="6" t="s">
        <v>65</v>
      </c>
      <c r="G812" s="6" t="s">
        <v>228</v>
      </c>
      <c r="H812" s="6" t="s">
        <v>48</v>
      </c>
      <c r="I812" s="6">
        <v>11.0</v>
      </c>
      <c r="J812" s="6" t="s">
        <v>48</v>
      </c>
      <c r="K812" s="9" t="str">
        <f>HYPERLINK("https://www.instagram.com/reel/DYMUl_nIzMe/?utm_source=ig_web_copy_link&amp;stkn=MzRlODBiNWFlZA==","Open Reel")</f>
        <v>Open Reel</v>
      </c>
      <c r="L812" s="6" t="s">
        <v>5260</v>
      </c>
      <c r="M812" s="6" t="s">
        <v>55</v>
      </c>
      <c r="N812" s="6" t="s">
        <v>387</v>
      </c>
      <c r="O812" s="6" t="s">
        <v>68</v>
      </c>
      <c r="P812" s="6" t="s">
        <v>5261</v>
      </c>
    </row>
    <row r="813">
      <c r="A813" s="6" t="s">
        <v>5200</v>
      </c>
      <c r="B813" s="6">
        <v>12.0</v>
      </c>
      <c r="F813" s="6" t="s">
        <v>1026</v>
      </c>
      <c r="G813" s="6" t="s">
        <v>5223</v>
      </c>
      <c r="H813" s="6" t="s">
        <v>48</v>
      </c>
      <c r="I813" s="6" t="s">
        <v>48</v>
      </c>
      <c r="J813" s="6" t="s">
        <v>48</v>
      </c>
      <c r="K813" s="9" t="str">
        <f>HYPERLINK("https://www.instagram.com/p/DXpBbAQFYRL/","Open Post")</f>
        <v>Open Post</v>
      </c>
      <c r="L813" s="6" t="s">
        <v>5263</v>
      </c>
      <c r="M813" s="6" t="s">
        <v>5264</v>
      </c>
      <c r="N813" s="6" t="s">
        <v>5265</v>
      </c>
      <c r="O813" s="6" t="s">
        <v>59</v>
      </c>
      <c r="P813" s="6" t="s">
        <v>5266</v>
      </c>
    </row>
    <row r="814">
      <c r="A814" s="6" t="s">
        <v>5200</v>
      </c>
      <c r="B814" s="6">
        <v>13.0</v>
      </c>
      <c r="F814" s="6" t="s">
        <v>984</v>
      </c>
      <c r="G814" s="6" t="s">
        <v>408</v>
      </c>
      <c r="H814" s="6" t="s">
        <v>48</v>
      </c>
      <c r="I814" s="6" t="s">
        <v>48</v>
      </c>
      <c r="J814" s="6" t="s">
        <v>48</v>
      </c>
      <c r="K814" s="9" t="str">
        <f>HYPERLINK("https://www.instagram.com/p/DWT_63wCI1O/","Open Post")</f>
        <v>Open Post</v>
      </c>
      <c r="L814" s="6" t="s">
        <v>5268</v>
      </c>
      <c r="M814" s="6" t="s">
        <v>5269</v>
      </c>
      <c r="N814" s="6" t="s">
        <v>1118</v>
      </c>
      <c r="O814" s="6" t="s">
        <v>59</v>
      </c>
      <c r="P814" s="6" t="s">
        <v>5149</v>
      </c>
    </row>
    <row r="815">
      <c r="A815" s="6" t="s">
        <v>5200</v>
      </c>
      <c r="B815" s="6">
        <v>14.0</v>
      </c>
      <c r="F815" s="6" t="s">
        <v>65</v>
      </c>
      <c r="G815" s="6" t="s">
        <v>5091</v>
      </c>
      <c r="H815" s="6" t="s">
        <v>48</v>
      </c>
      <c r="I815" s="6">
        <v>3.0</v>
      </c>
      <c r="J815" s="6" t="s">
        <v>48</v>
      </c>
      <c r="K815" s="9" t="str">
        <f>HYPERLINK("https://www.instagram.com/reel/DSiQJYxkZOn/?utm_source=ig_web_copy_link&amp;stkn=MzRlODBiNWFlZA==","Open Reel")</f>
        <v>Open Reel</v>
      </c>
      <c r="L815" s="6" t="s">
        <v>5272</v>
      </c>
      <c r="M815" s="6" t="s">
        <v>5273</v>
      </c>
      <c r="N815" s="6" t="s">
        <v>206</v>
      </c>
      <c r="O815" s="6" t="s">
        <v>68</v>
      </c>
      <c r="P815" s="6" t="s">
        <v>5155</v>
      </c>
    </row>
    <row r="816">
      <c r="A816" s="6" t="s">
        <v>5200</v>
      </c>
      <c r="B816" s="6">
        <v>15.0</v>
      </c>
      <c r="F816" s="6" t="s">
        <v>1026</v>
      </c>
      <c r="G816" s="6" t="s">
        <v>228</v>
      </c>
      <c r="H816" s="6" t="s">
        <v>48</v>
      </c>
      <c r="I816" s="6" t="s">
        <v>48</v>
      </c>
      <c r="J816" s="6" t="s">
        <v>48</v>
      </c>
      <c r="K816" s="9" t="str">
        <f>HYPERLINK("https://www.instagram.com/p/DRCRksICH8d/","Open Post")</f>
        <v>Open Post</v>
      </c>
      <c r="L816" s="6" t="s">
        <v>5277</v>
      </c>
      <c r="M816" s="6" t="s">
        <v>5278</v>
      </c>
      <c r="N816" s="6" t="s">
        <v>5161</v>
      </c>
      <c r="O816" s="6" t="s">
        <v>59</v>
      </c>
      <c r="P816" s="6" t="s">
        <v>5162</v>
      </c>
    </row>
    <row r="817">
      <c r="A817" s="6" t="s">
        <v>5200</v>
      </c>
      <c r="B817" s="6">
        <v>16.0</v>
      </c>
      <c r="F817" s="6" t="s">
        <v>1026</v>
      </c>
      <c r="G817" s="6" t="s">
        <v>5084</v>
      </c>
      <c r="H817" s="6" t="s">
        <v>48</v>
      </c>
      <c r="I817" s="6" t="s">
        <v>48</v>
      </c>
      <c r="J817" s="6" t="s">
        <v>48</v>
      </c>
      <c r="K817" s="9" t="str">
        <f>HYPERLINK("https://www.instagram.com/p/DQcHY7QAW8K/","Open Post")</f>
        <v>Open Post</v>
      </c>
      <c r="L817" s="6" t="s">
        <v>5279</v>
      </c>
      <c r="M817" s="6" t="s">
        <v>5280</v>
      </c>
      <c r="N817" s="6" t="s">
        <v>1144</v>
      </c>
      <c r="O817" s="6" t="s">
        <v>59</v>
      </c>
      <c r="P817" s="6" t="s">
        <v>5165</v>
      </c>
    </row>
    <row r="818">
      <c r="A818" s="6" t="s">
        <v>5200</v>
      </c>
      <c r="B818" s="6">
        <v>17.0</v>
      </c>
      <c r="F818" s="6" t="s">
        <v>1026</v>
      </c>
      <c r="G818" s="6" t="s">
        <v>5202</v>
      </c>
      <c r="H818" s="6" t="s">
        <v>48</v>
      </c>
      <c r="I818" s="6" t="s">
        <v>48</v>
      </c>
      <c r="J818" s="6" t="s">
        <v>48</v>
      </c>
      <c r="K818" s="9" t="str">
        <f>HYPERLINK("https://www.instagram.com/p/DOnxJKcjGzU/","Open Post")</f>
        <v>Open Post</v>
      </c>
      <c r="L818" s="6" t="s">
        <v>5284</v>
      </c>
      <c r="M818" s="6" t="s">
        <v>55</v>
      </c>
      <c r="N818" s="6" t="s">
        <v>5285</v>
      </c>
      <c r="O818" s="6" t="s">
        <v>59</v>
      </c>
      <c r="P818" s="6" t="s">
        <v>5170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38"/>
    <col customWidth="1" min="14" max="14" width="23.0"/>
  </cols>
  <sheetData>
    <row r="1">
      <c r="A1" s="2" t="s">
        <v>1</v>
      </c>
      <c r="B1" s="4" t="s">
        <v>11</v>
      </c>
      <c r="C1" s="4" t="s">
        <v>16</v>
      </c>
      <c r="D1" s="4" t="s">
        <v>17</v>
      </c>
      <c r="E1" s="4" t="s">
        <v>13</v>
      </c>
      <c r="F1" s="4" t="s">
        <v>18</v>
      </c>
      <c r="G1" s="4" t="s">
        <v>19</v>
      </c>
      <c r="H1" s="4" t="s">
        <v>21</v>
      </c>
      <c r="I1" s="4" t="s">
        <v>23</v>
      </c>
      <c r="J1" s="4" t="s">
        <v>25</v>
      </c>
      <c r="K1" s="4" t="s">
        <v>27</v>
      </c>
      <c r="L1" s="4" t="s">
        <v>29</v>
      </c>
      <c r="M1" s="4" t="s">
        <v>31</v>
      </c>
      <c r="N1" s="4" t="s">
        <v>33</v>
      </c>
      <c r="O1" s="2" t="s">
        <v>35</v>
      </c>
      <c r="P1" s="2" t="s">
        <v>12</v>
      </c>
      <c r="Q1" s="2" t="s">
        <v>37</v>
      </c>
      <c r="R1" s="4" t="s">
        <v>39</v>
      </c>
    </row>
    <row r="2">
      <c r="A2" s="7" t="s">
        <v>44</v>
      </c>
      <c r="B2" s="7" t="s">
        <v>44</v>
      </c>
      <c r="C2" s="7">
        <v>1.0</v>
      </c>
      <c r="D2" s="8" t="str">
        <f>HYPERLINK("https://www.linkedin.com/ad-library/detail/1523874474","Open Ad")</f>
        <v>Open Ad</v>
      </c>
      <c r="E2" s="7" t="s">
        <v>52</v>
      </c>
      <c r="F2" s="7" t="s">
        <v>53</v>
      </c>
      <c r="G2" s="7" t="s">
        <v>54</v>
      </c>
      <c r="H2" s="7" t="s">
        <v>55</v>
      </c>
      <c r="I2" s="7" t="s">
        <v>57</v>
      </c>
      <c r="J2" s="7" t="s">
        <v>52</v>
      </c>
      <c r="K2" s="7" t="s">
        <v>60</v>
      </c>
      <c r="L2" s="7" t="s">
        <v>62</v>
      </c>
      <c r="M2" s="7" t="s">
        <v>63</v>
      </c>
      <c r="N2" s="7" t="s">
        <v>64</v>
      </c>
      <c r="O2" s="10" t="s">
        <v>67</v>
      </c>
      <c r="P2" s="10">
        <v>1.523874474E9</v>
      </c>
      <c r="Q2" s="10" t="s">
        <v>68</v>
      </c>
      <c r="R2" s="7" t="s">
        <v>69</v>
      </c>
      <c r="S2" s="5"/>
      <c r="T2" s="5"/>
      <c r="U2" s="5"/>
      <c r="V2" s="5"/>
      <c r="W2" s="5"/>
      <c r="X2" s="5"/>
      <c r="Y2" s="5"/>
      <c r="Z2" s="5"/>
    </row>
    <row r="3">
      <c r="A3" s="4" t="s">
        <v>44</v>
      </c>
      <c r="B3" s="4" t="s">
        <v>44</v>
      </c>
      <c r="C3" s="4">
        <v>2.0</v>
      </c>
      <c r="D3" s="13" t="str">
        <f>HYPERLINK("https://www.linkedin.com/ad-library/detail/1523825024","Open Ad")</f>
        <v>Open Ad</v>
      </c>
      <c r="E3" s="4" t="s">
        <v>52</v>
      </c>
      <c r="F3" s="4" t="s">
        <v>53</v>
      </c>
      <c r="G3" s="4" t="s">
        <v>80</v>
      </c>
      <c r="H3" s="4" t="s">
        <v>55</v>
      </c>
      <c r="I3" s="4" t="s">
        <v>57</v>
      </c>
      <c r="J3" s="4" t="s">
        <v>52</v>
      </c>
      <c r="K3" s="4" t="s">
        <v>60</v>
      </c>
      <c r="L3" s="4" t="s">
        <v>62</v>
      </c>
      <c r="M3" s="4" t="s">
        <v>63</v>
      </c>
      <c r="N3" s="4" t="s">
        <v>84</v>
      </c>
      <c r="O3" s="2" t="s">
        <v>67</v>
      </c>
      <c r="P3" s="2">
        <v>1.523825024E9</v>
      </c>
      <c r="Q3" s="2" t="s">
        <v>68</v>
      </c>
      <c r="R3" s="4" t="s">
        <v>86</v>
      </c>
    </row>
    <row r="4">
      <c r="A4" s="4" t="s">
        <v>44</v>
      </c>
      <c r="B4" s="4" t="s">
        <v>44</v>
      </c>
      <c r="C4" s="4">
        <v>3.0</v>
      </c>
      <c r="D4" s="13" t="str">
        <f>HYPERLINK("https://www.linkedin.com/ad-library/detail/1514801434","Open Ad")</f>
        <v>Open Ad</v>
      </c>
      <c r="E4" s="4" t="s">
        <v>91</v>
      </c>
      <c r="F4" s="14" t="s">
        <v>92</v>
      </c>
      <c r="G4" s="4" t="s">
        <v>94</v>
      </c>
      <c r="H4" s="4" t="s">
        <v>55</v>
      </c>
      <c r="I4" s="4" t="s">
        <v>95</v>
      </c>
      <c r="J4" s="4" t="s">
        <v>91</v>
      </c>
      <c r="K4" s="13" t="str">
        <f>HYPERLINK("https://media.licdn.com/dms/image/v2/D4E10AQGS9fqoxfcK4A/image-shrink_1280/B4EaAed6E.IUAg-/0/1787217551986/zoominfo_learnmore_nonhuman1_373_visibility_1080x1080png?e=2147483647&amp;v=beta&amp;t=0LJCDSf_ZnEGJiIpA0LiuhUGYVQdKCRdAEytBamjNbQ","Open Creative")</f>
        <v>Open Creative</v>
      </c>
      <c r="L4" s="4" t="s">
        <v>62</v>
      </c>
      <c r="M4" s="4" t="s">
        <v>63</v>
      </c>
      <c r="N4" s="4" t="s">
        <v>108</v>
      </c>
      <c r="O4" s="2" t="s">
        <v>67</v>
      </c>
      <c r="P4" s="2">
        <v>1.514801434E9</v>
      </c>
      <c r="Q4" s="2" t="s">
        <v>68</v>
      </c>
      <c r="R4" s="4" t="s">
        <v>111</v>
      </c>
    </row>
    <row r="5">
      <c r="A5" s="4" t="s">
        <v>44</v>
      </c>
      <c r="B5" s="4" t="s">
        <v>44</v>
      </c>
      <c r="C5" s="4">
        <v>4.0</v>
      </c>
      <c r="D5" s="13" t="str">
        <f>HYPERLINK("https://www.linkedin.com/ad-library/detail/1524123984","Open Ad")</f>
        <v>Open Ad</v>
      </c>
      <c r="E5" s="4" t="s">
        <v>91</v>
      </c>
      <c r="F5" s="4" t="s">
        <v>53</v>
      </c>
      <c r="G5" s="4" t="s">
        <v>120</v>
      </c>
      <c r="H5" s="4" t="s">
        <v>122</v>
      </c>
      <c r="I5" s="4" t="s">
        <v>123</v>
      </c>
      <c r="J5" s="4" t="s">
        <v>91</v>
      </c>
      <c r="K5" s="13" t="str">
        <f>HYPERLINK("https://media.licdn.com/dms/image/v2/D4D22AQEzTH8Km1cu2A/feedshare-image-high-res/B4DaAjbqjJI8AY-/0/1787300850331?e=2147483647&amp;v=beta&amp;t=rGQP8DaToxmMTaoluPZFzVDoXIdBkDbaJcmyrAxk-bk","Open Creative")</f>
        <v>Open Creative</v>
      </c>
      <c r="L5" s="4" t="s">
        <v>131</v>
      </c>
      <c r="M5" s="4" t="s">
        <v>63</v>
      </c>
      <c r="N5" s="4" t="s">
        <v>132</v>
      </c>
      <c r="O5" s="2" t="s">
        <v>132</v>
      </c>
      <c r="P5" s="2">
        <v>1.524123984E9</v>
      </c>
      <c r="Q5" s="2" t="s">
        <v>68</v>
      </c>
      <c r="R5" s="4" t="s">
        <v>136</v>
      </c>
    </row>
    <row r="6">
      <c r="A6" s="4" t="s">
        <v>44</v>
      </c>
      <c r="B6" s="4" t="s">
        <v>44</v>
      </c>
      <c r="C6" s="4">
        <v>5.0</v>
      </c>
      <c r="D6" s="13" t="str">
        <f>HYPERLINK("https://www.linkedin.com/ad-library/detail/1541390624","Open Ad")</f>
        <v>Open Ad</v>
      </c>
      <c r="E6" s="4" t="s">
        <v>91</v>
      </c>
      <c r="F6" s="4" t="s">
        <v>53</v>
      </c>
      <c r="G6" s="4" t="s">
        <v>144</v>
      </c>
      <c r="H6" s="4" t="s">
        <v>55</v>
      </c>
      <c r="I6" s="4" t="s">
        <v>146</v>
      </c>
      <c r="J6" s="4" t="s">
        <v>91</v>
      </c>
      <c r="K6" s="4" t="s">
        <v>60</v>
      </c>
      <c r="L6" s="4" t="s">
        <v>62</v>
      </c>
      <c r="M6" s="4" t="s">
        <v>63</v>
      </c>
      <c r="N6" s="4" t="s">
        <v>147</v>
      </c>
      <c r="O6" s="2" t="s">
        <v>148</v>
      </c>
      <c r="P6" s="2">
        <v>1.541390624E9</v>
      </c>
      <c r="Q6" s="2" t="s">
        <v>68</v>
      </c>
      <c r="R6" s="4" t="s">
        <v>150</v>
      </c>
    </row>
    <row r="7">
      <c r="A7" s="4" t="s">
        <v>44</v>
      </c>
      <c r="B7" s="4" t="s">
        <v>44</v>
      </c>
      <c r="C7" s="4">
        <v>6.0</v>
      </c>
      <c r="D7" s="13" t="str">
        <f>HYPERLINK("https://www.linkedin.com/ad-library/detail/1515108684","Open Ad")</f>
        <v>Open Ad</v>
      </c>
      <c r="E7" s="4" t="s">
        <v>154</v>
      </c>
      <c r="F7" s="4" t="s">
        <v>156</v>
      </c>
      <c r="G7" s="4" t="s">
        <v>157</v>
      </c>
      <c r="H7" s="4" t="s">
        <v>55</v>
      </c>
      <c r="I7" s="4" t="s">
        <v>104</v>
      </c>
      <c r="J7" s="4" t="s">
        <v>154</v>
      </c>
      <c r="K7" s="13" t="str">
        <f>HYPERLINK("https://dms.licdn.com/playlist/vid/v2/D4E10AQHiYxJoXOY2OQ/mp4-640p-30fp-crf28/B4EaAjq1W3HwBo-/0/1787304834906?e=2147483647&amp;v=beta&amp;t=nQiQOxVDrP8WwNYbjrdJlXMW2mdCaG4H3wYMm8wNBOQ","Open Creative")</f>
        <v>Open Creative</v>
      </c>
      <c r="L7" s="4" t="s">
        <v>166</v>
      </c>
      <c r="M7" s="4" t="s">
        <v>63</v>
      </c>
      <c r="N7" s="4" t="s">
        <v>132</v>
      </c>
      <c r="O7" s="2" t="s">
        <v>132</v>
      </c>
      <c r="P7" s="2">
        <v>1.515108684E9</v>
      </c>
      <c r="Q7" s="2" t="s">
        <v>68</v>
      </c>
      <c r="R7" s="4" t="s">
        <v>167</v>
      </c>
    </row>
    <row r="8">
      <c r="A8" s="4" t="s">
        <v>44</v>
      </c>
      <c r="B8" s="4" t="s">
        <v>44</v>
      </c>
      <c r="C8" s="4">
        <v>7.0</v>
      </c>
      <c r="D8" s="13" t="str">
        <f>HYPERLINK("https://www.linkedin.com/ad-library/detail/1530233894","Open Ad")</f>
        <v>Open Ad</v>
      </c>
      <c r="E8" s="4" t="s">
        <v>91</v>
      </c>
      <c r="F8" s="4" t="s">
        <v>53</v>
      </c>
      <c r="G8" s="4" t="s">
        <v>180</v>
      </c>
      <c r="H8" s="4" t="s">
        <v>182</v>
      </c>
      <c r="I8" s="4" t="s">
        <v>184</v>
      </c>
      <c r="J8" s="4" t="s">
        <v>91</v>
      </c>
      <c r="K8" s="13" t="str">
        <f>HYPERLINK("https://media.licdn.com/dms/image/v2/D4E22AQFVlUcHOVJ17A/feedshare-image-high-res/B4EaAUjso5JwAU-/0/1787051297791?e=2147483647&amp;v=beta&amp;t=EYHu6B7k-ZM42T33VLaXgJ2GOsz8TQBp9CPs1HnmQfI","Open Creative")</f>
        <v>Open Creative</v>
      </c>
      <c r="L8" s="4" t="s">
        <v>131</v>
      </c>
      <c r="M8" s="4" t="s">
        <v>63</v>
      </c>
      <c r="N8" s="4" t="s">
        <v>132</v>
      </c>
      <c r="O8" s="2" t="s">
        <v>132</v>
      </c>
      <c r="P8" s="2">
        <v>1.530233894E9</v>
      </c>
      <c r="Q8" s="2" t="s">
        <v>68</v>
      </c>
      <c r="R8" s="4" t="s">
        <v>200</v>
      </c>
    </row>
    <row r="9">
      <c r="A9" s="4" t="s">
        <v>44</v>
      </c>
      <c r="B9" s="4" t="s">
        <v>44</v>
      </c>
      <c r="C9" s="4">
        <v>8.0</v>
      </c>
      <c r="D9" s="13" t="str">
        <f>HYPERLINK("https://www.linkedin.com/ad-library/detail/1515109674","Open Ad")</f>
        <v>Open Ad</v>
      </c>
      <c r="E9" s="4" t="s">
        <v>91</v>
      </c>
      <c r="F9" s="14" t="s">
        <v>92</v>
      </c>
      <c r="G9" s="4" t="s">
        <v>94</v>
      </c>
      <c r="H9" s="4" t="s">
        <v>55</v>
      </c>
      <c r="I9" s="4" t="s">
        <v>95</v>
      </c>
      <c r="J9" s="4" t="s">
        <v>91</v>
      </c>
      <c r="K9" s="13" t="str">
        <f>HYPERLINK("https://media.licdn.com/dms/image/v2/D4E10AQFoBQmX7JYNMA/image-shrink_1280/B4EaAkDtxrKsAc-/0/1787311349209/zoominfo_learnmore_human2_zoominfo_dominate_1080x1080png?e=2147483647&amp;v=beta&amp;t=WW2Yg6JNt1_AWlcnTMg1WC_o_ORHXbveyV8IeGCgP40","Open Creative")</f>
        <v>Open Creative</v>
      </c>
      <c r="L9" s="4" t="s">
        <v>62</v>
      </c>
      <c r="M9" s="4" t="s">
        <v>63</v>
      </c>
      <c r="N9" s="4" t="s">
        <v>108</v>
      </c>
      <c r="O9" s="2" t="s">
        <v>67</v>
      </c>
      <c r="P9" s="2">
        <v>1.515109674E9</v>
      </c>
      <c r="Q9" s="2" t="s">
        <v>68</v>
      </c>
      <c r="R9" s="4" t="s">
        <v>214</v>
      </c>
    </row>
    <row r="10">
      <c r="A10" s="4" t="s">
        <v>44</v>
      </c>
      <c r="B10" s="4" t="s">
        <v>44</v>
      </c>
      <c r="C10" s="4">
        <v>9.0</v>
      </c>
      <c r="D10" s="13" t="str">
        <f>HYPERLINK("https://www.linkedin.com/ad-library/detail/1523824944","Open Ad")</f>
        <v>Open Ad</v>
      </c>
      <c r="E10" s="4" t="s">
        <v>52</v>
      </c>
      <c r="F10" s="4" t="s">
        <v>53</v>
      </c>
      <c r="G10" s="4" t="s">
        <v>227</v>
      </c>
      <c r="H10" s="4" t="s">
        <v>55</v>
      </c>
      <c r="I10" s="4" t="s">
        <v>228</v>
      </c>
      <c r="J10" s="4" t="s">
        <v>52</v>
      </c>
      <c r="K10" s="4" t="s">
        <v>60</v>
      </c>
      <c r="L10" s="4" t="s">
        <v>62</v>
      </c>
      <c r="M10" s="4" t="s">
        <v>63</v>
      </c>
      <c r="N10" s="4" t="s">
        <v>64</v>
      </c>
      <c r="O10" s="2" t="s">
        <v>67</v>
      </c>
      <c r="P10" s="2">
        <v>1.523824944E9</v>
      </c>
      <c r="Q10" s="2" t="s">
        <v>68</v>
      </c>
      <c r="R10" s="4" t="s">
        <v>229</v>
      </c>
    </row>
    <row r="11">
      <c r="A11" s="4" t="s">
        <v>44</v>
      </c>
      <c r="B11" s="4" t="s">
        <v>44</v>
      </c>
      <c r="C11" s="4">
        <v>10.0</v>
      </c>
      <c r="D11" s="13" t="str">
        <f>HYPERLINK("https://www.linkedin.com/ad-library/detail/1515119384","Open Ad")</f>
        <v>Open Ad</v>
      </c>
      <c r="E11" s="4" t="s">
        <v>91</v>
      </c>
      <c r="F11" s="14" t="s">
        <v>92</v>
      </c>
      <c r="G11" s="4" t="s">
        <v>94</v>
      </c>
      <c r="H11" s="4" t="s">
        <v>55</v>
      </c>
      <c r="I11" s="4" t="s">
        <v>95</v>
      </c>
      <c r="J11" s="4" t="s">
        <v>91</v>
      </c>
      <c r="K11" s="13" t="str">
        <f>HYPERLINK("https://media.licdn.com/dms/image/v2/D4E10AQE1oGdAq-eNiw/image-shrink_1280/B4EaAkEGheKsAk-/0/1787311450488/zoominfo_learnmore_nonhuman2_373_visibility_1080x1080png?e=2147483647&amp;v=beta&amp;t=j7vbqd2h1dnHC-9dht648UgDTWH3SJqDMg6Q_kzdIiU","Open Creative")</f>
        <v>Open Creative</v>
      </c>
      <c r="L11" s="4" t="s">
        <v>62</v>
      </c>
      <c r="M11" s="4" t="s">
        <v>63</v>
      </c>
      <c r="N11" s="4" t="s">
        <v>248</v>
      </c>
      <c r="O11" s="2" t="s">
        <v>67</v>
      </c>
      <c r="P11" s="2">
        <v>1.515119384E9</v>
      </c>
      <c r="Q11" s="2" t="s">
        <v>68</v>
      </c>
      <c r="R11" s="4" t="s">
        <v>249</v>
      </c>
    </row>
    <row r="12">
      <c r="A12" s="4" t="s">
        <v>44</v>
      </c>
      <c r="B12" s="4" t="s">
        <v>44</v>
      </c>
      <c r="C12" s="4">
        <v>11.0</v>
      </c>
      <c r="D12" s="13" t="str">
        <f>HYPERLINK("https://www.linkedin.com/ad-library/detail/1523764364","Open Ad")</f>
        <v>Open Ad</v>
      </c>
      <c r="E12" s="4" t="s">
        <v>52</v>
      </c>
      <c r="F12" s="4" t="s">
        <v>53</v>
      </c>
      <c r="G12" s="4" t="s">
        <v>54</v>
      </c>
      <c r="H12" s="4" t="s">
        <v>55</v>
      </c>
      <c r="I12" s="4" t="s">
        <v>57</v>
      </c>
      <c r="J12" s="4" t="s">
        <v>52</v>
      </c>
      <c r="K12" s="4" t="s">
        <v>60</v>
      </c>
      <c r="L12" s="4" t="s">
        <v>62</v>
      </c>
      <c r="M12" s="4" t="s">
        <v>63</v>
      </c>
      <c r="N12" s="4" t="s">
        <v>64</v>
      </c>
      <c r="O12" s="2" t="s">
        <v>132</v>
      </c>
      <c r="P12" s="2">
        <v>1.523764364E9</v>
      </c>
      <c r="Q12" s="2" t="s">
        <v>68</v>
      </c>
      <c r="R12" s="4" t="s">
        <v>261</v>
      </c>
    </row>
    <row r="13">
      <c r="A13" s="4" t="s">
        <v>44</v>
      </c>
      <c r="B13" s="4" t="s">
        <v>44</v>
      </c>
      <c r="C13" s="4">
        <v>12.0</v>
      </c>
      <c r="D13" s="13" t="str">
        <f>HYPERLINK("https://www.linkedin.com/ad-library/detail/1523691424","Open Ad")</f>
        <v>Open Ad</v>
      </c>
      <c r="E13" s="4" t="s">
        <v>52</v>
      </c>
      <c r="F13" s="4" t="s">
        <v>53</v>
      </c>
      <c r="G13" s="4" t="s">
        <v>270</v>
      </c>
      <c r="H13" s="4" t="s">
        <v>55</v>
      </c>
      <c r="I13" s="4" t="s">
        <v>272</v>
      </c>
      <c r="J13" s="4" t="s">
        <v>52</v>
      </c>
      <c r="K13" s="4" t="s">
        <v>60</v>
      </c>
      <c r="L13" s="4" t="s">
        <v>62</v>
      </c>
      <c r="M13" s="4" t="s">
        <v>63</v>
      </c>
      <c r="N13" s="4" t="s">
        <v>273</v>
      </c>
      <c r="O13" s="2" t="s">
        <v>67</v>
      </c>
      <c r="P13" s="2">
        <v>1.523691424E9</v>
      </c>
      <c r="Q13" s="2" t="s">
        <v>68</v>
      </c>
      <c r="R13" s="4" t="s">
        <v>274</v>
      </c>
    </row>
    <row r="14">
      <c r="A14" s="4" t="s">
        <v>44</v>
      </c>
      <c r="B14" s="4" t="s">
        <v>44</v>
      </c>
      <c r="C14" s="4">
        <v>13.0</v>
      </c>
      <c r="D14" s="13" t="str">
        <f>HYPERLINK("https://www.linkedin.com/ad-library/detail/1541605654","Open Ad")</f>
        <v>Open Ad</v>
      </c>
      <c r="E14" s="4" t="s">
        <v>154</v>
      </c>
      <c r="F14" s="4" t="s">
        <v>53</v>
      </c>
      <c r="G14" s="4" t="s">
        <v>284</v>
      </c>
      <c r="H14" s="4" t="s">
        <v>285</v>
      </c>
      <c r="I14" s="4" t="s">
        <v>286</v>
      </c>
      <c r="J14" s="4" t="s">
        <v>154</v>
      </c>
      <c r="K14" s="13" t="str">
        <f>HYPERLINK("https://dms.licdn.com/playlist/vid/v2/D4E05AQFZnNYsrfZmrQ/mp4-640p-30fp-crf28/B4EaBCY2IkHQB0-/0/1787820214688?e=2147483647&amp;v=beta&amp;t=KloVMKZPrazw_BYECErgMeNi1t-WOafXPPhtqCRihzk","Open Creative")</f>
        <v>Open Creative</v>
      </c>
      <c r="L14" s="4" t="s">
        <v>131</v>
      </c>
      <c r="M14" s="4" t="s">
        <v>63</v>
      </c>
      <c r="N14" s="4" t="s">
        <v>132</v>
      </c>
      <c r="O14" s="2" t="s">
        <v>132</v>
      </c>
      <c r="P14" s="2">
        <v>1.541605654E9</v>
      </c>
      <c r="Q14" s="2" t="s">
        <v>68</v>
      </c>
      <c r="R14" s="4" t="s">
        <v>299</v>
      </c>
    </row>
    <row r="15">
      <c r="A15" s="4" t="s">
        <v>44</v>
      </c>
      <c r="B15" s="4" t="s">
        <v>44</v>
      </c>
      <c r="C15" s="4">
        <v>14.0</v>
      </c>
      <c r="D15" s="13" t="str">
        <f>HYPERLINK("https://www.linkedin.com/ad-library/detail/1514941274","Open Ad")</f>
        <v>Open Ad</v>
      </c>
      <c r="E15" s="4" t="s">
        <v>91</v>
      </c>
      <c r="F15" s="14" t="s">
        <v>92</v>
      </c>
      <c r="G15" s="4" t="s">
        <v>94</v>
      </c>
      <c r="H15" s="4" t="s">
        <v>55</v>
      </c>
      <c r="I15" s="4" t="s">
        <v>95</v>
      </c>
      <c r="J15" s="4" t="s">
        <v>91</v>
      </c>
      <c r="K15" s="13" t="str">
        <f>HYPERLINK("https://media.licdn.com/dms/image/v2/D4E10AQFfjfof--np7g/image-shrink_1280/B4EaAedlfuHEAc-/0/1787217467631/zoominfo_learnmore_human1_373_visibility_1080x1080png?e=2147483647&amp;v=beta&amp;t=RgvKcFzCADjzilwq9qI6_St8ZF-AxwLY0wzmcTs8Wl4","Open Creative")</f>
        <v>Open Creative</v>
      </c>
      <c r="L15" s="4" t="s">
        <v>62</v>
      </c>
      <c r="M15" s="4" t="s">
        <v>63</v>
      </c>
      <c r="N15" s="4" t="s">
        <v>108</v>
      </c>
      <c r="O15" s="2" t="s">
        <v>132</v>
      </c>
      <c r="P15" s="2">
        <v>1.514941274E9</v>
      </c>
      <c r="Q15" s="2" t="s">
        <v>68</v>
      </c>
      <c r="R15" s="4" t="s">
        <v>315</v>
      </c>
    </row>
    <row r="16">
      <c r="A16" s="4" t="s">
        <v>44</v>
      </c>
      <c r="B16" s="4" t="s">
        <v>44</v>
      </c>
      <c r="C16" s="4">
        <v>15.0</v>
      </c>
      <c r="D16" s="13" t="str">
        <f>HYPERLINK("https://www.linkedin.com/ad-library/detail/1523863334","Open Ad")</f>
        <v>Open Ad</v>
      </c>
      <c r="E16" s="4" t="s">
        <v>52</v>
      </c>
      <c r="F16" s="4" t="s">
        <v>53</v>
      </c>
      <c r="G16" s="4" t="s">
        <v>80</v>
      </c>
      <c r="H16" s="4" t="s">
        <v>55</v>
      </c>
      <c r="I16" s="4" t="s">
        <v>57</v>
      </c>
      <c r="J16" s="4" t="s">
        <v>52</v>
      </c>
      <c r="K16" s="4" t="s">
        <v>60</v>
      </c>
      <c r="L16" s="4" t="s">
        <v>62</v>
      </c>
      <c r="M16" s="4" t="s">
        <v>63</v>
      </c>
      <c r="N16" s="4" t="s">
        <v>64</v>
      </c>
      <c r="O16" s="2" t="s">
        <v>132</v>
      </c>
      <c r="P16" s="2">
        <v>1.523863334E9</v>
      </c>
      <c r="Q16" s="2" t="s">
        <v>68</v>
      </c>
      <c r="R16" s="4" t="s">
        <v>323</v>
      </c>
    </row>
    <row r="17">
      <c r="A17" s="4" t="s">
        <v>44</v>
      </c>
      <c r="B17" s="4" t="s">
        <v>44</v>
      </c>
      <c r="C17" s="4">
        <v>16.0</v>
      </c>
      <c r="D17" s="13" t="str">
        <f>HYPERLINK("https://www.linkedin.com/ad-library/detail/1541489924","Open Ad")</f>
        <v>Open Ad</v>
      </c>
      <c r="E17" s="4" t="s">
        <v>91</v>
      </c>
      <c r="F17" s="4" t="s">
        <v>53</v>
      </c>
      <c r="G17" s="4" t="s">
        <v>144</v>
      </c>
      <c r="H17" s="4" t="s">
        <v>55</v>
      </c>
      <c r="I17" s="4" t="s">
        <v>146</v>
      </c>
      <c r="J17" s="4" t="s">
        <v>91</v>
      </c>
      <c r="K17" s="4" t="s">
        <v>60</v>
      </c>
      <c r="L17" s="4" t="s">
        <v>62</v>
      </c>
      <c r="M17" s="4" t="s">
        <v>63</v>
      </c>
      <c r="N17" s="4" t="s">
        <v>147</v>
      </c>
      <c r="O17" s="2" t="s">
        <v>132</v>
      </c>
      <c r="P17" s="2">
        <v>1.541489924E9</v>
      </c>
      <c r="Q17" s="2" t="s">
        <v>68</v>
      </c>
      <c r="R17" s="4" t="s">
        <v>332</v>
      </c>
    </row>
    <row r="18">
      <c r="A18" s="4" t="s">
        <v>44</v>
      </c>
      <c r="B18" s="4" t="s">
        <v>44</v>
      </c>
      <c r="C18" s="4">
        <v>17.0</v>
      </c>
      <c r="D18" s="13" t="str">
        <f>HYPERLINK("https://www.linkedin.com/ad-library/detail/1515069404","Open Ad")</f>
        <v>Open Ad</v>
      </c>
      <c r="E18" s="4" t="s">
        <v>91</v>
      </c>
      <c r="F18" s="4" t="s">
        <v>53</v>
      </c>
      <c r="G18" s="4" t="s">
        <v>343</v>
      </c>
      <c r="H18" s="4" t="s">
        <v>344</v>
      </c>
      <c r="I18" s="4" t="s">
        <v>345</v>
      </c>
      <c r="J18" s="4" t="s">
        <v>91</v>
      </c>
      <c r="K18" s="13" t="str">
        <f>HYPERLINK("https://media.licdn.com/dms/image/v2/D4E22AQHPVwb3DbK6WQ/feedshare-shrink_800/B4EZ_wr2q9H8Ac-/0/1786449456143?e=2147483647&amp;v=beta&amp;t=bTLAcSUpn-hClxUrzfVuxNMPq7MO45EuIIwnkfJDhIc","Open Creative")</f>
        <v>Open Creative</v>
      </c>
      <c r="L18" s="4" t="s">
        <v>131</v>
      </c>
      <c r="M18" s="4" t="s">
        <v>63</v>
      </c>
      <c r="N18" s="4" t="s">
        <v>132</v>
      </c>
      <c r="O18" s="2" t="s">
        <v>132</v>
      </c>
      <c r="P18" s="2">
        <v>1.515069404E9</v>
      </c>
      <c r="Q18" s="2" t="s">
        <v>68</v>
      </c>
      <c r="R18" s="4" t="s">
        <v>354</v>
      </c>
    </row>
    <row r="19">
      <c r="A19" s="4" t="s">
        <v>44</v>
      </c>
      <c r="B19" s="4" t="s">
        <v>44</v>
      </c>
      <c r="C19" s="4">
        <v>18.0</v>
      </c>
      <c r="D19" s="13" t="str">
        <f>HYPERLINK("https://www.linkedin.com/ad-library/detail/1515129334","Open Ad")</f>
        <v>Open Ad</v>
      </c>
      <c r="E19" s="4" t="s">
        <v>91</v>
      </c>
      <c r="F19" s="14" t="s">
        <v>92</v>
      </c>
      <c r="G19" s="4" t="s">
        <v>94</v>
      </c>
      <c r="H19" s="4" t="s">
        <v>55</v>
      </c>
      <c r="I19" s="4" t="s">
        <v>95</v>
      </c>
      <c r="J19" s="4" t="s">
        <v>91</v>
      </c>
      <c r="K19" s="13" t="str">
        <f>HYPERLINK("https://media.licdn.com/dms/image/v2/D4E10AQFoBQmX7JYNMA/image-shrink_1280/B4EaAkDtxrKsAc-/0/1787311349209/zoominfo_learnmore_human2_zoominfo_dominate_1080x1080png?e=2147483647&amp;v=beta&amp;t=WW2Yg6JNt1_AWlcnTMg1WC_o_ORHXbveyV8IeGCgP40","Open Creative")</f>
        <v>Open Creative</v>
      </c>
      <c r="L19" s="4" t="s">
        <v>62</v>
      </c>
      <c r="M19" s="4" t="s">
        <v>63</v>
      </c>
      <c r="N19" s="4" t="s">
        <v>371</v>
      </c>
      <c r="O19" s="2" t="s">
        <v>132</v>
      </c>
      <c r="P19" s="2">
        <v>1.515129334E9</v>
      </c>
      <c r="Q19" s="2" t="s">
        <v>68</v>
      </c>
      <c r="R19" s="4" t="s">
        <v>372</v>
      </c>
    </row>
    <row r="20">
      <c r="A20" s="4" t="s">
        <v>44</v>
      </c>
      <c r="B20" s="4" t="s">
        <v>44</v>
      </c>
      <c r="C20" s="4">
        <v>19.0</v>
      </c>
      <c r="D20" s="13" t="str">
        <f>HYPERLINK("https://www.linkedin.com/ad-library/detail/1518339964","Open Ad")</f>
        <v>Open Ad</v>
      </c>
      <c r="E20" s="4" t="s">
        <v>91</v>
      </c>
      <c r="F20" s="14" t="s">
        <v>92</v>
      </c>
      <c r="G20" s="4" t="s">
        <v>94</v>
      </c>
      <c r="H20" s="4" t="s">
        <v>55</v>
      </c>
      <c r="I20" s="4" t="s">
        <v>95</v>
      </c>
      <c r="J20" s="4" t="s">
        <v>91</v>
      </c>
      <c r="K20" s="13" t="str">
        <f>HYPERLINK("https://media.licdn.com/dms/image/v2/D4E10AQE1oGdAq-eNiw/image-shrink_1280/B4EaAkEGheKsAk-/0/1787311450488/zoominfo_learnmore_nonhuman2_373_visibility_1080x1080png?e=2147483647&amp;v=beta&amp;t=j7vbqd2h1dnHC-9dht648UgDTWH3SJqDMg6Q_kzdIiU","Open Creative")</f>
        <v>Open Creative</v>
      </c>
      <c r="L20" s="4" t="s">
        <v>62</v>
      </c>
      <c r="M20" s="4" t="s">
        <v>63</v>
      </c>
      <c r="N20" s="4" t="s">
        <v>108</v>
      </c>
      <c r="O20" s="2" t="s">
        <v>132</v>
      </c>
      <c r="P20" s="2">
        <v>1.518339964E9</v>
      </c>
      <c r="Q20" s="2" t="s">
        <v>68</v>
      </c>
      <c r="R20" s="4" t="s">
        <v>383</v>
      </c>
    </row>
    <row r="21">
      <c r="A21" s="4" t="s">
        <v>44</v>
      </c>
      <c r="B21" s="4" t="s">
        <v>44</v>
      </c>
      <c r="C21" s="4">
        <v>20.0</v>
      </c>
      <c r="D21" s="13" t="str">
        <f>HYPERLINK("https://www.linkedin.com/ad-library/detail/1523774374","Open Ad")</f>
        <v>Open Ad</v>
      </c>
      <c r="E21" s="4" t="s">
        <v>52</v>
      </c>
      <c r="F21" s="4" t="s">
        <v>53</v>
      </c>
      <c r="G21" s="4" t="s">
        <v>80</v>
      </c>
      <c r="H21" s="4" t="s">
        <v>55</v>
      </c>
      <c r="I21" s="4" t="s">
        <v>57</v>
      </c>
      <c r="J21" s="4" t="s">
        <v>52</v>
      </c>
      <c r="K21" s="4" t="s">
        <v>60</v>
      </c>
      <c r="L21" s="4" t="s">
        <v>62</v>
      </c>
      <c r="M21" s="4" t="s">
        <v>63</v>
      </c>
      <c r="N21" s="4" t="s">
        <v>64</v>
      </c>
      <c r="O21" s="2" t="s">
        <v>132</v>
      </c>
      <c r="P21" s="2">
        <v>1.523774374E9</v>
      </c>
      <c r="Q21" s="2" t="s">
        <v>68</v>
      </c>
      <c r="R21" s="4" t="s">
        <v>391</v>
      </c>
    </row>
    <row r="22">
      <c r="A22" s="4" t="s">
        <v>44</v>
      </c>
      <c r="B22" s="4" t="s">
        <v>44</v>
      </c>
      <c r="C22" s="4">
        <v>21.0</v>
      </c>
      <c r="D22" s="13" t="str">
        <f>HYPERLINK("https://www.linkedin.com/ad-library/detail/1523804394","Open Ad")</f>
        <v>Open Ad</v>
      </c>
      <c r="E22" s="4" t="s">
        <v>52</v>
      </c>
      <c r="F22" s="4" t="s">
        <v>53</v>
      </c>
      <c r="G22" s="4" t="s">
        <v>227</v>
      </c>
      <c r="H22" s="4" t="s">
        <v>55</v>
      </c>
      <c r="I22" s="4" t="s">
        <v>228</v>
      </c>
      <c r="J22" s="4" t="s">
        <v>52</v>
      </c>
      <c r="K22" s="4" t="s">
        <v>60</v>
      </c>
      <c r="L22" s="4" t="s">
        <v>62</v>
      </c>
      <c r="M22" s="4" t="s">
        <v>63</v>
      </c>
      <c r="N22" s="4" t="s">
        <v>84</v>
      </c>
      <c r="O22" s="2" t="s">
        <v>132</v>
      </c>
      <c r="P22" s="2">
        <v>1.523804394E9</v>
      </c>
      <c r="Q22" s="2" t="s">
        <v>68</v>
      </c>
      <c r="R22" s="4" t="s">
        <v>396</v>
      </c>
    </row>
    <row r="23">
      <c r="A23" s="4" t="s">
        <v>44</v>
      </c>
      <c r="B23" s="4" t="s">
        <v>44</v>
      </c>
      <c r="C23" s="4">
        <v>22.0</v>
      </c>
      <c r="D23" s="13" t="str">
        <f>HYPERLINK("https://www.linkedin.com/ad-library/detail/1523662834","Open Ad")</f>
        <v>Open Ad</v>
      </c>
      <c r="E23" s="4" t="s">
        <v>52</v>
      </c>
      <c r="F23" s="4" t="s">
        <v>53</v>
      </c>
      <c r="G23" s="4" t="s">
        <v>54</v>
      </c>
      <c r="H23" s="4" t="s">
        <v>55</v>
      </c>
      <c r="I23" s="4" t="s">
        <v>57</v>
      </c>
      <c r="J23" s="4" t="s">
        <v>52</v>
      </c>
      <c r="K23" s="4" t="s">
        <v>60</v>
      </c>
      <c r="L23" s="4" t="s">
        <v>62</v>
      </c>
      <c r="M23" s="4" t="s">
        <v>63</v>
      </c>
      <c r="N23" s="4" t="s">
        <v>84</v>
      </c>
      <c r="O23" s="2" t="s">
        <v>67</v>
      </c>
      <c r="P23" s="2">
        <v>1.523662834E9</v>
      </c>
      <c r="Q23" s="2" t="s">
        <v>68</v>
      </c>
      <c r="R23" s="4" t="s">
        <v>403</v>
      </c>
    </row>
    <row r="24">
      <c r="A24" s="4" t="s">
        <v>44</v>
      </c>
      <c r="B24" s="4" t="s">
        <v>44</v>
      </c>
      <c r="C24" s="4">
        <v>23.0</v>
      </c>
      <c r="D24" s="13" t="str">
        <f>HYPERLINK("https://www.linkedin.com/ad-library/detail/1523662614","Open Ad")</f>
        <v>Open Ad</v>
      </c>
      <c r="E24" s="4" t="s">
        <v>52</v>
      </c>
      <c r="F24" s="4" t="s">
        <v>53</v>
      </c>
      <c r="G24" s="4" t="s">
        <v>227</v>
      </c>
      <c r="H24" s="4" t="s">
        <v>55</v>
      </c>
      <c r="I24" s="4" t="s">
        <v>228</v>
      </c>
      <c r="J24" s="4" t="s">
        <v>52</v>
      </c>
      <c r="K24" s="4" t="s">
        <v>60</v>
      </c>
      <c r="L24" s="4" t="s">
        <v>62</v>
      </c>
      <c r="M24" s="4" t="s">
        <v>63</v>
      </c>
      <c r="N24" s="4" t="s">
        <v>64</v>
      </c>
      <c r="O24" s="2" t="s">
        <v>132</v>
      </c>
      <c r="P24" s="2">
        <v>1.523662614E9</v>
      </c>
      <c r="Q24" s="2" t="s">
        <v>68</v>
      </c>
      <c r="R24" s="4" t="s">
        <v>412</v>
      </c>
    </row>
    <row r="25">
      <c r="A25" s="4" t="s">
        <v>44</v>
      </c>
      <c r="B25" s="4" t="s">
        <v>44</v>
      </c>
      <c r="C25" s="4">
        <v>24.0</v>
      </c>
      <c r="D25" s="13" t="str">
        <f>HYPERLINK("https://www.linkedin.com/ad-library/detail/1514830644","Open Ad")</f>
        <v>Open Ad</v>
      </c>
      <c r="E25" s="4" t="s">
        <v>91</v>
      </c>
      <c r="F25" s="14" t="s">
        <v>92</v>
      </c>
      <c r="G25" s="4" t="s">
        <v>94</v>
      </c>
      <c r="H25" s="4" t="s">
        <v>55</v>
      </c>
      <c r="I25" s="4" t="s">
        <v>95</v>
      </c>
      <c r="J25" s="4" t="s">
        <v>91</v>
      </c>
      <c r="K25" s="13" t="str">
        <f>HYPERLINK("https://media.licdn.com/dms/image/v2/D4E10AQGS9fqoxfcK4A/image-shrink_1280/B4EaAed6E.IUAg-/0/1787217551986/zoominfo_learnmore_nonhuman1_373_visibility_1080x1080png?e=2147483647&amp;v=beta&amp;t=0LJCDSf_ZnEGJiIpA0LiuhUGYVQdKCRdAEytBamjNbQ","Open Creative")</f>
        <v>Open Creative</v>
      </c>
      <c r="L25" s="4" t="s">
        <v>62</v>
      </c>
      <c r="M25" s="4" t="s">
        <v>63</v>
      </c>
      <c r="N25" s="4" t="s">
        <v>371</v>
      </c>
      <c r="O25" s="2" t="s">
        <v>132</v>
      </c>
      <c r="P25" s="2">
        <v>1.514830644E9</v>
      </c>
      <c r="Q25" s="2" t="s">
        <v>68</v>
      </c>
      <c r="R25" s="4" t="s">
        <v>427</v>
      </c>
    </row>
    <row r="26">
      <c r="A26" s="4" t="s">
        <v>44</v>
      </c>
      <c r="B26" s="4" t="s">
        <v>44</v>
      </c>
      <c r="C26" s="4">
        <v>25.0</v>
      </c>
      <c r="D26" s="13" t="str">
        <f>HYPERLINK("https://www.linkedin.com/ad-library/detail/1514226134","Open Ad")</f>
        <v>Open Ad</v>
      </c>
      <c r="E26" s="4" t="s">
        <v>52</v>
      </c>
      <c r="F26" s="4" t="s">
        <v>53</v>
      </c>
      <c r="G26" s="4" t="s">
        <v>54</v>
      </c>
      <c r="H26" s="4" t="s">
        <v>55</v>
      </c>
      <c r="I26" s="4" t="s">
        <v>57</v>
      </c>
      <c r="J26" s="4" t="s">
        <v>52</v>
      </c>
      <c r="K26" s="4" t="s">
        <v>60</v>
      </c>
      <c r="L26" s="4" t="s">
        <v>62</v>
      </c>
      <c r="M26" s="4" t="s">
        <v>63</v>
      </c>
      <c r="N26" s="4" t="s">
        <v>435</v>
      </c>
      <c r="O26" s="2" t="s">
        <v>132</v>
      </c>
      <c r="P26" s="2">
        <v>1.514226134E9</v>
      </c>
      <c r="Q26" s="2" t="s">
        <v>68</v>
      </c>
      <c r="R26" s="4" t="s">
        <v>436</v>
      </c>
    </row>
    <row r="27">
      <c r="A27" s="4" t="s">
        <v>44</v>
      </c>
      <c r="B27" s="4" t="s">
        <v>44</v>
      </c>
      <c r="C27" s="4">
        <v>26.0</v>
      </c>
      <c r="D27" s="13" t="str">
        <f>HYPERLINK("https://www.linkedin.com/ad-library/detail/1509096504","Open Ad")</f>
        <v>Open Ad</v>
      </c>
      <c r="E27" s="4" t="s">
        <v>52</v>
      </c>
      <c r="F27" s="4" t="s">
        <v>53</v>
      </c>
      <c r="G27" s="4" t="s">
        <v>445</v>
      </c>
      <c r="H27" s="4" t="s">
        <v>55</v>
      </c>
      <c r="I27" s="4" t="s">
        <v>272</v>
      </c>
      <c r="J27" s="4" t="s">
        <v>52</v>
      </c>
      <c r="K27" s="4" t="s">
        <v>60</v>
      </c>
      <c r="L27" s="4" t="s">
        <v>62</v>
      </c>
      <c r="M27" s="4" t="s">
        <v>63</v>
      </c>
      <c r="N27" s="4" t="s">
        <v>448</v>
      </c>
      <c r="O27" s="2" t="s">
        <v>132</v>
      </c>
      <c r="P27" s="2">
        <v>1.509096504E9</v>
      </c>
      <c r="Q27" s="2" t="s">
        <v>68</v>
      </c>
      <c r="R27" s="4" t="s">
        <v>449</v>
      </c>
    </row>
    <row r="28">
      <c r="A28" s="4" t="s">
        <v>44</v>
      </c>
      <c r="B28" s="4" t="s">
        <v>44</v>
      </c>
      <c r="C28" s="4">
        <v>27.0</v>
      </c>
      <c r="D28" s="13" t="str">
        <f>HYPERLINK("https://www.linkedin.com/ad-library/detail/1514255774","Open Ad")</f>
        <v>Open Ad</v>
      </c>
      <c r="E28" s="4" t="s">
        <v>52</v>
      </c>
      <c r="F28" s="4" t="s">
        <v>53</v>
      </c>
      <c r="G28" s="4" t="s">
        <v>454</v>
      </c>
      <c r="H28" s="4" t="s">
        <v>55</v>
      </c>
      <c r="I28" s="4" t="s">
        <v>228</v>
      </c>
      <c r="J28" s="4" t="s">
        <v>52</v>
      </c>
      <c r="K28" s="4" t="s">
        <v>60</v>
      </c>
      <c r="L28" s="4" t="s">
        <v>62</v>
      </c>
      <c r="M28" s="4" t="s">
        <v>63</v>
      </c>
      <c r="N28" s="4" t="s">
        <v>448</v>
      </c>
      <c r="O28" s="2" t="s">
        <v>132</v>
      </c>
      <c r="P28" s="2">
        <v>1.514255774E9</v>
      </c>
      <c r="Q28" s="2" t="s">
        <v>68</v>
      </c>
      <c r="R28" s="4" t="s">
        <v>456</v>
      </c>
    </row>
    <row r="29">
      <c r="A29" s="4" t="s">
        <v>44</v>
      </c>
      <c r="B29" s="4" t="s">
        <v>44</v>
      </c>
      <c r="C29" s="4">
        <v>28.0</v>
      </c>
      <c r="D29" s="13" t="str">
        <f>HYPERLINK("https://www.linkedin.com/ad-library/detail/1514255764","Open Ad")</f>
        <v>Open Ad</v>
      </c>
      <c r="E29" s="4" t="s">
        <v>52</v>
      </c>
      <c r="F29" s="4" t="s">
        <v>53</v>
      </c>
      <c r="G29" s="4" t="s">
        <v>270</v>
      </c>
      <c r="H29" s="4" t="s">
        <v>55</v>
      </c>
      <c r="I29" s="4" t="s">
        <v>272</v>
      </c>
      <c r="J29" s="4" t="s">
        <v>52</v>
      </c>
      <c r="K29" s="4" t="s">
        <v>60</v>
      </c>
      <c r="L29" s="4" t="s">
        <v>62</v>
      </c>
      <c r="M29" s="4" t="s">
        <v>63</v>
      </c>
      <c r="N29" s="4" t="s">
        <v>448</v>
      </c>
      <c r="O29" s="2" t="s">
        <v>132</v>
      </c>
      <c r="P29" s="2">
        <v>1.514255764E9</v>
      </c>
      <c r="Q29" s="2" t="s">
        <v>68</v>
      </c>
      <c r="R29" s="4" t="s">
        <v>464</v>
      </c>
    </row>
    <row r="30">
      <c r="A30" s="4" t="s">
        <v>44</v>
      </c>
      <c r="B30" s="4" t="s">
        <v>44</v>
      </c>
      <c r="C30" s="4">
        <v>29.0</v>
      </c>
      <c r="D30" s="13" t="str">
        <f>HYPERLINK("https://www.linkedin.com/ad-library/detail/1514246114","Open Ad")</f>
        <v>Open Ad</v>
      </c>
      <c r="E30" s="4" t="s">
        <v>52</v>
      </c>
      <c r="F30" s="4" t="s">
        <v>53</v>
      </c>
      <c r="G30" s="4" t="s">
        <v>468</v>
      </c>
      <c r="H30" s="4" t="s">
        <v>55</v>
      </c>
      <c r="I30" s="4" t="s">
        <v>57</v>
      </c>
      <c r="J30" s="4" t="s">
        <v>52</v>
      </c>
      <c r="K30" s="4" t="s">
        <v>60</v>
      </c>
      <c r="L30" s="4" t="s">
        <v>62</v>
      </c>
      <c r="M30" s="4" t="s">
        <v>63</v>
      </c>
      <c r="N30" s="4" t="s">
        <v>448</v>
      </c>
      <c r="O30" s="2" t="s">
        <v>132</v>
      </c>
      <c r="P30" s="2">
        <v>1.514246114E9</v>
      </c>
      <c r="Q30" s="2" t="s">
        <v>68</v>
      </c>
      <c r="R30" s="4" t="s">
        <v>470</v>
      </c>
    </row>
    <row r="31">
      <c r="A31" s="4" t="s">
        <v>44</v>
      </c>
      <c r="B31" s="4" t="s">
        <v>44</v>
      </c>
      <c r="C31" s="4">
        <v>30.0</v>
      </c>
      <c r="D31" s="13" t="str">
        <f>HYPERLINK("https://www.linkedin.com/ad-library/detail/1514206034","Open Ad")</f>
        <v>Open Ad</v>
      </c>
      <c r="E31" s="4" t="s">
        <v>52</v>
      </c>
      <c r="F31" s="4" t="s">
        <v>53</v>
      </c>
      <c r="G31" s="4" t="s">
        <v>476</v>
      </c>
      <c r="H31" s="4" t="s">
        <v>55</v>
      </c>
      <c r="I31" s="4" t="s">
        <v>479</v>
      </c>
      <c r="J31" s="4" t="s">
        <v>52</v>
      </c>
      <c r="K31" s="4" t="s">
        <v>60</v>
      </c>
      <c r="L31" s="4" t="s">
        <v>62</v>
      </c>
      <c r="M31" s="4" t="s">
        <v>63</v>
      </c>
      <c r="N31" s="4" t="s">
        <v>448</v>
      </c>
      <c r="O31" s="2" t="s">
        <v>132</v>
      </c>
      <c r="P31" s="2">
        <v>1.514206034E9</v>
      </c>
      <c r="Q31" s="2" t="s">
        <v>68</v>
      </c>
      <c r="R31" s="4" t="s">
        <v>480</v>
      </c>
    </row>
    <row r="32">
      <c r="A32" s="4" t="s">
        <v>44</v>
      </c>
      <c r="B32" s="4" t="s">
        <v>44</v>
      </c>
      <c r="C32" s="4">
        <v>31.0</v>
      </c>
      <c r="D32" s="13" t="str">
        <f>HYPERLINK("https://www.linkedin.com/ad-library/detail/1509055904","Open Ad")</f>
        <v>Open Ad</v>
      </c>
      <c r="E32" s="4" t="s">
        <v>52</v>
      </c>
      <c r="F32" s="4" t="s">
        <v>53</v>
      </c>
      <c r="G32" s="4" t="s">
        <v>270</v>
      </c>
      <c r="H32" s="4" t="s">
        <v>55</v>
      </c>
      <c r="I32" s="4" t="s">
        <v>272</v>
      </c>
      <c r="J32" s="4" t="s">
        <v>52</v>
      </c>
      <c r="K32" s="4" t="s">
        <v>60</v>
      </c>
      <c r="L32" s="4" t="s">
        <v>62</v>
      </c>
      <c r="M32" s="4" t="s">
        <v>63</v>
      </c>
      <c r="N32" s="4" t="s">
        <v>448</v>
      </c>
      <c r="O32" s="2" t="s">
        <v>132</v>
      </c>
      <c r="P32" s="2">
        <v>1.509055904E9</v>
      </c>
      <c r="Q32" s="2" t="s">
        <v>68</v>
      </c>
      <c r="R32" s="4" t="s">
        <v>490</v>
      </c>
    </row>
    <row r="33">
      <c r="A33" s="4" t="s">
        <v>44</v>
      </c>
      <c r="B33" s="4" t="s">
        <v>44</v>
      </c>
      <c r="C33" s="4">
        <v>32.0</v>
      </c>
      <c r="D33" s="13" t="str">
        <f>HYPERLINK("https://www.linkedin.com/ad-library/detail/1509156214","Open Ad")</f>
        <v>Open Ad</v>
      </c>
      <c r="E33" s="4" t="s">
        <v>52</v>
      </c>
      <c r="F33" s="4" t="s">
        <v>53</v>
      </c>
      <c r="G33" s="4" t="s">
        <v>496</v>
      </c>
      <c r="H33" s="4" t="s">
        <v>55</v>
      </c>
      <c r="I33" s="4" t="s">
        <v>228</v>
      </c>
      <c r="J33" s="4" t="s">
        <v>52</v>
      </c>
      <c r="K33" s="4" t="s">
        <v>60</v>
      </c>
      <c r="L33" s="4" t="s">
        <v>62</v>
      </c>
      <c r="M33" s="4" t="s">
        <v>63</v>
      </c>
      <c r="N33" s="4" t="s">
        <v>448</v>
      </c>
      <c r="O33" s="2" t="s">
        <v>132</v>
      </c>
      <c r="P33" s="2">
        <v>1.509156214E9</v>
      </c>
      <c r="Q33" s="2" t="s">
        <v>68</v>
      </c>
      <c r="R33" s="4" t="s">
        <v>497</v>
      </c>
    </row>
    <row r="34">
      <c r="A34" s="4" t="s">
        <v>44</v>
      </c>
      <c r="B34" s="4" t="s">
        <v>44</v>
      </c>
      <c r="C34" s="4">
        <v>33.0</v>
      </c>
      <c r="D34" s="13" t="str">
        <f>HYPERLINK("https://www.linkedin.com/ad-library/detail/1514206084","Open Ad")</f>
        <v>Open Ad</v>
      </c>
      <c r="E34" s="4" t="s">
        <v>52</v>
      </c>
      <c r="F34" s="4" t="s">
        <v>53</v>
      </c>
      <c r="G34" s="4" t="s">
        <v>476</v>
      </c>
      <c r="H34" s="4" t="s">
        <v>55</v>
      </c>
      <c r="I34" s="4" t="s">
        <v>479</v>
      </c>
      <c r="J34" s="4" t="s">
        <v>52</v>
      </c>
      <c r="K34" s="4" t="s">
        <v>60</v>
      </c>
      <c r="L34" s="4" t="s">
        <v>62</v>
      </c>
      <c r="M34" s="4" t="s">
        <v>63</v>
      </c>
      <c r="N34" s="4" t="s">
        <v>448</v>
      </c>
      <c r="O34" s="2" t="s">
        <v>132</v>
      </c>
      <c r="P34" s="2">
        <v>1.514206084E9</v>
      </c>
      <c r="Q34" s="2" t="s">
        <v>68</v>
      </c>
      <c r="R34" s="4" t="s">
        <v>514</v>
      </c>
    </row>
    <row r="35">
      <c r="A35" s="4" t="s">
        <v>44</v>
      </c>
      <c r="B35" s="4" t="s">
        <v>44</v>
      </c>
      <c r="C35" s="4">
        <v>34.0</v>
      </c>
      <c r="D35" s="13" t="str">
        <f>HYPERLINK("https://www.linkedin.com/ad-library/detail/1509065874","Open Ad")</f>
        <v>Open Ad</v>
      </c>
      <c r="E35" s="4" t="s">
        <v>52</v>
      </c>
      <c r="F35" s="4" t="s">
        <v>53</v>
      </c>
      <c r="G35" s="4" t="s">
        <v>523</v>
      </c>
      <c r="H35" s="4" t="s">
        <v>55</v>
      </c>
      <c r="I35" s="4" t="s">
        <v>525</v>
      </c>
      <c r="J35" s="4" t="s">
        <v>52</v>
      </c>
      <c r="K35" s="4" t="s">
        <v>60</v>
      </c>
      <c r="L35" s="4" t="s">
        <v>62</v>
      </c>
      <c r="M35" s="4" t="s">
        <v>63</v>
      </c>
      <c r="N35" s="4" t="s">
        <v>448</v>
      </c>
      <c r="O35" s="2" t="s">
        <v>132</v>
      </c>
      <c r="P35" s="2">
        <v>1.509065874E9</v>
      </c>
      <c r="Q35" s="2" t="s">
        <v>68</v>
      </c>
      <c r="R35" s="4" t="s">
        <v>526</v>
      </c>
    </row>
    <row r="36">
      <c r="A36" s="4" t="s">
        <v>44</v>
      </c>
      <c r="B36" s="4" t="s">
        <v>44</v>
      </c>
      <c r="C36" s="4">
        <v>35.0</v>
      </c>
      <c r="D36" s="13" t="str">
        <f>HYPERLINK("https://www.linkedin.com/ad-library/detail/1509085744","Open Ad")</f>
        <v>Open Ad</v>
      </c>
      <c r="E36" s="4" t="s">
        <v>52</v>
      </c>
      <c r="F36" s="4" t="s">
        <v>53</v>
      </c>
      <c r="G36" s="4" t="s">
        <v>227</v>
      </c>
      <c r="H36" s="4" t="s">
        <v>55</v>
      </c>
      <c r="I36" s="4" t="s">
        <v>228</v>
      </c>
      <c r="J36" s="4" t="s">
        <v>52</v>
      </c>
      <c r="K36" s="4" t="s">
        <v>60</v>
      </c>
      <c r="L36" s="4" t="s">
        <v>62</v>
      </c>
      <c r="M36" s="4" t="s">
        <v>63</v>
      </c>
      <c r="N36" s="4" t="s">
        <v>448</v>
      </c>
      <c r="O36" s="2" t="s">
        <v>132</v>
      </c>
      <c r="P36" s="2">
        <v>1.509085744E9</v>
      </c>
      <c r="Q36" s="2" t="s">
        <v>68</v>
      </c>
      <c r="R36" s="4" t="s">
        <v>530</v>
      </c>
    </row>
    <row r="37">
      <c r="A37" s="4" t="s">
        <v>44</v>
      </c>
      <c r="B37" s="4" t="s">
        <v>44</v>
      </c>
      <c r="C37" s="4">
        <v>36.0</v>
      </c>
      <c r="D37" s="13" t="str">
        <f>HYPERLINK("https://www.linkedin.com/ad-library/detail/1509085544","Open Ad")</f>
        <v>Open Ad</v>
      </c>
      <c r="E37" s="4" t="s">
        <v>52</v>
      </c>
      <c r="F37" s="4" t="s">
        <v>53</v>
      </c>
      <c r="G37" s="4" t="s">
        <v>54</v>
      </c>
      <c r="H37" s="4" t="s">
        <v>55</v>
      </c>
      <c r="I37" s="4" t="s">
        <v>57</v>
      </c>
      <c r="J37" s="4" t="s">
        <v>52</v>
      </c>
      <c r="K37" s="4" t="s">
        <v>60</v>
      </c>
      <c r="L37" s="4" t="s">
        <v>62</v>
      </c>
      <c r="M37" s="4" t="s">
        <v>63</v>
      </c>
      <c r="N37" s="4" t="s">
        <v>448</v>
      </c>
      <c r="O37" s="2" t="s">
        <v>132</v>
      </c>
      <c r="P37" s="2">
        <v>1.509085544E9</v>
      </c>
      <c r="Q37" s="2" t="s">
        <v>68</v>
      </c>
      <c r="R37" s="4" t="s">
        <v>542</v>
      </c>
    </row>
    <row r="38">
      <c r="A38" s="4" t="s">
        <v>44</v>
      </c>
      <c r="B38" s="4" t="s">
        <v>44</v>
      </c>
      <c r="C38" s="4">
        <v>37.0</v>
      </c>
      <c r="D38" s="13" t="str">
        <f>HYPERLINK("https://www.linkedin.com/ad-library/detail/1514216204","Open Ad")</f>
        <v>Open Ad</v>
      </c>
      <c r="E38" s="4" t="s">
        <v>52</v>
      </c>
      <c r="F38" s="4" t="s">
        <v>53</v>
      </c>
      <c r="G38" s="4" t="s">
        <v>80</v>
      </c>
      <c r="H38" s="4" t="s">
        <v>55</v>
      </c>
      <c r="I38" s="4" t="s">
        <v>57</v>
      </c>
      <c r="J38" s="4" t="s">
        <v>52</v>
      </c>
      <c r="K38" s="4" t="s">
        <v>60</v>
      </c>
      <c r="L38" s="4" t="s">
        <v>62</v>
      </c>
      <c r="M38" s="4" t="s">
        <v>63</v>
      </c>
      <c r="N38" s="4" t="s">
        <v>448</v>
      </c>
      <c r="O38" s="2" t="s">
        <v>132</v>
      </c>
      <c r="P38" s="2">
        <v>1.514216204E9</v>
      </c>
      <c r="Q38" s="2" t="s">
        <v>68</v>
      </c>
      <c r="R38" s="4" t="s">
        <v>550</v>
      </c>
    </row>
    <row r="39">
      <c r="A39" s="4" t="s">
        <v>44</v>
      </c>
      <c r="B39" s="4" t="s">
        <v>44</v>
      </c>
      <c r="C39" s="4">
        <v>38.0</v>
      </c>
      <c r="D39" s="13" t="str">
        <f>HYPERLINK("https://www.linkedin.com/ad-library/detail/1514286164","Open Ad")</f>
        <v>Open Ad</v>
      </c>
      <c r="E39" s="4" t="s">
        <v>52</v>
      </c>
      <c r="F39" s="4" t="s">
        <v>53</v>
      </c>
      <c r="G39" s="4" t="s">
        <v>468</v>
      </c>
      <c r="H39" s="4" t="s">
        <v>55</v>
      </c>
      <c r="I39" s="4" t="s">
        <v>57</v>
      </c>
      <c r="J39" s="4" t="s">
        <v>52</v>
      </c>
      <c r="K39" s="4" t="s">
        <v>60</v>
      </c>
      <c r="L39" s="4" t="s">
        <v>62</v>
      </c>
      <c r="M39" s="4" t="s">
        <v>63</v>
      </c>
      <c r="N39" s="4" t="s">
        <v>448</v>
      </c>
      <c r="O39" s="2" t="s">
        <v>132</v>
      </c>
      <c r="P39" s="2">
        <v>1.514286164E9</v>
      </c>
      <c r="Q39" s="2" t="s">
        <v>68</v>
      </c>
      <c r="R39" s="4" t="s">
        <v>558</v>
      </c>
    </row>
    <row r="40">
      <c r="A40" s="4" t="s">
        <v>44</v>
      </c>
      <c r="B40" s="4" t="s">
        <v>44</v>
      </c>
      <c r="C40" s="4">
        <v>39.0</v>
      </c>
      <c r="D40" s="13" t="str">
        <f>HYPERLINK("https://www.linkedin.com/ad-library/detail/1509145744","Open Ad")</f>
        <v>Open Ad</v>
      </c>
      <c r="E40" s="4" t="s">
        <v>52</v>
      </c>
      <c r="F40" s="4" t="s">
        <v>53</v>
      </c>
      <c r="G40" s="4" t="s">
        <v>564</v>
      </c>
      <c r="H40" s="4" t="s">
        <v>55</v>
      </c>
      <c r="I40" s="4" t="s">
        <v>228</v>
      </c>
      <c r="J40" s="4" t="s">
        <v>52</v>
      </c>
      <c r="K40" s="4" t="s">
        <v>60</v>
      </c>
      <c r="L40" s="4" t="s">
        <v>62</v>
      </c>
      <c r="M40" s="4" t="s">
        <v>63</v>
      </c>
      <c r="N40" s="4" t="s">
        <v>448</v>
      </c>
      <c r="O40" s="2" t="s">
        <v>132</v>
      </c>
      <c r="P40" s="2">
        <v>1.509145744E9</v>
      </c>
      <c r="Q40" s="2" t="s">
        <v>68</v>
      </c>
      <c r="R40" s="4" t="s">
        <v>565</v>
      </c>
    </row>
    <row r="41">
      <c r="A41" s="4" t="s">
        <v>44</v>
      </c>
      <c r="B41" s="4" t="s">
        <v>44</v>
      </c>
      <c r="C41" s="4">
        <v>40.0</v>
      </c>
      <c r="D41" s="13" t="str">
        <f>HYPERLINK("https://www.linkedin.com/ad-library/detail/1514216014","Open Ad")</f>
        <v>Open Ad</v>
      </c>
      <c r="E41" s="4" t="s">
        <v>52</v>
      </c>
      <c r="F41" s="4" t="s">
        <v>53</v>
      </c>
      <c r="G41" s="4" t="s">
        <v>227</v>
      </c>
      <c r="H41" s="4" t="s">
        <v>55</v>
      </c>
      <c r="I41" s="4" t="s">
        <v>228</v>
      </c>
      <c r="J41" s="4" t="s">
        <v>52</v>
      </c>
      <c r="K41" s="4" t="s">
        <v>60</v>
      </c>
      <c r="L41" s="4" t="s">
        <v>62</v>
      </c>
      <c r="M41" s="4" t="s">
        <v>63</v>
      </c>
      <c r="N41" s="4" t="s">
        <v>448</v>
      </c>
      <c r="O41" s="2" t="s">
        <v>132</v>
      </c>
      <c r="P41" s="2">
        <v>1.514216014E9</v>
      </c>
      <c r="Q41" s="2" t="s">
        <v>68</v>
      </c>
      <c r="R41" s="4" t="s">
        <v>575</v>
      </c>
    </row>
    <row r="42">
      <c r="A42" s="4" t="s">
        <v>44</v>
      </c>
      <c r="B42" s="4" t="s">
        <v>44</v>
      </c>
      <c r="C42" s="4">
        <v>41.0</v>
      </c>
      <c r="D42" s="13" t="str">
        <f>HYPERLINK("https://www.linkedin.com/ad-library/detail/1514235994","Open Ad")</f>
        <v>Open Ad</v>
      </c>
      <c r="E42" s="4" t="s">
        <v>52</v>
      </c>
      <c r="F42" s="4" t="s">
        <v>53</v>
      </c>
      <c r="G42" s="4" t="s">
        <v>227</v>
      </c>
      <c r="H42" s="4" t="s">
        <v>55</v>
      </c>
      <c r="I42" s="4" t="s">
        <v>228</v>
      </c>
      <c r="J42" s="4" t="s">
        <v>52</v>
      </c>
      <c r="K42" s="4" t="s">
        <v>60</v>
      </c>
      <c r="L42" s="4" t="s">
        <v>62</v>
      </c>
      <c r="M42" s="4" t="s">
        <v>63</v>
      </c>
      <c r="N42" s="4" t="s">
        <v>448</v>
      </c>
      <c r="O42" s="2" t="s">
        <v>132</v>
      </c>
      <c r="P42" s="2">
        <v>1.514235994E9</v>
      </c>
      <c r="Q42" s="2" t="s">
        <v>68</v>
      </c>
      <c r="R42" s="4" t="s">
        <v>580</v>
      </c>
    </row>
    <row r="43">
      <c r="A43" s="4" t="s">
        <v>44</v>
      </c>
      <c r="B43" s="4" t="s">
        <v>44</v>
      </c>
      <c r="C43" s="4">
        <v>42.0</v>
      </c>
      <c r="D43" s="13" t="str">
        <f>HYPERLINK("https://www.linkedin.com/ad-library/detail/1514890474","Open Ad")</f>
        <v>Open Ad</v>
      </c>
      <c r="E43" s="4" t="s">
        <v>91</v>
      </c>
      <c r="F43" s="14" t="s">
        <v>92</v>
      </c>
      <c r="G43" s="4" t="s">
        <v>94</v>
      </c>
      <c r="H43" s="4" t="s">
        <v>55</v>
      </c>
      <c r="I43" s="4" t="s">
        <v>95</v>
      </c>
      <c r="J43" s="4" t="s">
        <v>91</v>
      </c>
      <c r="K43" s="13" t="str">
        <f>HYPERLINK("https://media.licdn.com/dms/image/v2/D4E10AQFfjfof--np7g/image-shrink_1280/B4EaAedlfuHEAc-/0/1787217467631/zoominfo_learnmore_human1_373_visibility_1080x1080png?e=2147483647&amp;v=beta&amp;t=RgvKcFzCADjzilwq9qI6_St8ZF-AxwLY0wzmcTs8Wl4","Open Creative")</f>
        <v>Open Creative</v>
      </c>
      <c r="L43" s="4" t="s">
        <v>62</v>
      </c>
      <c r="M43" s="4" t="s">
        <v>63</v>
      </c>
      <c r="N43" s="4" t="s">
        <v>108</v>
      </c>
      <c r="O43" s="2" t="s">
        <v>132</v>
      </c>
      <c r="P43" s="2">
        <v>1.514890474E9</v>
      </c>
      <c r="Q43" s="2" t="s">
        <v>68</v>
      </c>
      <c r="R43" s="4" t="s">
        <v>597</v>
      </c>
    </row>
    <row r="44">
      <c r="A44" s="4" t="s">
        <v>44</v>
      </c>
      <c r="B44" s="4" t="s">
        <v>44</v>
      </c>
      <c r="C44" s="4">
        <v>43.0</v>
      </c>
      <c r="D44" s="13" t="str">
        <f>HYPERLINK("https://www.linkedin.com/ad-library/detail/1514216064","Open Ad")</f>
        <v>Open Ad</v>
      </c>
      <c r="E44" s="4" t="s">
        <v>52</v>
      </c>
      <c r="F44" s="4" t="s">
        <v>53</v>
      </c>
      <c r="G44" s="4" t="s">
        <v>54</v>
      </c>
      <c r="H44" s="4" t="s">
        <v>55</v>
      </c>
      <c r="I44" s="4" t="s">
        <v>57</v>
      </c>
      <c r="J44" s="4" t="s">
        <v>52</v>
      </c>
      <c r="K44" s="4" t="s">
        <v>60</v>
      </c>
      <c r="L44" s="4" t="s">
        <v>62</v>
      </c>
      <c r="M44" s="4" t="s">
        <v>63</v>
      </c>
      <c r="N44" s="4" t="s">
        <v>448</v>
      </c>
      <c r="O44" s="2" t="s">
        <v>132</v>
      </c>
      <c r="P44" s="2">
        <v>1.514216064E9</v>
      </c>
      <c r="Q44" s="2" t="s">
        <v>68</v>
      </c>
      <c r="R44" s="4" t="s">
        <v>604</v>
      </c>
    </row>
    <row r="45">
      <c r="A45" s="4" t="s">
        <v>44</v>
      </c>
      <c r="B45" s="4" t="s">
        <v>44</v>
      </c>
      <c r="C45" s="4">
        <v>44.0</v>
      </c>
      <c r="D45" s="13" t="str">
        <f>HYPERLINK("https://www.linkedin.com/ad-library/detail/1509106584","Open Ad")</f>
        <v>Open Ad</v>
      </c>
      <c r="E45" s="4" t="s">
        <v>52</v>
      </c>
      <c r="F45" s="4" t="s">
        <v>53</v>
      </c>
      <c r="G45" s="4" t="s">
        <v>270</v>
      </c>
      <c r="H45" s="4" t="s">
        <v>55</v>
      </c>
      <c r="I45" s="4" t="s">
        <v>272</v>
      </c>
      <c r="J45" s="4" t="s">
        <v>52</v>
      </c>
      <c r="K45" s="4" t="s">
        <v>60</v>
      </c>
      <c r="L45" s="4" t="s">
        <v>62</v>
      </c>
      <c r="M45" s="4" t="s">
        <v>63</v>
      </c>
      <c r="N45" s="4" t="s">
        <v>448</v>
      </c>
      <c r="O45" s="2" t="s">
        <v>132</v>
      </c>
      <c r="P45" s="2">
        <v>1.509106584E9</v>
      </c>
      <c r="Q45" s="2" t="s">
        <v>68</v>
      </c>
      <c r="R45" s="4" t="s">
        <v>609</v>
      </c>
    </row>
    <row r="46">
      <c r="A46" s="4" t="s">
        <v>44</v>
      </c>
      <c r="B46" s="4" t="s">
        <v>44</v>
      </c>
      <c r="C46" s="4">
        <v>45.0</v>
      </c>
      <c r="D46" s="13" t="str">
        <f>HYPERLINK("https://www.linkedin.com/ad-library/detail/1509075304","Open Ad")</f>
        <v>Open Ad</v>
      </c>
      <c r="E46" s="4" t="s">
        <v>52</v>
      </c>
      <c r="F46" s="4" t="s">
        <v>53</v>
      </c>
      <c r="G46" s="4" t="s">
        <v>616</v>
      </c>
      <c r="H46" s="4" t="s">
        <v>55</v>
      </c>
      <c r="I46" s="4" t="s">
        <v>228</v>
      </c>
      <c r="J46" s="4" t="s">
        <v>52</v>
      </c>
      <c r="K46" s="4" t="s">
        <v>60</v>
      </c>
      <c r="L46" s="4" t="s">
        <v>62</v>
      </c>
      <c r="M46" s="4" t="s">
        <v>63</v>
      </c>
      <c r="N46" s="4" t="s">
        <v>448</v>
      </c>
      <c r="O46" s="2" t="s">
        <v>132</v>
      </c>
      <c r="P46" s="2">
        <v>1.509075304E9</v>
      </c>
      <c r="Q46" s="2" t="s">
        <v>68</v>
      </c>
      <c r="R46" s="4" t="s">
        <v>618</v>
      </c>
    </row>
    <row r="47">
      <c r="A47" s="4" t="s">
        <v>44</v>
      </c>
      <c r="B47" s="4" t="s">
        <v>44</v>
      </c>
      <c r="C47" s="4">
        <v>46.0</v>
      </c>
      <c r="D47" s="13" t="str">
        <f>HYPERLINK("https://www.linkedin.com/ad-library/detail/1509056464","Open Ad")</f>
        <v>Open Ad</v>
      </c>
      <c r="E47" s="4" t="s">
        <v>52</v>
      </c>
      <c r="F47" s="4" t="s">
        <v>53</v>
      </c>
      <c r="G47" s="4" t="s">
        <v>80</v>
      </c>
      <c r="H47" s="4" t="s">
        <v>55</v>
      </c>
      <c r="I47" s="4" t="s">
        <v>57</v>
      </c>
      <c r="J47" s="4" t="s">
        <v>52</v>
      </c>
      <c r="K47" s="4" t="s">
        <v>60</v>
      </c>
      <c r="L47" s="4" t="s">
        <v>62</v>
      </c>
      <c r="M47" s="4" t="s">
        <v>63</v>
      </c>
      <c r="N47" s="4" t="s">
        <v>448</v>
      </c>
      <c r="O47" s="2" t="s">
        <v>132</v>
      </c>
      <c r="P47" s="2">
        <v>1.509056464E9</v>
      </c>
      <c r="Q47" s="2" t="s">
        <v>68</v>
      </c>
      <c r="R47" s="4" t="s">
        <v>627</v>
      </c>
    </row>
    <row r="48">
      <c r="A48" s="4" t="s">
        <v>44</v>
      </c>
      <c r="B48" s="4" t="s">
        <v>44</v>
      </c>
      <c r="C48" s="4">
        <v>47.0</v>
      </c>
      <c r="D48" s="13" t="str">
        <f>HYPERLINK("https://www.linkedin.com/ad-library/detail/1514185544","Open Ad")</f>
        <v>Open Ad</v>
      </c>
      <c r="E48" s="4" t="s">
        <v>52</v>
      </c>
      <c r="F48" s="4" t="s">
        <v>53</v>
      </c>
      <c r="G48" s="4" t="s">
        <v>496</v>
      </c>
      <c r="H48" s="4" t="s">
        <v>55</v>
      </c>
      <c r="I48" s="4" t="s">
        <v>228</v>
      </c>
      <c r="J48" s="4" t="s">
        <v>52</v>
      </c>
      <c r="K48" s="4" t="s">
        <v>60</v>
      </c>
      <c r="L48" s="4" t="s">
        <v>62</v>
      </c>
      <c r="M48" s="4" t="s">
        <v>63</v>
      </c>
      <c r="N48" s="4" t="s">
        <v>448</v>
      </c>
      <c r="O48" s="2" t="s">
        <v>132</v>
      </c>
      <c r="P48" s="2">
        <v>1.514185544E9</v>
      </c>
      <c r="Q48" s="2" t="s">
        <v>68</v>
      </c>
      <c r="R48" s="4" t="s">
        <v>637</v>
      </c>
    </row>
    <row r="49">
      <c r="A49" s="4" t="s">
        <v>44</v>
      </c>
      <c r="B49" s="4" t="s">
        <v>44</v>
      </c>
      <c r="C49" s="4">
        <v>48.0</v>
      </c>
      <c r="D49" s="13" t="str">
        <f>HYPERLINK("https://www.linkedin.com/ad-library/detail/1514225804","Open Ad")</f>
        <v>Open Ad</v>
      </c>
      <c r="E49" s="4" t="s">
        <v>52</v>
      </c>
      <c r="F49" s="4" t="s">
        <v>53</v>
      </c>
      <c r="G49" s="4" t="s">
        <v>454</v>
      </c>
      <c r="H49" s="4" t="s">
        <v>55</v>
      </c>
      <c r="I49" s="4" t="s">
        <v>228</v>
      </c>
      <c r="J49" s="4" t="s">
        <v>52</v>
      </c>
      <c r="K49" s="4" t="s">
        <v>60</v>
      </c>
      <c r="L49" s="4" t="s">
        <v>62</v>
      </c>
      <c r="M49" s="4" t="s">
        <v>63</v>
      </c>
      <c r="N49" s="4" t="s">
        <v>448</v>
      </c>
      <c r="O49" s="2" t="s">
        <v>132</v>
      </c>
      <c r="P49" s="2">
        <v>1.514225804E9</v>
      </c>
      <c r="Q49" s="2" t="s">
        <v>68</v>
      </c>
      <c r="R49" s="4" t="s">
        <v>645</v>
      </c>
    </row>
    <row r="50">
      <c r="A50" s="4" t="s">
        <v>44</v>
      </c>
      <c r="B50" s="4" t="s">
        <v>44</v>
      </c>
      <c r="C50" s="4">
        <v>49.0</v>
      </c>
      <c r="D50" s="13" t="str">
        <f>HYPERLINK("https://www.linkedin.com/ad-library/detail/1539471116","Open Ad")</f>
        <v>Open Ad</v>
      </c>
      <c r="E50" s="4" t="s">
        <v>52</v>
      </c>
      <c r="F50" s="4" t="s">
        <v>53</v>
      </c>
      <c r="G50" s="4" t="s">
        <v>652</v>
      </c>
      <c r="H50" s="4" t="s">
        <v>55</v>
      </c>
      <c r="I50" s="4" t="s">
        <v>653</v>
      </c>
      <c r="J50" s="4" t="s">
        <v>52</v>
      </c>
      <c r="K50" s="4" t="s">
        <v>60</v>
      </c>
      <c r="L50" s="4" t="s">
        <v>62</v>
      </c>
      <c r="M50" s="4" t="s">
        <v>63</v>
      </c>
      <c r="N50" s="4" t="s">
        <v>655</v>
      </c>
      <c r="O50" s="2" t="s">
        <v>132</v>
      </c>
      <c r="P50" s="2">
        <v>1.539471116E9</v>
      </c>
      <c r="Q50" s="2" t="s">
        <v>68</v>
      </c>
      <c r="R50" s="4" t="s">
        <v>656</v>
      </c>
    </row>
    <row r="51">
      <c r="A51" s="4" t="s">
        <v>44</v>
      </c>
      <c r="B51" s="4" t="s">
        <v>44</v>
      </c>
      <c r="C51" s="4">
        <v>50.0</v>
      </c>
      <c r="D51" s="13" t="str">
        <f>HYPERLINK("https://www.linkedin.com/ad-library/detail/1508211684","Open Ad")</f>
        <v>Open Ad</v>
      </c>
      <c r="E51" s="4" t="s">
        <v>91</v>
      </c>
      <c r="F51" s="4" t="s">
        <v>53</v>
      </c>
      <c r="G51" s="4" t="s">
        <v>664</v>
      </c>
      <c r="H51" s="4" t="s">
        <v>55</v>
      </c>
      <c r="I51" s="4" t="s">
        <v>228</v>
      </c>
      <c r="J51" s="4" t="s">
        <v>91</v>
      </c>
      <c r="K51" s="13" t="str">
        <f>HYPERLINK("https://media.licdn.com/dms/image/v2/D4E10AQH6c3lFr33oow/image-shrink_1280/B4EZ0KiRsEIgAc-/0/1773998251156/1200x1200png?e=2147483647&amp;v=beta&amp;t=58uBIH8WGxZlc4zBUAsOqSWyE94HstE6TtC8lGuLIjo","Open Creative")</f>
        <v>Open Creative</v>
      </c>
      <c r="L51" s="4" t="s">
        <v>62</v>
      </c>
      <c r="M51" s="4" t="s">
        <v>63</v>
      </c>
      <c r="N51" s="4" t="s">
        <v>672</v>
      </c>
      <c r="O51" s="2" t="s">
        <v>132</v>
      </c>
      <c r="P51" s="2">
        <v>1.508211684E9</v>
      </c>
      <c r="Q51" s="2" t="s">
        <v>68</v>
      </c>
      <c r="R51" s="4" t="s">
        <v>673</v>
      </c>
    </row>
    <row r="52">
      <c r="A52" s="4" t="s">
        <v>44</v>
      </c>
      <c r="B52" s="4" t="s">
        <v>44</v>
      </c>
      <c r="C52" s="4">
        <v>51.0</v>
      </c>
      <c r="D52" s="13" t="str">
        <f>HYPERLINK("https://www.linkedin.com/ad-library/detail/1508181894","Open Ad")</f>
        <v>Open Ad</v>
      </c>
      <c r="E52" s="4" t="s">
        <v>91</v>
      </c>
      <c r="F52" s="4" t="s">
        <v>53</v>
      </c>
      <c r="G52" s="4" t="s">
        <v>664</v>
      </c>
      <c r="H52" s="4" t="s">
        <v>55</v>
      </c>
      <c r="I52" s="4" t="s">
        <v>228</v>
      </c>
      <c r="J52" s="4" t="s">
        <v>91</v>
      </c>
      <c r="K52" s="13" t="str">
        <f>HYPERLINK("https://media.licdn.com/dms/image/v2/D4E10AQHh-sW-Tkiq3w/image-shrink_1280/B4EZ0KhviYG8Ao-/0/1773998111322/1200x1200png?e=2147483647&amp;v=beta&amp;t=y-9d2AUAUbcdQrZqbXY_KrUK0HWwEMuP0ihuKaw_UyQ","Open Creative")</f>
        <v>Open Creative</v>
      </c>
      <c r="L52" s="4" t="s">
        <v>62</v>
      </c>
      <c r="M52" s="4" t="s">
        <v>63</v>
      </c>
      <c r="N52" s="4" t="s">
        <v>672</v>
      </c>
      <c r="O52" s="2" t="s">
        <v>132</v>
      </c>
      <c r="P52" s="2">
        <v>1.508181894E9</v>
      </c>
      <c r="Q52" s="2" t="s">
        <v>68</v>
      </c>
      <c r="R52" s="4" t="s">
        <v>688</v>
      </c>
    </row>
    <row r="53">
      <c r="A53" s="4" t="s">
        <v>44</v>
      </c>
      <c r="B53" s="4" t="s">
        <v>44</v>
      </c>
      <c r="C53" s="4">
        <v>52.0</v>
      </c>
      <c r="D53" s="13" t="str">
        <f>HYPERLINK("https://www.linkedin.com/ad-library/detail/1505061714","Open Ad")</f>
        <v>Open Ad</v>
      </c>
      <c r="E53" s="4" t="s">
        <v>91</v>
      </c>
      <c r="F53" s="4" t="s">
        <v>53</v>
      </c>
      <c r="G53" s="4" t="s">
        <v>664</v>
      </c>
      <c r="H53" s="4" t="s">
        <v>55</v>
      </c>
      <c r="I53" s="4" t="s">
        <v>228</v>
      </c>
      <c r="J53" s="4" t="s">
        <v>91</v>
      </c>
      <c r="K53" s="13" t="str">
        <f>HYPERLINK("https://media.licdn.com/dms/image/v2/D4E10AQFS6BW-q5HYkw/image-shrink_1280/B4EZ0Kh3avHQAc-/0/1773998143748/1200x1200png?e=2147483647&amp;v=beta&amp;t=A8CXWi2P8cuh_IVWhLZzpj4tHsUilYxsuUhAMtAiGrk","Open Creative")</f>
        <v>Open Creative</v>
      </c>
      <c r="L53" s="4" t="s">
        <v>62</v>
      </c>
      <c r="M53" s="4" t="s">
        <v>63</v>
      </c>
      <c r="N53" s="4" t="s">
        <v>672</v>
      </c>
      <c r="O53" s="2" t="s">
        <v>132</v>
      </c>
      <c r="P53" s="2">
        <v>1.505061714E9</v>
      </c>
      <c r="Q53" s="2" t="s">
        <v>68</v>
      </c>
      <c r="R53" s="4" t="s">
        <v>703</v>
      </c>
    </row>
    <row r="54">
      <c r="A54" s="4" t="s">
        <v>44</v>
      </c>
      <c r="B54" s="4" t="s">
        <v>44</v>
      </c>
      <c r="C54" s="4">
        <v>53.0</v>
      </c>
      <c r="D54" s="13" t="str">
        <f>HYPERLINK("https://www.linkedin.com/ad-library/detail/1494435674","Open Ad")</f>
        <v>Open Ad</v>
      </c>
      <c r="E54" s="4" t="s">
        <v>91</v>
      </c>
      <c r="F54" s="4" t="s">
        <v>53</v>
      </c>
      <c r="G54" s="4" t="s">
        <v>664</v>
      </c>
      <c r="H54" s="4" t="s">
        <v>55</v>
      </c>
      <c r="I54" s="4" t="s">
        <v>228</v>
      </c>
      <c r="J54" s="4" t="s">
        <v>91</v>
      </c>
      <c r="K54" s="13" t="str">
        <f>HYPERLINK("https://media.licdn.com/dms/image/v2/D4E10AQGXTKOK5_ATIw/image-shrink_1280/B4EZ0Kh_beHsAc-/0/1773998176446/1200x1200png?e=2147483647&amp;v=beta&amp;t=QG8pePVFrJNYrYPxiwuwxj59OcA2CPL_YEMAY4ru4Ac","Open Creative")</f>
        <v>Open Creative</v>
      </c>
      <c r="L54" s="4" t="s">
        <v>62</v>
      </c>
      <c r="M54" s="4" t="s">
        <v>63</v>
      </c>
      <c r="N54" s="4" t="s">
        <v>672</v>
      </c>
      <c r="O54" s="2" t="s">
        <v>132</v>
      </c>
      <c r="P54" s="2">
        <v>1.494435674E9</v>
      </c>
      <c r="Q54" s="2" t="s">
        <v>68</v>
      </c>
      <c r="R54" s="4" t="s">
        <v>717</v>
      </c>
    </row>
    <row r="55">
      <c r="A55" s="4" t="s">
        <v>44</v>
      </c>
      <c r="B55" s="4" t="s">
        <v>44</v>
      </c>
      <c r="C55" s="4">
        <v>54.0</v>
      </c>
      <c r="D55" s="13" t="str">
        <f>HYPERLINK("https://www.linkedin.com/ad-library/detail/1505101804","Open Ad")</f>
        <v>Open Ad</v>
      </c>
      <c r="E55" s="4" t="s">
        <v>91</v>
      </c>
      <c r="F55" s="4" t="s">
        <v>53</v>
      </c>
      <c r="G55" s="4" t="s">
        <v>664</v>
      </c>
      <c r="H55" s="4" t="s">
        <v>55</v>
      </c>
      <c r="I55" s="4" t="s">
        <v>228</v>
      </c>
      <c r="J55" s="4" t="s">
        <v>91</v>
      </c>
      <c r="K55" s="13" t="str">
        <f>HYPERLINK("https://media.licdn.com/dms/image/v2/D4E10AQEo94mTGZdDlA/image-shrink_1280/B4EZ0Kie6TIUAc-/0/1773998305362/1200x1200png?e=2147483647&amp;v=beta&amp;t=I6zjBs-kWE9PPTf2tXRO-eMhaIVCuES9OTErMW4FNok","Open Creative")</f>
        <v>Open Creative</v>
      </c>
      <c r="L55" s="4" t="s">
        <v>62</v>
      </c>
      <c r="M55" s="4" t="s">
        <v>63</v>
      </c>
      <c r="N55" s="4" t="s">
        <v>729</v>
      </c>
      <c r="O55" s="2" t="s">
        <v>132</v>
      </c>
      <c r="P55" s="2">
        <v>1.505101804E9</v>
      </c>
      <c r="Q55" s="2" t="s">
        <v>68</v>
      </c>
      <c r="R55" s="4" t="s">
        <v>731</v>
      </c>
    </row>
    <row r="56">
      <c r="A56" s="4" t="s">
        <v>44</v>
      </c>
      <c r="B56" s="4" t="s">
        <v>44</v>
      </c>
      <c r="C56" s="4">
        <v>55.0</v>
      </c>
      <c r="D56" s="13" t="str">
        <f>HYPERLINK("https://www.linkedin.com/ad-library/detail/1486705774","Open Ad")</f>
        <v>Open Ad</v>
      </c>
      <c r="E56" s="4" t="s">
        <v>91</v>
      </c>
      <c r="F56" s="4" t="s">
        <v>53</v>
      </c>
      <c r="G56" s="4" t="s">
        <v>740</v>
      </c>
      <c r="H56" s="4" t="s">
        <v>55</v>
      </c>
      <c r="I56" s="4" t="s">
        <v>123</v>
      </c>
      <c r="J56" s="4" t="s">
        <v>91</v>
      </c>
      <c r="K56" s="13" t="str">
        <f>HYPERLINK("https://media.licdn.com/dms/image/v2/D4D22AQEaIB1tLwnfOQ/feedshare-image-high-res/B4DZ.yE3jHIIAc-/0/1785399048863?e=2147483647&amp;v=beta&amp;t=LwZD7flPZBfTrWHdd55WQpOBqSG3T-jGCtS4PRqmaz8","Open Creative")</f>
        <v>Open Creative</v>
      </c>
      <c r="L56" s="4" t="s">
        <v>131</v>
      </c>
      <c r="M56" s="4" t="s">
        <v>63</v>
      </c>
      <c r="N56" s="4" t="s">
        <v>132</v>
      </c>
      <c r="O56" s="2" t="s">
        <v>132</v>
      </c>
      <c r="P56" s="2">
        <v>1.486705774E9</v>
      </c>
      <c r="Q56" s="2" t="s">
        <v>68</v>
      </c>
      <c r="R56" s="4" t="s">
        <v>751</v>
      </c>
    </row>
    <row r="57">
      <c r="A57" s="4" t="s">
        <v>44</v>
      </c>
      <c r="B57" s="4" t="s">
        <v>44</v>
      </c>
      <c r="C57" s="4">
        <v>56.0</v>
      </c>
      <c r="D57" s="13" t="str">
        <f>HYPERLINK("https://www.linkedin.com/ad-library/detail/1539660376","Open Ad")</f>
        <v>Open Ad</v>
      </c>
      <c r="E57" s="4" t="s">
        <v>52</v>
      </c>
      <c r="F57" s="4" t="s">
        <v>53</v>
      </c>
      <c r="G57" s="4" t="s">
        <v>762</v>
      </c>
      <c r="H57" s="4" t="s">
        <v>55</v>
      </c>
      <c r="I57" s="4" t="s">
        <v>228</v>
      </c>
      <c r="J57" s="4" t="s">
        <v>52</v>
      </c>
      <c r="K57" s="4" t="s">
        <v>60</v>
      </c>
      <c r="L57" s="4" t="s">
        <v>62</v>
      </c>
      <c r="M57" s="4" t="s">
        <v>63</v>
      </c>
      <c r="N57" s="4" t="s">
        <v>764</v>
      </c>
      <c r="O57" s="2" t="s">
        <v>132</v>
      </c>
      <c r="P57" s="2">
        <v>1.539660376E9</v>
      </c>
      <c r="Q57" s="2" t="s">
        <v>68</v>
      </c>
      <c r="R57" s="4" t="s">
        <v>766</v>
      </c>
    </row>
    <row r="58">
      <c r="A58" s="4" t="s">
        <v>44</v>
      </c>
      <c r="B58" s="4" t="s">
        <v>44</v>
      </c>
      <c r="C58" s="4">
        <v>57.0</v>
      </c>
      <c r="D58" s="13" t="str">
        <f>HYPERLINK("https://www.linkedin.com/ad-library/detail/1509061234","Open Ad")</f>
        <v>Open Ad</v>
      </c>
      <c r="E58" s="4" t="s">
        <v>91</v>
      </c>
      <c r="F58" s="4" t="s">
        <v>771</v>
      </c>
      <c r="G58" s="4" t="s">
        <v>774</v>
      </c>
      <c r="H58" s="4" t="s">
        <v>55</v>
      </c>
      <c r="I58" s="4" t="s">
        <v>775</v>
      </c>
      <c r="J58" s="4" t="s">
        <v>91</v>
      </c>
      <c r="K58" s="13" t="str">
        <f>HYPERLINK("https://media.licdn.com/dms/image/v2/D4E10AQECOHSG8BPOvQ/image-shrink_1280/B4EaAffyRdI0Ac-/0/1787234821613/PS-Webinar-Practitioner-webinar-series-building-AIO-and-SEO-prompt-strategy-1080x10801png?e=2147483647&amp;v=beta&amp;t=ecoGnemX8JBqWUz0YCWkOhPbnuFkyiD4KjQh"&amp;"q1XWOhw","Open Creative")</f>
        <v>Open Creative</v>
      </c>
      <c r="L58" s="4" t="s">
        <v>62</v>
      </c>
      <c r="M58" s="4" t="s">
        <v>63</v>
      </c>
      <c r="N58" s="4" t="s">
        <v>796</v>
      </c>
      <c r="O58" s="2" t="s">
        <v>132</v>
      </c>
      <c r="P58" s="2">
        <v>1.509061234E9</v>
      </c>
      <c r="Q58" s="2" t="s">
        <v>68</v>
      </c>
      <c r="R58" s="4" t="s">
        <v>798</v>
      </c>
    </row>
    <row r="59">
      <c r="A59" s="4" t="s">
        <v>44</v>
      </c>
      <c r="B59" s="4" t="s">
        <v>44</v>
      </c>
      <c r="C59" s="4">
        <v>58.0</v>
      </c>
      <c r="D59" s="13" t="str">
        <f>HYPERLINK("https://www.linkedin.com/ad-library/detail/1539511226","Open Ad")</f>
        <v>Open Ad</v>
      </c>
      <c r="E59" s="4" t="s">
        <v>52</v>
      </c>
      <c r="F59" s="4" t="s">
        <v>53</v>
      </c>
      <c r="G59" s="4" t="s">
        <v>802</v>
      </c>
      <c r="H59" s="4" t="s">
        <v>55</v>
      </c>
      <c r="I59" s="4" t="s">
        <v>57</v>
      </c>
      <c r="J59" s="4" t="s">
        <v>52</v>
      </c>
      <c r="K59" s="4" t="s">
        <v>60</v>
      </c>
      <c r="L59" s="4" t="s">
        <v>62</v>
      </c>
      <c r="M59" s="4" t="s">
        <v>63</v>
      </c>
      <c r="N59" s="4" t="s">
        <v>764</v>
      </c>
      <c r="O59" s="2" t="s">
        <v>132</v>
      </c>
      <c r="P59" s="2">
        <v>1.539511226E9</v>
      </c>
      <c r="Q59" s="2" t="s">
        <v>68</v>
      </c>
      <c r="R59" s="4" t="s">
        <v>805</v>
      </c>
    </row>
    <row r="60">
      <c r="A60" s="4" t="s">
        <v>44</v>
      </c>
      <c r="B60" s="4" t="s">
        <v>44</v>
      </c>
      <c r="C60" s="4">
        <v>59.0</v>
      </c>
      <c r="D60" s="13" t="str">
        <f>HYPERLINK("https://www.linkedin.com/ad-library/detail/1539530806","Open Ad")</f>
        <v>Open Ad</v>
      </c>
      <c r="E60" s="4" t="s">
        <v>52</v>
      </c>
      <c r="F60" s="4" t="s">
        <v>53</v>
      </c>
      <c r="G60" s="4" t="s">
        <v>814</v>
      </c>
      <c r="H60" s="4" t="s">
        <v>55</v>
      </c>
      <c r="I60" s="4" t="s">
        <v>57</v>
      </c>
      <c r="J60" s="4" t="s">
        <v>52</v>
      </c>
      <c r="K60" s="4" t="s">
        <v>60</v>
      </c>
      <c r="L60" s="4" t="s">
        <v>62</v>
      </c>
      <c r="M60" s="4" t="s">
        <v>63</v>
      </c>
      <c r="N60" s="4" t="s">
        <v>819</v>
      </c>
      <c r="O60" s="2" t="s">
        <v>132</v>
      </c>
      <c r="P60" s="2">
        <v>1.539530806E9</v>
      </c>
      <c r="Q60" s="2" t="s">
        <v>68</v>
      </c>
      <c r="R60" s="4" t="s">
        <v>821</v>
      </c>
    </row>
    <row r="61">
      <c r="A61" s="4" t="s">
        <v>44</v>
      </c>
      <c r="B61" s="4" t="s">
        <v>44</v>
      </c>
      <c r="C61" s="4">
        <v>60.0</v>
      </c>
      <c r="D61" s="13" t="str">
        <f>HYPERLINK("https://www.linkedin.com/ad-library/detail/1554435336","Open Ad")</f>
        <v>Open Ad</v>
      </c>
      <c r="E61" s="4" t="s">
        <v>91</v>
      </c>
      <c r="F61" s="4" t="s">
        <v>53</v>
      </c>
      <c r="G61" s="4" t="s">
        <v>664</v>
      </c>
      <c r="H61" s="4" t="s">
        <v>55</v>
      </c>
      <c r="I61" s="4" t="s">
        <v>228</v>
      </c>
      <c r="J61" s="4" t="s">
        <v>91</v>
      </c>
      <c r="K61" s="13" t="str">
        <f>HYPERLINK("https://media.licdn.com/dms/image/v2/D4E10AQGXTKOK5_ATIw/image-shrink_1280/B4EZ0Kh_beHsAc-/0/1773998176446/1200x1200png?e=2147483647&amp;v=beta&amp;t=QG8pePVFrJNYrYPxiwuwxj59OcA2CPL_YEMAY4ru4Ac","Open Creative")</f>
        <v>Open Creative</v>
      </c>
      <c r="L61" s="4" t="s">
        <v>62</v>
      </c>
      <c r="M61" s="4" t="s">
        <v>63</v>
      </c>
      <c r="N61" s="4" t="s">
        <v>837</v>
      </c>
      <c r="O61" s="2" t="s">
        <v>132</v>
      </c>
      <c r="P61" s="2">
        <v>1.554435336E9</v>
      </c>
      <c r="Q61" s="2" t="s">
        <v>68</v>
      </c>
      <c r="R61" s="4" t="s">
        <v>839</v>
      </c>
    </row>
    <row r="62">
      <c r="A62" s="4" t="s">
        <v>44</v>
      </c>
      <c r="B62" s="4" t="s">
        <v>44</v>
      </c>
      <c r="C62" s="4">
        <v>61.0</v>
      </c>
      <c r="D62" s="13" t="str">
        <f>HYPERLINK("https://www.linkedin.com/ad-library/detail/1492423954","Open Ad")</f>
        <v>Open Ad</v>
      </c>
      <c r="E62" s="4" t="s">
        <v>91</v>
      </c>
      <c r="F62" s="4" t="s">
        <v>53</v>
      </c>
      <c r="G62" s="4" t="s">
        <v>846</v>
      </c>
      <c r="H62" s="4" t="s">
        <v>122</v>
      </c>
      <c r="I62" s="4" t="s">
        <v>849</v>
      </c>
      <c r="J62" s="4" t="s">
        <v>91</v>
      </c>
      <c r="K62" s="13" t="str">
        <f>HYPERLINK("https://media.licdn.com/dms/image/v2/D4D22AQGqJx9RfB_HVQ/feedshare-image-high-res/B4DZ.n3PEKLAAU-/0/1785227702923?e=2147483647&amp;v=beta&amp;t=Q5q94j9da-rWzfHq09apvo-xJ3xkXfUriKZ596u9whQ","Open Creative")</f>
        <v>Open Creative</v>
      </c>
      <c r="L62" s="4" t="s">
        <v>131</v>
      </c>
      <c r="M62" s="4" t="s">
        <v>63</v>
      </c>
      <c r="N62" s="4" t="s">
        <v>132</v>
      </c>
      <c r="O62" s="2" t="s">
        <v>132</v>
      </c>
      <c r="P62" s="2">
        <v>1.492423954E9</v>
      </c>
      <c r="Q62" s="2" t="s">
        <v>68</v>
      </c>
      <c r="R62" s="4" t="s">
        <v>857</v>
      </c>
    </row>
    <row r="63">
      <c r="A63" s="4" t="s">
        <v>44</v>
      </c>
      <c r="B63" s="4" t="s">
        <v>44</v>
      </c>
      <c r="C63" s="4">
        <v>62.0</v>
      </c>
      <c r="D63" s="13" t="str">
        <f>HYPERLINK("https://www.linkedin.com/ad-library/detail/1554305216","Open Ad")</f>
        <v>Open Ad</v>
      </c>
      <c r="E63" s="4" t="s">
        <v>91</v>
      </c>
      <c r="F63" s="4" t="s">
        <v>53</v>
      </c>
      <c r="G63" s="4" t="s">
        <v>664</v>
      </c>
      <c r="H63" s="4" t="s">
        <v>55</v>
      </c>
      <c r="I63" s="4" t="s">
        <v>228</v>
      </c>
      <c r="J63" s="4" t="s">
        <v>91</v>
      </c>
      <c r="K63" s="13" t="str">
        <f>HYPERLINK("https://media.licdn.com/dms/image/v2/D4E10AQHh-sW-Tkiq3w/image-shrink_1280/B4EZ0KhviYG8Ao-/0/1773998111322/1200x1200png?e=2147483647&amp;v=beta&amp;t=y-9d2AUAUbcdQrZqbXY_KrUK0HWwEMuP0ihuKaw_UyQ","Open Creative")</f>
        <v>Open Creative</v>
      </c>
      <c r="L63" s="4" t="s">
        <v>62</v>
      </c>
      <c r="M63" s="4" t="s">
        <v>63</v>
      </c>
      <c r="N63" s="4" t="s">
        <v>837</v>
      </c>
      <c r="O63" s="2" t="s">
        <v>132</v>
      </c>
      <c r="P63" s="2">
        <v>1.554305216E9</v>
      </c>
      <c r="Q63" s="2" t="s">
        <v>68</v>
      </c>
      <c r="R63" s="4" t="s">
        <v>871</v>
      </c>
    </row>
    <row r="64">
      <c r="A64" s="4" t="s">
        <v>44</v>
      </c>
      <c r="B64" s="4" t="s">
        <v>44</v>
      </c>
      <c r="C64" s="4">
        <v>63.0</v>
      </c>
      <c r="D64" s="13" t="str">
        <f>HYPERLINK("https://www.linkedin.com/ad-library/detail/1554325536","Open Ad")</f>
        <v>Open Ad</v>
      </c>
      <c r="E64" s="4" t="s">
        <v>91</v>
      </c>
      <c r="F64" s="4" t="s">
        <v>53</v>
      </c>
      <c r="G64" s="4" t="s">
        <v>664</v>
      </c>
      <c r="H64" s="4" t="s">
        <v>55</v>
      </c>
      <c r="I64" s="4" t="s">
        <v>228</v>
      </c>
      <c r="J64" s="4" t="s">
        <v>91</v>
      </c>
      <c r="K64" s="13" t="str">
        <f>HYPERLINK("https://media.licdn.com/dms/image/v2/D4E10AQEo94mTGZdDlA/image-shrink_1280/B4EZ0Kie6TIUAc-/0/1773998305362/1200x1200png?e=2147483647&amp;v=beta&amp;t=I6zjBs-kWE9PPTf2tXRO-eMhaIVCuES9OTErMW4FNok","Open Creative")</f>
        <v>Open Creative</v>
      </c>
      <c r="L64" s="4" t="s">
        <v>62</v>
      </c>
      <c r="M64" s="4" t="s">
        <v>63</v>
      </c>
      <c r="N64" s="4" t="s">
        <v>887</v>
      </c>
      <c r="O64" s="2" t="s">
        <v>132</v>
      </c>
      <c r="P64" s="2">
        <v>1.554325536E9</v>
      </c>
      <c r="Q64" s="2" t="s">
        <v>68</v>
      </c>
      <c r="R64" s="4" t="s">
        <v>888</v>
      </c>
    </row>
    <row r="65">
      <c r="A65" s="4" t="s">
        <v>44</v>
      </c>
      <c r="B65" s="4" t="s">
        <v>44</v>
      </c>
      <c r="C65" s="4">
        <v>64.0</v>
      </c>
      <c r="D65" s="13" t="str">
        <f>HYPERLINK("https://www.linkedin.com/ad-library/detail/1554425456","Open Ad")</f>
        <v>Open Ad</v>
      </c>
      <c r="E65" s="4" t="s">
        <v>91</v>
      </c>
      <c r="F65" s="4" t="s">
        <v>53</v>
      </c>
      <c r="G65" s="4" t="s">
        <v>664</v>
      </c>
      <c r="H65" s="4" t="s">
        <v>55</v>
      </c>
      <c r="I65" s="4" t="s">
        <v>228</v>
      </c>
      <c r="J65" s="4" t="s">
        <v>91</v>
      </c>
      <c r="K65" s="13" t="str">
        <f>HYPERLINK("https://media.licdn.com/dms/image/v2/D4E10AQEnwP_OOKvtQw/image-shrink_1280/B4EZ0KiYIcHQAc-/0/1773998277628/1200x1200png?e=2147483647&amp;v=beta&amp;t=SWcF5ZEA4WZ5MnktJgvmLbl13A1Vl3RL4wNtT5OH3vk","Open Creative")</f>
        <v>Open Creative</v>
      </c>
      <c r="L65" s="4" t="s">
        <v>62</v>
      </c>
      <c r="M65" s="4" t="s">
        <v>63</v>
      </c>
      <c r="N65" s="4" t="s">
        <v>887</v>
      </c>
      <c r="O65" s="2" t="s">
        <v>132</v>
      </c>
      <c r="P65" s="2">
        <v>1.554425456E9</v>
      </c>
      <c r="Q65" s="2" t="s">
        <v>68</v>
      </c>
      <c r="R65" s="4" t="s">
        <v>899</v>
      </c>
    </row>
    <row r="66">
      <c r="A66" s="4" t="s">
        <v>44</v>
      </c>
      <c r="B66" s="4" t="s">
        <v>44</v>
      </c>
      <c r="C66" s="4">
        <v>65.0</v>
      </c>
      <c r="D66" s="13" t="str">
        <f>HYPERLINK("https://www.linkedin.com/ad-library/detail/1486980104","Open Ad")</f>
        <v>Open Ad</v>
      </c>
      <c r="E66" s="4" t="s">
        <v>91</v>
      </c>
      <c r="F66" s="4" t="s">
        <v>53</v>
      </c>
      <c r="G66" s="4" t="s">
        <v>916</v>
      </c>
      <c r="H66" s="4" t="s">
        <v>55</v>
      </c>
      <c r="I66" s="4" t="s">
        <v>184</v>
      </c>
      <c r="J66" s="4" t="s">
        <v>91</v>
      </c>
      <c r="K66" s="13" t="str">
        <f>HYPERLINK("https://media.licdn.com/dms/image/v2/D4D22AQH1S8lnm89_HQ/feedshare-shrink_1280/B4DZ.nNYkeJ4AM-/0/1785216731712?e=2147483647&amp;v=beta&amp;t=_Ux6A6zsWX_PPvgMFLig19YwaMjIBDh7ysV5Dy-xanc","Open Creative")</f>
        <v>Open Creative</v>
      </c>
      <c r="L66" s="4" t="s">
        <v>131</v>
      </c>
      <c r="M66" s="4" t="s">
        <v>63</v>
      </c>
      <c r="N66" s="4" t="s">
        <v>132</v>
      </c>
      <c r="O66" s="2" t="s">
        <v>132</v>
      </c>
      <c r="P66" s="2">
        <v>1.486980104E9</v>
      </c>
      <c r="Q66" s="2" t="s">
        <v>68</v>
      </c>
      <c r="R66" s="4" t="s">
        <v>928</v>
      </c>
    </row>
    <row r="67">
      <c r="A67" s="4" t="s">
        <v>44</v>
      </c>
      <c r="B67" s="4" t="s">
        <v>44</v>
      </c>
      <c r="C67" s="4">
        <v>66.0</v>
      </c>
      <c r="D67" s="13" t="str">
        <f>HYPERLINK("https://www.linkedin.com/ad-library/detail/1539600856","Open Ad")</f>
        <v>Open Ad</v>
      </c>
      <c r="E67" s="4" t="s">
        <v>52</v>
      </c>
      <c r="F67" s="4" t="s">
        <v>53</v>
      </c>
      <c r="G67" s="4" t="s">
        <v>762</v>
      </c>
      <c r="H67" s="4" t="s">
        <v>55</v>
      </c>
      <c r="I67" s="4" t="s">
        <v>228</v>
      </c>
      <c r="J67" s="4" t="s">
        <v>52</v>
      </c>
      <c r="K67" s="4" t="s">
        <v>60</v>
      </c>
      <c r="L67" s="4" t="s">
        <v>62</v>
      </c>
      <c r="M67" s="4" t="s">
        <v>63</v>
      </c>
      <c r="N67" s="4" t="s">
        <v>819</v>
      </c>
      <c r="O67" s="2" t="s">
        <v>132</v>
      </c>
      <c r="P67" s="2">
        <v>1.539600856E9</v>
      </c>
      <c r="Q67" s="2" t="s">
        <v>68</v>
      </c>
      <c r="R67" s="4" t="s">
        <v>936</v>
      </c>
    </row>
    <row r="68">
      <c r="A68" s="4" t="s">
        <v>44</v>
      </c>
      <c r="B68" s="4" t="s">
        <v>44</v>
      </c>
      <c r="C68" s="4">
        <v>67.0</v>
      </c>
      <c r="D68" s="13" t="str">
        <f>HYPERLINK("https://www.linkedin.com/ad-library/detail/1539520896","Open Ad")</f>
        <v>Open Ad</v>
      </c>
      <c r="E68" s="4" t="s">
        <v>52</v>
      </c>
      <c r="F68" s="4" t="s">
        <v>53</v>
      </c>
      <c r="G68" s="4" t="s">
        <v>802</v>
      </c>
      <c r="H68" s="4" t="s">
        <v>55</v>
      </c>
      <c r="I68" s="4" t="s">
        <v>57</v>
      </c>
      <c r="J68" s="4" t="s">
        <v>52</v>
      </c>
      <c r="K68" s="4" t="s">
        <v>60</v>
      </c>
      <c r="L68" s="4" t="s">
        <v>62</v>
      </c>
      <c r="M68" s="4" t="s">
        <v>63</v>
      </c>
      <c r="N68" s="4" t="s">
        <v>764</v>
      </c>
      <c r="O68" s="2" t="s">
        <v>132</v>
      </c>
      <c r="P68" s="2">
        <v>1.539520896E9</v>
      </c>
      <c r="Q68" s="2" t="s">
        <v>68</v>
      </c>
      <c r="R68" s="4" t="s">
        <v>944</v>
      </c>
    </row>
    <row r="69">
      <c r="A69" s="4" t="s">
        <v>44</v>
      </c>
      <c r="B69" s="4" t="s">
        <v>44</v>
      </c>
      <c r="C69" s="4">
        <v>68.0</v>
      </c>
      <c r="D69" s="13" t="str">
        <f>HYPERLINK("https://www.linkedin.com/ad-library/detail/1554405526","Open Ad")</f>
        <v>Open Ad</v>
      </c>
      <c r="E69" s="4" t="s">
        <v>91</v>
      </c>
      <c r="F69" s="4" t="s">
        <v>53</v>
      </c>
      <c r="G69" s="4" t="s">
        <v>664</v>
      </c>
      <c r="H69" s="4" t="s">
        <v>55</v>
      </c>
      <c r="I69" s="4" t="s">
        <v>228</v>
      </c>
      <c r="J69" s="4" t="s">
        <v>91</v>
      </c>
      <c r="K69" s="13" t="str">
        <f>HYPERLINK("https://media.licdn.com/dms/image/v2/D4E10AQH6c3lFr33oow/image-shrink_1280/B4EZ0KiRsEIgAc-/0/1773998251156/1200x1200png?e=2147483647&amp;v=beta&amp;t=58uBIH8WGxZlc4zBUAsOqSWyE94HstE6TtC8lGuLIjo","Open Creative")</f>
        <v>Open Creative</v>
      </c>
      <c r="L69" s="4" t="s">
        <v>62</v>
      </c>
      <c r="M69" s="4" t="s">
        <v>63</v>
      </c>
      <c r="N69" s="4" t="s">
        <v>837</v>
      </c>
      <c r="O69" s="2" t="s">
        <v>132</v>
      </c>
      <c r="P69" s="2">
        <v>1.554405526E9</v>
      </c>
      <c r="Q69" s="2" t="s">
        <v>68</v>
      </c>
      <c r="R69" s="4" t="s">
        <v>954</v>
      </c>
    </row>
    <row r="70">
      <c r="A70" s="4" t="s">
        <v>44</v>
      </c>
      <c r="B70" s="4" t="s">
        <v>44</v>
      </c>
      <c r="C70" s="4">
        <v>69.0</v>
      </c>
      <c r="D70" s="13" t="str">
        <f>HYPERLINK("https://www.linkedin.com/ad-library/detail/1539441216","Open Ad")</f>
        <v>Open Ad</v>
      </c>
      <c r="E70" s="4" t="s">
        <v>52</v>
      </c>
      <c r="F70" s="4" t="s">
        <v>53</v>
      </c>
      <c r="G70" s="4" t="s">
        <v>802</v>
      </c>
      <c r="H70" s="4" t="s">
        <v>55</v>
      </c>
      <c r="I70" s="4" t="s">
        <v>57</v>
      </c>
      <c r="J70" s="4" t="s">
        <v>52</v>
      </c>
      <c r="K70" s="4" t="s">
        <v>60</v>
      </c>
      <c r="L70" s="4" t="s">
        <v>62</v>
      </c>
      <c r="M70" s="4" t="s">
        <v>63</v>
      </c>
      <c r="N70" s="4" t="s">
        <v>764</v>
      </c>
      <c r="O70" s="2" t="s">
        <v>132</v>
      </c>
      <c r="P70" s="2">
        <v>1.539441216E9</v>
      </c>
      <c r="Q70" s="2" t="s">
        <v>68</v>
      </c>
      <c r="R70" s="4" t="s">
        <v>960</v>
      </c>
    </row>
    <row r="71">
      <c r="A71" s="4" t="s">
        <v>44</v>
      </c>
      <c r="B71" s="4" t="s">
        <v>44</v>
      </c>
      <c r="C71" s="4">
        <v>70.0</v>
      </c>
      <c r="D71" s="13" t="str">
        <f>HYPERLINK("https://www.linkedin.com/ad-library/detail/1505051684","Open Ad")</f>
        <v>Open Ad</v>
      </c>
      <c r="E71" s="4" t="s">
        <v>91</v>
      </c>
      <c r="F71" s="4" t="s">
        <v>53</v>
      </c>
      <c r="G71" s="4" t="s">
        <v>664</v>
      </c>
      <c r="H71" s="4" t="s">
        <v>55</v>
      </c>
      <c r="I71" s="4" t="s">
        <v>228</v>
      </c>
      <c r="J71" s="4" t="s">
        <v>91</v>
      </c>
      <c r="K71" s="13" t="str">
        <f>HYPERLINK("https://media.licdn.com/dms/image/v2/D4E10AQEnwP_OOKvtQw/image-shrink_1280/B4EZ0KiYIcHQAc-/0/1773998277628/1200x1200png?e=2147483647&amp;v=beta&amp;t=SWcF5ZEA4WZ5MnktJgvmLbl13A1Vl3RL4wNtT5OH3vk","Open Creative")</f>
        <v>Open Creative</v>
      </c>
      <c r="L71" s="4" t="s">
        <v>62</v>
      </c>
      <c r="M71" s="4" t="s">
        <v>63</v>
      </c>
      <c r="N71" s="4" t="s">
        <v>729</v>
      </c>
      <c r="O71" s="2" t="s">
        <v>132</v>
      </c>
      <c r="P71" s="2">
        <v>1.505051684E9</v>
      </c>
      <c r="Q71" s="2" t="s">
        <v>68</v>
      </c>
      <c r="R71" s="4" t="s">
        <v>973</v>
      </c>
    </row>
    <row r="72">
      <c r="A72" s="4" t="s">
        <v>44</v>
      </c>
      <c r="B72" s="4" t="s">
        <v>44</v>
      </c>
      <c r="C72" s="4">
        <v>71.0</v>
      </c>
      <c r="D72" s="13" t="str">
        <f>HYPERLINK("https://www.linkedin.com/ad-library/detail/1554425466","Open Ad")</f>
        <v>Open Ad</v>
      </c>
      <c r="E72" s="4" t="s">
        <v>91</v>
      </c>
      <c r="F72" s="4" t="s">
        <v>53</v>
      </c>
      <c r="G72" s="4" t="s">
        <v>664</v>
      </c>
      <c r="H72" s="4" t="s">
        <v>55</v>
      </c>
      <c r="I72" s="4" t="s">
        <v>228</v>
      </c>
      <c r="J72" s="4" t="s">
        <v>91</v>
      </c>
      <c r="K72" s="13" t="str">
        <f>HYPERLINK("https://media.licdn.com/dms/image/v2/D4E10AQFS6BW-q5HYkw/image-shrink_1280/B4EZ0Kh3avHQAc-/0/1773998143748/1200x1200png?e=2147483647&amp;v=beta&amp;t=A8CXWi2P8cuh_IVWhLZzpj4tHsUilYxsuUhAMtAiGrk","Open Creative")</f>
        <v>Open Creative</v>
      </c>
      <c r="L72" s="4" t="s">
        <v>62</v>
      </c>
      <c r="M72" s="4" t="s">
        <v>63</v>
      </c>
      <c r="N72" s="4" t="s">
        <v>992</v>
      </c>
      <c r="O72" s="2" t="s">
        <v>132</v>
      </c>
      <c r="P72" s="2">
        <v>1.554425466E9</v>
      </c>
      <c r="Q72" s="2" t="s">
        <v>68</v>
      </c>
      <c r="R72" s="4" t="s">
        <v>994</v>
      </c>
    </row>
    <row r="73">
      <c r="A73" s="4" t="s">
        <v>44</v>
      </c>
      <c r="B73" s="4" t="s">
        <v>44</v>
      </c>
      <c r="C73" s="4">
        <v>72.0</v>
      </c>
      <c r="D73" s="13" t="str">
        <f>HYPERLINK("https://www.linkedin.com/ad-library/detail/1539441286","Open Ad")</f>
        <v>Open Ad</v>
      </c>
      <c r="E73" s="4" t="s">
        <v>52</v>
      </c>
      <c r="F73" s="4" t="s">
        <v>53</v>
      </c>
      <c r="G73" s="4" t="s">
        <v>762</v>
      </c>
      <c r="H73" s="4" t="s">
        <v>55</v>
      </c>
      <c r="I73" s="4" t="s">
        <v>228</v>
      </c>
      <c r="J73" s="4" t="s">
        <v>52</v>
      </c>
      <c r="K73" s="4" t="s">
        <v>60</v>
      </c>
      <c r="L73" s="4" t="s">
        <v>62</v>
      </c>
      <c r="M73" s="4" t="s">
        <v>63</v>
      </c>
      <c r="N73" s="4" t="s">
        <v>764</v>
      </c>
      <c r="O73" s="2" t="s">
        <v>132</v>
      </c>
      <c r="P73" s="2">
        <v>1.539441286E9</v>
      </c>
      <c r="Q73" s="2" t="s">
        <v>68</v>
      </c>
      <c r="R73" s="4" t="s">
        <v>997</v>
      </c>
    </row>
    <row r="74">
      <c r="A74" s="4" t="s">
        <v>44</v>
      </c>
      <c r="B74" s="4" t="s">
        <v>44</v>
      </c>
      <c r="C74" s="4">
        <v>73.0</v>
      </c>
      <c r="D74" s="13" t="str">
        <f>HYPERLINK("https://www.linkedin.com/ad-library/detail/1453007173","Open Ad")</f>
        <v>Open Ad</v>
      </c>
      <c r="E74" s="4" t="s">
        <v>52</v>
      </c>
      <c r="F74" s="4" t="s">
        <v>53</v>
      </c>
      <c r="G74" s="4" t="s">
        <v>814</v>
      </c>
      <c r="H74" s="4" t="s">
        <v>55</v>
      </c>
      <c r="I74" s="4" t="s">
        <v>57</v>
      </c>
      <c r="J74" s="4" t="s">
        <v>52</v>
      </c>
      <c r="K74" s="4" t="s">
        <v>60</v>
      </c>
      <c r="L74" s="4" t="s">
        <v>62</v>
      </c>
      <c r="M74" s="4" t="s">
        <v>63</v>
      </c>
      <c r="N74" s="4" t="s">
        <v>1007</v>
      </c>
      <c r="O74" s="2" t="s">
        <v>132</v>
      </c>
      <c r="P74" s="2">
        <v>1.453007173E9</v>
      </c>
      <c r="Q74" s="2" t="s">
        <v>68</v>
      </c>
      <c r="R74" s="4" t="s">
        <v>1009</v>
      </c>
    </row>
    <row r="75">
      <c r="A75" s="4" t="s">
        <v>44</v>
      </c>
      <c r="B75" s="4" t="s">
        <v>44</v>
      </c>
      <c r="C75" s="4">
        <v>74.0</v>
      </c>
      <c r="D75" s="13" t="str">
        <f>HYPERLINK("https://www.linkedin.com/ad-library/detail/1467580174","Open Ad")</f>
        <v>Open Ad</v>
      </c>
      <c r="E75" s="4" t="s">
        <v>91</v>
      </c>
      <c r="F75" s="4" t="s">
        <v>1015</v>
      </c>
      <c r="G75" s="4" t="s">
        <v>1016</v>
      </c>
      <c r="H75" s="4" t="s">
        <v>55</v>
      </c>
      <c r="I75" s="4" t="s">
        <v>1017</v>
      </c>
      <c r="J75" s="4" t="s">
        <v>91</v>
      </c>
      <c r="K75" s="13" t="str">
        <f>HYPERLINK("https://media.licdn.com/dms/image/v2/D4E10AQGsxKVWF7qggg/image-shrink_1280/B4EZ9v4T6gIsAc-/0/1784288461363/LN-Spotlight_calendar_1200_1200png?e=2147483647&amp;v=beta&amp;t=SxYeRW0468wZwBF7GsNdUZlb5GZ7KJGH1RCEYG0Zk4g","Open Creative")</f>
        <v>Open Creative</v>
      </c>
      <c r="L75" s="4" t="s">
        <v>166</v>
      </c>
      <c r="M75" s="4" t="s">
        <v>63</v>
      </c>
      <c r="N75" s="4" t="s">
        <v>132</v>
      </c>
      <c r="O75" s="2" t="s">
        <v>132</v>
      </c>
      <c r="P75" s="2">
        <v>1.467580174E9</v>
      </c>
      <c r="Q75" s="2" t="s">
        <v>68</v>
      </c>
      <c r="R75" s="4" t="s">
        <v>1025</v>
      </c>
    </row>
    <row r="76">
      <c r="A76" s="4" t="s">
        <v>44</v>
      </c>
      <c r="B76" s="4" t="s">
        <v>44</v>
      </c>
      <c r="C76" s="4">
        <v>75.0</v>
      </c>
      <c r="D76" s="13" t="str">
        <f>HYPERLINK("https://www.linkedin.com/ad-library/detail/1458232374","Open Ad")</f>
        <v>Open Ad</v>
      </c>
      <c r="E76" s="4" t="s">
        <v>91</v>
      </c>
      <c r="F76" s="4" t="s">
        <v>1030</v>
      </c>
      <c r="G76" s="4" t="s">
        <v>1033</v>
      </c>
      <c r="H76" s="4" t="s">
        <v>55</v>
      </c>
      <c r="I76" s="4" t="s">
        <v>479</v>
      </c>
      <c r="J76" s="4" t="s">
        <v>91</v>
      </c>
      <c r="K76" s="13" t="str">
        <f>HYPERLINK("https://media.licdn.com/dms/image/v2/D4E10AQF0-BU5Kp9zrQ/image-shrink_1280/B4EZ7VQAsTHkAg-/0/1781694206161/Open-Role-Digital-Strategy-Consultant-7680-4320png?e=2147483647&amp;v=beta&amp;t=_V6Szm_AwbUFqSUv0pn1OUyGt1g2samIQz0tGdGadME","Open Creative")</f>
        <v>Open Creative</v>
      </c>
      <c r="L76" s="4" t="s">
        <v>131</v>
      </c>
      <c r="M76" s="4" t="s">
        <v>63</v>
      </c>
      <c r="N76" s="4" t="s">
        <v>132</v>
      </c>
      <c r="O76" s="2" t="s">
        <v>132</v>
      </c>
      <c r="P76" s="2">
        <v>1.458232374E9</v>
      </c>
      <c r="Q76" s="2" t="s">
        <v>68</v>
      </c>
      <c r="R76" s="4" t="s">
        <v>1042</v>
      </c>
    </row>
    <row r="77">
      <c r="A77" s="4" t="s">
        <v>44</v>
      </c>
      <c r="B77" s="4" t="s">
        <v>44</v>
      </c>
      <c r="C77" s="4">
        <v>76.0</v>
      </c>
      <c r="D77" s="13" t="str">
        <f>HYPERLINK("https://www.linkedin.com/ad-library/detail/1467256324","Open Ad")</f>
        <v>Open Ad</v>
      </c>
      <c r="E77" s="4" t="s">
        <v>1046</v>
      </c>
      <c r="F77" s="4" t="s">
        <v>53</v>
      </c>
      <c r="G77" s="4" t="s">
        <v>1047</v>
      </c>
      <c r="H77" s="4" t="s">
        <v>55</v>
      </c>
      <c r="I77" s="4" t="s">
        <v>985</v>
      </c>
      <c r="J77" s="4" t="s">
        <v>1046</v>
      </c>
      <c r="K77" s="13" t="str">
        <f>HYPERLINK("https://static.licdn.com/aero-v1/sc/h/9c8pery4andzj6ohjkjp54ma2","Open Creative")</f>
        <v>Open Creative</v>
      </c>
      <c r="L77" s="4" t="s">
        <v>1053</v>
      </c>
      <c r="M77" s="4" t="s">
        <v>63</v>
      </c>
      <c r="N77" s="4" t="s">
        <v>1056</v>
      </c>
      <c r="O77" s="2" t="s">
        <v>132</v>
      </c>
      <c r="P77" s="2">
        <v>1.467256324E9</v>
      </c>
      <c r="Q77" s="2" t="s">
        <v>68</v>
      </c>
      <c r="R77" s="4" t="s">
        <v>1058</v>
      </c>
    </row>
    <row r="78">
      <c r="A78" s="4" t="s">
        <v>44</v>
      </c>
      <c r="B78" s="4" t="s">
        <v>44</v>
      </c>
      <c r="C78" s="4">
        <v>77.0</v>
      </c>
      <c r="D78" s="13" t="str">
        <f>HYPERLINK("https://www.linkedin.com/ad-library/detail/1463824414","Open Ad")</f>
        <v>Open Ad</v>
      </c>
      <c r="E78" s="4" t="s">
        <v>52</v>
      </c>
      <c r="F78" s="4" t="s">
        <v>53</v>
      </c>
      <c r="G78" s="4" t="s">
        <v>652</v>
      </c>
      <c r="H78" s="4" t="s">
        <v>55</v>
      </c>
      <c r="I78" s="4" t="s">
        <v>653</v>
      </c>
      <c r="J78" s="4" t="s">
        <v>52</v>
      </c>
      <c r="K78" s="4" t="s">
        <v>60</v>
      </c>
      <c r="L78" s="4" t="s">
        <v>62</v>
      </c>
      <c r="M78" s="4" t="s">
        <v>63</v>
      </c>
      <c r="N78" s="4" t="s">
        <v>1065</v>
      </c>
      <c r="O78" s="2" t="s">
        <v>132</v>
      </c>
      <c r="P78" s="2">
        <v>1.463824414E9</v>
      </c>
      <c r="Q78" s="2" t="s">
        <v>68</v>
      </c>
      <c r="R78" s="4" t="s">
        <v>1069</v>
      </c>
    </row>
    <row r="79">
      <c r="A79" s="4" t="s">
        <v>44</v>
      </c>
      <c r="B79" s="4" t="s">
        <v>44</v>
      </c>
      <c r="C79" s="4">
        <v>78.0</v>
      </c>
      <c r="D79" s="13" t="str">
        <f>HYPERLINK("https://www.linkedin.com/ad-library/detail/1453080093","Open Ad")</f>
        <v>Open Ad</v>
      </c>
      <c r="E79" s="4" t="s">
        <v>52</v>
      </c>
      <c r="F79" s="4" t="s">
        <v>53</v>
      </c>
      <c r="G79" s="4" t="s">
        <v>652</v>
      </c>
      <c r="H79" s="4" t="s">
        <v>55</v>
      </c>
      <c r="I79" s="4" t="s">
        <v>653</v>
      </c>
      <c r="J79" s="4" t="s">
        <v>52</v>
      </c>
      <c r="K79" s="4" t="s">
        <v>60</v>
      </c>
      <c r="L79" s="4" t="s">
        <v>62</v>
      </c>
      <c r="M79" s="4" t="s">
        <v>63</v>
      </c>
      <c r="N79" s="4" t="s">
        <v>1007</v>
      </c>
      <c r="O79" s="2" t="s">
        <v>132</v>
      </c>
      <c r="P79" s="2">
        <v>1.453080093E9</v>
      </c>
      <c r="Q79" s="2" t="s">
        <v>68</v>
      </c>
      <c r="R79" s="4" t="s">
        <v>1076</v>
      </c>
    </row>
    <row r="80">
      <c r="A80" s="4" t="s">
        <v>44</v>
      </c>
      <c r="B80" s="4" t="s">
        <v>44</v>
      </c>
      <c r="C80" s="4">
        <v>79.0</v>
      </c>
      <c r="D80" s="13" t="str">
        <f>HYPERLINK("https://www.linkedin.com/ad-library/detail/1462277074","Open Ad")</f>
        <v>Open Ad</v>
      </c>
      <c r="E80" s="4" t="s">
        <v>91</v>
      </c>
      <c r="F80" s="4" t="s">
        <v>53</v>
      </c>
      <c r="G80" s="4" t="s">
        <v>1084</v>
      </c>
      <c r="H80" s="4" t="s">
        <v>55</v>
      </c>
      <c r="I80" s="4" t="s">
        <v>1086</v>
      </c>
      <c r="J80" s="4" t="s">
        <v>91</v>
      </c>
      <c r="K80" s="13" t="str">
        <f>HYPERLINK("https://media.licdn.com/dms/image/v2/D4E10AQGya4254YVE6g/image-shrink_1280/B4EZ8jx101KIAc-/0/1783011696683/Single-Image-1-1-Proven-tacticspng?e=2147483647&amp;v=beta&amp;t=TUDLCAdtMIwEHBWSmyuLzOWcYSLdWccCXP4smm8SAr4","Open Creative")</f>
        <v>Open Creative</v>
      </c>
      <c r="L80" s="4" t="s">
        <v>62</v>
      </c>
      <c r="M80" s="4" t="s">
        <v>63</v>
      </c>
      <c r="N80" s="4" t="s">
        <v>1096</v>
      </c>
      <c r="O80" s="2" t="s">
        <v>132</v>
      </c>
      <c r="P80" s="2">
        <v>1.462277074E9</v>
      </c>
      <c r="Q80" s="2" t="s">
        <v>68</v>
      </c>
      <c r="R80" s="4" t="s">
        <v>1097</v>
      </c>
    </row>
    <row r="81">
      <c r="A81" s="4" t="s">
        <v>44</v>
      </c>
      <c r="B81" s="4" t="s">
        <v>44</v>
      </c>
      <c r="C81" s="4">
        <v>80.0</v>
      </c>
      <c r="D81" s="13" t="str">
        <f>HYPERLINK("https://www.linkedin.com/ad-library/detail/1453075053","Open Ad")</f>
        <v>Open Ad</v>
      </c>
      <c r="E81" s="4" t="s">
        <v>52</v>
      </c>
      <c r="F81" s="4" t="s">
        <v>53</v>
      </c>
      <c r="G81" s="4" t="s">
        <v>1105</v>
      </c>
      <c r="H81" s="4" t="s">
        <v>55</v>
      </c>
      <c r="I81" s="4" t="s">
        <v>228</v>
      </c>
      <c r="J81" s="4" t="s">
        <v>52</v>
      </c>
      <c r="K81" s="4" t="s">
        <v>60</v>
      </c>
      <c r="L81" s="4" t="s">
        <v>62</v>
      </c>
      <c r="M81" s="4" t="s">
        <v>63</v>
      </c>
      <c r="N81" s="4" t="s">
        <v>1109</v>
      </c>
      <c r="O81" s="2" t="s">
        <v>132</v>
      </c>
      <c r="P81" s="2">
        <v>1.453075053E9</v>
      </c>
      <c r="Q81" s="2" t="s">
        <v>68</v>
      </c>
      <c r="R81" s="4" t="s">
        <v>1110</v>
      </c>
    </row>
    <row r="82">
      <c r="A82" s="4" t="s">
        <v>44</v>
      </c>
      <c r="B82" s="4" t="s">
        <v>44</v>
      </c>
      <c r="C82" s="4">
        <v>81.0</v>
      </c>
      <c r="D82" s="13" t="str">
        <f>HYPERLINK("https://www.linkedin.com/ad-library/detail/1467446954","Open Ad")</f>
        <v>Open Ad</v>
      </c>
      <c r="E82" s="4" t="s">
        <v>91</v>
      </c>
      <c r="F82" s="4" t="s">
        <v>1015</v>
      </c>
      <c r="G82" s="4" t="s">
        <v>1016</v>
      </c>
      <c r="H82" s="4" t="s">
        <v>55</v>
      </c>
      <c r="I82" s="4" t="s">
        <v>1017</v>
      </c>
      <c r="J82" s="4" t="s">
        <v>91</v>
      </c>
      <c r="K82" s="13" t="str">
        <f>HYPERLINK("https://media.licdn.com/dms/image/v2/D4E10AQGcrAayPdMdTA/image-shrink_1280/B4EZ9v4N4HHoAc-/0/1784288436703/LN-Spotlight_photo_1200_1200png?e=2147483647&amp;v=beta&amp;t=r9adK8HFXqOj5HpOnGUj674I6Oipbe7n-y-eFbeMHn8","Open Creative")</f>
        <v>Open Creative</v>
      </c>
      <c r="L82" s="4" t="s">
        <v>166</v>
      </c>
      <c r="M82" s="4" t="s">
        <v>63</v>
      </c>
      <c r="N82" s="4" t="s">
        <v>132</v>
      </c>
      <c r="O82" s="2" t="s">
        <v>132</v>
      </c>
      <c r="P82" s="2">
        <v>1.467446954E9</v>
      </c>
      <c r="Q82" s="2" t="s">
        <v>68</v>
      </c>
      <c r="R82" s="4" t="s">
        <v>1119</v>
      </c>
    </row>
    <row r="83">
      <c r="A83" s="4" t="s">
        <v>44</v>
      </c>
      <c r="B83" s="4" t="s">
        <v>44</v>
      </c>
      <c r="C83" s="4">
        <v>82.0</v>
      </c>
      <c r="D83" s="13" t="str">
        <f>HYPERLINK("https://www.linkedin.com/ad-library/detail/1463785844","Open Ad")</f>
        <v>Open Ad</v>
      </c>
      <c r="E83" s="4" t="s">
        <v>52</v>
      </c>
      <c r="F83" s="4" t="s">
        <v>53</v>
      </c>
      <c r="G83" s="4" t="s">
        <v>814</v>
      </c>
      <c r="H83" s="4" t="s">
        <v>55</v>
      </c>
      <c r="I83" s="4" t="s">
        <v>57</v>
      </c>
      <c r="J83" s="4" t="s">
        <v>52</v>
      </c>
      <c r="K83" s="4" t="s">
        <v>60</v>
      </c>
      <c r="L83" s="4" t="s">
        <v>62</v>
      </c>
      <c r="M83" s="4" t="s">
        <v>63</v>
      </c>
      <c r="N83" s="4" t="s">
        <v>1131</v>
      </c>
      <c r="O83" s="2" t="s">
        <v>132</v>
      </c>
      <c r="P83" s="2">
        <v>1.463785844E9</v>
      </c>
      <c r="Q83" s="2" t="s">
        <v>68</v>
      </c>
      <c r="R83" s="4" t="s">
        <v>1133</v>
      </c>
    </row>
    <row r="84">
      <c r="A84" s="4" t="s">
        <v>44</v>
      </c>
      <c r="B84" s="4" t="s">
        <v>44</v>
      </c>
      <c r="C84" s="4">
        <v>83.0</v>
      </c>
      <c r="D84" s="13" t="str">
        <f>HYPERLINK("https://www.linkedin.com/ad-library/detail/1462383574","Open Ad")</f>
        <v>Open Ad</v>
      </c>
      <c r="E84" s="4" t="s">
        <v>91</v>
      </c>
      <c r="F84" s="4" t="s">
        <v>53</v>
      </c>
      <c r="G84" s="4" t="s">
        <v>1084</v>
      </c>
      <c r="H84" s="4" t="s">
        <v>55</v>
      </c>
      <c r="I84" s="4" t="s">
        <v>1086</v>
      </c>
      <c r="J84" s="4" t="s">
        <v>91</v>
      </c>
      <c r="K84" s="13" t="str">
        <f>HYPERLINK("https://media.licdn.com/dms/image/v2/D4E10AQGya4254YVE6g/image-shrink_1280/B4EZ8jx101KIAc-/0/1783011696683/Single-Image-1-1-Proven-tacticspng?e=2147483647&amp;v=beta&amp;t=TUDLCAdtMIwEHBWSmyuLzOWcYSLdWccCXP4smm8SAr4","Open Creative")</f>
        <v>Open Creative</v>
      </c>
      <c r="L84" s="4" t="s">
        <v>62</v>
      </c>
      <c r="M84" s="4" t="s">
        <v>63</v>
      </c>
      <c r="N84" s="4" t="s">
        <v>1096</v>
      </c>
      <c r="O84" s="2" t="s">
        <v>132</v>
      </c>
      <c r="P84" s="2">
        <v>1.462383574E9</v>
      </c>
      <c r="Q84" s="2" t="s">
        <v>68</v>
      </c>
      <c r="R84" s="4" t="s">
        <v>1149</v>
      </c>
    </row>
    <row r="85">
      <c r="A85" s="4" t="s">
        <v>44</v>
      </c>
      <c r="B85" s="4" t="s">
        <v>44</v>
      </c>
      <c r="C85" s="4">
        <v>84.0</v>
      </c>
      <c r="D85" s="13" t="str">
        <f>HYPERLINK("https://www.linkedin.com/ad-library/detail/1464566944","Open Ad")</f>
        <v>Open Ad</v>
      </c>
      <c r="E85" s="4" t="s">
        <v>91</v>
      </c>
      <c r="F85" s="4" t="s">
        <v>1158</v>
      </c>
      <c r="G85" s="4" t="s">
        <v>1159</v>
      </c>
      <c r="H85" s="4" t="s">
        <v>55</v>
      </c>
      <c r="I85" s="4" t="s">
        <v>985</v>
      </c>
      <c r="J85" s="4" t="s">
        <v>91</v>
      </c>
      <c r="K85" s="13" t="str">
        <f>HYPERLINK("https://media.licdn.com/dms/image/v2/D4E10AQFZ1VK5vcHKvw/image-shrink_1280/B4EZ9HEFirHAAc-/0/1783603683481/Open-Role-Senior-Project-Manager-7680-4320png?e=2147483647&amp;v=beta&amp;t=an0re-0ivRaF6HKJNiywJBtrroMlW2Qv3Puinnx9A8o","Open Creative")</f>
        <v>Open Creative</v>
      </c>
      <c r="L85" s="4" t="s">
        <v>62</v>
      </c>
      <c r="M85" s="4" t="s">
        <v>63</v>
      </c>
      <c r="N85" s="4" t="s">
        <v>1168</v>
      </c>
      <c r="O85" s="2" t="s">
        <v>132</v>
      </c>
      <c r="P85" s="2">
        <v>1.464566944E9</v>
      </c>
      <c r="Q85" s="2" t="s">
        <v>68</v>
      </c>
      <c r="R85" s="4" t="s">
        <v>1169</v>
      </c>
    </row>
    <row r="86">
      <c r="A86" s="4" t="s">
        <v>44</v>
      </c>
      <c r="B86" s="4" t="s">
        <v>44</v>
      </c>
      <c r="C86" s="4">
        <v>85.0</v>
      </c>
      <c r="D86" s="13" t="str">
        <f>HYPERLINK("https://www.linkedin.com/ad-library/detail/1464632794","Open Ad")</f>
        <v>Open Ad</v>
      </c>
      <c r="E86" s="4" t="s">
        <v>91</v>
      </c>
      <c r="F86" s="4" t="s">
        <v>1158</v>
      </c>
      <c r="G86" s="4" t="s">
        <v>1159</v>
      </c>
      <c r="H86" s="4" t="s">
        <v>55</v>
      </c>
      <c r="I86" s="4" t="s">
        <v>985</v>
      </c>
      <c r="J86" s="4" t="s">
        <v>91</v>
      </c>
      <c r="K86" s="13" t="str">
        <f>HYPERLINK("https://media.licdn.com/dms/image/v2/D4E10AQHsoy46gzEDsA/image-shrink_1280/B4EZ9HEFjyJ0Ac-/0/1783603682276/Open-Role-Senior-Project-Manager-2430-4320png?e=2147483647&amp;v=beta&amp;t=7v6VFrmTNFA-c8Wc5_32T2MTUaDG0Y89Dcz9O6CQeho","Open Creative")</f>
        <v>Open Creative</v>
      </c>
      <c r="L86" s="4" t="s">
        <v>62</v>
      </c>
      <c r="M86" s="4" t="s">
        <v>63</v>
      </c>
      <c r="N86" s="4" t="s">
        <v>1168</v>
      </c>
      <c r="O86" s="2" t="s">
        <v>132</v>
      </c>
      <c r="P86" s="2">
        <v>1.464632794E9</v>
      </c>
      <c r="Q86" s="2" t="s">
        <v>68</v>
      </c>
      <c r="R86" s="4" t="s">
        <v>1186</v>
      </c>
    </row>
    <row r="87">
      <c r="A87" s="4" t="s">
        <v>44</v>
      </c>
      <c r="B87" s="4" t="s">
        <v>44</v>
      </c>
      <c r="C87" s="4">
        <v>86.0</v>
      </c>
      <c r="D87" s="13" t="str">
        <f>HYPERLINK("https://www.linkedin.com/ad-library/detail/1464622904","Open Ad")</f>
        <v>Open Ad</v>
      </c>
      <c r="E87" s="4" t="s">
        <v>1046</v>
      </c>
      <c r="F87" s="4" t="s">
        <v>53</v>
      </c>
      <c r="G87" s="4" t="s">
        <v>1191</v>
      </c>
      <c r="H87" s="4" t="s">
        <v>55</v>
      </c>
      <c r="I87" s="4" t="s">
        <v>985</v>
      </c>
      <c r="J87" s="4" t="s">
        <v>1046</v>
      </c>
      <c r="K87" s="13" t="str">
        <f>HYPERLINK("https://static.licdn.com/aero-v1/sc/h/9c8pery4andzj6ohjkjp54ma2","Open Creative")</f>
        <v>Open Creative</v>
      </c>
      <c r="L87" s="4" t="s">
        <v>1053</v>
      </c>
      <c r="M87" s="4" t="s">
        <v>63</v>
      </c>
      <c r="N87" s="4" t="s">
        <v>1168</v>
      </c>
      <c r="O87" s="2" t="s">
        <v>132</v>
      </c>
      <c r="P87" s="2">
        <v>1.464622904E9</v>
      </c>
      <c r="Q87" s="2" t="s">
        <v>68</v>
      </c>
      <c r="R87" s="4" t="s">
        <v>1200</v>
      </c>
    </row>
    <row r="88">
      <c r="A88" s="4" t="s">
        <v>44</v>
      </c>
      <c r="B88" s="4" t="s">
        <v>44</v>
      </c>
      <c r="C88" s="4">
        <v>87.0</v>
      </c>
      <c r="D88" s="13" t="str">
        <f>HYPERLINK("https://www.linkedin.com/ad-library/detail/1467331684","Open Ad")</f>
        <v>Open Ad</v>
      </c>
      <c r="E88" s="4" t="s">
        <v>91</v>
      </c>
      <c r="F88" s="4" t="s">
        <v>1205</v>
      </c>
      <c r="G88" s="4" t="s">
        <v>1206</v>
      </c>
      <c r="H88" s="4" t="s">
        <v>55</v>
      </c>
      <c r="I88" s="4" t="s">
        <v>985</v>
      </c>
      <c r="J88" s="4" t="s">
        <v>91</v>
      </c>
      <c r="K88" s="13" t="str">
        <f>HYPERLINK("https://media.licdn.com/dms/image/v2/D4E10AQHLMWUcCdw2ZQ/image-shrink_1280/B4EZ9rrgP7JIAc-/0/1784217995967/Open-Role-Senior-BI-Engineer-7680-4320png?e=2147483647&amp;v=beta&amp;t=CqharZmZOpugpE5ktYtdhYvPPRUH7mZb0JmBu4kUg2Y","Open Creative")</f>
        <v>Open Creative</v>
      </c>
      <c r="L88" s="4" t="s">
        <v>62</v>
      </c>
      <c r="M88" s="4" t="s">
        <v>63</v>
      </c>
      <c r="N88" s="4" t="s">
        <v>1056</v>
      </c>
      <c r="O88" s="2" t="s">
        <v>132</v>
      </c>
      <c r="P88" s="2">
        <v>1.467331684E9</v>
      </c>
      <c r="Q88" s="2" t="s">
        <v>68</v>
      </c>
      <c r="R88" s="4" t="s">
        <v>1217</v>
      </c>
    </row>
    <row r="89">
      <c r="A89" s="4" t="s">
        <v>44</v>
      </c>
      <c r="B89" s="4" t="s">
        <v>44</v>
      </c>
      <c r="C89" s="4">
        <v>88.0</v>
      </c>
      <c r="D89" s="13" t="str">
        <f>HYPERLINK("https://www.linkedin.com/ad-library/detail/1467331694","Open Ad")</f>
        <v>Open Ad</v>
      </c>
      <c r="E89" s="4" t="s">
        <v>91</v>
      </c>
      <c r="F89" s="4" t="s">
        <v>1205</v>
      </c>
      <c r="G89" s="4" t="s">
        <v>1206</v>
      </c>
      <c r="H89" s="4" t="s">
        <v>55</v>
      </c>
      <c r="I89" s="4" t="s">
        <v>985</v>
      </c>
      <c r="J89" s="4" t="s">
        <v>91</v>
      </c>
      <c r="K89" s="13" t="str">
        <f>HYPERLINK("https://media.licdn.com/dms/image/v2/D4E10AQHG4h45y8oi0g/image-shrink_1280/B4EZ9rrqzFIwAc-/0/1784218038375/Open-Role-Senior-BI-Engineer-4320-4320png?e=2147483647&amp;v=beta&amp;t=_oMx73L4l6ZKi_GmmjLqOC9juDUuPI0iWX-oqc1grU0","Open Creative")</f>
        <v>Open Creative</v>
      </c>
      <c r="L89" s="4" t="s">
        <v>62</v>
      </c>
      <c r="M89" s="4" t="s">
        <v>63</v>
      </c>
      <c r="N89" s="4" t="s">
        <v>1056</v>
      </c>
      <c r="O89" s="2" t="s">
        <v>132</v>
      </c>
      <c r="P89" s="2">
        <v>1.467331694E9</v>
      </c>
      <c r="Q89" s="2" t="s">
        <v>68</v>
      </c>
      <c r="R89" s="4" t="s">
        <v>1231</v>
      </c>
    </row>
    <row r="90">
      <c r="A90" s="4" t="s">
        <v>44</v>
      </c>
      <c r="B90" s="4" t="s">
        <v>44</v>
      </c>
      <c r="C90" s="4">
        <v>89.0</v>
      </c>
      <c r="D90" s="13" t="str">
        <f>HYPERLINK("https://www.linkedin.com/ad-library/detail/1467246414","Open Ad")</f>
        <v>Open Ad</v>
      </c>
      <c r="E90" s="4" t="s">
        <v>91</v>
      </c>
      <c r="F90" s="4" t="s">
        <v>1205</v>
      </c>
      <c r="G90" s="4" t="s">
        <v>1206</v>
      </c>
      <c r="H90" s="4" t="s">
        <v>55</v>
      </c>
      <c r="I90" s="4" t="s">
        <v>985</v>
      </c>
      <c r="J90" s="4" t="s">
        <v>91</v>
      </c>
      <c r="K90" s="13" t="str">
        <f>HYPERLINK("https://media.licdn.com/dms/image/v2/D4E10AQE4B7DbLQ3zNw/image-shrink_1280/B4EZ9rrgGAJgAc-/0/1784217994315/Open-Role-Senior-BI-Engineer-2430-4320png?e=2147483647&amp;v=beta&amp;t=wlkm1U3zzPh3E54NATixzFEDFK793f7WPGb4bEVmkXw","Open Creative")</f>
        <v>Open Creative</v>
      </c>
      <c r="L90" s="4" t="s">
        <v>62</v>
      </c>
      <c r="M90" s="4" t="s">
        <v>63</v>
      </c>
      <c r="N90" s="4" t="s">
        <v>1056</v>
      </c>
      <c r="O90" s="2" t="s">
        <v>132</v>
      </c>
      <c r="P90" s="2">
        <v>1.467246414E9</v>
      </c>
      <c r="Q90" s="2" t="s">
        <v>68</v>
      </c>
      <c r="R90" s="4" t="s">
        <v>1244</v>
      </c>
    </row>
    <row r="91">
      <c r="A91" s="4" t="s">
        <v>44</v>
      </c>
      <c r="B91" s="4" t="s">
        <v>44</v>
      </c>
      <c r="C91" s="4">
        <v>90.0</v>
      </c>
      <c r="D91" s="13" t="str">
        <f>HYPERLINK("https://www.linkedin.com/ad-library/detail/1460619704","Open Ad")</f>
        <v>Open Ad</v>
      </c>
      <c r="E91" s="4" t="s">
        <v>1046</v>
      </c>
      <c r="F91" s="4" t="s">
        <v>53</v>
      </c>
      <c r="G91" s="4" t="s">
        <v>1250</v>
      </c>
      <c r="H91" s="4" t="s">
        <v>55</v>
      </c>
      <c r="I91" s="4" t="s">
        <v>985</v>
      </c>
      <c r="J91" s="4" t="s">
        <v>1046</v>
      </c>
      <c r="K91" s="13" t="str">
        <f>HYPERLINK("https://static.licdn.com/aero-v1/sc/h/9c8pery4andzj6ohjkjp54ma2","Open Creative")</f>
        <v>Open Creative</v>
      </c>
      <c r="L91" s="4" t="s">
        <v>1053</v>
      </c>
      <c r="M91" s="4" t="s">
        <v>63</v>
      </c>
      <c r="N91" s="4" t="s">
        <v>1253</v>
      </c>
      <c r="O91" s="2" t="s">
        <v>132</v>
      </c>
      <c r="P91" s="2">
        <v>1.460619704E9</v>
      </c>
      <c r="Q91" s="2" t="s">
        <v>68</v>
      </c>
      <c r="R91" s="4" t="s">
        <v>1255</v>
      </c>
    </row>
    <row r="92">
      <c r="A92" s="4" t="s">
        <v>44</v>
      </c>
      <c r="B92" s="4" t="s">
        <v>44</v>
      </c>
      <c r="C92" s="4">
        <v>91.0</v>
      </c>
      <c r="D92" s="13" t="str">
        <f>HYPERLINK("https://www.linkedin.com/ad-library/detail/1458192884","Open Ad")</f>
        <v>Open Ad</v>
      </c>
      <c r="E92" s="4" t="s">
        <v>91</v>
      </c>
      <c r="F92" s="4" t="s">
        <v>1030</v>
      </c>
      <c r="G92" s="4" t="s">
        <v>1033</v>
      </c>
      <c r="H92" s="4" t="s">
        <v>55</v>
      </c>
      <c r="I92" s="4" t="s">
        <v>479</v>
      </c>
      <c r="J92" s="4" t="s">
        <v>91</v>
      </c>
      <c r="K92" s="13" t="str">
        <f>HYPERLINK("https://media.licdn.com/dms/image/v2/D4E10AQFXzfItc3KeZQ/image-shrink_1280/B4EZ7VQAnQHwAg-/0/1781694205498/Open-Role-Digital-Strategy-Consultant-4320-4320png?e=2147483647&amp;v=beta&amp;t=M2-yrq-KdlFwzCT2UYXQ7QO74RgustWOntqKD2PW2DY","Open Creative")</f>
        <v>Open Creative</v>
      </c>
      <c r="L92" s="4" t="s">
        <v>131</v>
      </c>
      <c r="M92" s="4" t="s">
        <v>63</v>
      </c>
      <c r="N92" s="4" t="s">
        <v>132</v>
      </c>
      <c r="O92" s="2" t="s">
        <v>132</v>
      </c>
      <c r="P92" s="2">
        <v>1.458192884E9</v>
      </c>
      <c r="Q92" s="2" t="s">
        <v>68</v>
      </c>
      <c r="R92" s="4" t="s">
        <v>1267</v>
      </c>
    </row>
    <row r="93">
      <c r="A93" s="4" t="s">
        <v>44</v>
      </c>
      <c r="B93" s="4" t="s">
        <v>44</v>
      </c>
      <c r="C93" s="4">
        <v>92.0</v>
      </c>
      <c r="D93" s="13" t="str">
        <f>HYPERLINK("https://www.linkedin.com/ad-library/detail/1452996923","Open Ad")</f>
        <v>Open Ad</v>
      </c>
      <c r="E93" s="4" t="s">
        <v>52</v>
      </c>
      <c r="F93" s="4" t="s">
        <v>53</v>
      </c>
      <c r="G93" s="4" t="s">
        <v>1273</v>
      </c>
      <c r="H93" s="4" t="s">
        <v>55</v>
      </c>
      <c r="I93" s="4" t="s">
        <v>985</v>
      </c>
      <c r="J93" s="4" t="s">
        <v>52</v>
      </c>
      <c r="K93" s="4" t="s">
        <v>60</v>
      </c>
      <c r="L93" s="4" t="s">
        <v>62</v>
      </c>
      <c r="M93" s="4" t="s">
        <v>63</v>
      </c>
      <c r="N93" s="4" t="s">
        <v>1109</v>
      </c>
      <c r="O93" s="2" t="s">
        <v>132</v>
      </c>
      <c r="P93" s="2">
        <v>1.452996923E9</v>
      </c>
      <c r="Q93" s="2" t="s">
        <v>68</v>
      </c>
      <c r="R93" s="4" t="s">
        <v>1276</v>
      </c>
    </row>
    <row r="94">
      <c r="A94" s="4" t="s">
        <v>44</v>
      </c>
      <c r="B94" s="4" t="s">
        <v>44</v>
      </c>
      <c r="C94" s="4">
        <v>93.0</v>
      </c>
      <c r="D94" s="13" t="str">
        <f>HYPERLINK("https://www.linkedin.com/ad-library/detail/1463795434","Open Ad")</f>
        <v>Open Ad</v>
      </c>
      <c r="E94" s="4" t="s">
        <v>52</v>
      </c>
      <c r="F94" s="4" t="s">
        <v>53</v>
      </c>
      <c r="G94" s="4" t="s">
        <v>652</v>
      </c>
      <c r="H94" s="4" t="s">
        <v>55</v>
      </c>
      <c r="I94" s="4" t="s">
        <v>653</v>
      </c>
      <c r="J94" s="4" t="s">
        <v>52</v>
      </c>
      <c r="K94" s="4" t="s">
        <v>60</v>
      </c>
      <c r="L94" s="4" t="s">
        <v>62</v>
      </c>
      <c r="M94" s="4" t="s">
        <v>63</v>
      </c>
      <c r="N94" s="4" t="s">
        <v>1284</v>
      </c>
      <c r="O94" s="2" t="s">
        <v>132</v>
      </c>
      <c r="P94" s="2">
        <v>1.463795434E9</v>
      </c>
      <c r="Q94" s="2" t="s">
        <v>68</v>
      </c>
      <c r="R94" s="4" t="s">
        <v>1286</v>
      </c>
    </row>
    <row r="95">
      <c r="A95" s="4" t="s">
        <v>44</v>
      </c>
      <c r="B95" s="4" t="s">
        <v>44</v>
      </c>
      <c r="C95" s="4">
        <v>94.0</v>
      </c>
      <c r="D95" s="13" t="str">
        <f>HYPERLINK("https://www.linkedin.com/ad-library/detail/1464548394","Open Ad")</f>
        <v>Open Ad</v>
      </c>
      <c r="E95" s="4" t="s">
        <v>91</v>
      </c>
      <c r="F95" s="4" t="s">
        <v>1158</v>
      </c>
      <c r="G95" s="4" t="s">
        <v>1159</v>
      </c>
      <c r="H95" s="4" t="s">
        <v>55</v>
      </c>
      <c r="I95" s="4" t="s">
        <v>985</v>
      </c>
      <c r="J95" s="4" t="s">
        <v>91</v>
      </c>
      <c r="K95" s="13" t="str">
        <f>HYPERLINK("https://media.licdn.com/dms/image/v2/D4E10AQEgCPK56xaPEA/image-shrink_1280/B4EZ9HEFlJHMAc-/0/1783603682778/Open-Role-Senior-Project-Manager-4320-4320png?e=2147483647&amp;v=beta&amp;t=b8o-bLzLx0dcc98ZGHBJlLNEcaB1HTyajxvBiQqKXiA","Open Creative")</f>
        <v>Open Creative</v>
      </c>
      <c r="L95" s="4" t="s">
        <v>62</v>
      </c>
      <c r="M95" s="4" t="s">
        <v>63</v>
      </c>
      <c r="N95" s="4" t="s">
        <v>1168</v>
      </c>
      <c r="O95" s="2" t="s">
        <v>132</v>
      </c>
      <c r="P95" s="2">
        <v>1.464548394E9</v>
      </c>
      <c r="Q95" s="2" t="s">
        <v>68</v>
      </c>
      <c r="R95" s="4" t="s">
        <v>1295</v>
      </c>
    </row>
    <row r="96">
      <c r="A96" s="4" t="s">
        <v>44</v>
      </c>
      <c r="B96" s="4" t="s">
        <v>44</v>
      </c>
      <c r="C96" s="4">
        <v>95.0</v>
      </c>
      <c r="D96" s="13" t="str">
        <f>HYPERLINK("https://www.linkedin.com/ad-library/detail/1463667924","Open Ad")</f>
        <v>Open Ad</v>
      </c>
      <c r="E96" s="4" t="s">
        <v>52</v>
      </c>
      <c r="F96" s="4" t="s">
        <v>53</v>
      </c>
      <c r="G96" s="4" t="s">
        <v>814</v>
      </c>
      <c r="H96" s="4" t="s">
        <v>55</v>
      </c>
      <c r="I96" s="4" t="s">
        <v>57</v>
      </c>
      <c r="J96" s="4" t="s">
        <v>52</v>
      </c>
      <c r="K96" s="4" t="s">
        <v>60</v>
      </c>
      <c r="L96" s="4" t="s">
        <v>62</v>
      </c>
      <c r="M96" s="4" t="s">
        <v>63</v>
      </c>
      <c r="N96" s="4" t="s">
        <v>1306</v>
      </c>
      <c r="O96" s="2" t="s">
        <v>132</v>
      </c>
      <c r="P96" s="2">
        <v>1.463667924E9</v>
      </c>
      <c r="Q96" s="2" t="s">
        <v>68</v>
      </c>
      <c r="R96" s="4" t="s">
        <v>1307</v>
      </c>
    </row>
    <row r="97">
      <c r="A97" s="4" t="s">
        <v>44</v>
      </c>
      <c r="B97" s="4" t="s">
        <v>44</v>
      </c>
      <c r="C97" s="4">
        <v>96.0</v>
      </c>
      <c r="D97" s="13" t="str">
        <f>HYPERLINK("https://www.linkedin.com/ad-library/detail/1467399674","Open Ad")</f>
        <v>Open Ad</v>
      </c>
      <c r="E97" s="4" t="s">
        <v>91</v>
      </c>
      <c r="F97" s="4" t="s">
        <v>1015</v>
      </c>
      <c r="G97" s="4" t="s">
        <v>1016</v>
      </c>
      <c r="H97" s="4" t="s">
        <v>55</v>
      </c>
      <c r="I97" s="4" t="s">
        <v>1017</v>
      </c>
      <c r="J97" s="4" t="s">
        <v>91</v>
      </c>
      <c r="K97" s="13" t="str">
        <f>HYPERLINK("https://media.licdn.com/dms/image/v2/D4E10AQGn2QLHSqf3rg/image-shrink_1280/B4EZ9v4Ia0JkAc-/0/1784288414412/LN-Spotlight_graph_1200_1200png?e=2147483647&amp;v=beta&amp;t=dEtrxLFbXppt7jqXFHJUGNu8jP9OjE_6fheSmfwav-Y","Open Creative")</f>
        <v>Open Creative</v>
      </c>
      <c r="L97" s="4" t="s">
        <v>166</v>
      </c>
      <c r="M97" s="4" t="s">
        <v>63</v>
      </c>
      <c r="N97" s="4" t="s">
        <v>132</v>
      </c>
      <c r="O97" s="2" t="s">
        <v>132</v>
      </c>
      <c r="P97" s="2">
        <v>1.467399674E9</v>
      </c>
      <c r="Q97" s="2" t="s">
        <v>68</v>
      </c>
      <c r="R97" s="4" t="s">
        <v>1325</v>
      </c>
    </row>
    <row r="98">
      <c r="A98" s="4" t="s">
        <v>44</v>
      </c>
      <c r="B98" s="4" t="s">
        <v>44</v>
      </c>
      <c r="C98" s="4">
        <v>97.0</v>
      </c>
      <c r="D98" s="13" t="str">
        <f>HYPERLINK("https://www.linkedin.com/ad-library/detail/1458282204","Open Ad")</f>
        <v>Open Ad</v>
      </c>
      <c r="E98" s="4" t="s">
        <v>91</v>
      </c>
      <c r="F98" s="4" t="s">
        <v>1158</v>
      </c>
      <c r="G98" s="4" t="s">
        <v>1329</v>
      </c>
      <c r="H98" s="4" t="s">
        <v>55</v>
      </c>
      <c r="I98" s="4" t="s">
        <v>985</v>
      </c>
      <c r="J98" s="4" t="s">
        <v>91</v>
      </c>
      <c r="K98" s="13" t="str">
        <f>HYPERLINK("https://media.licdn.com/dms/image/v2/D4E10AQEJYGMi4Guxcw/image-shrink_1280/B4EZ7VNGGLJIAo-/0/1781693441381/Open-Role-Onboarding-Consultant-4320-4320png?e=2147483647&amp;v=beta&amp;t=UQUEbJgsc40Aztd1lSAbjsj75TkPOWpyAL9c9WsvuEE","Open Creative")</f>
        <v>Open Creative</v>
      </c>
      <c r="L98" s="4" t="s">
        <v>131</v>
      </c>
      <c r="M98" s="4" t="s">
        <v>63</v>
      </c>
      <c r="N98" s="4" t="s">
        <v>132</v>
      </c>
      <c r="O98" s="2" t="s">
        <v>132</v>
      </c>
      <c r="P98" s="2">
        <v>1.458282204E9</v>
      </c>
      <c r="Q98" s="2" t="s">
        <v>68</v>
      </c>
      <c r="R98" s="4" t="s">
        <v>1340</v>
      </c>
    </row>
    <row r="99">
      <c r="A99" s="4" t="s">
        <v>44</v>
      </c>
      <c r="B99" s="4" t="s">
        <v>44</v>
      </c>
      <c r="C99" s="4">
        <v>98.0</v>
      </c>
      <c r="D99" s="13" t="str">
        <f>HYPERLINK("https://www.linkedin.com/ad-library/detail/1458312264","Open Ad")</f>
        <v>Open Ad</v>
      </c>
      <c r="E99" s="4" t="s">
        <v>91</v>
      </c>
      <c r="F99" s="4" t="s">
        <v>1030</v>
      </c>
      <c r="G99" s="4" t="s">
        <v>1344</v>
      </c>
      <c r="H99" s="4" t="s">
        <v>55</v>
      </c>
      <c r="I99" s="4" t="s">
        <v>985</v>
      </c>
      <c r="J99" s="4" t="s">
        <v>91</v>
      </c>
      <c r="K99" s="13" t="str">
        <f>HYPERLINK("https://media.licdn.com/dms/image/v2/D4E10AQFNScRswV9lYQ/image-shrink_1280/B4EZ7VKRd_IcAg-/0/1781692701327/Open-Role-QA-Automation-Engineer-2430-4320png?e=2147483647&amp;v=beta&amp;t=bjAtN61UCvI8aixCC4AcQnv011vNBAwuMbNUIS7Orno","Open Creative")</f>
        <v>Open Creative</v>
      </c>
      <c r="L99" s="4" t="s">
        <v>62</v>
      </c>
      <c r="M99" s="4" t="s">
        <v>63</v>
      </c>
      <c r="N99" s="4" t="s">
        <v>1353</v>
      </c>
      <c r="O99" s="2" t="s">
        <v>132</v>
      </c>
      <c r="P99" s="2">
        <v>1.458312264E9</v>
      </c>
      <c r="Q99" s="2" t="s">
        <v>68</v>
      </c>
      <c r="R99" s="4" t="s">
        <v>1355</v>
      </c>
    </row>
    <row r="100">
      <c r="A100" s="4" t="s">
        <v>44</v>
      </c>
      <c r="B100" s="4" t="s">
        <v>44</v>
      </c>
      <c r="C100" s="4">
        <v>99.0</v>
      </c>
      <c r="D100" s="13" t="str">
        <f>HYPERLINK("https://www.linkedin.com/ad-library/detail/1458232274","Open Ad")</f>
        <v>Open Ad</v>
      </c>
      <c r="E100" s="4" t="s">
        <v>91</v>
      </c>
      <c r="F100" s="4" t="s">
        <v>1158</v>
      </c>
      <c r="G100" s="4" t="s">
        <v>1329</v>
      </c>
      <c r="H100" s="4" t="s">
        <v>55</v>
      </c>
      <c r="I100" s="4" t="s">
        <v>985</v>
      </c>
      <c r="J100" s="4" t="s">
        <v>91</v>
      </c>
      <c r="K100" s="13" t="str">
        <f>HYPERLINK("https://media.licdn.com/dms/image/v2/D4E10AQE3nmfmBryonw/image-shrink_1280/B4EZ7VNGG3HkBs-/0/1781693442260/Open-Role-Onboarding-Consultant-7680-4320png?e=2147483647&amp;v=beta&amp;t=b4nlXBItBLrA30tlMelfNQow360bk4Y4Sfg0AQjz6jk","Open Creative")</f>
        <v>Open Creative</v>
      </c>
      <c r="L100" s="4" t="s">
        <v>131</v>
      </c>
      <c r="M100" s="4" t="s">
        <v>63</v>
      </c>
      <c r="N100" s="4" t="s">
        <v>132</v>
      </c>
      <c r="O100" s="2" t="s">
        <v>132</v>
      </c>
      <c r="P100" s="2">
        <v>1.458232274E9</v>
      </c>
      <c r="Q100" s="2" t="s">
        <v>68</v>
      </c>
      <c r="R100" s="4" t="s">
        <v>1367</v>
      </c>
    </row>
    <row r="101">
      <c r="A101" s="4" t="s">
        <v>44</v>
      </c>
      <c r="B101" s="4" t="s">
        <v>44</v>
      </c>
      <c r="C101" s="4">
        <v>100.0</v>
      </c>
      <c r="D101" s="13" t="str">
        <f>HYPERLINK("https://www.linkedin.com/ad-library/detail/1450965254","Open Ad")</f>
        <v>Open Ad</v>
      </c>
      <c r="E101" s="4" t="s">
        <v>91</v>
      </c>
      <c r="F101" s="4" t="s">
        <v>1373</v>
      </c>
      <c r="G101" s="4" t="s">
        <v>1375</v>
      </c>
      <c r="H101" s="4" t="s">
        <v>55</v>
      </c>
      <c r="I101" s="4" t="s">
        <v>1377</v>
      </c>
      <c r="J101" s="4" t="s">
        <v>91</v>
      </c>
      <c r="K101" s="13" t="str">
        <f>HYPERLINK("https://media.licdn.com/dms/image/v2/D4E10AQE9MZOuEmmF_A/image-shrink_1280/B4EZ64N33WIwAc-/0/1781207105551/Birghttalk-Thumbnail-Webinar-WhatshouldCMOsmeasureinanAIera_png?e=2147483647&amp;v=beta&amp;t=TOgIZzPo1rXqEmF5DB7wkNypUdt78LCWYqug_lYv8v4","Open Creative")</f>
        <v>Open Creative</v>
      </c>
      <c r="L101" s="4" t="s">
        <v>1387</v>
      </c>
      <c r="M101" s="4" t="s">
        <v>63</v>
      </c>
      <c r="N101" s="4" t="s">
        <v>1388</v>
      </c>
      <c r="O101" s="2" t="s">
        <v>132</v>
      </c>
      <c r="P101" s="2">
        <v>1.450965254E9</v>
      </c>
      <c r="Q101" s="2" t="s">
        <v>68</v>
      </c>
      <c r="R101" s="4" t="s">
        <v>1389</v>
      </c>
    </row>
    <row r="102">
      <c r="A102" s="4" t="s">
        <v>44</v>
      </c>
      <c r="B102" s="4" t="s">
        <v>44</v>
      </c>
      <c r="C102" s="4">
        <v>101.0</v>
      </c>
      <c r="D102" s="13" t="str">
        <f>HYPERLINK("https://www.linkedin.com/ad-library/detail/1451023044","Open Ad")</f>
        <v>Open Ad</v>
      </c>
      <c r="E102" s="4" t="s">
        <v>91</v>
      </c>
      <c r="F102" s="4" t="s">
        <v>1030</v>
      </c>
      <c r="G102" s="4" t="s">
        <v>1399</v>
      </c>
      <c r="H102" s="4" t="s">
        <v>55</v>
      </c>
      <c r="I102" s="4" t="s">
        <v>985</v>
      </c>
      <c r="J102" s="4" t="s">
        <v>91</v>
      </c>
      <c r="K102" s="13" t="str">
        <f>HYPERLINK("https://media.licdn.com/dms/image/v2/D4E10AQFImcCxL-xnDw/image-shrink_1280/B4EZ67sfHHKkAc-/0/1781265463248/Open-Role-Insights-Analyst-4320-4320png?e=2147483647&amp;v=beta&amp;t=tqGjERQeyWyMFJXg-wr4_N5aAAe3yCJPYNenKRO5bNU","Open Creative")</f>
        <v>Open Creative</v>
      </c>
      <c r="L102" s="4" t="s">
        <v>62</v>
      </c>
      <c r="M102" s="4" t="s">
        <v>63</v>
      </c>
      <c r="N102" s="4" t="s">
        <v>1412</v>
      </c>
      <c r="O102" s="2" t="s">
        <v>132</v>
      </c>
      <c r="P102" s="2">
        <v>1.451023044E9</v>
      </c>
      <c r="Q102" s="2" t="s">
        <v>68</v>
      </c>
      <c r="R102" s="4" t="s">
        <v>1413</v>
      </c>
    </row>
    <row r="103">
      <c r="A103" s="4" t="s">
        <v>44</v>
      </c>
      <c r="B103" s="4" t="s">
        <v>44</v>
      </c>
      <c r="C103" s="4">
        <v>102.0</v>
      </c>
      <c r="D103" s="13" t="str">
        <f>HYPERLINK("https://www.linkedin.com/ad-library/detail/1313900874","Open Ad")</f>
        <v>Open Ad</v>
      </c>
      <c r="E103" s="4" t="s">
        <v>91</v>
      </c>
      <c r="F103" s="4" t="s">
        <v>1205</v>
      </c>
      <c r="G103" s="4" t="s">
        <v>1418</v>
      </c>
      <c r="H103" s="4" t="s">
        <v>55</v>
      </c>
      <c r="I103" s="4" t="s">
        <v>985</v>
      </c>
      <c r="J103" s="4" t="s">
        <v>91</v>
      </c>
      <c r="K103" s="13" t="str">
        <f>HYPERLINK("https://media.licdn.com/dms/image/v2/D4E10AQFDJ6vmwJG3gg/image-shrink_1280/B4EZ50durpHMAc-/0/1780070411743/Open-Role-Senior-BI-Engineer-2430-4320png?e=2147483647&amp;v=beta&amp;t=w3fm-7m8bxe9EgFzfneT3275HkphiLDNjKvhrWidNnE","Open Creative")</f>
        <v>Open Creative</v>
      </c>
      <c r="L103" s="4" t="s">
        <v>62</v>
      </c>
      <c r="M103" s="4" t="s">
        <v>63</v>
      </c>
      <c r="N103" s="4" t="s">
        <v>1426</v>
      </c>
      <c r="O103" s="2" t="s">
        <v>132</v>
      </c>
      <c r="P103" s="2">
        <v>1.313900874E9</v>
      </c>
      <c r="Q103" s="2" t="s">
        <v>68</v>
      </c>
      <c r="R103" s="4" t="s">
        <v>1427</v>
      </c>
    </row>
    <row r="104">
      <c r="A104" s="4" t="s">
        <v>44</v>
      </c>
      <c r="B104" s="4" t="s">
        <v>44</v>
      </c>
      <c r="C104" s="4">
        <v>103.0</v>
      </c>
      <c r="D104" s="13" t="str">
        <f>HYPERLINK("https://www.linkedin.com/ad-library/detail/1314488364","Open Ad")</f>
        <v>Open Ad</v>
      </c>
      <c r="E104" s="4" t="s">
        <v>91</v>
      </c>
      <c r="F104" s="4" t="s">
        <v>1030</v>
      </c>
      <c r="G104" s="4" t="s">
        <v>1433</v>
      </c>
      <c r="H104" s="4" t="s">
        <v>55</v>
      </c>
      <c r="I104" s="4" t="s">
        <v>985</v>
      </c>
      <c r="J104" s="4" t="s">
        <v>91</v>
      </c>
      <c r="K104" s="13" t="str">
        <f>HYPERLINK("https://media.licdn.com/dms/image/v2/D4E10AQG44H73kpPaIA/image-shrink_1280/B4EZ50amWkHQAc-/0/1780069591457/Open-Role-Senior-Golang-Developer-4320-4320png?e=2147483647&amp;v=beta&amp;t=IN-uKoppaoFS0wac235DuSd_N7TWRrGV9imLmrpG_ZI","Open Creative")</f>
        <v>Open Creative</v>
      </c>
      <c r="L104" s="4" t="s">
        <v>62</v>
      </c>
      <c r="M104" s="4" t="s">
        <v>63</v>
      </c>
      <c r="N104" s="4" t="s">
        <v>1439</v>
      </c>
      <c r="O104" s="2" t="s">
        <v>132</v>
      </c>
      <c r="P104" s="2">
        <v>1.314488364E9</v>
      </c>
      <c r="Q104" s="2" t="s">
        <v>68</v>
      </c>
      <c r="R104" s="4" t="s">
        <v>1440</v>
      </c>
    </row>
    <row r="105">
      <c r="A105" s="4" t="s">
        <v>44</v>
      </c>
      <c r="B105" s="4" t="s">
        <v>44</v>
      </c>
      <c r="C105" s="4">
        <v>104.0</v>
      </c>
      <c r="D105" s="13" t="str">
        <f>HYPERLINK("https://www.linkedin.com/ad-library/detail/1312413254","Open Ad")</f>
        <v>Open Ad</v>
      </c>
      <c r="E105" s="4" t="s">
        <v>91</v>
      </c>
      <c r="F105" s="4" t="s">
        <v>1205</v>
      </c>
      <c r="G105" s="4" t="s">
        <v>1418</v>
      </c>
      <c r="H105" s="4" t="s">
        <v>55</v>
      </c>
      <c r="I105" s="4" t="s">
        <v>985</v>
      </c>
      <c r="J105" s="4" t="s">
        <v>91</v>
      </c>
      <c r="K105" s="13" t="str">
        <f>HYPERLINK("https://media.licdn.com/dms/image/v2/D4E10AQEAs464v9JVXg/image-shrink_1280/B4EZ50dubmJMAc-/0/1780070412251/Open-Role-Senior-BI-Engineer-7680-4320png?e=2147483647&amp;v=beta&amp;t=lBavFuj8812e70qsMCQZvQHepi9EHCLWyAa0s2QmSD0","Open Creative")</f>
        <v>Open Creative</v>
      </c>
      <c r="L105" s="4" t="s">
        <v>62</v>
      </c>
      <c r="M105" s="4" t="s">
        <v>63</v>
      </c>
      <c r="N105" s="4" t="s">
        <v>1426</v>
      </c>
      <c r="O105" s="2" t="s">
        <v>132</v>
      </c>
      <c r="P105" s="2">
        <v>1.312413254E9</v>
      </c>
      <c r="Q105" s="2" t="s">
        <v>68</v>
      </c>
      <c r="R105" s="4" t="s">
        <v>1451</v>
      </c>
    </row>
    <row r="106">
      <c r="A106" s="4" t="s">
        <v>44</v>
      </c>
      <c r="B106" s="4" t="s">
        <v>44</v>
      </c>
      <c r="C106" s="4">
        <v>105.0</v>
      </c>
      <c r="D106" s="13" t="str">
        <f>HYPERLINK("https://www.linkedin.com/ad-library/detail/1313703924","Open Ad")</f>
        <v>Open Ad</v>
      </c>
      <c r="E106" s="4" t="s">
        <v>91</v>
      </c>
      <c r="F106" s="4" t="s">
        <v>1030</v>
      </c>
      <c r="G106" s="4" t="s">
        <v>1433</v>
      </c>
      <c r="H106" s="4" t="s">
        <v>55</v>
      </c>
      <c r="I106" s="4" t="s">
        <v>985</v>
      </c>
      <c r="J106" s="4" t="s">
        <v>91</v>
      </c>
      <c r="K106" s="13" t="str">
        <f>HYPERLINK("https://media.licdn.com/dms/image/v2/D4E10AQG8qotgJm1UwQ/image-shrink_1280/B4EZ50ampSGQAs-/0/1780069592364/Open-Role-Senior-Golang-Developer-2430-4320png?e=2147483647&amp;v=beta&amp;t=VUF2il37kf0gc2COf-60SvALTZQZKeLatxo2MOr23wY","Open Creative")</f>
        <v>Open Creative</v>
      </c>
      <c r="L106" s="4" t="s">
        <v>62</v>
      </c>
      <c r="M106" s="4" t="s">
        <v>63</v>
      </c>
      <c r="N106" s="4" t="s">
        <v>1439</v>
      </c>
      <c r="O106" s="2" t="s">
        <v>132</v>
      </c>
      <c r="P106" s="2">
        <v>1.313703924E9</v>
      </c>
      <c r="Q106" s="2" t="s">
        <v>68</v>
      </c>
      <c r="R106" s="4" t="s">
        <v>1465</v>
      </c>
    </row>
    <row r="107">
      <c r="A107" s="4" t="s">
        <v>44</v>
      </c>
      <c r="B107" s="4" t="s">
        <v>44</v>
      </c>
      <c r="C107" s="4">
        <v>106.0</v>
      </c>
      <c r="D107" s="13" t="str">
        <f>HYPERLINK("https://www.linkedin.com/ad-library/detail/1450974774","Open Ad")</f>
        <v>Open Ad</v>
      </c>
      <c r="E107" s="4" t="s">
        <v>91</v>
      </c>
      <c r="F107" s="4" t="s">
        <v>1373</v>
      </c>
      <c r="G107" s="4" t="s">
        <v>1375</v>
      </c>
      <c r="H107" s="4" t="s">
        <v>55</v>
      </c>
      <c r="I107" s="4" t="s">
        <v>1377</v>
      </c>
      <c r="J107" s="4" t="s">
        <v>91</v>
      </c>
      <c r="K107" s="13" t="str">
        <f>HYPERLINK("https://media.licdn.com/dms/image/v2/D4E10AQELmvAO5Ie0Qw/image-shrink_1280/B4EZ63QCXHJ4Ac-/0/1781190895934/LN-Webinar-WhatshouldCMOsmeasureinanAIera_png?e=2147483647&amp;v=beta&amp;t=mG4vHJtqLMIyjd6MVe5fY3JOP7Cb3ks5sc5XLeoC3zI","Open Creative")</f>
        <v>Open Creative</v>
      </c>
      <c r="L107" s="4" t="s">
        <v>1387</v>
      </c>
      <c r="M107" s="4" t="s">
        <v>63</v>
      </c>
      <c r="N107" s="4" t="s">
        <v>1388</v>
      </c>
      <c r="O107" s="2" t="s">
        <v>132</v>
      </c>
      <c r="P107" s="2">
        <v>1.450974774E9</v>
      </c>
      <c r="Q107" s="2" t="s">
        <v>68</v>
      </c>
      <c r="R107" s="4" t="s">
        <v>1480</v>
      </c>
    </row>
    <row r="108">
      <c r="A108" s="4" t="s">
        <v>44</v>
      </c>
      <c r="B108" s="4" t="s">
        <v>44</v>
      </c>
      <c r="C108" s="4">
        <v>107.0</v>
      </c>
      <c r="D108" s="13" t="str">
        <f>HYPERLINK("https://www.linkedin.com/ad-library/detail/1451102924","Open Ad")</f>
        <v>Open Ad</v>
      </c>
      <c r="E108" s="4" t="s">
        <v>91</v>
      </c>
      <c r="F108" s="4" t="s">
        <v>1030</v>
      </c>
      <c r="G108" s="4" t="s">
        <v>1399</v>
      </c>
      <c r="H108" s="4" t="s">
        <v>55</v>
      </c>
      <c r="I108" s="4" t="s">
        <v>985</v>
      </c>
      <c r="J108" s="4" t="s">
        <v>91</v>
      </c>
      <c r="K108" s="13" t="str">
        <f>HYPERLINK("https://media.licdn.com/dms/image/v2/D4E10AQGPKf_eCBNnPw/image-shrink_1280/B4EZ67seylHAAc-/0/1781265461147/Open-Role-Insights-Analyst-2430-4320png?e=2147483647&amp;v=beta&amp;t=lR4D3IQ4Ii6nTNDjV2rIgyE4fxYlbQ7XIhrrteax7BM","Open Creative")</f>
        <v>Open Creative</v>
      </c>
      <c r="L108" s="4" t="s">
        <v>62</v>
      </c>
      <c r="M108" s="4" t="s">
        <v>63</v>
      </c>
      <c r="N108" s="4" t="s">
        <v>1496</v>
      </c>
      <c r="O108" s="2" t="s">
        <v>132</v>
      </c>
      <c r="P108" s="2">
        <v>1.451102924E9</v>
      </c>
      <c r="Q108" s="2" t="s">
        <v>68</v>
      </c>
      <c r="R108" s="4" t="s">
        <v>1497</v>
      </c>
    </row>
    <row r="109">
      <c r="A109" s="4" t="s">
        <v>44</v>
      </c>
      <c r="B109" s="4" t="s">
        <v>44</v>
      </c>
      <c r="C109" s="4">
        <v>108.0</v>
      </c>
      <c r="D109" s="13" t="str">
        <f>HYPERLINK("https://www.linkedin.com/ad-library/detail/1314488564","Open Ad")</f>
        <v>Open Ad</v>
      </c>
      <c r="E109" s="4" t="s">
        <v>1046</v>
      </c>
      <c r="F109" s="4" t="s">
        <v>53</v>
      </c>
      <c r="G109" s="4" t="s">
        <v>1506</v>
      </c>
      <c r="H109" s="4" t="s">
        <v>55</v>
      </c>
      <c r="I109" s="4" t="s">
        <v>985</v>
      </c>
      <c r="J109" s="4" t="s">
        <v>1046</v>
      </c>
      <c r="K109" s="13" t="str">
        <f>HYPERLINK("https://static.licdn.com/aero-v1/sc/h/9c8pery4andzj6ohjkjp54ma2","Open Creative")</f>
        <v>Open Creative</v>
      </c>
      <c r="L109" s="4" t="s">
        <v>1053</v>
      </c>
      <c r="M109" s="4" t="s">
        <v>63</v>
      </c>
      <c r="N109" s="4" t="s">
        <v>1509</v>
      </c>
      <c r="O109" s="2" t="s">
        <v>132</v>
      </c>
      <c r="P109" s="2">
        <v>1.314488564E9</v>
      </c>
      <c r="Q109" s="2" t="s">
        <v>68</v>
      </c>
      <c r="R109" s="4" t="s">
        <v>1513</v>
      </c>
    </row>
    <row r="110">
      <c r="A110" s="4" t="s">
        <v>44</v>
      </c>
      <c r="B110" s="4" t="s">
        <v>44</v>
      </c>
      <c r="C110" s="4">
        <v>109.0</v>
      </c>
      <c r="D110" s="13" t="str">
        <f>HYPERLINK("https://www.linkedin.com/ad-library/detail/1458292234","Open Ad")</f>
        <v>Open Ad</v>
      </c>
      <c r="E110" s="4" t="s">
        <v>91</v>
      </c>
      <c r="F110" s="4" t="s">
        <v>1030</v>
      </c>
      <c r="G110" s="4" t="s">
        <v>1344</v>
      </c>
      <c r="H110" s="4" t="s">
        <v>55</v>
      </c>
      <c r="I110" s="4" t="s">
        <v>985</v>
      </c>
      <c r="J110" s="4" t="s">
        <v>91</v>
      </c>
      <c r="K110" s="13" t="str">
        <f>HYPERLINK("https://media.licdn.com/dms/image/v2/D4E10AQHQ_5Bv0NEi4w/image-shrink_1280/B4EZ7VKXahJgAo-/0/1781692726468/Open-Role-QA-Automation-Engineer-7680-4320png?e=2147483647&amp;v=beta&amp;t=JbZpXq2PPcJzQFsGwbQDeAFZ3l55Mdm8b5X4lWJWLIc","Open Creative")</f>
        <v>Open Creative</v>
      </c>
      <c r="L110" s="4" t="s">
        <v>62</v>
      </c>
      <c r="M110" s="4" t="s">
        <v>63</v>
      </c>
      <c r="N110" s="4" t="s">
        <v>1353</v>
      </c>
      <c r="O110" s="2" t="s">
        <v>132</v>
      </c>
      <c r="P110" s="2">
        <v>1.458292234E9</v>
      </c>
      <c r="Q110" s="2" t="s">
        <v>68</v>
      </c>
      <c r="R110" s="4" t="s">
        <v>1531</v>
      </c>
    </row>
    <row r="111">
      <c r="A111" s="4" t="s">
        <v>44</v>
      </c>
      <c r="B111" s="4" t="s">
        <v>44</v>
      </c>
      <c r="C111" s="4">
        <v>110.0</v>
      </c>
      <c r="D111" s="13" t="str">
        <f>HYPERLINK("https://www.linkedin.com/ad-library/detail/1450524154","Open Ad")</f>
        <v>Open Ad</v>
      </c>
      <c r="E111" s="4" t="s">
        <v>91</v>
      </c>
      <c r="F111" s="4" t="s">
        <v>1373</v>
      </c>
      <c r="G111" s="4" t="s">
        <v>1535</v>
      </c>
      <c r="H111" s="4" t="s">
        <v>55</v>
      </c>
      <c r="I111" s="4" t="s">
        <v>1251</v>
      </c>
      <c r="J111" s="4" t="s">
        <v>91</v>
      </c>
      <c r="K111" s="13" t="str">
        <f>HYPERLINK("https://media.licdn.com/dms/image/v2/D4E10AQELmvAO5Ie0Qw/image-shrink_1280/B4EZ63QCXHJ4Ac-/0/1781190895934/LN-Webinar-WhatshouldCMOsmeasureinanAIera_png?e=2147483647&amp;v=beta&amp;t=mG4vHJtqLMIyjd6MVe5fY3JOP7Cb3ks5sc5XLeoC3zI","Open Creative")</f>
        <v>Open Creative</v>
      </c>
      <c r="L111" s="4" t="s">
        <v>1387</v>
      </c>
      <c r="M111" s="4" t="s">
        <v>63</v>
      </c>
      <c r="N111" s="4" t="s">
        <v>1388</v>
      </c>
      <c r="O111" s="2" t="s">
        <v>132</v>
      </c>
      <c r="P111" s="2">
        <v>1.450524154E9</v>
      </c>
      <c r="Q111" s="2" t="s">
        <v>68</v>
      </c>
      <c r="R111" s="4" t="s">
        <v>1544</v>
      </c>
    </row>
    <row r="112">
      <c r="A112" s="4" t="s">
        <v>44</v>
      </c>
      <c r="B112" s="4" t="s">
        <v>44</v>
      </c>
      <c r="C112" s="4">
        <v>111.0</v>
      </c>
      <c r="D112" s="13" t="str">
        <f>HYPERLINK("https://www.linkedin.com/ad-library/detail/1451003374","Open Ad")</f>
        <v>Open Ad</v>
      </c>
      <c r="E112" s="4" t="s">
        <v>91</v>
      </c>
      <c r="F112" s="4" t="s">
        <v>1030</v>
      </c>
      <c r="G112" s="4" t="s">
        <v>1399</v>
      </c>
      <c r="H112" s="4" t="s">
        <v>55</v>
      </c>
      <c r="I112" s="4" t="s">
        <v>985</v>
      </c>
      <c r="J112" s="4" t="s">
        <v>91</v>
      </c>
      <c r="K112" s="13" t="str">
        <f>HYPERLINK("https://media.licdn.com/dms/image/v2/D4E10AQFYNHEzcIAHhw/image-shrink_1280/B4EZ67srqEHwAc-/0/1781265514557/Open-Role-Insights-Analyst-7680-4320png?e=2147483647&amp;v=beta&amp;t=-3o5SKCgB0E2l-gXVXNnSQXdpRUrVR-Iv8QM0cYwPt8","Open Creative")</f>
        <v>Open Creative</v>
      </c>
      <c r="L112" s="4" t="s">
        <v>62</v>
      </c>
      <c r="M112" s="4" t="s">
        <v>63</v>
      </c>
      <c r="N112" s="4" t="s">
        <v>1496</v>
      </c>
      <c r="O112" s="2" t="s">
        <v>132</v>
      </c>
      <c r="P112" s="2">
        <v>1.451003374E9</v>
      </c>
      <c r="Q112" s="2" t="s">
        <v>68</v>
      </c>
      <c r="R112" s="4" t="s">
        <v>1565</v>
      </c>
    </row>
    <row r="113">
      <c r="A113" s="4" t="s">
        <v>44</v>
      </c>
      <c r="B113" s="4" t="s">
        <v>44</v>
      </c>
      <c r="C113" s="4">
        <v>112.0</v>
      </c>
      <c r="D113" s="13" t="str">
        <f>HYPERLINK("https://www.linkedin.com/ad-library/detail/1314295134","Open Ad")</f>
        <v>Open Ad</v>
      </c>
      <c r="E113" s="4" t="s">
        <v>91</v>
      </c>
      <c r="F113" s="4" t="s">
        <v>1030</v>
      </c>
      <c r="G113" s="4" t="s">
        <v>1433</v>
      </c>
      <c r="H113" s="4" t="s">
        <v>55</v>
      </c>
      <c r="I113" s="4" t="s">
        <v>985</v>
      </c>
      <c r="J113" s="4" t="s">
        <v>91</v>
      </c>
      <c r="K113" s="13" t="str">
        <f>HYPERLINK("https://media.licdn.com/dms/image/v2/D4E10AQGT98nkWmKoYg/image-shrink_1280/B4EZ50amryIkAc-/0/1780069593638/Open-Role-Senior-Golang-Developer-7680-4320png?e=2147483647&amp;v=beta&amp;t=k37F5GEyEZDqikAONdrVjFSkk88qg4LlguigN_LZHG4","Open Creative")</f>
        <v>Open Creative</v>
      </c>
      <c r="L113" s="4" t="s">
        <v>62</v>
      </c>
      <c r="M113" s="4" t="s">
        <v>63</v>
      </c>
      <c r="N113" s="4" t="s">
        <v>1439</v>
      </c>
      <c r="O113" s="2" t="s">
        <v>132</v>
      </c>
      <c r="P113" s="2">
        <v>1.314295134E9</v>
      </c>
      <c r="Q113" s="2" t="s">
        <v>68</v>
      </c>
      <c r="R113" s="4" t="s">
        <v>1583</v>
      </c>
    </row>
    <row r="114">
      <c r="A114" s="4" t="s">
        <v>44</v>
      </c>
      <c r="B114" s="4" t="s">
        <v>44</v>
      </c>
      <c r="C114" s="4">
        <v>113.0</v>
      </c>
      <c r="D114" s="13" t="str">
        <f>HYPERLINK("https://www.linkedin.com/ad-library/detail/1458262294","Open Ad")</f>
        <v>Open Ad</v>
      </c>
      <c r="E114" s="4" t="s">
        <v>91</v>
      </c>
      <c r="F114" s="4" t="s">
        <v>1030</v>
      </c>
      <c r="G114" s="4" t="s">
        <v>1033</v>
      </c>
      <c r="H114" s="4" t="s">
        <v>55</v>
      </c>
      <c r="I114" s="4" t="s">
        <v>479</v>
      </c>
      <c r="J114" s="4" t="s">
        <v>91</v>
      </c>
      <c r="K114" s="13" t="str">
        <f>HYPERLINK("https://media.licdn.com/dms/image/v2/D4E10AQHL0mcPt1ackQ/image-shrink_1280/B4EZ7VQAxnJYAc-/0/1781694205762/Open-Role-Digital-Strategy-Consultant-2430-4320png?e=2147483647&amp;v=beta&amp;t=rV7-9nK5MU389D3BJU0TE2OPA2OiKcgAvGXGZC8HDzs","Open Creative")</f>
        <v>Open Creative</v>
      </c>
      <c r="L114" s="4" t="s">
        <v>131</v>
      </c>
      <c r="M114" s="4" t="s">
        <v>63</v>
      </c>
      <c r="N114" s="4" t="s">
        <v>132</v>
      </c>
      <c r="O114" s="2" t="s">
        <v>132</v>
      </c>
      <c r="P114" s="2">
        <v>1.458262294E9</v>
      </c>
      <c r="Q114" s="2" t="s">
        <v>68</v>
      </c>
      <c r="R114" s="4" t="s">
        <v>1609</v>
      </c>
    </row>
    <row r="115">
      <c r="A115" s="4" t="s">
        <v>44</v>
      </c>
      <c r="B115" s="4" t="s">
        <v>44</v>
      </c>
      <c r="C115" s="4">
        <v>114.0</v>
      </c>
      <c r="D115" s="13" t="str">
        <f>HYPERLINK("https://www.linkedin.com/ad-library/detail/1451042834","Open Ad")</f>
        <v>Open Ad</v>
      </c>
      <c r="E115" s="4" t="s">
        <v>1046</v>
      </c>
      <c r="F115" s="4" t="s">
        <v>53</v>
      </c>
      <c r="G115" s="4" t="s">
        <v>1616</v>
      </c>
      <c r="H115" s="4" t="s">
        <v>55</v>
      </c>
      <c r="I115" s="4" t="s">
        <v>985</v>
      </c>
      <c r="J115" s="4" t="s">
        <v>1046</v>
      </c>
      <c r="K115" s="13" t="str">
        <f>HYPERLINK("https://static.licdn.com/aero-v1/sc/h/9c8pery4andzj6ohjkjp54ma2","Open Creative")</f>
        <v>Open Creative</v>
      </c>
      <c r="L115" s="4" t="s">
        <v>1053</v>
      </c>
      <c r="M115" s="4" t="s">
        <v>63</v>
      </c>
      <c r="N115" s="4" t="s">
        <v>1412</v>
      </c>
      <c r="O115" s="2" t="s">
        <v>132</v>
      </c>
      <c r="P115" s="2">
        <v>1.451042834E9</v>
      </c>
      <c r="Q115" s="2" t="s">
        <v>68</v>
      </c>
      <c r="R115" s="4" t="s">
        <v>1627</v>
      </c>
    </row>
    <row r="116">
      <c r="A116" s="4" t="s">
        <v>44</v>
      </c>
      <c r="B116" s="4" t="s">
        <v>44</v>
      </c>
      <c r="C116" s="4">
        <v>115.0</v>
      </c>
      <c r="D116" s="13" t="str">
        <f>HYPERLINK("https://www.linkedin.com/ad-library/detail/1458192694","Open Ad")</f>
        <v>Open Ad</v>
      </c>
      <c r="E116" s="4" t="s">
        <v>91</v>
      </c>
      <c r="F116" s="4" t="s">
        <v>1158</v>
      </c>
      <c r="G116" s="4" t="s">
        <v>1329</v>
      </c>
      <c r="H116" s="4" t="s">
        <v>55</v>
      </c>
      <c r="I116" s="4" t="s">
        <v>985</v>
      </c>
      <c r="J116" s="4" t="s">
        <v>91</v>
      </c>
      <c r="K116" s="13" t="str">
        <f>HYPERLINK("https://media.licdn.com/dms/image/v2/D4E10AQFt4F44hSr4oQ/image-shrink_1280/B4EZ7VNGEVHAAc-/0/1781693441208/Open-Role-Onboarding-Consultant-2430-4320png?e=2147483647&amp;v=beta&amp;t=lq-s5eUBVCxmvGbdoKlyHsKdExlxdNs-DSUlz9EHJFM","Open Creative")</f>
        <v>Open Creative</v>
      </c>
      <c r="L116" s="4" t="s">
        <v>131</v>
      </c>
      <c r="M116" s="4" t="s">
        <v>63</v>
      </c>
      <c r="N116" s="4" t="s">
        <v>132</v>
      </c>
      <c r="O116" s="2" t="s">
        <v>132</v>
      </c>
      <c r="P116" s="2">
        <v>1.458192694E9</v>
      </c>
      <c r="Q116" s="2" t="s">
        <v>68</v>
      </c>
      <c r="R116" s="4" t="s">
        <v>1640</v>
      </c>
    </row>
    <row r="117">
      <c r="A117" s="4" t="s">
        <v>44</v>
      </c>
      <c r="B117" s="4" t="s">
        <v>44</v>
      </c>
      <c r="C117" s="4">
        <v>116.0</v>
      </c>
      <c r="D117" s="13" t="str">
        <f>HYPERLINK("https://www.linkedin.com/ad-library/detail/1312612374","Open Ad")</f>
        <v>Open Ad</v>
      </c>
      <c r="E117" s="4" t="s">
        <v>1046</v>
      </c>
      <c r="F117" s="4" t="s">
        <v>53</v>
      </c>
      <c r="G117" s="4" t="s">
        <v>1645</v>
      </c>
      <c r="H117" s="4" t="s">
        <v>55</v>
      </c>
      <c r="I117" s="4" t="s">
        <v>985</v>
      </c>
      <c r="J117" s="4" t="s">
        <v>1046</v>
      </c>
      <c r="K117" s="13" t="str">
        <f>HYPERLINK("https://static.licdn.com/aero-v1/sc/h/9c8pery4andzj6ohjkjp54ma2","Open Creative")</f>
        <v>Open Creative</v>
      </c>
      <c r="L117" s="4" t="s">
        <v>1053</v>
      </c>
      <c r="M117" s="4" t="s">
        <v>63</v>
      </c>
      <c r="N117" s="4" t="s">
        <v>1652</v>
      </c>
      <c r="O117" s="2" t="s">
        <v>132</v>
      </c>
      <c r="P117" s="2">
        <v>1.312612374E9</v>
      </c>
      <c r="Q117" s="2" t="s">
        <v>68</v>
      </c>
      <c r="R117" s="4" t="s">
        <v>1653</v>
      </c>
    </row>
    <row r="118">
      <c r="A118" s="4" t="s">
        <v>44</v>
      </c>
      <c r="B118" s="4" t="s">
        <v>44</v>
      </c>
      <c r="C118" s="4">
        <v>117.0</v>
      </c>
      <c r="D118" s="13" t="str">
        <f>HYPERLINK("https://www.linkedin.com/ad-library/detail/1450593884","Open Ad")</f>
        <v>Open Ad</v>
      </c>
      <c r="E118" s="4" t="s">
        <v>91</v>
      </c>
      <c r="F118" s="4" t="s">
        <v>1373</v>
      </c>
      <c r="G118" s="4" t="s">
        <v>1535</v>
      </c>
      <c r="H118" s="4" t="s">
        <v>55</v>
      </c>
      <c r="I118" s="4" t="s">
        <v>1251</v>
      </c>
      <c r="J118" s="4" t="s">
        <v>91</v>
      </c>
      <c r="K118" s="13" t="str">
        <f>HYPERLINK("https://media.licdn.com/dms/image/v2/D4E10AQE9MZOuEmmF_A/image-shrink_1280/B4EZ64N33WIwAc-/0/1781207105551/Birghttalk-Thumbnail-Webinar-WhatshouldCMOsmeasureinanAIera_png?e=2147483647&amp;v=beta&amp;t=TOgIZzPo1rXqEmF5DB7wkNypUdt78LCWYqug_lYv8v4","Open Creative")</f>
        <v>Open Creative</v>
      </c>
      <c r="L118" s="4" t="s">
        <v>1387</v>
      </c>
      <c r="M118" s="4" t="s">
        <v>63</v>
      </c>
      <c r="N118" s="4" t="s">
        <v>1388</v>
      </c>
      <c r="O118" s="2" t="s">
        <v>132</v>
      </c>
      <c r="P118" s="2">
        <v>1.450593884E9</v>
      </c>
      <c r="Q118" s="2" t="s">
        <v>68</v>
      </c>
      <c r="R118" s="4" t="s">
        <v>1663</v>
      </c>
    </row>
    <row r="119">
      <c r="A119" s="4" t="s">
        <v>44</v>
      </c>
      <c r="B119" s="4" t="s">
        <v>44</v>
      </c>
      <c r="C119" s="4">
        <v>118.0</v>
      </c>
      <c r="D119" s="13" t="str">
        <f>HYPERLINK("https://www.linkedin.com/ad-library/detail/1458172174","Open Ad")</f>
        <v>Open Ad</v>
      </c>
      <c r="E119" s="4" t="s">
        <v>91</v>
      </c>
      <c r="F119" s="4" t="s">
        <v>1030</v>
      </c>
      <c r="G119" s="4" t="s">
        <v>1344</v>
      </c>
      <c r="H119" s="4" t="s">
        <v>55</v>
      </c>
      <c r="I119" s="4" t="s">
        <v>985</v>
      </c>
      <c r="J119" s="4" t="s">
        <v>91</v>
      </c>
      <c r="K119" s="13" t="str">
        <f>HYPERLINK("https://media.licdn.com/dms/image/v2/D4E10AQFyjsf9F_wy_Q/image-shrink_1280/B4EZ7VKRqVKIAc-/0/1781692702399/Open-Role-QA-Automation-Engineer-4320-4320png?e=2147483647&amp;v=beta&amp;t=DLdIkmzYvZZhATM9OLbhKqltb64kGtwFd3FHEXd2G8s","Open Creative")</f>
        <v>Open Creative</v>
      </c>
      <c r="L119" s="4" t="s">
        <v>62</v>
      </c>
      <c r="M119" s="4" t="s">
        <v>63</v>
      </c>
      <c r="N119" s="4" t="s">
        <v>1679</v>
      </c>
      <c r="O119" s="2" t="s">
        <v>132</v>
      </c>
      <c r="P119" s="2">
        <v>1.458172174E9</v>
      </c>
      <c r="Q119" s="2" t="s">
        <v>68</v>
      </c>
      <c r="R119" s="4" t="s">
        <v>1680</v>
      </c>
    </row>
    <row r="120">
      <c r="A120" s="4" t="s">
        <v>44</v>
      </c>
      <c r="B120" s="4" t="s">
        <v>44</v>
      </c>
      <c r="C120" s="4">
        <v>119.0</v>
      </c>
      <c r="D120" s="13" t="str">
        <f>HYPERLINK("https://www.linkedin.com/ad-library/detail/1311012264","Open Ad")</f>
        <v>Open Ad</v>
      </c>
      <c r="E120" s="4" t="s">
        <v>91</v>
      </c>
      <c r="F120" s="4" t="s">
        <v>1205</v>
      </c>
      <c r="G120" s="4" t="s">
        <v>1418</v>
      </c>
      <c r="H120" s="4" t="s">
        <v>55</v>
      </c>
      <c r="I120" s="4" t="s">
        <v>985</v>
      </c>
      <c r="J120" s="4" t="s">
        <v>91</v>
      </c>
      <c r="K120" s="13" t="str">
        <f>HYPERLINK("https://media.licdn.com/dms/image/v2/D4E10AQEqITEB4oehGQ/image-shrink_1280/B4EZ50eIYvJMAg-/0/1780070517568/Open-Role-Senior-BI-Engineer-4320-4320png?e=2147483647&amp;v=beta&amp;t=7LAcAU52l9LPTI5b3MviavNFDjDDpX86YD2traim9Mc","Open Creative")</f>
        <v>Open Creative</v>
      </c>
      <c r="L120" s="4" t="s">
        <v>62</v>
      </c>
      <c r="M120" s="4" t="s">
        <v>63</v>
      </c>
      <c r="N120" s="4" t="s">
        <v>1426</v>
      </c>
      <c r="O120" s="2" t="s">
        <v>132</v>
      </c>
      <c r="P120" s="2">
        <v>1.311012264E9</v>
      </c>
      <c r="Q120" s="2" t="s">
        <v>68</v>
      </c>
      <c r="R120" s="4" t="s">
        <v>1689</v>
      </c>
    </row>
    <row r="121">
      <c r="A121" s="4" t="s">
        <v>44</v>
      </c>
      <c r="B121" s="4" t="s">
        <v>44</v>
      </c>
      <c r="C121" s="4">
        <v>120.0</v>
      </c>
      <c r="D121" s="13" t="str">
        <f>HYPERLINK("https://www.linkedin.com/ad-library/detail/1312111624","Open Ad")</f>
        <v>Open Ad</v>
      </c>
      <c r="E121" s="4" t="s">
        <v>1046</v>
      </c>
      <c r="F121" s="4" t="s">
        <v>53</v>
      </c>
      <c r="G121" s="4" t="s">
        <v>1250</v>
      </c>
      <c r="H121" s="4" t="s">
        <v>55</v>
      </c>
      <c r="I121" s="4" t="s">
        <v>985</v>
      </c>
      <c r="J121" s="4" t="s">
        <v>1046</v>
      </c>
      <c r="K121" s="13" t="str">
        <f>HYPERLINK("https://static.licdn.com/aero-v1/sc/h/9c8pery4andzj6ohjkjp54ma2","Open Creative")</f>
        <v>Open Creative</v>
      </c>
      <c r="L121" s="4" t="s">
        <v>1053</v>
      </c>
      <c r="M121" s="4" t="s">
        <v>63</v>
      </c>
      <c r="N121" s="4" t="s">
        <v>1509</v>
      </c>
      <c r="O121" s="2" t="s">
        <v>132</v>
      </c>
      <c r="P121" s="2">
        <v>1.312111624E9</v>
      </c>
      <c r="Q121" s="2" t="s">
        <v>68</v>
      </c>
      <c r="R121" s="4" t="s">
        <v>1698</v>
      </c>
    </row>
    <row r="122">
      <c r="A122" s="4" t="s">
        <v>44</v>
      </c>
      <c r="B122" s="4" t="s">
        <v>44</v>
      </c>
      <c r="C122" s="4">
        <v>121.0</v>
      </c>
      <c r="D122" s="13" t="str">
        <f>HYPERLINK("https://www.linkedin.com/ad-library/detail/1291797224","Open Ad")</f>
        <v>Open Ad</v>
      </c>
      <c r="E122" s="4" t="s">
        <v>91</v>
      </c>
      <c r="F122" s="4" t="s">
        <v>1030</v>
      </c>
      <c r="G122" s="4" t="s">
        <v>1706</v>
      </c>
      <c r="H122" s="4" t="s">
        <v>55</v>
      </c>
      <c r="I122" s="4" t="s">
        <v>1707</v>
      </c>
      <c r="J122" s="4" t="s">
        <v>91</v>
      </c>
      <c r="K122" s="13" t="str">
        <f>HYPERLINK("https://media.licdn.com/dms/image/v2/D4E10AQF1tLlsumkciA/image-shrink_1280/B4EZ4HSIeqJgAc-/0/1778238655384/Open-Role-Events-Marketing-Manager-4320-4320png?e=2147483647&amp;v=beta&amp;t=AL-AHf4bM9cD9PAXsEDpvEdQ0v6ZGUf3DmEHnuSIOPw","Open Creative")</f>
        <v>Open Creative</v>
      </c>
      <c r="L122" s="4" t="s">
        <v>62</v>
      </c>
      <c r="M122" s="4" t="s">
        <v>63</v>
      </c>
      <c r="N122" s="4" t="s">
        <v>1712</v>
      </c>
      <c r="O122" s="2" t="s">
        <v>1713</v>
      </c>
      <c r="P122" s="2">
        <v>1.291797224E9</v>
      </c>
      <c r="Q122" s="2" t="s">
        <v>68</v>
      </c>
      <c r="R122" s="4" t="s">
        <v>1715</v>
      </c>
    </row>
    <row r="123">
      <c r="A123" s="4" t="s">
        <v>44</v>
      </c>
      <c r="B123" s="4" t="s">
        <v>44</v>
      </c>
      <c r="C123" s="4">
        <v>122.0</v>
      </c>
      <c r="D123" s="13" t="str">
        <f>HYPERLINK("https://www.linkedin.com/ad-library/detail/1291197034","Open Ad")</f>
        <v>Open Ad</v>
      </c>
      <c r="E123" s="4" t="s">
        <v>91</v>
      </c>
      <c r="F123" s="4" t="s">
        <v>1030</v>
      </c>
      <c r="G123" s="4" t="s">
        <v>1706</v>
      </c>
      <c r="H123" s="4" t="s">
        <v>55</v>
      </c>
      <c r="I123" s="4" t="s">
        <v>1707</v>
      </c>
      <c r="J123" s="4" t="s">
        <v>91</v>
      </c>
      <c r="K123" s="13" t="str">
        <f>HYPERLINK("https://media.licdn.com/dms/image/v2/D4E10AQEsQCERIkFrSg/image-shrink_1280/B4EZ4HSIgFHcAg-/0/1778238655949/Open-Role-Events-Marketing-Manager-7680-4320png?e=2147483647&amp;v=beta&amp;t=3vCVZOlhw6LQTzfc_Jh5X21GdtLFVcO0R9Y_Hdgp3Q8","Open Creative")</f>
        <v>Open Creative</v>
      </c>
      <c r="L123" s="4" t="s">
        <v>62</v>
      </c>
      <c r="M123" s="4" t="s">
        <v>63</v>
      </c>
      <c r="N123" s="4" t="s">
        <v>1712</v>
      </c>
      <c r="O123" s="2" t="s">
        <v>132</v>
      </c>
      <c r="P123" s="2">
        <v>1.291197034E9</v>
      </c>
      <c r="Q123" s="2" t="s">
        <v>68</v>
      </c>
      <c r="R123" s="4" t="s">
        <v>1732</v>
      </c>
    </row>
    <row r="124">
      <c r="A124" s="4" t="s">
        <v>44</v>
      </c>
      <c r="B124" s="4" t="s">
        <v>44</v>
      </c>
      <c r="C124" s="4">
        <v>123.0</v>
      </c>
      <c r="D124" s="13" t="str">
        <f>HYPERLINK("https://www.linkedin.com/ad-library/detail/1306596574","Open Ad")</f>
        <v>Open Ad</v>
      </c>
      <c r="E124" s="4" t="s">
        <v>91</v>
      </c>
      <c r="F124" s="4" t="s">
        <v>53</v>
      </c>
      <c r="G124" s="4" t="s">
        <v>1737</v>
      </c>
      <c r="H124" s="4" t="s">
        <v>55</v>
      </c>
      <c r="I124" s="4" t="s">
        <v>1738</v>
      </c>
      <c r="J124" s="4" t="s">
        <v>91</v>
      </c>
      <c r="K124" s="13" t="str">
        <f>HYPERLINK("https://media.licdn.com/dms/image/v2/D4E10AQFxERZGx9lwng/image-shrink_1280/B4EZ4hQIgmJAAc-/0/1778674338388/Define_AI_visibility-1200x1200-2png?e=2147483647&amp;v=beta&amp;t=qEG_f4GjIB47-9fIkJYP3BFgmDB5p4ZwEoO1Z0apcKs","Open Creative")</f>
        <v>Open Creative</v>
      </c>
      <c r="L124" s="4" t="s">
        <v>62</v>
      </c>
      <c r="M124" s="4" t="s">
        <v>63</v>
      </c>
      <c r="N124" s="4" t="s">
        <v>1751</v>
      </c>
      <c r="O124" s="2" t="s">
        <v>132</v>
      </c>
      <c r="P124" s="2">
        <v>1.306596574E9</v>
      </c>
      <c r="Q124" s="2" t="s">
        <v>68</v>
      </c>
      <c r="R124" s="4" t="s">
        <v>1753</v>
      </c>
    </row>
    <row r="125">
      <c r="A125" s="4" t="s">
        <v>44</v>
      </c>
      <c r="B125" s="4" t="s">
        <v>44</v>
      </c>
      <c r="C125" s="4">
        <v>124.0</v>
      </c>
      <c r="D125" s="13" t="str">
        <f>HYPERLINK("https://www.linkedin.com/ad-library/detail/1307695294","Open Ad")</f>
        <v>Open Ad</v>
      </c>
      <c r="E125" s="4" t="s">
        <v>91</v>
      </c>
      <c r="F125" s="4" t="s">
        <v>53</v>
      </c>
      <c r="G125" s="4" t="s">
        <v>1756</v>
      </c>
      <c r="H125" s="4" t="s">
        <v>55</v>
      </c>
      <c r="I125" s="4" t="s">
        <v>1758</v>
      </c>
      <c r="J125" s="4" t="s">
        <v>91</v>
      </c>
      <c r="K125" s="13" t="str">
        <f>HYPERLINK("https://media.licdn.com/dms/image/v2/D4E10AQFwHfUzU1QbeQ/image-shrink_1280/B4EZ4hSuGDIcAc-/0/1778675016693/Is_your_brand_showing-1200x1200-3png?e=2147483647&amp;v=beta&amp;t=5-pay-tcKGdD_hUcPBmAnJMjvXTmUOpcu_HozuMQSQU","Open Creative")</f>
        <v>Open Creative</v>
      </c>
      <c r="L125" s="4" t="s">
        <v>62</v>
      </c>
      <c r="M125" s="4" t="s">
        <v>63</v>
      </c>
      <c r="N125" s="4" t="s">
        <v>1764</v>
      </c>
      <c r="O125" s="2" t="s">
        <v>132</v>
      </c>
      <c r="P125" s="2">
        <v>1.307695294E9</v>
      </c>
      <c r="Q125" s="2" t="s">
        <v>68</v>
      </c>
      <c r="R125" s="4" t="s">
        <v>1767</v>
      </c>
    </row>
    <row r="126">
      <c r="A126" s="4" t="s">
        <v>44</v>
      </c>
      <c r="B126" s="4" t="s">
        <v>44</v>
      </c>
      <c r="C126" s="4">
        <v>125.0</v>
      </c>
      <c r="D126" s="13" t="str">
        <f>HYPERLINK("https://www.linkedin.com/ad-library/detail/1313703694","Open Ad")</f>
        <v>Open Ad</v>
      </c>
      <c r="E126" s="4" t="s">
        <v>91</v>
      </c>
      <c r="F126" s="4" t="s">
        <v>1158</v>
      </c>
      <c r="G126" s="4" t="s">
        <v>1770</v>
      </c>
      <c r="H126" s="4" t="s">
        <v>55</v>
      </c>
      <c r="I126" s="4" t="s">
        <v>985</v>
      </c>
      <c r="J126" s="4" t="s">
        <v>91</v>
      </c>
      <c r="K126" s="13" t="str">
        <f>HYPERLINK("https://media.licdn.com/dms/image/v2/D4E10AQFW7QZy3OGRuQ/image-shrink_1280/B4EZ50Wgt3JMAc-/0/1780068519774/Open-Role-Data-Governance-Engineer-4320-4320png?e=2147483647&amp;v=beta&amp;t=D6mUngI2OBW3g10ad6HraTxt2BQpFqHfYPdtXsTp98Q","Open Creative")</f>
        <v>Open Creative</v>
      </c>
      <c r="L126" s="4" t="s">
        <v>62</v>
      </c>
      <c r="M126" s="4" t="s">
        <v>63</v>
      </c>
      <c r="N126" s="4" t="s">
        <v>1780</v>
      </c>
      <c r="O126" s="2" t="s">
        <v>132</v>
      </c>
      <c r="P126" s="2">
        <v>1.313703694E9</v>
      </c>
      <c r="Q126" s="2" t="s">
        <v>68</v>
      </c>
      <c r="R126" s="4" t="s">
        <v>1781</v>
      </c>
    </row>
    <row r="127">
      <c r="A127" s="4" t="s">
        <v>44</v>
      </c>
      <c r="B127" s="4" t="s">
        <v>44</v>
      </c>
      <c r="C127" s="4">
        <v>126.0</v>
      </c>
      <c r="D127" s="13" t="str">
        <f>HYPERLINK("https://www.linkedin.com/ad-library/detail/1306297194","Open Ad")</f>
        <v>Open Ad</v>
      </c>
      <c r="E127" s="4" t="s">
        <v>91</v>
      </c>
      <c r="F127" s="4" t="s">
        <v>53</v>
      </c>
      <c r="G127" s="4" t="s">
        <v>1737</v>
      </c>
      <c r="H127" s="4" t="s">
        <v>55</v>
      </c>
      <c r="I127" s="4" t="s">
        <v>1738</v>
      </c>
      <c r="J127" s="4" t="s">
        <v>91</v>
      </c>
      <c r="K127" s="13" t="str">
        <f>HYPERLINK("https://media.licdn.com/dms/image/v2/D4E10AQHQzLMjD5FAbg/image-shrink_1280/B4EZ4hVjKoJgAc-/0/1778675758230/Winning_AI-1200x1200-1png?e=2147483647&amp;v=beta&amp;t=I-4UWyM35HWyu9wMIPpeVK6Y7n8EpOqTWmdXbco7GQI","Open Creative")</f>
        <v>Open Creative</v>
      </c>
      <c r="L127" s="4" t="s">
        <v>62</v>
      </c>
      <c r="M127" s="4" t="s">
        <v>63</v>
      </c>
      <c r="N127" s="4" t="s">
        <v>1764</v>
      </c>
      <c r="O127" s="2" t="s">
        <v>132</v>
      </c>
      <c r="P127" s="2">
        <v>1.306297194E9</v>
      </c>
      <c r="Q127" s="2" t="s">
        <v>68</v>
      </c>
      <c r="R127" s="4" t="s">
        <v>1792</v>
      </c>
    </row>
    <row r="128">
      <c r="A128" s="4" t="s">
        <v>44</v>
      </c>
      <c r="B128" s="4" t="s">
        <v>44</v>
      </c>
      <c r="C128" s="4">
        <v>127.0</v>
      </c>
      <c r="D128" s="13" t="str">
        <f>HYPERLINK("https://www.linkedin.com/ad-library/detail/1296781534","Open Ad")</f>
        <v>Open Ad</v>
      </c>
      <c r="E128" s="4" t="s">
        <v>91</v>
      </c>
      <c r="F128" s="4" t="s">
        <v>1030</v>
      </c>
      <c r="G128" s="4" t="s">
        <v>1798</v>
      </c>
      <c r="H128" s="4" t="s">
        <v>55</v>
      </c>
      <c r="I128" s="4" t="s">
        <v>985</v>
      </c>
      <c r="J128" s="4" t="s">
        <v>91</v>
      </c>
      <c r="K128" s="13" t="str">
        <f>HYPERLINK("https://media.licdn.com/dms/image/v2/D4E10AQH382MPl7_rEQ/image-shrink_1280/B4EZ4mI0taHQAc-/0/1778756309454/Open-Role-Finance-IT-Support-Specialist-7680-4320png?e=2147483647&amp;v=beta&amp;t=ohmZdnEzWJFvXLPFd_trf2tSe_10DRkadDd8lxKxXok","Open Creative")</f>
        <v>Open Creative</v>
      </c>
      <c r="L128" s="4" t="s">
        <v>131</v>
      </c>
      <c r="M128" s="4" t="s">
        <v>63</v>
      </c>
      <c r="N128" s="4" t="s">
        <v>132</v>
      </c>
      <c r="O128" s="2" t="s">
        <v>132</v>
      </c>
      <c r="P128" s="2">
        <v>1.296781534E9</v>
      </c>
      <c r="Q128" s="2" t="s">
        <v>68</v>
      </c>
      <c r="R128" s="4" t="s">
        <v>1809</v>
      </c>
    </row>
    <row r="129">
      <c r="A129" s="4" t="s">
        <v>44</v>
      </c>
      <c r="B129" s="4" t="s">
        <v>44</v>
      </c>
      <c r="C129" s="4">
        <v>128.0</v>
      </c>
      <c r="D129" s="13" t="str">
        <f>HYPERLINK("https://www.linkedin.com/ad-library/detail/1311412704","Open Ad")</f>
        <v>Open Ad</v>
      </c>
      <c r="E129" s="4" t="s">
        <v>91</v>
      </c>
      <c r="F129" s="4" t="s">
        <v>1158</v>
      </c>
      <c r="G129" s="4" t="s">
        <v>1770</v>
      </c>
      <c r="H129" s="4" t="s">
        <v>55</v>
      </c>
      <c r="I129" s="4" t="s">
        <v>985</v>
      </c>
      <c r="J129" s="4" t="s">
        <v>91</v>
      </c>
      <c r="K129" s="13" t="str">
        <f>HYPERLINK("https://media.licdn.com/dms/image/v2/D4E10AQHO1UCE8tcF7A/image-shrink_1280/B4EZ50WgqzG0Ac-/0/1780068519304/Open-Role-Data-Governance-Engineer-2430-4320png?e=2147483647&amp;v=beta&amp;t=rbtQpwudcKuVAJuGJO5pKvSDsXk5L7sqIwSX0O-w0Q0","Open Creative")</f>
        <v>Open Creative</v>
      </c>
      <c r="L129" s="4" t="s">
        <v>62</v>
      </c>
      <c r="M129" s="4" t="s">
        <v>63</v>
      </c>
      <c r="N129" s="4" t="s">
        <v>1780</v>
      </c>
      <c r="O129" s="2" t="s">
        <v>132</v>
      </c>
      <c r="P129" s="2">
        <v>1.311412704E9</v>
      </c>
      <c r="Q129" s="2" t="s">
        <v>68</v>
      </c>
      <c r="R129" s="4" t="s">
        <v>1831</v>
      </c>
    </row>
    <row r="130">
      <c r="A130" s="4" t="s">
        <v>44</v>
      </c>
      <c r="B130" s="4" t="s">
        <v>44</v>
      </c>
      <c r="C130" s="4">
        <v>129.0</v>
      </c>
      <c r="D130" s="13" t="str">
        <f>HYPERLINK("https://www.linkedin.com/ad-library/detail/1292197904","Open Ad")</f>
        <v>Open Ad</v>
      </c>
      <c r="E130" s="4" t="s">
        <v>91</v>
      </c>
      <c r="F130" s="4" t="s">
        <v>1836</v>
      </c>
      <c r="G130" s="4" t="s">
        <v>1837</v>
      </c>
      <c r="H130" s="4" t="s">
        <v>55</v>
      </c>
      <c r="I130" s="4" t="s">
        <v>985</v>
      </c>
      <c r="J130" s="4" t="s">
        <v>91</v>
      </c>
      <c r="K130" s="13" t="str">
        <f>HYPERLINK("https://media.licdn.com/dms/image/v2/D4E10AQGXhrOxmIoYTg/image-shrink_1280/B4EZ4HOKogJEAc-/0/1778237616284/Open-Role-Insights-Analyst-7680-43201png?e=2147483647&amp;v=beta&amp;t=qwCdsPouGTDoGqR9mBuprVthlkKNSc2aAnp4E7AQ44k","Open Creative")</f>
        <v>Open Creative</v>
      </c>
      <c r="L130" s="4" t="s">
        <v>62</v>
      </c>
      <c r="M130" s="4" t="s">
        <v>63</v>
      </c>
      <c r="N130" s="4" t="s">
        <v>1844</v>
      </c>
      <c r="O130" s="2" t="s">
        <v>132</v>
      </c>
      <c r="P130" s="2">
        <v>1.292197904E9</v>
      </c>
      <c r="Q130" s="2" t="s">
        <v>68</v>
      </c>
      <c r="R130" s="4" t="s">
        <v>1845</v>
      </c>
    </row>
    <row r="131">
      <c r="A131" s="4" t="s">
        <v>44</v>
      </c>
      <c r="B131" s="4" t="s">
        <v>44</v>
      </c>
      <c r="C131" s="4">
        <v>130.0</v>
      </c>
      <c r="D131" s="13" t="str">
        <f>HYPERLINK("https://www.linkedin.com/ad-library/detail/1306996774","Open Ad")</f>
        <v>Open Ad</v>
      </c>
      <c r="E131" s="4" t="s">
        <v>91</v>
      </c>
      <c r="F131" s="4" t="s">
        <v>53</v>
      </c>
      <c r="G131" s="4" t="s">
        <v>1737</v>
      </c>
      <c r="H131" s="4" t="s">
        <v>55</v>
      </c>
      <c r="I131" s="4" t="s">
        <v>1738</v>
      </c>
      <c r="J131" s="4" t="s">
        <v>91</v>
      </c>
      <c r="K131" s="13" t="str">
        <f>HYPERLINK("https://media.licdn.com/dms/image/v2/D4E10AQFxERZGx9lwng/image-shrink_1280/B4EZ4hQIgmJAAc-/0/1778674338388/Define_AI_visibility-1200x1200-2png?e=2147483647&amp;v=beta&amp;t=qEG_f4GjIB47-9fIkJYP3BFgmDB5p4ZwEoO1Z0apcKs","Open Creative")</f>
        <v>Open Creative</v>
      </c>
      <c r="L131" s="4" t="s">
        <v>62</v>
      </c>
      <c r="M131" s="4" t="s">
        <v>63</v>
      </c>
      <c r="N131" s="4" t="s">
        <v>1764</v>
      </c>
      <c r="O131" s="2" t="s">
        <v>132</v>
      </c>
      <c r="P131" s="2">
        <v>1.306996774E9</v>
      </c>
      <c r="Q131" s="2" t="s">
        <v>68</v>
      </c>
      <c r="R131" s="4" t="s">
        <v>1860</v>
      </c>
    </row>
    <row r="132">
      <c r="A132" s="4" t="s">
        <v>44</v>
      </c>
      <c r="B132" s="4" t="s">
        <v>44</v>
      </c>
      <c r="C132" s="4">
        <v>131.0</v>
      </c>
      <c r="D132" s="13" t="str">
        <f>HYPERLINK("https://www.linkedin.com/ad-library/detail/1296005034","Open Ad")</f>
        <v>Open Ad</v>
      </c>
      <c r="E132" s="4" t="s">
        <v>91</v>
      </c>
      <c r="F132" s="4" t="s">
        <v>1030</v>
      </c>
      <c r="G132" s="4" t="s">
        <v>1867</v>
      </c>
      <c r="H132" s="4" t="s">
        <v>55</v>
      </c>
      <c r="I132" s="4" t="s">
        <v>985</v>
      </c>
      <c r="J132" s="4" t="s">
        <v>91</v>
      </c>
      <c r="K132" s="13" t="str">
        <f>HYPERLINK("https://media.licdn.com/dms/image/v2/D4E10AQG7StWZQ1DKhA/image-shrink_1280/B4EZ4mI0sfJAAc-/0/1778756308378/Open-Role-Finance-IT-Support-Specialist-2430-4320png?e=2147483647&amp;v=beta&amp;t=2Jo2np9aE_9Q_ykzeKizcFajTHa8ETASHo3YgQjEeA4","Open Creative")</f>
        <v>Open Creative</v>
      </c>
      <c r="L132" s="4" t="s">
        <v>131</v>
      </c>
      <c r="M132" s="4" t="s">
        <v>63</v>
      </c>
      <c r="N132" s="4" t="s">
        <v>132</v>
      </c>
      <c r="O132" s="2" t="s">
        <v>132</v>
      </c>
      <c r="P132" s="2">
        <v>1.296005034E9</v>
      </c>
      <c r="Q132" s="2" t="s">
        <v>68</v>
      </c>
      <c r="R132" s="4" t="s">
        <v>1875</v>
      </c>
    </row>
    <row r="133">
      <c r="A133" s="4" t="s">
        <v>44</v>
      </c>
      <c r="B133" s="4" t="s">
        <v>44</v>
      </c>
      <c r="C133" s="4">
        <v>132.0</v>
      </c>
      <c r="D133" s="13" t="str">
        <f>HYPERLINK("https://www.linkedin.com/ad-library/detail/1306996784","Open Ad")</f>
        <v>Open Ad</v>
      </c>
      <c r="E133" s="4" t="s">
        <v>91</v>
      </c>
      <c r="F133" s="4" t="s">
        <v>53</v>
      </c>
      <c r="G133" s="4" t="s">
        <v>1756</v>
      </c>
      <c r="H133" s="4" t="s">
        <v>55</v>
      </c>
      <c r="I133" s="4" t="s">
        <v>1758</v>
      </c>
      <c r="J133" s="4" t="s">
        <v>91</v>
      </c>
      <c r="K133" s="13" t="str">
        <f>HYPERLINK("https://media.licdn.com/dms/image/v2/D4E10AQFwHfUzU1QbeQ/image-shrink_1280/B4EZ4hSuGDIcAc-/0/1778675016693/Is_your_brand_showing-1200x1200-3png?e=2147483647&amp;v=beta&amp;t=5-pay-tcKGdD_hUcPBmAnJMjvXTmUOpcu_HozuMQSQU","Open Creative")</f>
        <v>Open Creative</v>
      </c>
      <c r="L133" s="4" t="s">
        <v>62</v>
      </c>
      <c r="M133" s="4" t="s">
        <v>63</v>
      </c>
      <c r="N133" s="4" t="s">
        <v>1764</v>
      </c>
      <c r="O133" s="2" t="s">
        <v>132</v>
      </c>
      <c r="P133" s="2">
        <v>1.306996784E9</v>
      </c>
      <c r="Q133" s="2" t="s">
        <v>68</v>
      </c>
      <c r="R133" s="4" t="s">
        <v>1887</v>
      </c>
    </row>
    <row r="134">
      <c r="A134" s="4" t="s">
        <v>44</v>
      </c>
      <c r="B134" s="4" t="s">
        <v>44</v>
      </c>
      <c r="C134" s="4">
        <v>133.0</v>
      </c>
      <c r="D134" s="13" t="str">
        <f>HYPERLINK("https://www.linkedin.com/ad-library/detail/1305397644","Open Ad")</f>
        <v>Open Ad</v>
      </c>
      <c r="E134" s="4" t="s">
        <v>91</v>
      </c>
      <c r="F134" s="4" t="s">
        <v>53</v>
      </c>
      <c r="G134" s="4" t="s">
        <v>1756</v>
      </c>
      <c r="H134" s="4" t="s">
        <v>55</v>
      </c>
      <c r="I134" s="4" t="s">
        <v>1758</v>
      </c>
      <c r="J134" s="4" t="s">
        <v>91</v>
      </c>
      <c r="K134" s="13" t="str">
        <f>HYPERLINK("https://media.licdn.com/dms/image/v2/D4E10AQHQzLMjD5FAbg/image-shrink_1280/B4EZ4hVjKoJgAc-/0/1778675758230/Winning_AI-1200x1200-1png?e=2147483647&amp;v=beta&amp;t=I-4UWyM35HWyu9wMIPpeVK6Y7n8EpOqTWmdXbco7GQI","Open Creative")</f>
        <v>Open Creative</v>
      </c>
      <c r="L134" s="4" t="s">
        <v>62</v>
      </c>
      <c r="M134" s="4" t="s">
        <v>63</v>
      </c>
      <c r="N134" s="4" t="s">
        <v>1764</v>
      </c>
      <c r="O134" s="2" t="s">
        <v>132</v>
      </c>
      <c r="P134" s="2">
        <v>1.305397644E9</v>
      </c>
      <c r="Q134" s="2" t="s">
        <v>68</v>
      </c>
      <c r="R134" s="4" t="s">
        <v>1899</v>
      </c>
    </row>
    <row r="135">
      <c r="A135" s="4" t="s">
        <v>44</v>
      </c>
      <c r="B135" s="4" t="s">
        <v>44</v>
      </c>
      <c r="C135" s="4">
        <v>134.0</v>
      </c>
      <c r="D135" s="13" t="str">
        <f>HYPERLINK("https://www.linkedin.com/ad-library/detail/1307790784","Open Ad")</f>
        <v>Open Ad</v>
      </c>
      <c r="E135" s="4" t="s">
        <v>91</v>
      </c>
      <c r="F135" s="4" t="s">
        <v>53</v>
      </c>
      <c r="G135" s="4" t="s">
        <v>1737</v>
      </c>
      <c r="H135" s="4" t="s">
        <v>55</v>
      </c>
      <c r="I135" s="4" t="s">
        <v>1738</v>
      </c>
      <c r="J135" s="4" t="s">
        <v>91</v>
      </c>
      <c r="K135" s="13" t="str">
        <f>HYPERLINK("https://media.licdn.com/dms/image/v2/D4E10AQFwHfUzU1QbeQ/image-shrink_1280/B4EZ4hSuGDIcAc-/0/1778675016693/Is_your_brand_showing-1200x1200-3png?e=2147483647&amp;v=beta&amp;t=5-pay-tcKGdD_hUcPBmAnJMjvXTmUOpcu_HozuMQSQU","Open Creative")</f>
        <v>Open Creative</v>
      </c>
      <c r="L135" s="4" t="s">
        <v>62</v>
      </c>
      <c r="M135" s="4" t="s">
        <v>63</v>
      </c>
      <c r="N135" s="4" t="s">
        <v>1764</v>
      </c>
      <c r="O135" s="2" t="s">
        <v>132</v>
      </c>
      <c r="P135" s="2">
        <v>1.307790784E9</v>
      </c>
      <c r="Q135" s="2" t="s">
        <v>68</v>
      </c>
      <c r="R135" s="4" t="s">
        <v>1912</v>
      </c>
    </row>
    <row r="136">
      <c r="A136" s="4" t="s">
        <v>44</v>
      </c>
      <c r="B136" s="4" t="s">
        <v>44</v>
      </c>
      <c r="C136" s="4">
        <v>135.0</v>
      </c>
      <c r="D136" s="13" t="str">
        <f>HYPERLINK("https://www.linkedin.com/ad-library/detail/1306996534","Open Ad")</f>
        <v>Open Ad</v>
      </c>
      <c r="E136" s="4" t="s">
        <v>91</v>
      </c>
      <c r="F136" s="4" t="s">
        <v>53</v>
      </c>
      <c r="G136" s="4" t="s">
        <v>1737</v>
      </c>
      <c r="H136" s="4" t="s">
        <v>55</v>
      </c>
      <c r="I136" s="4" t="s">
        <v>1738</v>
      </c>
      <c r="J136" s="4" t="s">
        <v>91</v>
      </c>
      <c r="K136" s="13" t="str">
        <f>HYPERLINK("https://media.licdn.com/dms/image/v2/D4E10AQHQzLMjD5FAbg/image-shrink_1280/B4EZ4hVjKoJgAc-/0/1778675758230/Winning_AI-1200x1200-1png?e=2147483647&amp;v=beta&amp;t=I-4UWyM35HWyu9wMIPpeVK6Y7n8EpOqTWmdXbco7GQI","Open Creative")</f>
        <v>Open Creative</v>
      </c>
      <c r="L136" s="4" t="s">
        <v>62</v>
      </c>
      <c r="M136" s="4" t="s">
        <v>63</v>
      </c>
      <c r="N136" s="4" t="s">
        <v>1751</v>
      </c>
      <c r="O136" s="2" t="s">
        <v>132</v>
      </c>
      <c r="P136" s="2">
        <v>1.306996534E9</v>
      </c>
      <c r="Q136" s="2" t="s">
        <v>68</v>
      </c>
      <c r="R136" s="4" t="s">
        <v>1918</v>
      </c>
    </row>
    <row r="137">
      <c r="A137" s="4" t="s">
        <v>44</v>
      </c>
      <c r="B137" s="4" t="s">
        <v>44</v>
      </c>
      <c r="C137" s="4">
        <v>136.0</v>
      </c>
      <c r="D137" s="13" t="str">
        <f>HYPERLINK("https://www.linkedin.com/ad-library/detail/1306696434","Open Ad")</f>
        <v>Open Ad</v>
      </c>
      <c r="E137" s="4" t="s">
        <v>91</v>
      </c>
      <c r="F137" s="4" t="s">
        <v>53</v>
      </c>
      <c r="G137" s="4" t="s">
        <v>1756</v>
      </c>
      <c r="H137" s="4" t="s">
        <v>55</v>
      </c>
      <c r="I137" s="4" t="s">
        <v>1758</v>
      </c>
      <c r="J137" s="4" t="s">
        <v>91</v>
      </c>
      <c r="K137" s="13" t="str">
        <f>HYPERLINK("https://media.licdn.com/dms/image/v2/D4E10AQFxERZGx9lwng/image-shrink_1280/B4EZ4hQIgmJAAc-/0/1778674338388/Define_AI_visibility-1200x1200-2png?e=2147483647&amp;v=beta&amp;t=qEG_f4GjIB47-9fIkJYP3BFgmDB5p4ZwEoO1Z0apcKs","Open Creative")</f>
        <v>Open Creative</v>
      </c>
      <c r="L137" s="4" t="s">
        <v>62</v>
      </c>
      <c r="M137" s="4" t="s">
        <v>63</v>
      </c>
      <c r="N137" s="4" t="s">
        <v>1764</v>
      </c>
      <c r="O137" s="2" t="s">
        <v>132</v>
      </c>
      <c r="P137" s="2">
        <v>1.306696434E9</v>
      </c>
      <c r="Q137" s="2" t="s">
        <v>68</v>
      </c>
      <c r="R137" s="4" t="s">
        <v>1929</v>
      </c>
    </row>
    <row r="138">
      <c r="A138" s="4" t="s">
        <v>44</v>
      </c>
      <c r="B138" s="4" t="s">
        <v>44</v>
      </c>
      <c r="C138" s="4">
        <v>137.0</v>
      </c>
      <c r="D138" s="13" t="str">
        <f>HYPERLINK("https://www.linkedin.com/ad-library/detail/1291697134","Open Ad")</f>
        <v>Open Ad</v>
      </c>
      <c r="E138" s="4" t="s">
        <v>91</v>
      </c>
      <c r="F138" s="4" t="s">
        <v>1030</v>
      </c>
      <c r="G138" s="4" t="s">
        <v>1706</v>
      </c>
      <c r="H138" s="4" t="s">
        <v>55</v>
      </c>
      <c r="I138" s="4" t="s">
        <v>1707</v>
      </c>
      <c r="J138" s="4" t="s">
        <v>91</v>
      </c>
      <c r="K138" s="13" t="str">
        <f>HYPERLINK("https://media.licdn.com/dms/image/v2/D4E10AQFyZiYo1neCqQ/image-shrink_1280/B4EZ4HSIbnJ4Ac-/0/1778238654942/Open-Role-Events-Marketing-Manager-2430-4320png?e=2147483647&amp;v=beta&amp;t=qaQHnckLGoNBR_ry6D2fEnSEvUmoefGdeJBMeMCcQkM","Open Creative")</f>
        <v>Open Creative</v>
      </c>
      <c r="L138" s="4" t="s">
        <v>62</v>
      </c>
      <c r="M138" s="4" t="s">
        <v>63</v>
      </c>
      <c r="N138" s="4" t="s">
        <v>1712</v>
      </c>
      <c r="O138" s="2" t="s">
        <v>132</v>
      </c>
      <c r="P138" s="2">
        <v>1.291697134E9</v>
      </c>
      <c r="Q138" s="2" t="s">
        <v>68</v>
      </c>
      <c r="R138" s="4" t="s">
        <v>1940</v>
      </c>
    </row>
    <row r="139">
      <c r="A139" s="4" t="s">
        <v>44</v>
      </c>
      <c r="B139" s="4" t="s">
        <v>44</v>
      </c>
      <c r="C139" s="4">
        <v>138.0</v>
      </c>
      <c r="D139" s="13" t="str">
        <f>HYPERLINK("https://www.linkedin.com/ad-library/detail/1294504994","Open Ad")</f>
        <v>Open Ad</v>
      </c>
      <c r="E139" s="4" t="s">
        <v>1046</v>
      </c>
      <c r="F139" s="4" t="s">
        <v>53</v>
      </c>
      <c r="G139" s="4" t="s">
        <v>1947</v>
      </c>
      <c r="H139" s="4" t="s">
        <v>55</v>
      </c>
      <c r="I139" s="4" t="s">
        <v>985</v>
      </c>
      <c r="J139" s="4" t="s">
        <v>1046</v>
      </c>
      <c r="K139" s="13" t="str">
        <f>HYPERLINK("https://static.licdn.com/aero-v1/sc/h/9c8pery4andzj6ohjkjp54ma2","Open Creative")</f>
        <v>Open Creative</v>
      </c>
      <c r="L139" s="4" t="s">
        <v>1053</v>
      </c>
      <c r="M139" s="4" t="s">
        <v>63</v>
      </c>
      <c r="N139" s="4" t="s">
        <v>132</v>
      </c>
      <c r="O139" s="2" t="s">
        <v>132</v>
      </c>
      <c r="P139" s="2">
        <v>1.294504994E9</v>
      </c>
      <c r="Q139" s="2" t="s">
        <v>68</v>
      </c>
      <c r="R139" s="4" t="s">
        <v>1952</v>
      </c>
    </row>
    <row r="140">
      <c r="A140" s="4" t="s">
        <v>44</v>
      </c>
      <c r="B140" s="4" t="s">
        <v>44</v>
      </c>
      <c r="C140" s="4">
        <v>139.0</v>
      </c>
      <c r="D140" s="13" t="str">
        <f>HYPERLINK("https://www.linkedin.com/ad-library/detail/1291296384","Open Ad")</f>
        <v>Open Ad</v>
      </c>
      <c r="E140" s="4" t="s">
        <v>91</v>
      </c>
      <c r="F140" s="4" t="s">
        <v>1836</v>
      </c>
      <c r="G140" s="4" t="s">
        <v>1837</v>
      </c>
      <c r="H140" s="4" t="s">
        <v>55</v>
      </c>
      <c r="I140" s="4" t="s">
        <v>985</v>
      </c>
      <c r="J140" s="4" t="s">
        <v>91</v>
      </c>
      <c r="K140" s="13" t="str">
        <f>HYPERLINK("https://media.licdn.com/dms/image/v2/D4E10AQGcGXPHyLqc0g/image-shrink_1280/B4EZ4HODfoJoAc-/0/1778237586655/Open-Role-Insights-Analyst-4320-43201png?e=2147483647&amp;v=beta&amp;t=JFYgU4dCtqVRvwZygTcjO2PNiDFsWLXKfBDd-wBdaI8","Open Creative")</f>
        <v>Open Creative</v>
      </c>
      <c r="L140" s="4" t="s">
        <v>62</v>
      </c>
      <c r="M140" s="4" t="s">
        <v>63</v>
      </c>
      <c r="N140" s="4" t="s">
        <v>1961</v>
      </c>
      <c r="O140" s="2" t="s">
        <v>132</v>
      </c>
      <c r="P140" s="2">
        <v>1.291296384E9</v>
      </c>
      <c r="Q140" s="2" t="s">
        <v>68</v>
      </c>
      <c r="R140" s="4" t="s">
        <v>1964</v>
      </c>
    </row>
    <row r="141">
      <c r="A141" s="4" t="s">
        <v>44</v>
      </c>
      <c r="B141" s="4" t="s">
        <v>44</v>
      </c>
      <c r="C141" s="4">
        <v>140.0</v>
      </c>
      <c r="D141" s="13" t="str">
        <f>HYPERLINK("https://www.linkedin.com/ad-library/detail/1314585574","Open Ad")</f>
        <v>Open Ad</v>
      </c>
      <c r="E141" s="4" t="s">
        <v>91</v>
      </c>
      <c r="F141" s="4" t="s">
        <v>1158</v>
      </c>
      <c r="G141" s="4" t="s">
        <v>1770</v>
      </c>
      <c r="H141" s="4" t="s">
        <v>55</v>
      </c>
      <c r="I141" s="4" t="s">
        <v>985</v>
      </c>
      <c r="J141" s="4" t="s">
        <v>91</v>
      </c>
      <c r="K141" s="13" t="str">
        <f>HYPERLINK("https://media.licdn.com/dms/image/v2/D4E10AQE6zK0lwJeuTQ/image-shrink_1280/B4EZ50Wur1G0Ac-/0/1780068577697/Open-Role-Data-Governance-Engineer-7680-4320png?e=2147483647&amp;v=beta&amp;t=vJJiIM5bdYtEYEy3SsCT_SmVA7JS4L9YnSEhRogjThc","Open Creative")</f>
        <v>Open Creative</v>
      </c>
      <c r="L141" s="4" t="s">
        <v>62</v>
      </c>
      <c r="M141" s="4" t="s">
        <v>63</v>
      </c>
      <c r="N141" s="4" t="s">
        <v>1780</v>
      </c>
      <c r="O141" s="2" t="s">
        <v>132</v>
      </c>
      <c r="P141" s="2">
        <v>1.314585574E9</v>
      </c>
      <c r="Q141" s="2" t="s">
        <v>68</v>
      </c>
      <c r="R141" s="4" t="s">
        <v>1972</v>
      </c>
    </row>
    <row r="142">
      <c r="A142" s="4" t="s">
        <v>44</v>
      </c>
      <c r="B142" s="4" t="s">
        <v>44</v>
      </c>
      <c r="C142" s="4">
        <v>141.0</v>
      </c>
      <c r="D142" s="13" t="str">
        <f>HYPERLINK("https://www.linkedin.com/ad-library/detail/1306596634","Open Ad")</f>
        <v>Open Ad</v>
      </c>
      <c r="E142" s="4" t="s">
        <v>91</v>
      </c>
      <c r="F142" s="4" t="s">
        <v>53</v>
      </c>
      <c r="G142" s="4" t="s">
        <v>1756</v>
      </c>
      <c r="H142" s="4" t="s">
        <v>55</v>
      </c>
      <c r="I142" s="4" t="s">
        <v>1758</v>
      </c>
      <c r="J142" s="4" t="s">
        <v>91</v>
      </c>
      <c r="K142" s="13" t="str">
        <f>HYPERLINK("https://media.licdn.com/dms/image/v2/D4E10AQFxERZGx9lwng/image-shrink_1280/B4EZ4hQIgmJAAc-/0/1778674338388/Define_AI_visibility-1200x1200-2png?e=2147483647&amp;v=beta&amp;t=qEG_f4GjIB47-9fIkJYP3BFgmDB5p4ZwEoO1Z0apcKs","Open Creative")</f>
        <v>Open Creative</v>
      </c>
      <c r="L142" s="4" t="s">
        <v>62</v>
      </c>
      <c r="M142" s="4" t="s">
        <v>63</v>
      </c>
      <c r="N142" s="4" t="s">
        <v>1980</v>
      </c>
      <c r="O142" s="2" t="s">
        <v>132</v>
      </c>
      <c r="P142" s="2">
        <v>1.306596634E9</v>
      </c>
      <c r="Q142" s="2" t="s">
        <v>68</v>
      </c>
      <c r="R142" s="4" t="s">
        <v>1983</v>
      </c>
    </row>
    <row r="143">
      <c r="A143" s="4" t="s">
        <v>44</v>
      </c>
      <c r="B143" s="4" t="s">
        <v>44</v>
      </c>
      <c r="C143" s="4">
        <v>142.0</v>
      </c>
      <c r="D143" s="13" t="str">
        <f>HYPERLINK("https://www.linkedin.com/ad-library/detail/1307695324","Open Ad")</f>
        <v>Open Ad</v>
      </c>
      <c r="E143" s="4" t="s">
        <v>91</v>
      </c>
      <c r="F143" s="4" t="s">
        <v>53</v>
      </c>
      <c r="G143" s="4" t="s">
        <v>1756</v>
      </c>
      <c r="H143" s="4" t="s">
        <v>55</v>
      </c>
      <c r="I143" s="4" t="s">
        <v>1758</v>
      </c>
      <c r="J143" s="4" t="s">
        <v>91</v>
      </c>
      <c r="K143" s="13" t="str">
        <f>HYPERLINK("https://media.licdn.com/dms/image/v2/D4E10AQHQzLMjD5FAbg/image-shrink_1280/B4EZ4hVjKoJgAc-/0/1778675758230/Winning_AI-1200x1200-1png?e=2147483647&amp;v=beta&amp;t=I-4UWyM35HWyu9wMIPpeVK6Y7n8EpOqTWmdXbco7GQI","Open Creative")</f>
        <v>Open Creative</v>
      </c>
      <c r="L143" s="4" t="s">
        <v>62</v>
      </c>
      <c r="M143" s="4" t="s">
        <v>63</v>
      </c>
      <c r="N143" s="4" t="s">
        <v>1764</v>
      </c>
      <c r="O143" s="2" t="s">
        <v>132</v>
      </c>
      <c r="P143" s="2">
        <v>1.307695324E9</v>
      </c>
      <c r="Q143" s="2" t="s">
        <v>68</v>
      </c>
      <c r="R143" s="4" t="s">
        <v>1994</v>
      </c>
    </row>
    <row r="144">
      <c r="A144" s="4" t="s">
        <v>44</v>
      </c>
      <c r="B144" s="4" t="s">
        <v>44</v>
      </c>
      <c r="C144" s="4">
        <v>143.0</v>
      </c>
      <c r="D144" s="13" t="str">
        <f>HYPERLINK("https://www.linkedin.com/ad-library/detail/1296593754","Open Ad")</f>
        <v>Open Ad</v>
      </c>
      <c r="E144" s="4" t="s">
        <v>91</v>
      </c>
      <c r="F144" s="4" t="s">
        <v>1030</v>
      </c>
      <c r="G144" s="4" t="s">
        <v>1867</v>
      </c>
      <c r="H144" s="4" t="s">
        <v>55</v>
      </c>
      <c r="I144" s="4" t="s">
        <v>985</v>
      </c>
      <c r="J144" s="4" t="s">
        <v>91</v>
      </c>
      <c r="K144" s="13" t="str">
        <f>HYPERLINK("https://media.licdn.com/dms/image/v2/D4E10AQF1lfVx_0GiqQ/image-shrink_1280/B4EZ4mI0qjG8Ac-/0/1778756308589/Open-Role-Finance-IT-Support-Specialist-4320-4320png?e=2147483647&amp;v=beta&amp;t=qW3C7mHXOck6R3JsbW9VflMwl1MC7GIZKfAJ0tPoHDE","Open Creative")</f>
        <v>Open Creative</v>
      </c>
      <c r="L144" s="4" t="s">
        <v>131</v>
      </c>
      <c r="M144" s="4" t="s">
        <v>63</v>
      </c>
      <c r="N144" s="4" t="s">
        <v>132</v>
      </c>
      <c r="O144" s="2" t="s">
        <v>132</v>
      </c>
      <c r="P144" s="2">
        <v>1.296593754E9</v>
      </c>
      <c r="Q144" s="2" t="s">
        <v>68</v>
      </c>
      <c r="R144" s="4" t="s">
        <v>2005</v>
      </c>
    </row>
    <row r="145">
      <c r="A145" s="4" t="s">
        <v>44</v>
      </c>
      <c r="B145" s="4" t="s">
        <v>44</v>
      </c>
      <c r="C145" s="4">
        <v>144.0</v>
      </c>
      <c r="D145" s="13" t="str">
        <f>HYPERLINK("https://www.linkedin.com/ad-library/detail/1306896734","Open Ad")</f>
        <v>Open Ad</v>
      </c>
      <c r="E145" s="4" t="s">
        <v>91</v>
      </c>
      <c r="F145" s="4" t="s">
        <v>53</v>
      </c>
      <c r="G145" s="4" t="s">
        <v>1737</v>
      </c>
      <c r="H145" s="4" t="s">
        <v>55</v>
      </c>
      <c r="I145" s="4" t="s">
        <v>1738</v>
      </c>
      <c r="J145" s="4" t="s">
        <v>91</v>
      </c>
      <c r="K145" s="13" t="str">
        <f>HYPERLINK("https://media.licdn.com/dms/image/v2/D4E10AQFwHfUzU1QbeQ/image-shrink_1280/B4EZ4hSuGDIcAc-/0/1778675016693/Is_your_brand_showing-1200x1200-3png?e=2147483647&amp;v=beta&amp;t=5-pay-tcKGdD_hUcPBmAnJMjvXTmUOpcu_HozuMQSQU","Open Creative")</f>
        <v>Open Creative</v>
      </c>
      <c r="L145" s="4" t="s">
        <v>62</v>
      </c>
      <c r="M145" s="4" t="s">
        <v>63</v>
      </c>
      <c r="N145" s="4" t="s">
        <v>1764</v>
      </c>
      <c r="O145" s="2" t="s">
        <v>132</v>
      </c>
      <c r="P145" s="2">
        <v>1.306896734E9</v>
      </c>
      <c r="Q145" s="2" t="s">
        <v>68</v>
      </c>
      <c r="R145" s="4" t="s">
        <v>2012</v>
      </c>
    </row>
    <row r="146">
      <c r="A146" s="4" t="s">
        <v>44</v>
      </c>
      <c r="B146" s="4" t="s">
        <v>44</v>
      </c>
      <c r="C146" s="4">
        <v>145.0</v>
      </c>
      <c r="D146" s="13" t="str">
        <f>HYPERLINK("https://www.linkedin.com/ad-library/detail/1276294614","Open Ad")</f>
        <v>Open Ad</v>
      </c>
      <c r="E146" s="4" t="s">
        <v>91</v>
      </c>
      <c r="F146" s="4" t="s">
        <v>1030</v>
      </c>
      <c r="G146" s="4" t="s">
        <v>2017</v>
      </c>
      <c r="H146" s="4" t="s">
        <v>55</v>
      </c>
      <c r="I146" s="4" t="s">
        <v>985</v>
      </c>
      <c r="J146" s="4" t="s">
        <v>91</v>
      </c>
      <c r="K146" s="13" t="str">
        <f>HYPERLINK("https://media.licdn.com/dms/image/v2/D4E10AQHoDJAUGghUHw/image-shrink_1280/B4EZ2bVJTiGYAg-/0/1776427506329/Open-Role-Onboarding-Consultant-Spanish-speaking-4320-43201png?e=2147483647&amp;v=beta&amp;t=5EQf5Xb5wqvRKamXcSrxa6akSlc4im3bn_IpcoanRZs","Open Creative")</f>
        <v>Open Creative</v>
      </c>
      <c r="L146" s="4" t="s">
        <v>62</v>
      </c>
      <c r="M146" s="4" t="s">
        <v>63</v>
      </c>
      <c r="N146" s="4" t="s">
        <v>2024</v>
      </c>
      <c r="O146" s="2" t="s">
        <v>132</v>
      </c>
      <c r="P146" s="2">
        <v>1.276294614E9</v>
      </c>
      <c r="Q146" s="2" t="s">
        <v>68</v>
      </c>
      <c r="R146" s="4" t="s">
        <v>2025</v>
      </c>
    </row>
    <row r="147">
      <c r="A147" s="4" t="s">
        <v>44</v>
      </c>
      <c r="B147" s="4" t="s">
        <v>44</v>
      </c>
      <c r="C147" s="4">
        <v>146.0</v>
      </c>
      <c r="D147" s="13" t="str">
        <f>HYPERLINK("https://www.linkedin.com/ad-library/detail/1285319184","Open Ad")</f>
        <v>Open Ad</v>
      </c>
      <c r="E147" s="4" t="s">
        <v>91</v>
      </c>
      <c r="F147" s="4" t="s">
        <v>1030</v>
      </c>
      <c r="G147" s="4" t="s">
        <v>2032</v>
      </c>
      <c r="H147" s="4" t="s">
        <v>55</v>
      </c>
      <c r="I147" s="4" t="s">
        <v>985</v>
      </c>
      <c r="J147" s="4" t="s">
        <v>91</v>
      </c>
      <c r="K147" s="13" t="str">
        <f>HYPERLINK("https://media.licdn.com/dms/image/v2/D4E10AQFtV13FjlSqZg/image-shrink_1280/B4EZ3elDdoJMAc-/0/1777555750682/Open-Role-ORM-Team-Lead-7680-4320png?e=2147483647&amp;v=beta&amp;t=tYEWjVpc-l6BQqAFjlmzTeOkeyqYQMPFn8ZHbh7usTs","Open Creative")</f>
        <v>Open Creative</v>
      </c>
      <c r="L147" s="4" t="s">
        <v>62</v>
      </c>
      <c r="M147" s="4" t="s">
        <v>63</v>
      </c>
      <c r="N147" s="4" t="s">
        <v>2037</v>
      </c>
      <c r="O147" s="2" t="s">
        <v>132</v>
      </c>
      <c r="P147" s="2">
        <v>1.285319184E9</v>
      </c>
      <c r="Q147" s="2" t="s">
        <v>68</v>
      </c>
      <c r="R147" s="4" t="s">
        <v>2039</v>
      </c>
    </row>
    <row r="148">
      <c r="A148" s="4" t="s">
        <v>44</v>
      </c>
      <c r="B148" s="4" t="s">
        <v>44</v>
      </c>
      <c r="C148" s="4">
        <v>147.0</v>
      </c>
      <c r="D148" s="13" t="str">
        <f>HYPERLINK("https://www.linkedin.com/ad-library/detail/1390988336","Open Ad")</f>
        <v>Open Ad</v>
      </c>
      <c r="E148" s="4" t="s">
        <v>91</v>
      </c>
      <c r="F148" s="4" t="s">
        <v>2045</v>
      </c>
      <c r="G148" s="4" t="s">
        <v>2046</v>
      </c>
      <c r="H148" s="4" t="s">
        <v>55</v>
      </c>
      <c r="I148" s="4" t="s">
        <v>985</v>
      </c>
      <c r="J148" s="4" t="s">
        <v>91</v>
      </c>
      <c r="K148" s="13" t="str">
        <f>HYPERLINK("https://media.licdn.com/dms/image/v2/D5610AQHVjc1giw1FOA/image-shrink_1280/B56Z2XN.IkIYAc-/0/1776358516837/Open-Role-Senior-Data-Engineer-7680-4320png?e=2147483647&amp;v=beta&amp;t=re0OIxC9ZFjxpLk6dnL7UarJJPJFNXxe6nND2Yi8toU","Open Creative")</f>
        <v>Open Creative</v>
      </c>
      <c r="L148" s="4" t="s">
        <v>62</v>
      </c>
      <c r="M148" s="4" t="s">
        <v>63</v>
      </c>
      <c r="N148" s="4" t="s">
        <v>2052</v>
      </c>
      <c r="O148" s="2" t="s">
        <v>132</v>
      </c>
      <c r="P148" s="2">
        <v>1.390988336E9</v>
      </c>
      <c r="Q148" s="2" t="s">
        <v>68</v>
      </c>
      <c r="R148" s="4" t="s">
        <v>2054</v>
      </c>
    </row>
    <row r="149">
      <c r="A149" s="4" t="s">
        <v>44</v>
      </c>
      <c r="B149" s="4" t="s">
        <v>44</v>
      </c>
      <c r="C149" s="4">
        <v>148.0</v>
      </c>
      <c r="D149" s="13" t="str">
        <f>HYPERLINK("https://www.linkedin.com/ad-library/detail/1285718834","Open Ad")</f>
        <v>Open Ad</v>
      </c>
      <c r="E149" s="4" t="s">
        <v>91</v>
      </c>
      <c r="F149" s="4" t="s">
        <v>1030</v>
      </c>
      <c r="G149" s="4" t="s">
        <v>2059</v>
      </c>
      <c r="H149" s="4" t="s">
        <v>55</v>
      </c>
      <c r="I149" s="4" t="s">
        <v>1377</v>
      </c>
      <c r="J149" s="4" t="s">
        <v>91</v>
      </c>
      <c r="K149" s="13" t="str">
        <f>HYPERLINK("https://media.licdn.com/dms/image/v2/D4E10AQEuHMOgCfYZAw/image-shrink_1280/B4EZ3euPjYKsAc-/0/1777558158248/Open-Role-Senior-Insights-Analyst-2430-4320png?e=2147483647&amp;v=beta&amp;t=SOxfoRvhBZ1uqwojMbCTf-Zj8QSHJ1BlxeqfwMxpd2w","Open Creative")</f>
        <v>Open Creative</v>
      </c>
      <c r="L149" s="4" t="s">
        <v>62</v>
      </c>
      <c r="M149" s="4" t="s">
        <v>63</v>
      </c>
      <c r="N149" s="4" t="s">
        <v>2066</v>
      </c>
      <c r="O149" s="2" t="s">
        <v>132</v>
      </c>
      <c r="P149" s="2">
        <v>1.285718834E9</v>
      </c>
      <c r="Q149" s="2" t="s">
        <v>68</v>
      </c>
      <c r="R149" s="4" t="s">
        <v>2067</v>
      </c>
    </row>
    <row r="150">
      <c r="A150" s="4" t="s">
        <v>44</v>
      </c>
      <c r="B150" s="4" t="s">
        <v>44</v>
      </c>
      <c r="C150" s="4">
        <v>149.0</v>
      </c>
      <c r="D150" s="13" t="str">
        <f>HYPERLINK("https://www.linkedin.com/ad-library/detail/1285417754","Open Ad")</f>
        <v>Open Ad</v>
      </c>
      <c r="E150" s="4" t="s">
        <v>91</v>
      </c>
      <c r="F150" s="4" t="s">
        <v>1836</v>
      </c>
      <c r="G150" s="4" t="s">
        <v>2072</v>
      </c>
      <c r="H150" s="4" t="s">
        <v>55</v>
      </c>
      <c r="I150" s="4" t="s">
        <v>985</v>
      </c>
      <c r="J150" s="4" t="s">
        <v>91</v>
      </c>
      <c r="K150" s="13" t="str">
        <f>HYPERLINK("https://media.licdn.com/dms/image/v2/D4E10AQG0FsBni-8Z0w/image-shrink_1280/B4EZ3erIRWKMAg-/0/1777557342295/Open-Role-Insights-Analyst-4320-4320png?e=2147483647&amp;v=beta&amp;t=5Ffxawdmm7mnOggDA30DZFz2-OnvrkyhdqnD066Rl-A","Open Creative")</f>
        <v>Open Creative</v>
      </c>
      <c r="L150" s="4" t="s">
        <v>62</v>
      </c>
      <c r="M150" s="4" t="s">
        <v>63</v>
      </c>
      <c r="N150" s="4" t="s">
        <v>2066</v>
      </c>
      <c r="O150" s="2" t="s">
        <v>132</v>
      </c>
      <c r="P150" s="2">
        <v>1.285417754E9</v>
      </c>
      <c r="Q150" s="2" t="s">
        <v>68</v>
      </c>
      <c r="R150" s="4" t="s">
        <v>2079</v>
      </c>
    </row>
    <row r="151">
      <c r="A151" s="4" t="s">
        <v>44</v>
      </c>
      <c r="B151" s="4" t="s">
        <v>44</v>
      </c>
      <c r="C151" s="4">
        <v>150.0</v>
      </c>
      <c r="D151" s="13" t="str">
        <f>HYPERLINK("https://www.linkedin.com/ad-library/detail/1285518584","Open Ad")</f>
        <v>Open Ad</v>
      </c>
      <c r="E151" s="4" t="s">
        <v>91</v>
      </c>
      <c r="F151" s="4" t="s">
        <v>1030</v>
      </c>
      <c r="G151" s="4" t="s">
        <v>2085</v>
      </c>
      <c r="H151" s="4" t="s">
        <v>55</v>
      </c>
      <c r="I151" s="4" t="s">
        <v>985</v>
      </c>
      <c r="J151" s="4" t="s">
        <v>91</v>
      </c>
      <c r="K151" s="13" t="str">
        <f>HYPERLINK("https://media.licdn.com/dms/image/v2/D4E10AQHxz69KRYnwUA/image-shrink_1280/B4EZ3elDaJIoAg-/0/1777555749202/Open-Role-ORM-Team-Lead-2430-4320png?e=2147483647&amp;v=beta&amp;t=IwOdTp7Oyxp1UOwxN3KV5V-Gs4k_St6gE9hcEDYOCVw","Open Creative")</f>
        <v>Open Creative</v>
      </c>
      <c r="L151" s="4" t="s">
        <v>62</v>
      </c>
      <c r="M151" s="4" t="s">
        <v>63</v>
      </c>
      <c r="N151" s="4" t="s">
        <v>2092</v>
      </c>
      <c r="O151" s="2" t="s">
        <v>132</v>
      </c>
      <c r="P151" s="2">
        <v>1.285518584E9</v>
      </c>
      <c r="Q151" s="2" t="s">
        <v>68</v>
      </c>
      <c r="R151" s="4" t="s">
        <v>2095</v>
      </c>
    </row>
    <row r="152">
      <c r="A152" s="4" t="s">
        <v>44</v>
      </c>
      <c r="B152" s="4" t="s">
        <v>44</v>
      </c>
      <c r="C152" s="4">
        <v>151.0</v>
      </c>
      <c r="D152" s="13" t="str">
        <f>HYPERLINK("https://www.linkedin.com/ad-library/detail/1275395044","Open Ad")</f>
        <v>Open Ad</v>
      </c>
      <c r="E152" s="4" t="s">
        <v>91</v>
      </c>
      <c r="F152" s="4" t="s">
        <v>1030</v>
      </c>
      <c r="G152" s="4" t="s">
        <v>2104</v>
      </c>
      <c r="H152" s="4" t="s">
        <v>55</v>
      </c>
      <c r="I152" s="4" t="s">
        <v>985</v>
      </c>
      <c r="J152" s="4" t="s">
        <v>91</v>
      </c>
      <c r="K152" s="13" t="str">
        <f>HYPERLINK("https://media.licdn.com/dms/image/v2/D4E10AQGkbScR_9xqoA/image-shrink_1280/B4EZ2bXua7JUAc-/0/1776428181986/Open-Role-Senior-Manager-Security-Operations-2430-43201png?e=2147483647&amp;v=beta&amp;t=kMdrlEtrkrhwnc62iqMCHZ7riFgB5Y1xPCc8RbetTw8","Open Creative")</f>
        <v>Open Creative</v>
      </c>
      <c r="L152" s="4" t="s">
        <v>62</v>
      </c>
      <c r="M152" s="4" t="s">
        <v>63</v>
      </c>
      <c r="N152" s="4" t="s">
        <v>2115</v>
      </c>
      <c r="O152" s="2" t="s">
        <v>132</v>
      </c>
      <c r="P152" s="2">
        <v>1.275395044E9</v>
      </c>
      <c r="Q152" s="2" t="s">
        <v>68</v>
      </c>
      <c r="R152" s="4" t="s">
        <v>2122</v>
      </c>
    </row>
    <row r="153">
      <c r="A153" s="4" t="s">
        <v>44</v>
      </c>
      <c r="B153" s="4" t="s">
        <v>44</v>
      </c>
      <c r="C153" s="4">
        <v>152.0</v>
      </c>
      <c r="D153" s="13" t="str">
        <f>HYPERLINK("https://www.linkedin.com/ad-library/detail/1285718824","Open Ad")</f>
        <v>Open Ad</v>
      </c>
      <c r="E153" s="4" t="s">
        <v>91</v>
      </c>
      <c r="F153" s="4" t="s">
        <v>1030</v>
      </c>
      <c r="G153" s="4" t="s">
        <v>2059</v>
      </c>
      <c r="H153" s="4" t="s">
        <v>55</v>
      </c>
      <c r="I153" s="4" t="s">
        <v>1377</v>
      </c>
      <c r="J153" s="4" t="s">
        <v>91</v>
      </c>
      <c r="K153" s="13" t="str">
        <f>HYPERLINK("https://media.licdn.com/dms/image/v2/D4E10AQG2yGO_AxyhAw/image-shrink_1280/B4EZ3euPnyK8Ag-/0/1777558159811/Open-Role-Senior-Insights-Analyst-7680-4320png?e=2147483647&amp;v=beta&amp;t=d-Qg7K5d07Do1SMGnp4olCQiJLrwazsuHXQFf44KT1I","Open Creative")</f>
        <v>Open Creative</v>
      </c>
      <c r="L153" s="4" t="s">
        <v>62</v>
      </c>
      <c r="M153" s="4" t="s">
        <v>63</v>
      </c>
      <c r="N153" s="4" t="s">
        <v>2137</v>
      </c>
      <c r="O153" s="2" t="s">
        <v>132</v>
      </c>
      <c r="P153" s="2">
        <v>1.285718824E9</v>
      </c>
      <c r="Q153" s="2" t="s">
        <v>68</v>
      </c>
      <c r="R153" s="4" t="s">
        <v>2140</v>
      </c>
    </row>
    <row r="154">
      <c r="A154" s="4" t="s">
        <v>44</v>
      </c>
      <c r="B154" s="4" t="s">
        <v>44</v>
      </c>
      <c r="C154" s="4">
        <v>153.0</v>
      </c>
      <c r="D154" s="13" t="str">
        <f>HYPERLINK("https://www.linkedin.com/ad-library/detail/1277682804","Open Ad")</f>
        <v>Open Ad</v>
      </c>
      <c r="E154" s="4" t="s">
        <v>91</v>
      </c>
      <c r="F154" s="4" t="s">
        <v>1030</v>
      </c>
      <c r="G154" s="4" t="s">
        <v>2104</v>
      </c>
      <c r="H154" s="4" t="s">
        <v>55</v>
      </c>
      <c r="I154" s="4" t="s">
        <v>985</v>
      </c>
      <c r="J154" s="4" t="s">
        <v>91</v>
      </c>
      <c r="K154" s="13" t="str">
        <f>HYPERLINK("https://media.licdn.com/dms/image/v2/D4E10AQEsy_2_hTsx8g/image-shrink_1280/B4EZ2bXuerJcAc-/0/1776428182986/Open-Role-Senior-Manager-Security-Operations-7680-43201png?e=2147483647&amp;v=beta&amp;t=zuTTcBhQc-n7Cz3wZEi3COHNpkqNaJLdk411LXSa9QQ","Open Creative")</f>
        <v>Open Creative</v>
      </c>
      <c r="L154" s="4" t="s">
        <v>62</v>
      </c>
      <c r="M154" s="4" t="s">
        <v>63</v>
      </c>
      <c r="N154" s="4" t="s">
        <v>2148</v>
      </c>
      <c r="O154" s="2" t="s">
        <v>132</v>
      </c>
      <c r="P154" s="2">
        <v>1.277682804E9</v>
      </c>
      <c r="Q154" s="2" t="s">
        <v>68</v>
      </c>
      <c r="R154" s="4" t="s">
        <v>2150</v>
      </c>
    </row>
    <row r="155">
      <c r="A155" s="4" t="s">
        <v>44</v>
      </c>
      <c r="B155" s="4" t="s">
        <v>44</v>
      </c>
      <c r="C155" s="4">
        <v>154.0</v>
      </c>
      <c r="D155" s="13" t="str">
        <f>HYPERLINK("https://www.linkedin.com/ad-library/detail/1286220074","Open Ad")</f>
        <v>Open Ad</v>
      </c>
      <c r="E155" s="4" t="s">
        <v>1046</v>
      </c>
      <c r="F155" s="4" t="s">
        <v>53</v>
      </c>
      <c r="G155" s="4" t="s">
        <v>2155</v>
      </c>
      <c r="H155" s="4" t="s">
        <v>55</v>
      </c>
      <c r="I155" s="4" t="s">
        <v>985</v>
      </c>
      <c r="J155" s="4" t="s">
        <v>1046</v>
      </c>
      <c r="K155" s="13" t="str">
        <f>HYPERLINK("https://static.licdn.com/aero-v1/sc/h/9c8pery4andzj6ohjkjp54ma2","Open Creative")</f>
        <v>Open Creative</v>
      </c>
      <c r="L155" s="4" t="s">
        <v>1053</v>
      </c>
      <c r="M155" s="4" t="s">
        <v>63</v>
      </c>
      <c r="N155" s="4" t="s">
        <v>2066</v>
      </c>
      <c r="O155" s="2" t="s">
        <v>132</v>
      </c>
      <c r="P155" s="2">
        <v>1.286220074E9</v>
      </c>
      <c r="Q155" s="2" t="s">
        <v>68</v>
      </c>
      <c r="R155" s="4" t="s">
        <v>2162</v>
      </c>
    </row>
    <row r="156">
      <c r="A156" s="4" t="s">
        <v>44</v>
      </c>
      <c r="B156" s="4" t="s">
        <v>44</v>
      </c>
      <c r="C156" s="4">
        <v>155.0</v>
      </c>
      <c r="D156" s="13" t="str">
        <f>HYPERLINK("https://www.linkedin.com/ad-library/detail/1280228504","Open Ad")</f>
        <v>Open Ad</v>
      </c>
      <c r="E156" s="4" t="s">
        <v>91</v>
      </c>
      <c r="F156" s="4" t="s">
        <v>1836</v>
      </c>
      <c r="G156" s="4" t="s">
        <v>2172</v>
      </c>
      <c r="H156" s="4" t="s">
        <v>55</v>
      </c>
      <c r="I156" s="4" t="s">
        <v>985</v>
      </c>
      <c r="J156" s="4" t="s">
        <v>91</v>
      </c>
      <c r="K156" s="13" t="str">
        <f>HYPERLINK("https://media.licdn.com/dms/image/v2/D4E10AQEePNGC5rsdiA/image-shrink_1280/B4EZ26mEBKJkAg-/0/1776952034231/Open-Role-Onboarding-Consultant-APAC-4320-4320png?e=2147483647&amp;v=beta&amp;t=iwPEr5fNmGn4w5ZU9UrMpWluBFszrdEG6m-SyrUfGQ8","Open Creative")</f>
        <v>Open Creative</v>
      </c>
      <c r="L156" s="4" t="s">
        <v>131</v>
      </c>
      <c r="M156" s="4" t="s">
        <v>63</v>
      </c>
      <c r="N156" s="4" t="s">
        <v>132</v>
      </c>
      <c r="O156" s="2" t="s">
        <v>132</v>
      </c>
      <c r="P156" s="2">
        <v>1.280228504E9</v>
      </c>
      <c r="Q156" s="2" t="s">
        <v>68</v>
      </c>
      <c r="R156" s="4" t="s">
        <v>2180</v>
      </c>
    </row>
    <row r="157">
      <c r="A157" s="4" t="s">
        <v>44</v>
      </c>
      <c r="B157" s="4" t="s">
        <v>44</v>
      </c>
      <c r="C157" s="4">
        <v>156.0</v>
      </c>
      <c r="D157" s="13" t="str">
        <f>HYPERLINK("https://www.linkedin.com/ad-library/detail/1275694704","Open Ad")</f>
        <v>Open Ad</v>
      </c>
      <c r="E157" s="4" t="s">
        <v>91</v>
      </c>
      <c r="F157" s="4" t="s">
        <v>1030</v>
      </c>
      <c r="G157" s="4" t="s">
        <v>2017</v>
      </c>
      <c r="H157" s="4" t="s">
        <v>55</v>
      </c>
      <c r="I157" s="4" t="s">
        <v>985</v>
      </c>
      <c r="J157" s="4" t="s">
        <v>91</v>
      </c>
      <c r="K157" s="13" t="str">
        <f>HYPERLINK("https://media.licdn.com/dms/image/v2/D4E10AQFtewwOIyAmTA/image-shrink_1280/B4EZ2bVJSFJ4Ac-/0/1776427505505/Open-Role-Onboarding-Consultant-Spanish-speaking-2430-43201png?e=2147483647&amp;v=beta&amp;t=zk_xibaIMh8JBtAperPYDCTJrZ2QE4nmYJCVVPZyc-U","Open Creative")</f>
        <v>Open Creative</v>
      </c>
      <c r="L157" s="4" t="s">
        <v>62</v>
      </c>
      <c r="M157" s="4" t="s">
        <v>63</v>
      </c>
      <c r="N157" s="4" t="s">
        <v>2187</v>
      </c>
      <c r="O157" s="2" t="s">
        <v>132</v>
      </c>
      <c r="P157" s="2">
        <v>1.275694704E9</v>
      </c>
      <c r="Q157" s="2" t="s">
        <v>68</v>
      </c>
      <c r="R157" s="4" t="s">
        <v>2188</v>
      </c>
    </row>
    <row r="158">
      <c r="A158" s="4" t="s">
        <v>44</v>
      </c>
      <c r="B158" s="4" t="s">
        <v>44</v>
      </c>
      <c r="C158" s="4">
        <v>157.0</v>
      </c>
      <c r="D158" s="13" t="str">
        <f>HYPERLINK("https://www.linkedin.com/ad-library/detail/1286718334","Open Ad")</f>
        <v>Open Ad</v>
      </c>
      <c r="E158" s="4" t="s">
        <v>91</v>
      </c>
      <c r="F158" s="4" t="s">
        <v>1030</v>
      </c>
      <c r="G158" s="4" t="s">
        <v>2059</v>
      </c>
      <c r="H158" s="4" t="s">
        <v>55</v>
      </c>
      <c r="I158" s="4" t="s">
        <v>1377</v>
      </c>
      <c r="J158" s="4" t="s">
        <v>91</v>
      </c>
      <c r="K158" s="13" t="str">
        <f>HYPERLINK("https://media.licdn.com/dms/image/v2/D4E10AQGwm9Ksngo4Rg/image-shrink_1280/B4EZ3euPlaKMAc-/0/1777558158647/Open-Role-Senior-Insights-Analyst-4320-4320png?e=2147483647&amp;v=beta&amp;t=iq7zDZJSi1_vq08lz5-R_2yWd4xS1KU-jvhIJd5QMb0","Open Creative")</f>
        <v>Open Creative</v>
      </c>
      <c r="L158" s="4" t="s">
        <v>62</v>
      </c>
      <c r="M158" s="4" t="s">
        <v>63</v>
      </c>
      <c r="N158" s="4" t="s">
        <v>2066</v>
      </c>
      <c r="O158" s="2" t="s">
        <v>132</v>
      </c>
      <c r="P158" s="2">
        <v>1.286718334E9</v>
      </c>
      <c r="Q158" s="2" t="s">
        <v>68</v>
      </c>
      <c r="R158" s="4" t="s">
        <v>2201</v>
      </c>
    </row>
    <row r="159">
      <c r="A159" s="4" t="s">
        <v>44</v>
      </c>
      <c r="B159" s="4" t="s">
        <v>44</v>
      </c>
      <c r="C159" s="4">
        <v>158.0</v>
      </c>
      <c r="D159" s="13" t="str">
        <f>HYPERLINK("https://www.linkedin.com/ad-library/detail/1284919524","Open Ad")</f>
        <v>Open Ad</v>
      </c>
      <c r="E159" s="4" t="s">
        <v>91</v>
      </c>
      <c r="F159" s="4" t="s">
        <v>1836</v>
      </c>
      <c r="G159" s="4" t="s">
        <v>2072</v>
      </c>
      <c r="H159" s="4" t="s">
        <v>55</v>
      </c>
      <c r="I159" s="4" t="s">
        <v>985</v>
      </c>
      <c r="J159" s="4" t="s">
        <v>91</v>
      </c>
      <c r="K159" s="13" t="str">
        <f>HYPERLINK("https://media.licdn.com/dms/image/v2/D4E10AQE1Vam-E60lsw/image-shrink_1280/B4EZ3erIMOGYAc-/0/1777557341573/Open-Role-Insights-Analyst-2430-4320png?e=2147483647&amp;v=beta&amp;t=nreg_8cGtKRlXBf0IVtDPNLGoTVWd7K2tpBb6wYopbo","Open Creative")</f>
        <v>Open Creative</v>
      </c>
      <c r="L159" s="4" t="s">
        <v>62</v>
      </c>
      <c r="M159" s="4" t="s">
        <v>63</v>
      </c>
      <c r="N159" s="4" t="s">
        <v>2066</v>
      </c>
      <c r="O159" s="2" t="s">
        <v>132</v>
      </c>
      <c r="P159" s="2">
        <v>1.284919524E9</v>
      </c>
      <c r="Q159" s="2" t="s">
        <v>68</v>
      </c>
      <c r="R159" s="4" t="s">
        <v>2212</v>
      </c>
    </row>
    <row r="160">
      <c r="A160" s="4" t="s">
        <v>44</v>
      </c>
      <c r="B160" s="4" t="s">
        <v>44</v>
      </c>
      <c r="C160" s="4">
        <v>159.0</v>
      </c>
      <c r="D160" s="13" t="str">
        <f>HYPERLINK("https://www.linkedin.com/ad-library/detail/1286983994","Open Ad")</f>
        <v>Open Ad</v>
      </c>
      <c r="E160" s="4" t="s">
        <v>1046</v>
      </c>
      <c r="F160" s="4" t="s">
        <v>53</v>
      </c>
      <c r="G160" s="4" t="s">
        <v>2216</v>
      </c>
      <c r="H160" s="4" t="s">
        <v>55</v>
      </c>
      <c r="I160" s="4" t="s">
        <v>985</v>
      </c>
      <c r="J160" s="4" t="s">
        <v>1046</v>
      </c>
      <c r="K160" s="13" t="str">
        <f>HYPERLINK("https://static.licdn.com/aero-v1/sc/h/9c8pery4andzj6ohjkjp54ma2","Open Creative")</f>
        <v>Open Creative</v>
      </c>
      <c r="L160" s="4" t="s">
        <v>1053</v>
      </c>
      <c r="M160" s="4" t="s">
        <v>63</v>
      </c>
      <c r="N160" s="4" t="s">
        <v>2066</v>
      </c>
      <c r="O160" s="2" t="s">
        <v>132</v>
      </c>
      <c r="P160" s="2">
        <v>1.286983994E9</v>
      </c>
      <c r="Q160" s="2" t="s">
        <v>68</v>
      </c>
      <c r="R160" s="4" t="s">
        <v>2220</v>
      </c>
    </row>
    <row r="161">
      <c r="A161" s="4" t="s">
        <v>44</v>
      </c>
      <c r="B161" s="4" t="s">
        <v>44</v>
      </c>
      <c r="C161" s="4">
        <v>160.0</v>
      </c>
      <c r="D161" s="13" t="str">
        <f>HYPERLINK("https://www.linkedin.com/ad-library/detail/1285019414","Open Ad")</f>
        <v>Open Ad</v>
      </c>
      <c r="E161" s="4" t="s">
        <v>91</v>
      </c>
      <c r="F161" s="4" t="s">
        <v>1836</v>
      </c>
      <c r="G161" s="4" t="s">
        <v>2072</v>
      </c>
      <c r="H161" s="4" t="s">
        <v>55</v>
      </c>
      <c r="I161" s="4" t="s">
        <v>985</v>
      </c>
      <c r="J161" s="4" t="s">
        <v>91</v>
      </c>
      <c r="K161" s="13" t="str">
        <f>HYPERLINK("https://media.licdn.com/dms/image/v2/D4E10AQHFRaddMoj38Q/image-shrink_1280/B4EZ3erIWZIoAc-/0/1777557343141/Open-Role-Insights-Analyst-7680-4320png?e=2147483647&amp;v=beta&amp;t=FRDf3JR028zRIim0NfSQGNg9mP4M87mIK7dSQ_9PEjc","Open Creative")</f>
        <v>Open Creative</v>
      </c>
      <c r="L161" s="4" t="s">
        <v>62</v>
      </c>
      <c r="M161" s="4" t="s">
        <v>63</v>
      </c>
      <c r="N161" s="4" t="s">
        <v>2137</v>
      </c>
      <c r="O161" s="2" t="s">
        <v>132</v>
      </c>
      <c r="P161" s="2">
        <v>1.285019414E9</v>
      </c>
      <c r="Q161" s="2" t="s">
        <v>68</v>
      </c>
      <c r="R161" s="4" t="s">
        <v>2228</v>
      </c>
    </row>
    <row r="162">
      <c r="A162" s="4" t="s">
        <v>44</v>
      </c>
      <c r="B162" s="4" t="s">
        <v>44</v>
      </c>
      <c r="C162" s="4">
        <v>161.0</v>
      </c>
      <c r="D162" s="13" t="str">
        <f>HYPERLINK("https://www.linkedin.com/ad-library/detail/1286017734","Open Ad")</f>
        <v>Open Ad</v>
      </c>
      <c r="E162" s="4" t="s">
        <v>91</v>
      </c>
      <c r="F162" s="4" t="s">
        <v>1030</v>
      </c>
      <c r="G162" s="4" t="s">
        <v>2032</v>
      </c>
      <c r="H162" s="4" t="s">
        <v>55</v>
      </c>
      <c r="I162" s="4" t="s">
        <v>985</v>
      </c>
      <c r="J162" s="4" t="s">
        <v>91</v>
      </c>
      <c r="K162" s="13" t="str">
        <f>HYPERLINK("https://media.licdn.com/dms/image/v2/D4E10AQEaPOM9SJ8FsA/image-shrink_1280/B4EZ3elDcPHcAc-/0/1777555749612/Open-Role-ORM-Team-Lead-4320-4320png?e=2147483647&amp;v=beta&amp;t=Le1E9BTBDywmHweDDWLU6YG4repkFQLbOtORlNOdcmg","Open Creative")</f>
        <v>Open Creative</v>
      </c>
      <c r="L162" s="4" t="s">
        <v>62</v>
      </c>
      <c r="M162" s="4" t="s">
        <v>63</v>
      </c>
      <c r="N162" s="4" t="s">
        <v>2037</v>
      </c>
      <c r="O162" s="2" t="s">
        <v>132</v>
      </c>
      <c r="P162" s="2">
        <v>1.286017734E9</v>
      </c>
      <c r="Q162" s="2" t="s">
        <v>68</v>
      </c>
      <c r="R162" s="4" t="s">
        <v>2243</v>
      </c>
    </row>
    <row r="163">
      <c r="A163" s="4" t="s">
        <v>44</v>
      </c>
      <c r="B163" s="4" t="s">
        <v>44</v>
      </c>
      <c r="C163" s="4">
        <v>162.0</v>
      </c>
      <c r="D163" s="13" t="str">
        <f>HYPERLINK("https://www.linkedin.com/ad-library/detail/1390899646","Open Ad")</f>
        <v>Open Ad</v>
      </c>
      <c r="E163" s="4" t="s">
        <v>91</v>
      </c>
      <c r="F163" s="4" t="s">
        <v>2045</v>
      </c>
      <c r="G163" s="4" t="s">
        <v>2046</v>
      </c>
      <c r="H163" s="4" t="s">
        <v>55</v>
      </c>
      <c r="I163" s="4" t="s">
        <v>985</v>
      </c>
      <c r="J163" s="4" t="s">
        <v>91</v>
      </c>
      <c r="K163" s="13" t="str">
        <f>HYPERLINK("https://media.licdn.com/dms/image/v2/D5610AQFOXMVb_JmkbQ/image-shrink_1280/B56Z2XN97mKQAc-/0/1776358515044/Open-Role-Senior-Data-Engineer-2430-4320png?e=2147483647&amp;v=beta&amp;t=Yd43qL9q_qhZjZtF_27-0w5UYXX4BOAjRvddsH6usAs","Open Creative")</f>
        <v>Open Creative</v>
      </c>
      <c r="L163" s="4" t="s">
        <v>62</v>
      </c>
      <c r="M163" s="4" t="s">
        <v>63</v>
      </c>
      <c r="N163" s="4" t="s">
        <v>2052</v>
      </c>
      <c r="O163" s="2" t="s">
        <v>132</v>
      </c>
      <c r="P163" s="2">
        <v>1.390899646E9</v>
      </c>
      <c r="Q163" s="2" t="s">
        <v>68</v>
      </c>
      <c r="R163" s="4" t="s">
        <v>2255</v>
      </c>
    </row>
    <row r="164">
      <c r="A164" s="4" t="s">
        <v>44</v>
      </c>
      <c r="B164" s="4" t="s">
        <v>44</v>
      </c>
      <c r="C164" s="4">
        <v>163.0</v>
      </c>
      <c r="D164" s="13" t="str">
        <f>HYPERLINK("https://www.linkedin.com/ad-library/detail/1390978636","Open Ad")</f>
        <v>Open Ad</v>
      </c>
      <c r="E164" s="4" t="s">
        <v>91</v>
      </c>
      <c r="F164" s="4" t="s">
        <v>2045</v>
      </c>
      <c r="G164" s="4" t="s">
        <v>2046</v>
      </c>
      <c r="H164" s="4" t="s">
        <v>55</v>
      </c>
      <c r="I164" s="4" t="s">
        <v>985</v>
      </c>
      <c r="J164" s="4" t="s">
        <v>91</v>
      </c>
      <c r="K164" s="13" t="str">
        <f>HYPERLINK("https://media.licdn.com/dms/image/v2/D5610AQG3ycH0fMctIQ/image-shrink_1280/B56Z2XN99GIYAg-/0/1776358515339/Open-Role-Senior-Data-Engineer-4320-4320png?e=2147483647&amp;v=beta&amp;t=HBVV2mZ5NH6VFnLyIBmSTns_tSSTQm4uZIqpLAZUifg","Open Creative")</f>
        <v>Open Creative</v>
      </c>
      <c r="L164" s="4" t="s">
        <v>62</v>
      </c>
      <c r="M164" s="4" t="s">
        <v>63</v>
      </c>
      <c r="N164" s="4" t="s">
        <v>2052</v>
      </c>
      <c r="O164" s="2" t="s">
        <v>132</v>
      </c>
      <c r="P164" s="2">
        <v>1.390978636E9</v>
      </c>
      <c r="Q164" s="2" t="s">
        <v>68</v>
      </c>
      <c r="R164" s="4" t="s">
        <v>2266</v>
      </c>
    </row>
    <row r="165">
      <c r="A165" s="4" t="s">
        <v>44</v>
      </c>
      <c r="B165" s="4" t="s">
        <v>44</v>
      </c>
      <c r="C165" s="4">
        <v>164.0</v>
      </c>
      <c r="D165" s="13" t="str">
        <f>HYPERLINK("https://www.linkedin.com/ad-library/detail/1277295324","Open Ad")</f>
        <v>Open Ad</v>
      </c>
      <c r="E165" s="4" t="s">
        <v>91</v>
      </c>
      <c r="F165" s="4" t="s">
        <v>1030</v>
      </c>
      <c r="G165" s="4" t="s">
        <v>2104</v>
      </c>
      <c r="H165" s="4" t="s">
        <v>55</v>
      </c>
      <c r="I165" s="4" t="s">
        <v>985</v>
      </c>
      <c r="J165" s="4" t="s">
        <v>91</v>
      </c>
      <c r="K165" s="13" t="str">
        <f>HYPERLINK("https://media.licdn.com/dms/image/v2/D4E10AQG-w9jF6UEtRw/image-shrink_1280/B4EZ2bXuv2J0Ak-/0/1776428183543/Open-Role-Senior-Manager-Security-Operations-4320-43201png?e=2147483647&amp;v=beta&amp;t=tp3RO6lyo8XbyT5jVk9u0dPy_uC0WhJn9z0xt1OqEWY","Open Creative")</f>
        <v>Open Creative</v>
      </c>
      <c r="L165" s="4" t="s">
        <v>62</v>
      </c>
      <c r="M165" s="4" t="s">
        <v>63</v>
      </c>
      <c r="N165" s="4" t="s">
        <v>2115</v>
      </c>
      <c r="O165" s="2" t="s">
        <v>132</v>
      </c>
      <c r="P165" s="2">
        <v>1.277295324E9</v>
      </c>
      <c r="Q165" s="2" t="s">
        <v>68</v>
      </c>
      <c r="R165" s="4" t="s">
        <v>2278</v>
      </c>
    </row>
    <row r="166">
      <c r="A166" s="4" t="s">
        <v>44</v>
      </c>
      <c r="B166" s="4" t="s">
        <v>44</v>
      </c>
      <c r="C166" s="4">
        <v>165.0</v>
      </c>
      <c r="D166" s="13" t="str">
        <f>HYPERLINK("https://www.linkedin.com/ad-library/detail/1281009174","Open Ad")</f>
        <v>Open Ad</v>
      </c>
      <c r="E166" s="4" t="s">
        <v>91</v>
      </c>
      <c r="F166" s="4" t="s">
        <v>1836</v>
      </c>
      <c r="G166" s="4" t="s">
        <v>2172</v>
      </c>
      <c r="H166" s="4" t="s">
        <v>55</v>
      </c>
      <c r="I166" s="4" t="s">
        <v>985</v>
      </c>
      <c r="J166" s="4" t="s">
        <v>91</v>
      </c>
      <c r="K166" s="13" t="str">
        <f>HYPERLINK("https://media.licdn.com/dms/image/v2/D4E10AQFFxVfANGDpnA/image-shrink_1280/B4EZ26mS7dJ8Ac-/0/1776952096063/Open-Role-Onboarding-Consultant-APAC-7680-43201png?e=2147483647&amp;v=beta&amp;t=dOwY7IJ0N52b3nqe67eRNCC9GRWbUhJgVKUPNU_3n2M","Open Creative")</f>
        <v>Open Creative</v>
      </c>
      <c r="L166" s="4" t="s">
        <v>131</v>
      </c>
      <c r="M166" s="4" t="s">
        <v>63</v>
      </c>
      <c r="N166" s="4" t="s">
        <v>132</v>
      </c>
      <c r="O166" s="2" t="s">
        <v>132</v>
      </c>
      <c r="P166" s="2">
        <v>1.281009174E9</v>
      </c>
      <c r="Q166" s="2" t="s">
        <v>68</v>
      </c>
      <c r="R166" s="4" t="s">
        <v>2295</v>
      </c>
    </row>
    <row r="167">
      <c r="A167" s="4" t="s">
        <v>44</v>
      </c>
      <c r="B167" s="4" t="s">
        <v>44</v>
      </c>
      <c r="C167" s="4">
        <v>166.0</v>
      </c>
      <c r="D167" s="13" t="str">
        <f>HYPERLINK("https://www.linkedin.com/ad-library/detail/1279329154","Open Ad")</f>
        <v>Open Ad</v>
      </c>
      <c r="E167" s="4" t="s">
        <v>91</v>
      </c>
      <c r="F167" s="4" t="s">
        <v>1836</v>
      </c>
      <c r="G167" s="4" t="s">
        <v>2172</v>
      </c>
      <c r="H167" s="4" t="s">
        <v>55</v>
      </c>
      <c r="I167" s="4" t="s">
        <v>985</v>
      </c>
      <c r="J167" s="4" t="s">
        <v>91</v>
      </c>
      <c r="K167" s="13" t="str">
        <f>HYPERLINK("https://media.licdn.com/dms/image/v2/D4E10AQEKtJmeeWPzZA/image-shrink_1280/B4EZ26mD8eJoAk-/0/1776952033785/Open-Role-Onboarding-Consultant-APAC-2430-4320png?e=2147483647&amp;v=beta&amp;t=P1dJnqsTAOZqBHqwhaio-tCkAX4RQ39C8sYxHKUdnxE","Open Creative")</f>
        <v>Open Creative</v>
      </c>
      <c r="L167" s="4" t="s">
        <v>131</v>
      </c>
      <c r="M167" s="4" t="s">
        <v>63</v>
      </c>
      <c r="N167" s="4" t="s">
        <v>132</v>
      </c>
      <c r="O167" s="2" t="s">
        <v>132</v>
      </c>
      <c r="P167" s="2">
        <v>1.279329154E9</v>
      </c>
      <c r="Q167" s="2" t="s">
        <v>68</v>
      </c>
      <c r="R167" s="4" t="s">
        <v>2304</v>
      </c>
    </row>
    <row r="168">
      <c r="A168" s="4" t="s">
        <v>44</v>
      </c>
      <c r="B168" s="4" t="s">
        <v>44</v>
      </c>
      <c r="C168" s="4">
        <v>167.0</v>
      </c>
      <c r="D168" s="13" t="str">
        <f>HYPERLINK("https://www.linkedin.com/ad-library/detail/1293784034","Open Ad")</f>
        <v>Open Ad</v>
      </c>
      <c r="E168" s="4" t="s">
        <v>91</v>
      </c>
      <c r="F168" s="4" t="s">
        <v>1836</v>
      </c>
      <c r="G168" s="4" t="s">
        <v>1837</v>
      </c>
      <c r="H168" s="4" t="s">
        <v>55</v>
      </c>
      <c r="I168" s="4" t="s">
        <v>985</v>
      </c>
      <c r="J168" s="4" t="s">
        <v>91</v>
      </c>
      <c r="K168" s="13" t="str">
        <f>HYPERLINK("https://media.licdn.com/dms/image/v2/D4E10AQFdRAhXZHPc2Q/image-shrink_1280/B4EZ4HODbeIMAc-/0/1778237585912/Open-Role-Insights-Analyst-2430-43201png?e=2147483647&amp;v=beta&amp;t=PWJm-5_h2rK1S-ONr0PvkSHayqUqvnEgVrMQijHkygs","Open Creative")</f>
        <v>Open Creative</v>
      </c>
      <c r="L168" s="4" t="s">
        <v>62</v>
      </c>
      <c r="M168" s="4" t="s">
        <v>63</v>
      </c>
      <c r="N168" s="4" t="s">
        <v>1961</v>
      </c>
      <c r="O168" s="2" t="s">
        <v>132</v>
      </c>
      <c r="P168" s="2">
        <v>1.293784034E9</v>
      </c>
      <c r="Q168" s="2" t="s">
        <v>68</v>
      </c>
      <c r="R168" s="4" t="s">
        <v>2313</v>
      </c>
    </row>
    <row r="169">
      <c r="A169" s="4" t="s">
        <v>44</v>
      </c>
      <c r="B169" s="4" t="s">
        <v>44</v>
      </c>
      <c r="C169" s="4">
        <v>168.0</v>
      </c>
      <c r="D169" s="13" t="str">
        <f>HYPERLINK("https://www.linkedin.com/ad-library/detail/1275994594","Open Ad")</f>
        <v>Open Ad</v>
      </c>
      <c r="E169" s="4" t="s">
        <v>91</v>
      </c>
      <c r="F169" s="4" t="s">
        <v>1030</v>
      </c>
      <c r="G169" s="4" t="s">
        <v>2017</v>
      </c>
      <c r="H169" s="4" t="s">
        <v>55</v>
      </c>
      <c r="I169" s="4" t="s">
        <v>985</v>
      </c>
      <c r="J169" s="4" t="s">
        <v>91</v>
      </c>
      <c r="K169" s="13" t="str">
        <f>HYPERLINK("https://media.licdn.com/dms/image/v2/D4E10AQEfzpdvUv3QQA/image-shrink_1280/B4EZ2bVUoFJ4Ac-/0/1776427552750/Open-Role-Onboarding-Consultant-Spanish-speaking-7680-43201png?e=2147483647&amp;v=beta&amp;t=7gdjjJD3U80SCffrAUYYVh_E9ekBa7eBVFazwgNcWHE","Open Creative")</f>
        <v>Open Creative</v>
      </c>
      <c r="L169" s="4" t="s">
        <v>62</v>
      </c>
      <c r="M169" s="4" t="s">
        <v>63</v>
      </c>
      <c r="N169" s="4" t="s">
        <v>2187</v>
      </c>
      <c r="O169" s="2" t="s">
        <v>132</v>
      </c>
      <c r="P169" s="2">
        <v>1.275994594E9</v>
      </c>
      <c r="Q169" s="2" t="s">
        <v>68</v>
      </c>
      <c r="R169" s="4" t="s">
        <v>2320</v>
      </c>
    </row>
    <row r="170">
      <c r="A170" s="4" t="s">
        <v>44</v>
      </c>
      <c r="B170" s="4" t="s">
        <v>44</v>
      </c>
      <c r="C170" s="4">
        <v>169.0</v>
      </c>
      <c r="D170" s="13" t="str">
        <f>HYPERLINK("https://www.linkedin.com/ad-library/detail/1390939156","Open Ad")</f>
        <v>Open Ad</v>
      </c>
      <c r="E170" s="4" t="s">
        <v>91</v>
      </c>
      <c r="F170" s="4" t="s">
        <v>1836</v>
      </c>
      <c r="G170" s="4" t="s">
        <v>2326</v>
      </c>
      <c r="H170" s="4" t="s">
        <v>55</v>
      </c>
      <c r="I170" s="4" t="s">
        <v>985</v>
      </c>
      <c r="J170" s="4" t="s">
        <v>91</v>
      </c>
      <c r="K170" s="13" t="str">
        <f>HYPERLINK("https://media.licdn.com/dms/image/v2/D5610AQED-Bd8ymrvNA/image-shrink_1280/B56Z2XMn8_IAAg-/0/1776358164199/Open-Role-Insights-Analyst-7680-4320png?e=2147483647&amp;v=beta&amp;t=uXh-dbhYaH4PHiaZZPKuom3A0AbdRfnaYCFR-lSqrNA","Open Creative")</f>
        <v>Open Creative</v>
      </c>
      <c r="L170" s="4" t="s">
        <v>62</v>
      </c>
      <c r="M170" s="4" t="s">
        <v>63</v>
      </c>
      <c r="N170" s="4" t="s">
        <v>2335</v>
      </c>
      <c r="O170" s="2" t="s">
        <v>132</v>
      </c>
      <c r="P170" s="2">
        <v>1.390939156E9</v>
      </c>
      <c r="Q170" s="2" t="s">
        <v>68</v>
      </c>
      <c r="R170" s="4" t="s">
        <v>2337</v>
      </c>
    </row>
    <row r="171">
      <c r="A171" s="4" t="s">
        <v>44</v>
      </c>
      <c r="B171" s="4" t="s">
        <v>44</v>
      </c>
      <c r="C171" s="4">
        <v>170.0</v>
      </c>
      <c r="D171" s="13" t="str">
        <f>HYPERLINK("https://www.linkedin.com/ad-library/detail/1391017236","Open Ad")</f>
        <v>Open Ad</v>
      </c>
      <c r="E171" s="4" t="s">
        <v>91</v>
      </c>
      <c r="F171" s="4" t="s">
        <v>2045</v>
      </c>
      <c r="G171" s="4" t="s">
        <v>2046</v>
      </c>
      <c r="H171" s="4" t="s">
        <v>55</v>
      </c>
      <c r="I171" s="4" t="s">
        <v>985</v>
      </c>
      <c r="J171" s="4" t="s">
        <v>91</v>
      </c>
      <c r="K171" s="13" t="str">
        <f>HYPERLINK("https://media.licdn.com/dms/image/v2/D5610AQEZsBbMvTeBGg/image-shrink_1280/B56Z2XJmJsKEAk-/0/1776357369112/Open-Role-Senior-Data-Engineer-2430-4320png?e=2147483647&amp;v=beta&amp;t=5JPnvT3qj8eqeO8Fm36JtjyDSdugeSr0KcyMmNX2Pq4","Open Creative")</f>
        <v>Open Creative</v>
      </c>
      <c r="L171" s="4" t="s">
        <v>62</v>
      </c>
      <c r="M171" s="4" t="s">
        <v>63</v>
      </c>
      <c r="N171" s="4" t="s">
        <v>2345</v>
      </c>
      <c r="O171" s="2" t="s">
        <v>132</v>
      </c>
      <c r="P171" s="2">
        <v>1.391017236E9</v>
      </c>
      <c r="Q171" s="2" t="s">
        <v>68</v>
      </c>
      <c r="R171" s="4" t="s">
        <v>2346</v>
      </c>
    </row>
    <row r="172">
      <c r="A172" s="4" t="s">
        <v>44</v>
      </c>
      <c r="B172" s="4" t="s">
        <v>44</v>
      </c>
      <c r="C172" s="4">
        <v>171.0</v>
      </c>
      <c r="D172" s="13" t="str">
        <f>HYPERLINK("https://www.linkedin.com/ad-library/detail/1244911124","Open Ad")</f>
        <v>Open Ad</v>
      </c>
      <c r="E172" s="4" t="s">
        <v>91</v>
      </c>
      <c r="F172" s="4" t="s">
        <v>1836</v>
      </c>
      <c r="G172" s="4" t="s">
        <v>2361</v>
      </c>
      <c r="H172" s="4" t="s">
        <v>55</v>
      </c>
      <c r="I172" s="4" t="s">
        <v>985</v>
      </c>
      <c r="J172" s="4" t="s">
        <v>91</v>
      </c>
      <c r="K172" s="13" t="str">
        <f>HYPERLINK("https://media.licdn.com/dms/image/v2/D4E10AQEXAmGcIwC7_g/image-shrink_1280/B4EZ1zEDuHGcAc-/0/1775751937626/Open-Role-Senior-Influencer-Relations-Specialist-2430-4320png?e=2147483647&amp;v=beta&amp;t=8z6U2Kkddvs8ovbgb9MbaIXfyRU8wWKU-5eRd9ru9JA","Open Creative")</f>
        <v>Open Creative</v>
      </c>
      <c r="L172" s="4" t="s">
        <v>62</v>
      </c>
      <c r="M172" s="4" t="s">
        <v>63</v>
      </c>
      <c r="N172" s="4" t="s">
        <v>2370</v>
      </c>
      <c r="O172" s="2" t="s">
        <v>132</v>
      </c>
      <c r="P172" s="2">
        <v>1.244911124E9</v>
      </c>
      <c r="Q172" s="2" t="s">
        <v>68</v>
      </c>
      <c r="R172" s="4" t="s">
        <v>2371</v>
      </c>
    </row>
    <row r="173">
      <c r="A173" s="4" t="s">
        <v>44</v>
      </c>
      <c r="B173" s="4" t="s">
        <v>44</v>
      </c>
      <c r="C173" s="4">
        <v>172.0</v>
      </c>
      <c r="D173" s="13" t="str">
        <f>HYPERLINK("https://www.linkedin.com/ad-library/detail/1244011164","Open Ad")</f>
        <v>Open Ad</v>
      </c>
      <c r="E173" s="4" t="s">
        <v>91</v>
      </c>
      <c r="F173" s="4" t="s">
        <v>1836</v>
      </c>
      <c r="G173" s="4" t="s">
        <v>2361</v>
      </c>
      <c r="H173" s="4" t="s">
        <v>55</v>
      </c>
      <c r="I173" s="4" t="s">
        <v>985</v>
      </c>
      <c r="J173" s="4" t="s">
        <v>91</v>
      </c>
      <c r="K173" s="13" t="str">
        <f>HYPERLINK("https://media.licdn.com/dms/image/v2/D4E10AQFwcgwvl-jRHQ/image-shrink_1280/B4EZ1zEDpNIgAc-/0/1775751938087/Open-Role-Senior-Influencer-Relations-Specialist-7680-4320png?e=2147483647&amp;v=beta&amp;t=RaDy8ulRxwtcbDReaBWIa2ykfTE9EBvFAEWRumCoON4","Open Creative")</f>
        <v>Open Creative</v>
      </c>
      <c r="L173" s="4" t="s">
        <v>62</v>
      </c>
      <c r="M173" s="4" t="s">
        <v>63</v>
      </c>
      <c r="N173" s="4" t="s">
        <v>2370</v>
      </c>
      <c r="O173" s="2" t="s">
        <v>132</v>
      </c>
      <c r="P173" s="2">
        <v>1.244011164E9</v>
      </c>
      <c r="Q173" s="2" t="s">
        <v>68</v>
      </c>
      <c r="R173" s="4" t="s">
        <v>2382</v>
      </c>
    </row>
    <row r="174">
      <c r="A174" s="4" t="s">
        <v>44</v>
      </c>
      <c r="B174" s="4" t="s">
        <v>44</v>
      </c>
      <c r="C174" s="4">
        <v>173.0</v>
      </c>
      <c r="D174" s="13" t="str">
        <f>HYPERLINK("https://www.linkedin.com/ad-library/detail/1391017426","Open Ad")</f>
        <v>Open Ad</v>
      </c>
      <c r="E174" s="4" t="s">
        <v>91</v>
      </c>
      <c r="F174" s="4" t="s">
        <v>1836</v>
      </c>
      <c r="G174" s="4" t="s">
        <v>2326</v>
      </c>
      <c r="H174" s="4" t="s">
        <v>55</v>
      </c>
      <c r="I174" s="4" t="s">
        <v>985</v>
      </c>
      <c r="J174" s="4" t="s">
        <v>91</v>
      </c>
      <c r="K174" s="13" t="str">
        <f>HYPERLINK("https://media.licdn.com/dms/image/v2/D5610AQE4AXg3W_u-fA/image-shrink_1280/B56Z2XMn_aHAAc-/0/1776358163059/Open-Role-Insights-Analyst-2430-4320png?e=2147483647&amp;v=beta&amp;t=67KFfQVu5rIxnsC7nzfH3ubHjC8Xmt15AIXVoiUgz08","Open Creative")</f>
        <v>Open Creative</v>
      </c>
      <c r="L174" s="4" t="s">
        <v>62</v>
      </c>
      <c r="M174" s="4" t="s">
        <v>63</v>
      </c>
      <c r="N174" s="4" t="s">
        <v>2335</v>
      </c>
      <c r="O174" s="2" t="s">
        <v>132</v>
      </c>
      <c r="P174" s="2">
        <v>1.391017426E9</v>
      </c>
      <c r="Q174" s="2" t="s">
        <v>68</v>
      </c>
      <c r="R174" s="4" t="s">
        <v>2400</v>
      </c>
    </row>
    <row r="175">
      <c r="A175" s="4" t="s">
        <v>44</v>
      </c>
      <c r="B175" s="4" t="s">
        <v>44</v>
      </c>
      <c r="C175" s="4">
        <v>174.0</v>
      </c>
      <c r="D175" s="13" t="str">
        <f>HYPERLINK("https://www.linkedin.com/ad-library/detail/1246986904","Open Ad")</f>
        <v>Open Ad</v>
      </c>
      <c r="E175" s="4" t="s">
        <v>91</v>
      </c>
      <c r="F175" s="4" t="s">
        <v>1030</v>
      </c>
      <c r="G175" s="4" t="s">
        <v>2017</v>
      </c>
      <c r="H175" s="4" t="s">
        <v>55</v>
      </c>
      <c r="I175" s="4" t="s">
        <v>985</v>
      </c>
      <c r="J175" s="4" t="s">
        <v>91</v>
      </c>
      <c r="K175" s="13" t="str">
        <f>HYPERLINK("https://media.licdn.com/dms/image/v2/D4E10AQFDiC4uQ9QwQg/image-shrink_1280/B4EZ1zL1diGkAg-/0/1775753976620/Open-Role-Onboarding-Consultant-Spanish-speaking-2430-4320png?e=2147483647&amp;v=beta&amp;t=ULbcGhLXw4nWpPis3PJkvY1YW66x-kRTamUT7B-u3nM","Open Creative")</f>
        <v>Open Creative</v>
      </c>
      <c r="L175" s="4" t="s">
        <v>131</v>
      </c>
      <c r="M175" s="4" t="s">
        <v>63</v>
      </c>
      <c r="N175" s="4" t="s">
        <v>132</v>
      </c>
      <c r="O175" s="2" t="s">
        <v>132</v>
      </c>
      <c r="P175" s="2">
        <v>1.246986904E9</v>
      </c>
      <c r="Q175" s="2" t="s">
        <v>68</v>
      </c>
      <c r="R175" s="4" t="s">
        <v>2423</v>
      </c>
    </row>
    <row r="176">
      <c r="A176" s="4" t="s">
        <v>44</v>
      </c>
      <c r="B176" s="4" t="s">
        <v>44</v>
      </c>
      <c r="C176" s="4">
        <v>175.0</v>
      </c>
      <c r="D176" s="13" t="str">
        <f>HYPERLINK("https://www.linkedin.com/ad-library/detail/1244210654","Open Ad")</f>
        <v>Open Ad</v>
      </c>
      <c r="E176" s="4" t="s">
        <v>91</v>
      </c>
      <c r="F176" s="4" t="s">
        <v>2431</v>
      </c>
      <c r="G176" s="4" t="s">
        <v>2432</v>
      </c>
      <c r="H176" s="4" t="s">
        <v>55</v>
      </c>
      <c r="I176" s="4" t="s">
        <v>985</v>
      </c>
      <c r="J176" s="4" t="s">
        <v>91</v>
      </c>
      <c r="K176" s="13" t="str">
        <f>HYPERLINK("https://media.licdn.com/dms/image/v2/D4E10AQF1gpLptasI1w/image-shrink_1280/B4EZ1y7pL2IMAk-/0/1775749731849/Open-Role-Paid-Search-Specialist-2430-4320png?e=2147483647&amp;v=beta&amp;t=LSbizlyk45bx6gUeA4JBtQrFJHl1qXS973Q0hOuU-y4","Open Creative")</f>
        <v>Open Creative</v>
      </c>
      <c r="L176" s="4" t="s">
        <v>62</v>
      </c>
      <c r="M176" s="4" t="s">
        <v>63</v>
      </c>
      <c r="N176" s="4" t="s">
        <v>2370</v>
      </c>
      <c r="O176" s="2" t="s">
        <v>132</v>
      </c>
      <c r="P176" s="2">
        <v>1.244210654E9</v>
      </c>
      <c r="Q176" s="2" t="s">
        <v>68</v>
      </c>
      <c r="R176" s="4" t="s">
        <v>2439</v>
      </c>
    </row>
    <row r="177">
      <c r="A177" s="4" t="s">
        <v>44</v>
      </c>
      <c r="B177" s="4" t="s">
        <v>44</v>
      </c>
      <c r="C177" s="4">
        <v>176.0</v>
      </c>
      <c r="D177" s="13" t="str">
        <f>HYPERLINK("https://www.linkedin.com/ad-library/detail/1233858604","Open Ad")</f>
        <v>Open Ad</v>
      </c>
      <c r="E177" s="4" t="s">
        <v>91</v>
      </c>
      <c r="F177" s="4" t="s">
        <v>2447</v>
      </c>
      <c r="G177" s="4" t="s">
        <v>2448</v>
      </c>
      <c r="H177" s="4" t="s">
        <v>55</v>
      </c>
      <c r="I177" s="4" t="s">
        <v>985</v>
      </c>
      <c r="J177" s="4" t="s">
        <v>91</v>
      </c>
      <c r="K177" s="13" t="str">
        <f>HYPERLINK("https://media.licdn.com/dms/image/v2/D4E10AQEE4CAWPwrg0w/image-shrink_1280/B4EZ0rAUt_I4Ag-/0/1774543000556/Open-Role-Data-Engineer-7680-4320png?e=2147483647&amp;v=beta&amp;t=VmVwtQZewSzYKVPxTxNiBNIaKCnO2NKDN6a-dfdI16A","Open Creative")</f>
        <v>Open Creative</v>
      </c>
      <c r="L177" s="4" t="s">
        <v>62</v>
      </c>
      <c r="M177" s="4" t="s">
        <v>63</v>
      </c>
      <c r="N177" s="4" t="s">
        <v>2453</v>
      </c>
      <c r="O177" s="2" t="s">
        <v>132</v>
      </c>
      <c r="P177" s="2">
        <v>1.233858604E9</v>
      </c>
      <c r="Q177" s="2" t="s">
        <v>68</v>
      </c>
      <c r="R177" s="4" t="s">
        <v>2457</v>
      </c>
    </row>
    <row r="178">
      <c r="A178" s="4" t="s">
        <v>44</v>
      </c>
      <c r="B178" s="4" t="s">
        <v>44</v>
      </c>
      <c r="C178" s="4">
        <v>177.0</v>
      </c>
      <c r="D178" s="13" t="str">
        <f>HYPERLINK("https://www.linkedin.com/ad-library/detail/1246600574","Open Ad")</f>
        <v>Open Ad</v>
      </c>
      <c r="E178" s="4" t="s">
        <v>91</v>
      </c>
      <c r="F178" s="4" t="s">
        <v>1836</v>
      </c>
      <c r="G178" s="4" t="s">
        <v>2463</v>
      </c>
      <c r="H178" s="4" t="s">
        <v>55</v>
      </c>
      <c r="I178" s="4" t="s">
        <v>985</v>
      </c>
      <c r="J178" s="4" t="s">
        <v>91</v>
      </c>
      <c r="K178" s="13" t="str">
        <f>HYPERLINK("https://media.licdn.com/dms/image/v2/D4E10AQFiXcVCNZjbrw/image-shrink_1280/B4EZ1zBmsXH0Ac-/0/1775751294847/Open-Role-ORM-Team-Lead-4320-4320png?e=2147483647&amp;v=beta&amp;t=YX3D1NwxCyVRT5NWk38iau5syle4BzCKkJ6MSW13NeM","Open Creative")</f>
        <v>Open Creative</v>
      </c>
      <c r="L178" s="4" t="s">
        <v>62</v>
      </c>
      <c r="M178" s="4" t="s">
        <v>63</v>
      </c>
      <c r="N178" s="4" t="s">
        <v>2476</v>
      </c>
      <c r="O178" s="2" t="s">
        <v>132</v>
      </c>
      <c r="P178" s="2">
        <v>1.246600574E9</v>
      </c>
      <c r="Q178" s="2" t="s">
        <v>68</v>
      </c>
      <c r="R178" s="4" t="s">
        <v>2477</v>
      </c>
    </row>
    <row r="179">
      <c r="A179" s="4" t="s">
        <v>44</v>
      </c>
      <c r="B179" s="4" t="s">
        <v>44</v>
      </c>
      <c r="C179" s="4">
        <v>178.0</v>
      </c>
      <c r="D179" s="13" t="str">
        <f>HYPERLINK("https://www.linkedin.com/ad-library/detail/1275788034","Open Ad")</f>
        <v>Open Ad</v>
      </c>
      <c r="E179" s="4" t="s">
        <v>91</v>
      </c>
      <c r="F179" s="4" t="s">
        <v>1836</v>
      </c>
      <c r="G179" s="4" t="s">
        <v>2485</v>
      </c>
      <c r="H179" s="4" t="s">
        <v>55</v>
      </c>
      <c r="I179" s="4" t="s">
        <v>2486</v>
      </c>
      <c r="J179" s="4" t="s">
        <v>91</v>
      </c>
      <c r="K179" s="13" t="str">
        <f>HYPERLINK("https://media.licdn.com/dms/image/v2/D4E10AQFoBCOxWfFU2Q/image-shrink_1280/B4EZ2WkCutJkAc-/0/1776347524741/Open-Role-Content-Associate-Enterprise-2430-4320png?e=2147483647&amp;v=beta&amp;t=l50JF8g77qqPHiiiz2SqFgAOT0aFF_B8BVVJuWBc2gU","Open Creative")</f>
        <v>Open Creative</v>
      </c>
      <c r="L179" s="4" t="s">
        <v>62</v>
      </c>
      <c r="M179" s="4" t="s">
        <v>63</v>
      </c>
      <c r="N179" s="4" t="s">
        <v>2335</v>
      </c>
      <c r="O179" s="2" t="s">
        <v>132</v>
      </c>
      <c r="P179" s="2">
        <v>1.275788034E9</v>
      </c>
      <c r="Q179" s="2" t="s">
        <v>68</v>
      </c>
      <c r="R179" s="4" t="s">
        <v>2498</v>
      </c>
    </row>
    <row r="180">
      <c r="A180" s="4" t="s">
        <v>44</v>
      </c>
      <c r="B180" s="4" t="s">
        <v>44</v>
      </c>
      <c r="C180" s="4">
        <v>179.0</v>
      </c>
      <c r="D180" s="13" t="str">
        <f>HYPERLINK("https://www.linkedin.com/ad-library/detail/1244610414","Open Ad")</f>
        <v>Open Ad</v>
      </c>
      <c r="E180" s="4" t="s">
        <v>91</v>
      </c>
      <c r="F180" s="4" t="s">
        <v>1030</v>
      </c>
      <c r="G180" s="4" t="s">
        <v>2503</v>
      </c>
      <c r="H180" s="4" t="s">
        <v>55</v>
      </c>
      <c r="I180" s="4" t="s">
        <v>985</v>
      </c>
      <c r="J180" s="4" t="s">
        <v>91</v>
      </c>
      <c r="K180" s="13" t="str">
        <f>HYPERLINK("https://media.licdn.com/dms/image/v2/D4E10AQH3e4HjYD2-Bg/image-shrink_1280/B4EZ1y_a_hGQAc-/0/1775750722736/Open-Role-Programmatic-Display-Lead-4320-4320png?e=2147483647&amp;v=beta&amp;t=NMfe0bk5zQKN0k8uny7BC4c4Sz0gqtMzSc05-dyOv5Q","Open Creative")</f>
        <v>Open Creative</v>
      </c>
      <c r="L180" s="4" t="s">
        <v>62</v>
      </c>
      <c r="M180" s="4" t="s">
        <v>63</v>
      </c>
      <c r="N180" s="4" t="s">
        <v>2370</v>
      </c>
      <c r="O180" s="2" t="s">
        <v>132</v>
      </c>
      <c r="P180" s="2">
        <v>1.244610414E9</v>
      </c>
      <c r="Q180" s="2" t="s">
        <v>68</v>
      </c>
      <c r="R180" s="4" t="s">
        <v>2526</v>
      </c>
    </row>
    <row r="181">
      <c r="A181" s="4" t="s">
        <v>44</v>
      </c>
      <c r="B181" s="4" t="s">
        <v>44</v>
      </c>
      <c r="C181" s="4">
        <v>180.0</v>
      </c>
      <c r="D181" s="13" t="str">
        <f>HYPERLINK("https://www.linkedin.com/ad-library/detail/1244810434","Open Ad")</f>
        <v>Open Ad</v>
      </c>
      <c r="E181" s="4" t="s">
        <v>91</v>
      </c>
      <c r="F181" s="4" t="s">
        <v>2431</v>
      </c>
      <c r="G181" s="4" t="s">
        <v>2432</v>
      </c>
      <c r="H181" s="4" t="s">
        <v>55</v>
      </c>
      <c r="I181" s="4" t="s">
        <v>985</v>
      </c>
      <c r="J181" s="4" t="s">
        <v>91</v>
      </c>
      <c r="K181" s="13" t="str">
        <f>HYPERLINK("https://media.licdn.com/dms/image/v2/D4E10AQFyRsmghrE3zw/image-shrink_1280/B4EZ1y7pg7IkAo-/0/1775749734093/Open-Role-Paid-Search-Specialist-7680-4320png?e=2147483647&amp;v=beta&amp;t=ceKAjIzyRZwKIJOxjjDBdPr5hSe3T7z1gALxT7d_ewY","Open Creative")</f>
        <v>Open Creative</v>
      </c>
      <c r="L181" s="4" t="s">
        <v>62</v>
      </c>
      <c r="M181" s="4" t="s">
        <v>63</v>
      </c>
      <c r="N181" s="4" t="s">
        <v>2476</v>
      </c>
      <c r="O181" s="2" t="s">
        <v>132</v>
      </c>
      <c r="P181" s="2">
        <v>1.244810434E9</v>
      </c>
      <c r="Q181" s="2" t="s">
        <v>68</v>
      </c>
      <c r="R181" s="4" t="s">
        <v>2540</v>
      </c>
    </row>
    <row r="182">
      <c r="A182" s="4" t="s">
        <v>44</v>
      </c>
      <c r="B182" s="4" t="s">
        <v>44</v>
      </c>
      <c r="C182" s="4">
        <v>181.0</v>
      </c>
      <c r="D182" s="13" t="str">
        <f>HYPERLINK("https://www.linkedin.com/ad-library/detail/1244910904","Open Ad")</f>
        <v>Open Ad</v>
      </c>
      <c r="E182" s="4" t="s">
        <v>91</v>
      </c>
      <c r="F182" s="4" t="s">
        <v>1030</v>
      </c>
      <c r="G182" s="4" t="s">
        <v>2503</v>
      </c>
      <c r="H182" s="4" t="s">
        <v>55</v>
      </c>
      <c r="I182" s="4" t="s">
        <v>985</v>
      </c>
      <c r="J182" s="4" t="s">
        <v>91</v>
      </c>
      <c r="K182" s="13" t="str">
        <f>HYPERLINK("https://media.licdn.com/dms/image/v2/D4E10AQG1RyM38GeUcg/image-shrink_1280/B4EZ1y_bbrGYAc-/0/1775750725101/Open-Role-Programmatic-Display-Lead-7680-4320png?e=2147483647&amp;v=beta&amp;t=mhllZ3Tg3CNDG2StxOiYaGND9alFgIuyBltG78Np83E","Open Creative")</f>
        <v>Open Creative</v>
      </c>
      <c r="L182" s="4" t="s">
        <v>62</v>
      </c>
      <c r="M182" s="4" t="s">
        <v>63</v>
      </c>
      <c r="N182" s="4" t="s">
        <v>2370</v>
      </c>
      <c r="O182" s="2" t="s">
        <v>132</v>
      </c>
      <c r="P182" s="2">
        <v>1.244910904E9</v>
      </c>
      <c r="Q182" s="2" t="s">
        <v>68</v>
      </c>
      <c r="R182" s="4" t="s">
        <v>2557</v>
      </c>
    </row>
    <row r="183">
      <c r="A183" s="4" t="s">
        <v>44</v>
      </c>
      <c r="B183" s="4" t="s">
        <v>44</v>
      </c>
      <c r="C183" s="4">
        <v>182.0</v>
      </c>
      <c r="D183" s="13" t="str">
        <f>HYPERLINK("https://www.linkedin.com/ad-library/detail/1235915934","Open Ad")</f>
        <v>Open Ad</v>
      </c>
      <c r="E183" s="4" t="s">
        <v>91</v>
      </c>
      <c r="F183" s="4" t="s">
        <v>2447</v>
      </c>
      <c r="G183" s="4" t="s">
        <v>2448</v>
      </c>
      <c r="H183" s="4" t="s">
        <v>55</v>
      </c>
      <c r="I183" s="4" t="s">
        <v>985</v>
      </c>
      <c r="J183" s="4" t="s">
        <v>91</v>
      </c>
      <c r="K183" s="13" t="str">
        <f>HYPERLINK("https://media.licdn.com/dms/image/v2/D4E10AQEZeldYdN0uUQ/image-shrink_1280/B4EZ0rAUpyKIAg-/0/1774542999144/Open-Role-Data-Engineer-4320-4320png?e=2147483647&amp;v=beta&amp;t=8FiId01xSf1pMVbaEMN0wWO-BQikthlynPWs3SF3YxA","Open Creative")</f>
        <v>Open Creative</v>
      </c>
      <c r="L183" s="4" t="s">
        <v>62</v>
      </c>
      <c r="M183" s="4" t="s">
        <v>63</v>
      </c>
      <c r="N183" s="4" t="s">
        <v>2572</v>
      </c>
      <c r="O183" s="2" t="s">
        <v>132</v>
      </c>
      <c r="P183" s="2">
        <v>1.235915934E9</v>
      </c>
      <c r="Q183" s="2" t="s">
        <v>68</v>
      </c>
      <c r="R183" s="4" t="s">
        <v>2573</v>
      </c>
    </row>
    <row r="184">
      <c r="A184" s="4" t="s">
        <v>44</v>
      </c>
      <c r="B184" s="4" t="s">
        <v>44</v>
      </c>
      <c r="C184" s="4">
        <v>183.0</v>
      </c>
      <c r="D184" s="13" t="str">
        <f>HYPERLINK("https://www.linkedin.com/ad-library/detail/1390958826","Open Ad")</f>
        <v>Open Ad</v>
      </c>
      <c r="E184" s="4" t="s">
        <v>91</v>
      </c>
      <c r="F184" s="4" t="s">
        <v>1836</v>
      </c>
      <c r="G184" s="4" t="s">
        <v>2326</v>
      </c>
      <c r="H184" s="4" t="s">
        <v>55</v>
      </c>
      <c r="I184" s="4" t="s">
        <v>985</v>
      </c>
      <c r="J184" s="4" t="s">
        <v>91</v>
      </c>
      <c r="K184" s="13" t="str">
        <f>HYPERLINK("https://media.licdn.com/dms/image/v2/D5610AQEyQuNkCRjfNw/image-shrink_1280/B56Z2XMn9AIIAc-/0/1776358163283/Open-Role-Insights-Analyst-4320-4320png?e=2147483647&amp;v=beta&amp;t=S2xZbSqWyoQJXcByXZog4Uq38E0MrwXf2kbv3_iN2MQ","Open Creative")</f>
        <v>Open Creative</v>
      </c>
      <c r="L184" s="4" t="s">
        <v>62</v>
      </c>
      <c r="M184" s="4" t="s">
        <v>63</v>
      </c>
      <c r="N184" s="4" t="s">
        <v>2187</v>
      </c>
      <c r="O184" s="2" t="s">
        <v>132</v>
      </c>
      <c r="P184" s="2">
        <v>1.390958826E9</v>
      </c>
      <c r="Q184" s="2" t="s">
        <v>68</v>
      </c>
      <c r="R184" s="4" t="s">
        <v>2591</v>
      </c>
    </row>
    <row r="185">
      <c r="A185" s="4" t="s">
        <v>44</v>
      </c>
      <c r="B185" s="4" t="s">
        <v>44</v>
      </c>
      <c r="C185" s="4">
        <v>184.0</v>
      </c>
      <c r="D185" s="13" t="str">
        <f>HYPERLINK("https://www.linkedin.com/ad-library/detail/1276387544","Open Ad")</f>
        <v>Open Ad</v>
      </c>
      <c r="E185" s="4" t="s">
        <v>91</v>
      </c>
      <c r="F185" s="4" t="s">
        <v>1836</v>
      </c>
      <c r="G185" s="4" t="s">
        <v>2485</v>
      </c>
      <c r="H185" s="4" t="s">
        <v>55</v>
      </c>
      <c r="I185" s="4" t="s">
        <v>2486</v>
      </c>
      <c r="J185" s="4" t="s">
        <v>91</v>
      </c>
      <c r="K185" s="13" t="str">
        <f>HYPERLINK("https://media.licdn.com/dms/image/v2/D4E10AQHV3wv4XSybfQ/image-shrink_1280/B4EZ2WkCxmJUAg-/0/1776347525563/Open-Role-Content-Associate-Enterprise-7680-4320png?e=2147483647&amp;v=beta&amp;t=03uDa-tYU1tvYw9JRj-0k48RPUHDBa1EGdA-0qyuxOA","Open Creative")</f>
        <v>Open Creative</v>
      </c>
      <c r="L185" s="4" t="s">
        <v>62</v>
      </c>
      <c r="M185" s="4" t="s">
        <v>63</v>
      </c>
      <c r="N185" s="4" t="s">
        <v>2187</v>
      </c>
      <c r="O185" s="2" t="s">
        <v>132</v>
      </c>
      <c r="P185" s="2">
        <v>1.276387544E9</v>
      </c>
      <c r="Q185" s="2" t="s">
        <v>68</v>
      </c>
      <c r="R185" s="4" t="s">
        <v>2602</v>
      </c>
    </row>
    <row r="186">
      <c r="A186" s="4" t="s">
        <v>44</v>
      </c>
      <c r="B186" s="4" t="s">
        <v>44</v>
      </c>
      <c r="C186" s="4">
        <v>185.0</v>
      </c>
      <c r="D186" s="13" t="str">
        <f>HYPERLINK("https://www.linkedin.com/ad-library/detail/1390958626","Open Ad")</f>
        <v>Open Ad</v>
      </c>
      <c r="E186" s="4" t="s">
        <v>91</v>
      </c>
      <c r="F186" s="4" t="s">
        <v>2045</v>
      </c>
      <c r="G186" s="4" t="s">
        <v>2046</v>
      </c>
      <c r="H186" s="4" t="s">
        <v>55</v>
      </c>
      <c r="I186" s="4" t="s">
        <v>985</v>
      </c>
      <c r="J186" s="4" t="s">
        <v>91</v>
      </c>
      <c r="K186" s="13" t="str">
        <f>HYPERLINK("https://media.licdn.com/dms/image/v2/D5610AQH-ErXKasMf1w/image-shrink_1280/B56Z2XJmQ.HEAc-/0/1776357369791/Open-Role-Senior-Data-Engineer-4320-4320png?e=2147483647&amp;v=beta&amp;t=rwLQBIeD6qRPIj2BcQTe_x4vLrJe2wqXjX4R2Xy3sRQ","Open Creative")</f>
        <v>Open Creative</v>
      </c>
      <c r="L186" s="4" t="s">
        <v>62</v>
      </c>
      <c r="M186" s="4" t="s">
        <v>63</v>
      </c>
      <c r="N186" s="4" t="s">
        <v>2345</v>
      </c>
      <c r="O186" s="2" t="s">
        <v>132</v>
      </c>
      <c r="P186" s="2">
        <v>1.390958626E9</v>
      </c>
      <c r="Q186" s="2" t="s">
        <v>68</v>
      </c>
      <c r="R186" s="4" t="s">
        <v>2613</v>
      </c>
    </row>
    <row r="187">
      <c r="A187" s="4" t="s">
        <v>44</v>
      </c>
      <c r="B187" s="4" t="s">
        <v>44</v>
      </c>
      <c r="C187" s="4">
        <v>186.0</v>
      </c>
      <c r="D187" s="13" t="str">
        <f>HYPERLINK("https://www.linkedin.com/ad-library/detail/1390958636","Open Ad")</f>
        <v>Open Ad</v>
      </c>
      <c r="E187" s="4" t="s">
        <v>91</v>
      </c>
      <c r="F187" s="4" t="s">
        <v>2045</v>
      </c>
      <c r="G187" s="4" t="s">
        <v>2046</v>
      </c>
      <c r="H187" s="4" t="s">
        <v>55</v>
      </c>
      <c r="I187" s="4" t="s">
        <v>985</v>
      </c>
      <c r="J187" s="4" t="s">
        <v>91</v>
      </c>
      <c r="K187" s="13" t="str">
        <f>HYPERLINK("https://media.licdn.com/dms/image/v2/D5610AQF_6n9vu2siYQ/image-shrink_1280/B56Z2XJmV7HEAg-/0/1776357370628/Open-Role-Senior-Data-Engineer-7680-4320png?e=2147483647&amp;v=beta&amp;t=7sZ3-4oJYD7iBQVzd7wlCjxvd0MyKp5f4J2AjPOPMhY","Open Creative")</f>
        <v>Open Creative</v>
      </c>
      <c r="L187" s="4" t="s">
        <v>62</v>
      </c>
      <c r="M187" s="4" t="s">
        <v>63</v>
      </c>
      <c r="N187" s="4" t="s">
        <v>2345</v>
      </c>
      <c r="O187" s="2" t="s">
        <v>132</v>
      </c>
      <c r="P187" s="2">
        <v>1.390958636E9</v>
      </c>
      <c r="Q187" s="2" t="s">
        <v>68</v>
      </c>
      <c r="R187" s="4" t="s">
        <v>2628</v>
      </c>
    </row>
    <row r="188">
      <c r="A188" s="4" t="s">
        <v>44</v>
      </c>
      <c r="B188" s="4" t="s">
        <v>44</v>
      </c>
      <c r="C188" s="4">
        <v>187.0</v>
      </c>
      <c r="D188" s="13" t="str">
        <f>HYPERLINK("https://www.linkedin.com/ad-library/detail/1275987624","Open Ad")</f>
        <v>Open Ad</v>
      </c>
      <c r="E188" s="4" t="s">
        <v>91</v>
      </c>
      <c r="F188" s="4" t="s">
        <v>1836</v>
      </c>
      <c r="G188" s="4" t="s">
        <v>2485</v>
      </c>
      <c r="H188" s="4" t="s">
        <v>55</v>
      </c>
      <c r="I188" s="4" t="s">
        <v>2486</v>
      </c>
      <c r="J188" s="4" t="s">
        <v>91</v>
      </c>
      <c r="K188" s="13" t="str">
        <f>HYPERLINK("https://media.licdn.com/dms/image/v2/D4E10AQEGSpC0iSbOhQ/image-shrink_1280/B4EZ2WkCv9IwAc-/0/1776347525058/Open-Role-Content-Associate-Enterprise-4320-4320png?e=2147483647&amp;v=beta&amp;t=erk6NqnqEdFZ9kiCmH_7AACuQpCdrp_vwHsH8v0bk2g","Open Creative")</f>
        <v>Open Creative</v>
      </c>
      <c r="L188" s="4" t="s">
        <v>62</v>
      </c>
      <c r="M188" s="4" t="s">
        <v>63</v>
      </c>
      <c r="N188" s="4" t="s">
        <v>2335</v>
      </c>
      <c r="O188" s="2" t="s">
        <v>132</v>
      </c>
      <c r="P188" s="2">
        <v>1.275987624E9</v>
      </c>
      <c r="Q188" s="2" t="s">
        <v>68</v>
      </c>
      <c r="R188" s="4" t="s">
        <v>2640</v>
      </c>
    </row>
    <row r="189">
      <c r="A189" s="4" t="s">
        <v>44</v>
      </c>
      <c r="B189" s="4" t="s">
        <v>44</v>
      </c>
      <c r="C189" s="4">
        <v>188.0</v>
      </c>
      <c r="D189" s="13" t="str">
        <f>HYPERLINK("https://www.linkedin.com/ad-library/detail/1246986524","Open Ad")</f>
        <v>Open Ad</v>
      </c>
      <c r="E189" s="4" t="s">
        <v>91</v>
      </c>
      <c r="F189" s="4" t="s">
        <v>1836</v>
      </c>
      <c r="G189" s="4" t="s">
        <v>2463</v>
      </c>
      <c r="H189" s="4" t="s">
        <v>55</v>
      </c>
      <c r="I189" s="4" t="s">
        <v>985</v>
      </c>
      <c r="J189" s="4" t="s">
        <v>91</v>
      </c>
      <c r="K189" s="13" t="str">
        <f>HYPERLINK("https://media.licdn.com/dms/image/v2/D4E10AQHKd4Q-Gc85lA/image-shrink_1280/B4EZ1zBmmqHYAg-/0/1775751293983/Open-Role-ORM-Team-Lead-2430-4320png?e=2147483647&amp;v=beta&amp;t=4GqAaF37AgO67fLXWsJCiB2pWwWWzh97bWVfqp469C0","Open Creative")</f>
        <v>Open Creative</v>
      </c>
      <c r="L189" s="4" t="s">
        <v>62</v>
      </c>
      <c r="M189" s="4" t="s">
        <v>63</v>
      </c>
      <c r="N189" s="4" t="s">
        <v>2370</v>
      </c>
      <c r="O189" s="2" t="s">
        <v>132</v>
      </c>
      <c r="P189" s="2">
        <v>1.246986524E9</v>
      </c>
      <c r="Q189" s="2" t="s">
        <v>68</v>
      </c>
      <c r="R189" s="4" t="s">
        <v>2651</v>
      </c>
    </row>
    <row r="190">
      <c r="A190" s="4" t="s">
        <v>44</v>
      </c>
      <c r="B190" s="4" t="s">
        <v>44</v>
      </c>
      <c r="C190" s="4">
        <v>189.0</v>
      </c>
      <c r="D190" s="13" t="str">
        <f>HYPERLINK("https://www.linkedin.com/ad-library/detail/1246309174","Open Ad")</f>
        <v>Open Ad</v>
      </c>
      <c r="E190" s="4" t="s">
        <v>91</v>
      </c>
      <c r="F190" s="4" t="s">
        <v>1030</v>
      </c>
      <c r="G190" s="4" t="s">
        <v>2503</v>
      </c>
      <c r="H190" s="4" t="s">
        <v>55</v>
      </c>
      <c r="I190" s="4" t="s">
        <v>985</v>
      </c>
      <c r="J190" s="4" t="s">
        <v>91</v>
      </c>
      <c r="K190" s="13" t="str">
        <f>HYPERLINK("https://media.licdn.com/dms/image/v2/D4E10AQH7crf-xDtUrQ/image-shrink_1280/B4EZ1y_bBMIwAc-/0/1775750722426/Open-Role-Programmatic-Display-Lead-2430-4320png?e=2147483647&amp;v=beta&amp;t=A7oxVLZf5WZwJc8cm9pWwiMUKRZ8J5Ion-4QTArzK-Y","Open Creative")</f>
        <v>Open Creative</v>
      </c>
      <c r="L190" s="4" t="s">
        <v>62</v>
      </c>
      <c r="M190" s="4" t="s">
        <v>63</v>
      </c>
      <c r="N190" s="4" t="s">
        <v>2370</v>
      </c>
      <c r="O190" s="2" t="s">
        <v>132</v>
      </c>
      <c r="P190" s="2">
        <v>1.246309174E9</v>
      </c>
      <c r="Q190" s="2" t="s">
        <v>68</v>
      </c>
      <c r="R190" s="4" t="s">
        <v>2663</v>
      </c>
    </row>
    <row r="191">
      <c r="A191" s="4" t="s">
        <v>44</v>
      </c>
      <c r="B191" s="4" t="s">
        <v>44</v>
      </c>
      <c r="C191" s="4">
        <v>190.0</v>
      </c>
      <c r="D191" s="13" t="str">
        <f>HYPERLINK("https://www.linkedin.com/ad-library/detail/1244210924","Open Ad")</f>
        <v>Open Ad</v>
      </c>
      <c r="E191" s="4" t="s">
        <v>91</v>
      </c>
      <c r="F191" s="4" t="s">
        <v>1836</v>
      </c>
      <c r="G191" s="4" t="s">
        <v>2361</v>
      </c>
      <c r="H191" s="4" t="s">
        <v>55</v>
      </c>
      <c r="I191" s="4" t="s">
        <v>985</v>
      </c>
      <c r="J191" s="4" t="s">
        <v>91</v>
      </c>
      <c r="K191" s="13" t="str">
        <f>HYPERLINK("https://media.licdn.com/dms/image/v2/D4E10AQF2RSigEvW_kQ/image-shrink_1280/B4EZ1zEDyCJkAk-/0/1775751938177/Open-Role-Senior-Influencer-Relations-Specialist-4320-4320png?e=2147483647&amp;v=beta&amp;t=h9onFq70Yu4CpI4tHnjaOY3eBVz755MzqdDYymyz9_8","Open Creative")</f>
        <v>Open Creative</v>
      </c>
      <c r="L191" s="4" t="s">
        <v>62</v>
      </c>
      <c r="M191" s="4" t="s">
        <v>63</v>
      </c>
      <c r="N191" s="4" t="s">
        <v>2370</v>
      </c>
      <c r="O191" s="2" t="s">
        <v>132</v>
      </c>
      <c r="P191" s="2">
        <v>1.244210924E9</v>
      </c>
      <c r="Q191" s="2" t="s">
        <v>68</v>
      </c>
      <c r="R191" s="4" t="s">
        <v>2677</v>
      </c>
    </row>
    <row r="192">
      <c r="A192" s="4" t="s">
        <v>44</v>
      </c>
      <c r="B192" s="4" t="s">
        <v>44</v>
      </c>
      <c r="C192" s="4">
        <v>191.0</v>
      </c>
      <c r="D192" s="13" t="str">
        <f>HYPERLINK("https://www.linkedin.com/ad-library/detail/1246011334","Open Ad")</f>
        <v>Open Ad</v>
      </c>
      <c r="E192" s="4" t="s">
        <v>91</v>
      </c>
      <c r="F192" s="4" t="s">
        <v>1836</v>
      </c>
      <c r="G192" s="4" t="s">
        <v>2463</v>
      </c>
      <c r="H192" s="4" t="s">
        <v>55</v>
      </c>
      <c r="I192" s="4" t="s">
        <v>985</v>
      </c>
      <c r="J192" s="4" t="s">
        <v>91</v>
      </c>
      <c r="K192" s="13" t="str">
        <f>HYPERLINK("https://media.licdn.com/dms/image/v2/D4E10AQGspgACwu0ABA/image-shrink_1280/B4EZ1zBm7uKEAk-/0/1775751296519/Open-Role-ORM-Team-Lead-7680-4320png?e=2147483647&amp;v=beta&amp;t=GluPkzgnUU1Srb6ECkrELFe5B4bWd1EcNswi7R5kHEg","Open Creative")</f>
        <v>Open Creative</v>
      </c>
      <c r="L192" s="4" t="s">
        <v>62</v>
      </c>
      <c r="M192" s="4" t="s">
        <v>63</v>
      </c>
      <c r="N192" s="4" t="s">
        <v>2370</v>
      </c>
      <c r="O192" s="2" t="s">
        <v>132</v>
      </c>
      <c r="P192" s="2">
        <v>1.246011334E9</v>
      </c>
      <c r="Q192" s="2" t="s">
        <v>68</v>
      </c>
      <c r="R192" s="4" t="s">
        <v>2688</v>
      </c>
    </row>
    <row r="193">
      <c r="A193" s="4" t="s">
        <v>44</v>
      </c>
      <c r="B193" s="4" t="s">
        <v>44</v>
      </c>
      <c r="C193" s="4">
        <v>192.0</v>
      </c>
      <c r="D193" s="13" t="str">
        <f>HYPERLINK("https://www.linkedin.com/ad-library/detail/1246407424","Open Ad")</f>
        <v>Open Ad</v>
      </c>
      <c r="E193" s="4" t="s">
        <v>91</v>
      </c>
      <c r="F193" s="4" t="s">
        <v>2431</v>
      </c>
      <c r="G193" s="4" t="s">
        <v>2432</v>
      </c>
      <c r="H193" s="4" t="s">
        <v>55</v>
      </c>
      <c r="I193" s="4" t="s">
        <v>985</v>
      </c>
      <c r="J193" s="4" t="s">
        <v>91</v>
      </c>
      <c r="K193" s="13" t="str">
        <f>HYPERLINK("https://media.licdn.com/dms/image/v2/D4E10AQF2cGY8lW6I8A/image-shrink_1280/B4EZ1y7paqJcAc-/0/1775749733025/Open-Role-Paid-Search-Specialist-4320-4320png?e=2147483647&amp;v=beta&amp;t=kyCtNwjTzStFQzWdcklYPmul9bRpIGQ6fy7ZHct4aOA","Open Creative")</f>
        <v>Open Creative</v>
      </c>
      <c r="L193" s="4" t="s">
        <v>62</v>
      </c>
      <c r="M193" s="4" t="s">
        <v>63</v>
      </c>
      <c r="N193" s="4" t="s">
        <v>2370</v>
      </c>
      <c r="O193" s="2" t="s">
        <v>132</v>
      </c>
      <c r="P193" s="2">
        <v>1.246407424E9</v>
      </c>
      <c r="Q193" s="2" t="s">
        <v>68</v>
      </c>
      <c r="R193" s="4" t="s">
        <v>2705</v>
      </c>
    </row>
    <row r="194">
      <c r="A194" s="4" t="s">
        <v>44</v>
      </c>
      <c r="B194" s="4" t="s">
        <v>44</v>
      </c>
      <c r="C194" s="4">
        <v>193.0</v>
      </c>
      <c r="D194" s="13" t="str">
        <f>HYPERLINK("https://www.linkedin.com/ad-library/detail/1233858414","Open Ad")</f>
        <v>Open Ad</v>
      </c>
      <c r="E194" s="4" t="s">
        <v>91</v>
      </c>
      <c r="F194" s="4" t="s">
        <v>2045</v>
      </c>
      <c r="G194" s="4" t="s">
        <v>2712</v>
      </c>
      <c r="H194" s="4" t="s">
        <v>55</v>
      </c>
      <c r="I194" s="4" t="s">
        <v>985</v>
      </c>
      <c r="J194" s="4" t="s">
        <v>91</v>
      </c>
      <c r="K194" s="13" t="str">
        <f>HYPERLINK("https://media.licdn.com/dms/image/v2/D4E10AQHw5FT50R-bqA/image-shrink_1280/B4EZ0q7.ogI4Ag-/0/1774541860226/Open-Role-ORM-Team-Lead-2430-4320png?e=2147483647&amp;v=beta&amp;t=5KLOuOAHHZyqDul7RmnIaoxo6Rx0QQT7lEobwxk60Os","Open Creative")</f>
        <v>Open Creative</v>
      </c>
      <c r="L194" s="4" t="s">
        <v>62</v>
      </c>
      <c r="M194" s="4" t="s">
        <v>63</v>
      </c>
      <c r="N194" s="4" t="s">
        <v>2572</v>
      </c>
      <c r="O194" s="2" t="s">
        <v>132</v>
      </c>
      <c r="P194" s="2">
        <v>1.233858414E9</v>
      </c>
      <c r="Q194" s="2" t="s">
        <v>68</v>
      </c>
      <c r="R194" s="4" t="s">
        <v>2721</v>
      </c>
    </row>
    <row r="195">
      <c r="A195" s="4" t="s">
        <v>44</v>
      </c>
      <c r="B195" s="4" t="s">
        <v>44</v>
      </c>
      <c r="C195" s="4">
        <v>194.0</v>
      </c>
      <c r="D195" s="13" t="str">
        <f>HYPERLINK("https://www.linkedin.com/ad-library/detail/1233664184","Open Ad")</f>
        <v>Open Ad</v>
      </c>
      <c r="E195" s="4" t="s">
        <v>91</v>
      </c>
      <c r="F195" s="4" t="s">
        <v>1158</v>
      </c>
      <c r="G195" s="4" t="s">
        <v>2733</v>
      </c>
      <c r="H195" s="4" t="s">
        <v>55</v>
      </c>
      <c r="I195" s="4" t="s">
        <v>1377</v>
      </c>
      <c r="J195" s="4" t="s">
        <v>91</v>
      </c>
      <c r="K195" s="13" t="str">
        <f>HYPERLINK("https://media.licdn.com/dms/image/v2/D4E10AQFs2_lbyFr8uw/image-shrink_1280/B4EZ0qjN0rI8Ac-/0/1774535369470/Open-Role-VP-of-Product-Marketing-7680-4320png?e=2147483647&amp;v=beta&amp;t=-KOPJwmmpe4rWyMYgwzDrx7T71ZfPpZVCc1Un2Wj8LE","Open Creative")</f>
        <v>Open Creative</v>
      </c>
      <c r="L195" s="4" t="s">
        <v>62</v>
      </c>
      <c r="M195" s="4" t="s">
        <v>63</v>
      </c>
      <c r="N195" s="4" t="s">
        <v>2572</v>
      </c>
      <c r="O195" s="2" t="s">
        <v>132</v>
      </c>
      <c r="P195" s="2">
        <v>1.233664184E9</v>
      </c>
      <c r="Q195" s="2" t="s">
        <v>68</v>
      </c>
      <c r="R195" s="4" t="s">
        <v>2744</v>
      </c>
    </row>
    <row r="196">
      <c r="A196" s="4" t="s">
        <v>44</v>
      </c>
      <c r="B196" s="4" t="s">
        <v>44</v>
      </c>
      <c r="C196" s="4">
        <v>195.0</v>
      </c>
      <c r="D196" s="13" t="str">
        <f>HYPERLINK("https://www.linkedin.com/ad-library/detail/1234598494","Open Ad")</f>
        <v>Open Ad</v>
      </c>
      <c r="E196" s="4" t="s">
        <v>91</v>
      </c>
      <c r="F196" s="4" t="s">
        <v>2431</v>
      </c>
      <c r="G196" s="4" t="s">
        <v>2748</v>
      </c>
      <c r="H196" s="4" t="s">
        <v>55</v>
      </c>
      <c r="I196" s="4" t="s">
        <v>985</v>
      </c>
      <c r="J196" s="4" t="s">
        <v>91</v>
      </c>
      <c r="K196" s="13" t="str">
        <f>HYPERLINK("https://media.licdn.com/dms/image/v2/D4E10AQHg40cSUlDgDA/image-shrink_1280/B4EZ0lQ6eUKIAc-/0/1774446685016/Open-Role-Senior-Penetration-Tester-4320-43202png?e=2147483647&amp;v=beta&amp;t=0ByVSyfvf6UZ9CYEGNHhNH_sxZ7Fm6VF3fCmEZtkIWc","Open Creative")</f>
        <v>Open Creative</v>
      </c>
      <c r="L196" s="4" t="s">
        <v>62</v>
      </c>
      <c r="M196" s="4" t="s">
        <v>63</v>
      </c>
      <c r="N196" s="4" t="s">
        <v>2757</v>
      </c>
      <c r="O196" s="2" t="s">
        <v>132</v>
      </c>
      <c r="P196" s="2">
        <v>1.234598494E9</v>
      </c>
      <c r="Q196" s="2" t="s">
        <v>68</v>
      </c>
      <c r="R196" s="4" t="s">
        <v>2760</v>
      </c>
    </row>
    <row r="197">
      <c r="A197" s="4" t="s">
        <v>44</v>
      </c>
      <c r="B197" s="4" t="s">
        <v>44</v>
      </c>
      <c r="C197" s="4">
        <v>196.0</v>
      </c>
      <c r="D197" s="13" t="str">
        <f>HYPERLINK("https://www.linkedin.com/ad-library/detail/1233807974","Open Ad")</f>
        <v>Open Ad</v>
      </c>
      <c r="E197" s="4" t="s">
        <v>91</v>
      </c>
      <c r="F197" s="4" t="s">
        <v>1205</v>
      </c>
      <c r="G197" s="4" t="s">
        <v>2766</v>
      </c>
      <c r="H197" s="4" t="s">
        <v>55</v>
      </c>
      <c r="I197" s="4" t="s">
        <v>2767</v>
      </c>
      <c r="J197" s="4" t="s">
        <v>91</v>
      </c>
      <c r="K197" s="13" t="str">
        <f>HYPERLINK("https://media.licdn.com/dms/image/v2/D4E10AQGrNj5AOHYYJQ/image-shrink_1280/B4EZ0LTpFmGwAc-/0/1774011193378/Open-Role-Enterprise-Security-Engineer-7680-4320png?e=2147483647&amp;v=beta&amp;t=cZZ4TP9nkYcsGndLQVZWOaSSWI5pIbP9FuiSfpGA51Q","Open Creative")</f>
        <v>Open Creative</v>
      </c>
      <c r="L197" s="4" t="s">
        <v>62</v>
      </c>
      <c r="M197" s="4" t="s">
        <v>63</v>
      </c>
      <c r="N197" s="4" t="s">
        <v>2757</v>
      </c>
      <c r="O197" s="2" t="s">
        <v>132</v>
      </c>
      <c r="P197" s="2">
        <v>1.233807974E9</v>
      </c>
      <c r="Q197" s="2" t="s">
        <v>68</v>
      </c>
      <c r="R197" s="4" t="s">
        <v>2775</v>
      </c>
    </row>
    <row r="198">
      <c r="A198" s="4" t="s">
        <v>44</v>
      </c>
      <c r="B198" s="4" t="s">
        <v>44</v>
      </c>
      <c r="C198" s="4">
        <v>197.0</v>
      </c>
      <c r="D198" s="13" t="str">
        <f>HYPERLINK("https://www.linkedin.com/ad-library/detail/1233216924","Open Ad")</f>
        <v>Open Ad</v>
      </c>
      <c r="E198" s="4" t="s">
        <v>91</v>
      </c>
      <c r="F198" s="4" t="s">
        <v>2779</v>
      </c>
      <c r="G198" s="4" t="s">
        <v>2780</v>
      </c>
      <c r="H198" s="4" t="s">
        <v>55</v>
      </c>
      <c r="I198" s="4" t="s">
        <v>985</v>
      </c>
      <c r="J198" s="4" t="s">
        <v>91</v>
      </c>
      <c r="K198" s="13" t="str">
        <f>HYPERLINK("https://media.licdn.com/dms/image/v2/D4E10AQGA571xLTLkVg/image-shrink_1280/B4EZ0LjUFTIUAg-/0/1774015301519/Open-Role-Senior-Data-Engineer-7680-4320png?e=2147483647&amp;v=beta&amp;t=FJ-gmsMz16VCP-gZfx4hSKVZQ6PN6-DFoQ4NOIoz3Og","Open Creative")</f>
        <v>Open Creative</v>
      </c>
      <c r="L198" s="4" t="s">
        <v>62</v>
      </c>
      <c r="M198" s="4" t="s">
        <v>63</v>
      </c>
      <c r="N198" s="4" t="s">
        <v>2757</v>
      </c>
      <c r="O198" s="2" t="s">
        <v>132</v>
      </c>
      <c r="P198" s="2">
        <v>1.233216924E9</v>
      </c>
      <c r="Q198" s="2" t="s">
        <v>68</v>
      </c>
      <c r="R198" s="4" t="s">
        <v>2791</v>
      </c>
    </row>
    <row r="199">
      <c r="A199" s="4" t="s">
        <v>44</v>
      </c>
      <c r="B199" s="4" t="s">
        <v>44</v>
      </c>
      <c r="C199" s="4">
        <v>198.0</v>
      </c>
      <c r="D199" s="13" t="str">
        <f>HYPERLINK("https://www.linkedin.com/ad-library/detail/1233463704","Open Ad")</f>
        <v>Open Ad</v>
      </c>
      <c r="E199" s="4" t="s">
        <v>91</v>
      </c>
      <c r="F199" s="4" t="s">
        <v>1158</v>
      </c>
      <c r="G199" s="4" t="s">
        <v>2733</v>
      </c>
      <c r="H199" s="4" t="s">
        <v>55</v>
      </c>
      <c r="I199" s="4" t="s">
        <v>1377</v>
      </c>
      <c r="J199" s="4" t="s">
        <v>91</v>
      </c>
      <c r="K199" s="13" t="str">
        <f>HYPERLINK("https://media.licdn.com/dms/image/v2/D4E10AQEvOyPftFLl7A/image-shrink_1280/B4EZ0qjNy0KIAc-/0/1774535368957/Open-Role-VP-of-Product-Marketing-4320-4320png?e=2147483647&amp;v=beta&amp;t=P6aGVEudXvKS3zn-TZBxgnXSfQKTnoonaMK8AotCkxc","Open Creative")</f>
        <v>Open Creative</v>
      </c>
      <c r="L199" s="4" t="s">
        <v>62</v>
      </c>
      <c r="M199" s="4" t="s">
        <v>63</v>
      </c>
      <c r="N199" s="4" t="s">
        <v>2799</v>
      </c>
      <c r="O199" s="2" t="s">
        <v>132</v>
      </c>
      <c r="P199" s="2">
        <v>1.233463704E9</v>
      </c>
      <c r="Q199" s="2" t="s">
        <v>68</v>
      </c>
      <c r="R199" s="4" t="s">
        <v>2800</v>
      </c>
    </row>
    <row r="200">
      <c r="A200" s="4" t="s">
        <v>44</v>
      </c>
      <c r="B200" s="4" t="s">
        <v>44</v>
      </c>
      <c r="C200" s="4">
        <v>199.0</v>
      </c>
      <c r="D200" s="13" t="str">
        <f>HYPERLINK("https://www.linkedin.com/ad-library/detail/1234105334","Open Ad")</f>
        <v>Open Ad</v>
      </c>
      <c r="E200" s="4" t="s">
        <v>91</v>
      </c>
      <c r="F200" s="4" t="s">
        <v>2431</v>
      </c>
      <c r="G200" s="4" t="s">
        <v>2748</v>
      </c>
      <c r="H200" s="4" t="s">
        <v>55</v>
      </c>
      <c r="I200" s="4" t="s">
        <v>985</v>
      </c>
      <c r="J200" s="4" t="s">
        <v>91</v>
      </c>
      <c r="K200" s="13" t="str">
        <f>HYPERLINK("https://media.licdn.com/dms/image/v2/D4E10AQGIB6Lk__23fA/image-shrink_1280/B4EZ0lRjepHQAg-/0/1774446852817/Open-Role-Senior-Penetration-Tester-2430-43202png?e=2147483647&amp;v=beta&amp;t=A4IF41SuOUi_kyKcxefs0VcDaErFCg4IrHP1bj7FAc0","Open Creative")</f>
        <v>Open Creative</v>
      </c>
      <c r="L200" s="4" t="s">
        <v>62</v>
      </c>
      <c r="M200" s="4" t="s">
        <v>63</v>
      </c>
      <c r="N200" s="4" t="s">
        <v>2757</v>
      </c>
      <c r="O200" s="2" t="s">
        <v>132</v>
      </c>
      <c r="P200" s="2">
        <v>1.234105334E9</v>
      </c>
      <c r="Q200" s="2" t="s">
        <v>68</v>
      </c>
      <c r="R200" s="4" t="s">
        <v>2813</v>
      </c>
    </row>
    <row r="201">
      <c r="A201" s="4" t="s">
        <v>44</v>
      </c>
      <c r="B201" s="4" t="s">
        <v>44</v>
      </c>
      <c r="C201" s="4">
        <v>200.0</v>
      </c>
      <c r="D201" s="13" t="str">
        <f>HYPERLINK("https://www.linkedin.com/ad-library/detail/1233168804","Open Ad")</f>
        <v>Open Ad</v>
      </c>
      <c r="E201" s="4" t="s">
        <v>91</v>
      </c>
      <c r="F201" s="4" t="s">
        <v>2045</v>
      </c>
      <c r="G201" s="4" t="s">
        <v>2712</v>
      </c>
      <c r="H201" s="4" t="s">
        <v>55</v>
      </c>
      <c r="I201" s="4" t="s">
        <v>985</v>
      </c>
      <c r="J201" s="4" t="s">
        <v>91</v>
      </c>
      <c r="K201" s="13" t="str">
        <f>HYPERLINK("https://media.licdn.com/dms/image/v2/D4E10AQGPu0f-WS47RQ/image-shrink_1280/B4EZ0q77E7IkAg-/0/1774541846168/Open-Role-ORM-Team-Lead-7680-4320png?e=2147483647&amp;v=beta&amp;t=1dlB1F-eYNfNBp2TflsYBBFjTPYX6u9iPIGHT-K00sE","Open Creative")</f>
        <v>Open Creative</v>
      </c>
      <c r="L201" s="4" t="s">
        <v>62</v>
      </c>
      <c r="M201" s="4" t="s">
        <v>63</v>
      </c>
      <c r="N201" s="4" t="s">
        <v>2828</v>
      </c>
      <c r="O201" s="2" t="s">
        <v>132</v>
      </c>
      <c r="P201" s="2">
        <v>1.233168804E9</v>
      </c>
      <c r="Q201" s="2" t="s">
        <v>68</v>
      </c>
      <c r="R201" s="4" t="s">
        <v>2830</v>
      </c>
    </row>
    <row r="202">
      <c r="A202" s="4" t="s">
        <v>44</v>
      </c>
      <c r="B202" s="4" t="s">
        <v>44</v>
      </c>
      <c r="C202" s="4">
        <v>201.0</v>
      </c>
      <c r="D202" s="13" t="str">
        <f>HYPERLINK("https://www.linkedin.com/ad-library/detail/1233665434","Open Ad")</f>
        <v>Open Ad</v>
      </c>
      <c r="E202" s="4" t="s">
        <v>91</v>
      </c>
      <c r="F202" s="4" t="s">
        <v>1030</v>
      </c>
      <c r="G202" s="4" t="s">
        <v>2837</v>
      </c>
      <c r="H202" s="4" t="s">
        <v>55</v>
      </c>
      <c r="I202" s="4" t="s">
        <v>985</v>
      </c>
      <c r="J202" s="4" t="s">
        <v>91</v>
      </c>
      <c r="K202" s="13" t="str">
        <f>HYPERLINK("https://media.licdn.com/dms/image/v2/D4E10AQHWwR0Cg-ae7g/image-shrink_1280/B4EZ0q2sFHHQAc-/0/1774540473719/Open-Role-HR-Analyst-4320-4320png?e=2147483647&amp;v=beta&amp;t=kkYE2NKw2m3H5ZZHidwmd3NKORv534-r0RQ2xO4RTcM","Open Creative")</f>
        <v>Open Creative</v>
      </c>
      <c r="L202" s="4" t="s">
        <v>131</v>
      </c>
      <c r="M202" s="4" t="s">
        <v>63</v>
      </c>
      <c r="N202" s="4" t="s">
        <v>132</v>
      </c>
      <c r="O202" s="2" t="s">
        <v>132</v>
      </c>
      <c r="P202" s="2">
        <v>1.233665434E9</v>
      </c>
      <c r="Q202" s="2" t="s">
        <v>68</v>
      </c>
      <c r="R202" s="4" t="s">
        <v>2843</v>
      </c>
    </row>
    <row r="203">
      <c r="A203" s="4" t="s">
        <v>44</v>
      </c>
      <c r="B203" s="4" t="s">
        <v>44</v>
      </c>
      <c r="C203" s="4">
        <v>202.0</v>
      </c>
      <c r="D203" s="13" t="str">
        <f>HYPERLINK("https://www.linkedin.com/ad-library/detail/1234894704","Open Ad")</f>
        <v>Open Ad</v>
      </c>
      <c r="E203" s="4" t="s">
        <v>91</v>
      </c>
      <c r="F203" s="4" t="s">
        <v>2779</v>
      </c>
      <c r="G203" s="4" t="s">
        <v>2780</v>
      </c>
      <c r="H203" s="4" t="s">
        <v>55</v>
      </c>
      <c r="I203" s="4" t="s">
        <v>985</v>
      </c>
      <c r="J203" s="4" t="s">
        <v>91</v>
      </c>
      <c r="K203" s="13" t="str">
        <f>HYPERLINK("https://media.licdn.com/dms/image/v2/D4E10AQE0mCBizdlZcg/image-shrink_1280/B4EZ0LjT9KHUAc-/0/1774015300395/Open-Role-Senior-Data-Engineer-4320-4320png?e=2147483647&amp;v=beta&amp;t=GcZ8vZl_E4bTpk6cBlFsOiJJRgsv5fD39YA8yQ8UrRQ","Open Creative")</f>
        <v>Open Creative</v>
      </c>
      <c r="L203" s="4" t="s">
        <v>62</v>
      </c>
      <c r="M203" s="4" t="s">
        <v>63</v>
      </c>
      <c r="N203" s="4" t="s">
        <v>2757</v>
      </c>
      <c r="O203" s="2" t="s">
        <v>132</v>
      </c>
      <c r="P203" s="2">
        <v>1.234894704E9</v>
      </c>
      <c r="Q203" s="2" t="s">
        <v>68</v>
      </c>
      <c r="R203" s="4" t="s">
        <v>2856</v>
      </c>
    </row>
    <row r="204">
      <c r="A204" s="4" t="s">
        <v>44</v>
      </c>
      <c r="B204" s="4" t="s">
        <v>44</v>
      </c>
      <c r="C204" s="4">
        <v>203.0</v>
      </c>
      <c r="D204" s="13" t="str">
        <f>HYPERLINK("https://www.linkedin.com/ad-library/detail/1234402364","Open Ad")</f>
        <v>Open Ad</v>
      </c>
      <c r="E204" s="4" t="s">
        <v>91</v>
      </c>
      <c r="F204" s="4" t="s">
        <v>2431</v>
      </c>
      <c r="G204" s="4" t="s">
        <v>2748</v>
      </c>
      <c r="H204" s="4" t="s">
        <v>55</v>
      </c>
      <c r="I204" s="4" t="s">
        <v>985</v>
      </c>
      <c r="J204" s="4" t="s">
        <v>91</v>
      </c>
      <c r="K204" s="13" t="str">
        <f>HYPERLINK("https://media.licdn.com/dms/image/v2/D4E10AQHTSwSc44QrBg/image-shrink_1280/B4EZ0lRS1FGwAc-/0/1774446786065/Open-Role-Senior-Penetration-Tester-7680-43203png?e=2147483647&amp;v=beta&amp;t=Uf3JrlXzk5uwjf9koXXr3nXNjnJZlJ6142yViE8MCWw","Open Creative")</f>
        <v>Open Creative</v>
      </c>
      <c r="L204" s="4" t="s">
        <v>62</v>
      </c>
      <c r="M204" s="4" t="s">
        <v>63</v>
      </c>
      <c r="N204" s="4" t="s">
        <v>2757</v>
      </c>
      <c r="O204" s="2" t="s">
        <v>132</v>
      </c>
      <c r="P204" s="2">
        <v>1.234402364E9</v>
      </c>
      <c r="Q204" s="2" t="s">
        <v>68</v>
      </c>
      <c r="R204" s="4" t="s">
        <v>2871</v>
      </c>
    </row>
    <row r="205">
      <c r="A205" s="4" t="s">
        <v>44</v>
      </c>
      <c r="B205" s="4" t="s">
        <v>44</v>
      </c>
      <c r="C205" s="4">
        <v>204.0</v>
      </c>
      <c r="D205" s="13" t="str">
        <f>HYPERLINK("https://www.linkedin.com/ad-library/detail/1233414134","Open Ad")</f>
        <v>Open Ad</v>
      </c>
      <c r="E205" s="4" t="s">
        <v>91</v>
      </c>
      <c r="F205" s="4" t="s">
        <v>2875</v>
      </c>
      <c r="G205" s="4" t="s">
        <v>2875</v>
      </c>
      <c r="H205" s="4" t="s">
        <v>55</v>
      </c>
      <c r="I205" s="4" t="s">
        <v>985</v>
      </c>
      <c r="J205" s="4" t="s">
        <v>91</v>
      </c>
      <c r="K205" s="13" t="str">
        <f>HYPERLINK("https://media.licdn.com/dms/image/v2/D4E10AQEcw-0E25uflA/image-shrink_1280/B4EZ0LFpMjI4Ac-/0/1774007523111/Open-Role-Programmatic-Display-Lead-4320-4320png?e=2147483647&amp;v=beta&amp;t=vuXujgTmZoMFzptBzbFILQQ6N2eYJvpMAWT4EzY3koM","Open Creative")</f>
        <v>Open Creative</v>
      </c>
      <c r="L205" s="4" t="s">
        <v>62</v>
      </c>
      <c r="M205" s="4" t="s">
        <v>63</v>
      </c>
      <c r="N205" s="4" t="s">
        <v>2757</v>
      </c>
      <c r="O205" s="2" t="s">
        <v>132</v>
      </c>
      <c r="P205" s="2">
        <v>1.233414134E9</v>
      </c>
      <c r="Q205" s="2" t="s">
        <v>68</v>
      </c>
      <c r="R205" s="4" t="s">
        <v>2882</v>
      </c>
    </row>
    <row r="206">
      <c r="A206" s="4" t="s">
        <v>44</v>
      </c>
      <c r="B206" s="4" t="s">
        <v>44</v>
      </c>
      <c r="C206" s="4">
        <v>205.0</v>
      </c>
      <c r="D206" s="13" t="str">
        <f>HYPERLINK("https://www.linkedin.com/ad-library/detail/1235733624","Open Ad")</f>
        <v>Open Ad</v>
      </c>
      <c r="E206" s="4" t="s">
        <v>91</v>
      </c>
      <c r="F206" s="4" t="s">
        <v>1030</v>
      </c>
      <c r="G206" s="4" t="s">
        <v>2837</v>
      </c>
      <c r="H206" s="4" t="s">
        <v>55</v>
      </c>
      <c r="I206" s="4" t="s">
        <v>985</v>
      </c>
      <c r="J206" s="4" t="s">
        <v>91</v>
      </c>
      <c r="K206" s="13" t="str">
        <f>HYPERLINK("https://media.licdn.com/dms/image/v2/D4E10AQE9bsjVm0Q_Cg/image-shrink_1280/B4EZ0q2f.IIkAc-/0/1774540423934/Open-Role-HR-Analyst-2430-4320png?e=2147483647&amp;v=beta&amp;t=VZQXW7xwLpPjJWkYuO62QJDnpGfGgjG2j5I9PsuIA-c","Open Creative")</f>
        <v>Open Creative</v>
      </c>
      <c r="L206" s="4" t="s">
        <v>131</v>
      </c>
      <c r="M206" s="4" t="s">
        <v>63</v>
      </c>
      <c r="N206" s="4" t="s">
        <v>132</v>
      </c>
      <c r="O206" s="2" t="s">
        <v>132</v>
      </c>
      <c r="P206" s="2">
        <v>1.235733624E9</v>
      </c>
      <c r="Q206" s="2" t="s">
        <v>68</v>
      </c>
      <c r="R206" s="4" t="s">
        <v>2910</v>
      </c>
    </row>
    <row r="207">
      <c r="A207" s="4" t="s">
        <v>44</v>
      </c>
      <c r="B207" s="4" t="s">
        <v>44</v>
      </c>
      <c r="C207" s="4">
        <v>206.0</v>
      </c>
      <c r="D207" s="13" t="str">
        <f>HYPERLINK("https://www.linkedin.com/ad-library/detail/1235733974","Open Ad")</f>
        <v>Open Ad</v>
      </c>
      <c r="E207" s="4" t="s">
        <v>91</v>
      </c>
      <c r="F207" s="4" t="s">
        <v>2045</v>
      </c>
      <c r="G207" s="4" t="s">
        <v>2712</v>
      </c>
      <c r="H207" s="4" t="s">
        <v>55</v>
      </c>
      <c r="I207" s="4" t="s">
        <v>985</v>
      </c>
      <c r="J207" s="4" t="s">
        <v>91</v>
      </c>
      <c r="K207" s="13" t="str">
        <f>HYPERLINK("https://media.licdn.com/dms/image/v2/D4E10AQEWspJNuXzi2A/image-shrink_1280/B4EZ0q71QmJcAc-/0/1774541822048/Open-Role-ORM-Team-Lead-4320-4320png?e=2147483647&amp;v=beta&amp;t=--9Ep_IzWWWlSHaCvwfwY4yjEdsFIjeauvgPY-Mf0RE","Open Creative")</f>
        <v>Open Creative</v>
      </c>
      <c r="L207" s="4" t="s">
        <v>62</v>
      </c>
      <c r="M207" s="4" t="s">
        <v>63</v>
      </c>
      <c r="N207" s="4" t="s">
        <v>2453</v>
      </c>
      <c r="O207" s="2" t="s">
        <v>132</v>
      </c>
      <c r="P207" s="2">
        <v>1.235733974E9</v>
      </c>
      <c r="Q207" s="2" t="s">
        <v>68</v>
      </c>
      <c r="R207" s="4" t="s">
        <v>2926</v>
      </c>
    </row>
    <row r="208">
      <c r="A208" s="4" t="s">
        <v>44</v>
      </c>
      <c r="B208" s="4" t="s">
        <v>44</v>
      </c>
      <c r="C208" s="4">
        <v>207.0</v>
      </c>
      <c r="D208" s="13" t="str">
        <f>HYPERLINK("https://www.linkedin.com/ad-library/detail/1233515294","Open Ad")</f>
        <v>Open Ad</v>
      </c>
      <c r="E208" s="4" t="s">
        <v>91</v>
      </c>
      <c r="F208" s="4" t="s">
        <v>2779</v>
      </c>
      <c r="G208" s="4" t="s">
        <v>2780</v>
      </c>
      <c r="H208" s="4" t="s">
        <v>55</v>
      </c>
      <c r="I208" s="4" t="s">
        <v>985</v>
      </c>
      <c r="J208" s="4" t="s">
        <v>91</v>
      </c>
      <c r="K208" s="13" t="str">
        <f>HYPERLINK("https://media.licdn.com/dms/image/v2/D4E10AQEUuYFFuwDp7w/image-shrink_1280/B4EZ0LjT1uHgAc-/0/1774015299704/Open-Role-Senior-Data-Engineer-2430-4320png?e=2147483647&amp;v=beta&amp;t=4MMhHxkoBo7AmRDoucszSnAyuQQ_E5odqKsj-izOFLE","Open Creative")</f>
        <v>Open Creative</v>
      </c>
      <c r="L208" s="4" t="s">
        <v>62</v>
      </c>
      <c r="M208" s="4" t="s">
        <v>63</v>
      </c>
      <c r="N208" s="4" t="s">
        <v>2757</v>
      </c>
      <c r="O208" s="2" t="s">
        <v>132</v>
      </c>
      <c r="P208" s="2">
        <v>1.233515294E9</v>
      </c>
      <c r="Q208" s="2" t="s">
        <v>68</v>
      </c>
      <c r="R208" s="4" t="s">
        <v>2943</v>
      </c>
    </row>
    <row r="209">
      <c r="A209" s="4" t="s">
        <v>44</v>
      </c>
      <c r="B209" s="4" t="s">
        <v>44</v>
      </c>
      <c r="C209" s="4">
        <v>208.0</v>
      </c>
      <c r="D209" s="13" t="str">
        <f>HYPERLINK("https://www.linkedin.com/ad-library/detail/1235142514","Open Ad")</f>
        <v>Open Ad</v>
      </c>
      <c r="E209" s="4" t="s">
        <v>91</v>
      </c>
      <c r="F209" s="4" t="s">
        <v>2447</v>
      </c>
      <c r="G209" s="4" t="s">
        <v>2448</v>
      </c>
      <c r="H209" s="4" t="s">
        <v>55</v>
      </c>
      <c r="I209" s="4" t="s">
        <v>985</v>
      </c>
      <c r="J209" s="4" t="s">
        <v>91</v>
      </c>
      <c r="K209" s="13" t="str">
        <f>HYPERLINK("https://media.licdn.com/dms/image/v2/D4E10AQEioTf7V-F51A/image-shrink_1280/B4EZ0rAUogGkAg-/0/1774542998784/Open-Role-Data-Engineer-2430-4320png?e=2147483647&amp;v=beta&amp;t=KDEhR7yYwYsg-WU3_O9CFfwHCYMY8vccGIODfFGjkDo","Open Creative")</f>
        <v>Open Creative</v>
      </c>
      <c r="L209" s="4" t="s">
        <v>62</v>
      </c>
      <c r="M209" s="4" t="s">
        <v>63</v>
      </c>
      <c r="N209" s="4" t="s">
        <v>2453</v>
      </c>
      <c r="O209" s="2" t="s">
        <v>132</v>
      </c>
      <c r="P209" s="2">
        <v>1.235142514E9</v>
      </c>
      <c r="Q209" s="2" t="s">
        <v>68</v>
      </c>
      <c r="R209" s="4" t="s">
        <v>2958</v>
      </c>
    </row>
    <row r="210">
      <c r="A210" s="4" t="s">
        <v>44</v>
      </c>
      <c r="B210" s="4" t="s">
        <v>44</v>
      </c>
      <c r="C210" s="4">
        <v>209.0</v>
      </c>
      <c r="D210" s="13" t="str">
        <f>HYPERLINK("https://www.linkedin.com/ad-library/detail/1235533784","Open Ad")</f>
        <v>Open Ad</v>
      </c>
      <c r="E210" s="4" t="s">
        <v>91</v>
      </c>
      <c r="F210" s="4" t="s">
        <v>1205</v>
      </c>
      <c r="G210" s="4" t="s">
        <v>2965</v>
      </c>
      <c r="H210" s="4" t="s">
        <v>55</v>
      </c>
      <c r="I210" s="4" t="s">
        <v>985</v>
      </c>
      <c r="J210" s="4" t="s">
        <v>91</v>
      </c>
      <c r="K210" s="13" t="str">
        <f>HYPERLINK("https://media.licdn.com/dms/image/v2/D4E10AQGXutjGerJc9w/image-shrink_1280/B4EZ0q5yDlGkAc-/0/1774541285086/Open-Role-Insights-Analyst-7680-4320png?e=2147483647&amp;v=beta&amp;t=V75dsXUvoeWoeXHvMA0pUG0EGIwUgiRUQFd979wSz7Y","Open Creative")</f>
        <v>Open Creative</v>
      </c>
      <c r="L210" s="4" t="s">
        <v>62</v>
      </c>
      <c r="M210" s="4" t="s">
        <v>63</v>
      </c>
      <c r="N210" s="4" t="s">
        <v>2453</v>
      </c>
      <c r="O210" s="2" t="s">
        <v>132</v>
      </c>
      <c r="P210" s="2">
        <v>1.235533784E9</v>
      </c>
      <c r="Q210" s="2" t="s">
        <v>68</v>
      </c>
      <c r="R210" s="4" t="s">
        <v>2976</v>
      </c>
    </row>
    <row r="211">
      <c r="A211" s="4" t="s">
        <v>44</v>
      </c>
      <c r="B211" s="4" t="s">
        <v>44</v>
      </c>
      <c r="C211" s="4">
        <v>210.0</v>
      </c>
      <c r="D211" s="13" t="str">
        <f>HYPERLINK("https://www.linkedin.com/ad-library/detail/1235437684","Open Ad")</f>
        <v>Open Ad</v>
      </c>
      <c r="E211" s="4" t="s">
        <v>91</v>
      </c>
      <c r="F211" s="4" t="s">
        <v>1205</v>
      </c>
      <c r="G211" s="4" t="s">
        <v>2965</v>
      </c>
      <c r="H211" s="4" t="s">
        <v>55</v>
      </c>
      <c r="I211" s="4" t="s">
        <v>985</v>
      </c>
      <c r="J211" s="4" t="s">
        <v>91</v>
      </c>
      <c r="K211" s="13" t="str">
        <f>HYPERLINK("https://media.licdn.com/dms/image/v2/D4E10AQGU9ctmnkJctg/image-shrink_1280/B4EZ0q5gCcIUAc-/0/1774541210744/Open-Role-Insights-Analyst-4320-4320png?e=2147483647&amp;v=beta&amp;t=611s9Xa5KrUFC4r9ZkwvGWECTCNcz2MxD4Dug7e9GoQ","Open Creative")</f>
        <v>Open Creative</v>
      </c>
      <c r="L211" s="4" t="s">
        <v>62</v>
      </c>
      <c r="M211" s="4" t="s">
        <v>63</v>
      </c>
      <c r="N211" s="4" t="s">
        <v>2453</v>
      </c>
      <c r="O211" s="2" t="s">
        <v>132</v>
      </c>
      <c r="P211" s="2">
        <v>1.235437684E9</v>
      </c>
      <c r="Q211" s="2" t="s">
        <v>68</v>
      </c>
      <c r="R211" s="4" t="s">
        <v>2994</v>
      </c>
    </row>
    <row r="212">
      <c r="A212" s="4" t="s">
        <v>44</v>
      </c>
      <c r="B212" s="4" t="s">
        <v>44</v>
      </c>
      <c r="C212" s="4">
        <v>211.0</v>
      </c>
      <c r="D212" s="13" t="str">
        <f>HYPERLINK("https://www.linkedin.com/ad-library/detail/1235437674","Open Ad")</f>
        <v>Open Ad</v>
      </c>
      <c r="E212" s="4" t="s">
        <v>91</v>
      </c>
      <c r="F212" s="4" t="s">
        <v>1205</v>
      </c>
      <c r="G212" s="4" t="s">
        <v>2965</v>
      </c>
      <c r="H212" s="4" t="s">
        <v>55</v>
      </c>
      <c r="I212" s="4" t="s">
        <v>985</v>
      </c>
      <c r="J212" s="4" t="s">
        <v>91</v>
      </c>
      <c r="K212" s="13" t="str">
        <f>HYPERLINK("https://media.licdn.com/dms/image/v2/D4E10AQFeTsOQhzpliQ/image-shrink_1280/B4EZ0q5f25HAAc-/0/1774541209658/Open-Role-Insights-Analyst-2430-4320png?e=2147483647&amp;v=beta&amp;t=RNHOt22mW65QDZmbq7XN_WkfLp5CfD-KKDQMioLHPtg","Open Creative")</f>
        <v>Open Creative</v>
      </c>
      <c r="L212" s="4" t="s">
        <v>62</v>
      </c>
      <c r="M212" s="4" t="s">
        <v>63</v>
      </c>
      <c r="N212" s="4" t="s">
        <v>2453</v>
      </c>
      <c r="O212" s="2" t="s">
        <v>132</v>
      </c>
      <c r="P212" s="2">
        <v>1.235437674E9</v>
      </c>
      <c r="Q212" s="2" t="s">
        <v>68</v>
      </c>
      <c r="R212" s="4" t="s">
        <v>3006</v>
      </c>
    </row>
    <row r="213">
      <c r="A213" s="4" t="s">
        <v>44</v>
      </c>
      <c r="B213" s="4" t="s">
        <v>44</v>
      </c>
      <c r="C213" s="4">
        <v>212.0</v>
      </c>
      <c r="D213" s="13" t="str">
        <f>HYPERLINK("https://www.linkedin.com/ad-library/detail/1233021904","Open Ad")</f>
        <v>Open Ad</v>
      </c>
      <c r="E213" s="4" t="s">
        <v>91</v>
      </c>
      <c r="F213" s="4" t="s">
        <v>2875</v>
      </c>
      <c r="G213" s="4" t="s">
        <v>2875</v>
      </c>
      <c r="H213" s="4" t="s">
        <v>55</v>
      </c>
      <c r="I213" s="4" t="s">
        <v>985</v>
      </c>
      <c r="J213" s="4" t="s">
        <v>91</v>
      </c>
      <c r="K213" s="13" t="str">
        <f>HYPERLINK("https://media.licdn.com/dms/image/v2/D4E10AQH0oPod2zsztQ/image-shrink_1280/B4EZ0LFpKPI8Ag-/0/1774007522770/Open-Role-Programmatic-Display-Lead-2430-4320png?e=2147483647&amp;v=beta&amp;t=acky_o9BH_cuClW1gJLDl5LruscTSD6E8HekTIOqIuE","Open Creative")</f>
        <v>Open Creative</v>
      </c>
      <c r="L213" s="4" t="s">
        <v>62</v>
      </c>
      <c r="M213" s="4" t="s">
        <v>63</v>
      </c>
      <c r="N213" s="4" t="s">
        <v>2757</v>
      </c>
      <c r="O213" s="2" t="s">
        <v>132</v>
      </c>
      <c r="P213" s="2">
        <v>1.233021904E9</v>
      </c>
      <c r="Q213" s="2" t="s">
        <v>68</v>
      </c>
      <c r="R213" s="4" t="s">
        <v>3019</v>
      </c>
    </row>
    <row r="214">
      <c r="A214" s="4" t="s">
        <v>44</v>
      </c>
      <c r="B214" s="4" t="s">
        <v>44</v>
      </c>
      <c r="C214" s="4">
        <v>213.0</v>
      </c>
      <c r="D214" s="13" t="str">
        <f>HYPERLINK("https://www.linkedin.com/ad-library/detail/1235045684","Open Ad")</f>
        <v>Open Ad</v>
      </c>
      <c r="E214" s="4" t="s">
        <v>91</v>
      </c>
      <c r="F214" s="4" t="s">
        <v>1030</v>
      </c>
      <c r="G214" s="4" t="s">
        <v>2837</v>
      </c>
      <c r="H214" s="4" t="s">
        <v>55</v>
      </c>
      <c r="I214" s="4" t="s">
        <v>985</v>
      </c>
      <c r="J214" s="4" t="s">
        <v>91</v>
      </c>
      <c r="K214" s="13" t="str">
        <f>HYPERLINK("https://media.licdn.com/dms/image/v2/D4E10AQErr05h0BABIw/image-shrink_1280/B4EZ0q2gSvI4Ac-/0/1774540425950/Open-Role-HR-Analyst-7680-4320png?e=2147483647&amp;v=beta&amp;t=sYvtjFDU_97n809Tpcm58BumZuaSHwum8tQUUSqeCQE","Open Creative")</f>
        <v>Open Creative</v>
      </c>
      <c r="L214" s="4" t="s">
        <v>131</v>
      </c>
      <c r="M214" s="4" t="s">
        <v>63</v>
      </c>
      <c r="N214" s="4" t="s">
        <v>132</v>
      </c>
      <c r="O214" s="2" t="s">
        <v>132</v>
      </c>
      <c r="P214" s="2">
        <v>1.235045684E9</v>
      </c>
      <c r="Q214" s="2" t="s">
        <v>68</v>
      </c>
      <c r="R214" s="4" t="s">
        <v>3036</v>
      </c>
    </row>
    <row r="215">
      <c r="A215" s="4" t="s">
        <v>44</v>
      </c>
      <c r="B215" s="4" t="s">
        <v>44</v>
      </c>
      <c r="C215" s="4">
        <v>214.0</v>
      </c>
      <c r="D215" s="13" t="str">
        <f>HYPERLINK("https://www.linkedin.com/ad-library/detail/1235044364","Open Ad")</f>
        <v>Open Ad</v>
      </c>
      <c r="E215" s="4" t="s">
        <v>91</v>
      </c>
      <c r="F215" s="4" t="s">
        <v>1158</v>
      </c>
      <c r="G215" s="4" t="s">
        <v>2733</v>
      </c>
      <c r="H215" s="4" t="s">
        <v>55</v>
      </c>
      <c r="I215" s="4" t="s">
        <v>1377</v>
      </c>
      <c r="J215" s="4" t="s">
        <v>91</v>
      </c>
      <c r="K215" s="13" t="str">
        <f>HYPERLINK("https://media.licdn.com/dms/image/v2/D4E10AQFGGxhnaaJkTg/image-shrink_1280/B4EZ0qjN7eIQAc-/0/1774535369211/Open-Role-VP-of-Product-Marketing-2430-4320png?e=2147483647&amp;v=beta&amp;t=6KF2u9YNkVsJjL-TzbWONKrv327OqDnlrlQMrDV32wk","Open Creative")</f>
        <v>Open Creative</v>
      </c>
      <c r="L215" s="4" t="s">
        <v>62</v>
      </c>
      <c r="M215" s="4" t="s">
        <v>63</v>
      </c>
      <c r="N215" s="4" t="s">
        <v>2572</v>
      </c>
      <c r="O215" s="2" t="s">
        <v>132</v>
      </c>
      <c r="P215" s="2">
        <v>1.235044364E9</v>
      </c>
      <c r="Q215" s="2" t="s">
        <v>68</v>
      </c>
      <c r="R215" s="4" t="s">
        <v>3046</v>
      </c>
    </row>
    <row r="216">
      <c r="A216" s="4" t="s">
        <v>44</v>
      </c>
      <c r="B216" s="4" t="s">
        <v>44</v>
      </c>
      <c r="C216" s="4">
        <v>215.0</v>
      </c>
      <c r="D216" s="13" t="str">
        <f>HYPERLINK("https://www.linkedin.com/ad-library/detail/1235683514","Open Ad")</f>
        <v>Open Ad</v>
      </c>
      <c r="E216" s="4" t="s">
        <v>91</v>
      </c>
      <c r="F216" s="4" t="s">
        <v>1205</v>
      </c>
      <c r="G216" s="4" t="s">
        <v>2766</v>
      </c>
      <c r="H216" s="4" t="s">
        <v>55</v>
      </c>
      <c r="I216" s="4" t="s">
        <v>2767</v>
      </c>
      <c r="J216" s="4" t="s">
        <v>91</v>
      </c>
      <c r="K216" s="13" t="str">
        <f>HYPERLINK("https://media.licdn.com/dms/image/v2/D4E10AQGoFvDkvuKWwA/image-shrink_1280/B4EZ0LTpB3I8Ac-/0/1774011192137/Open-Role-Enterprise-Security-Engineer-2430-4320png?e=2147483647&amp;v=beta&amp;t=HsyIIhALUpM3PZVasTBEtTXiFru_pZz1nP0rOZurGAU","Open Creative")</f>
        <v>Open Creative</v>
      </c>
      <c r="L216" s="4" t="s">
        <v>62</v>
      </c>
      <c r="M216" s="4" t="s">
        <v>63</v>
      </c>
      <c r="N216" s="4" t="s">
        <v>2757</v>
      </c>
      <c r="O216" s="2" t="s">
        <v>132</v>
      </c>
      <c r="P216" s="2">
        <v>1.235683514E9</v>
      </c>
      <c r="Q216" s="2" t="s">
        <v>68</v>
      </c>
      <c r="R216" s="4" t="s">
        <v>3061</v>
      </c>
    </row>
    <row r="217">
      <c r="A217" s="4" t="s">
        <v>44</v>
      </c>
      <c r="B217" s="4" t="s">
        <v>44</v>
      </c>
      <c r="C217" s="4">
        <v>216.0</v>
      </c>
      <c r="D217" s="13" t="str">
        <f>HYPERLINK("https://www.linkedin.com/ad-library/detail/1235191294","Open Ad")</f>
        <v>Open Ad</v>
      </c>
      <c r="E217" s="4" t="s">
        <v>91</v>
      </c>
      <c r="F217" s="4" t="s">
        <v>1205</v>
      </c>
      <c r="G217" s="4" t="s">
        <v>2766</v>
      </c>
      <c r="H217" s="4" t="s">
        <v>55</v>
      </c>
      <c r="I217" s="4" t="s">
        <v>2767</v>
      </c>
      <c r="J217" s="4" t="s">
        <v>91</v>
      </c>
      <c r="K217" s="13" t="str">
        <f>HYPERLINK("https://media.licdn.com/dms/image/v2/D4E10AQHo0GliK72N8g/image-shrink_1280/B4EZ0LTpFeJUAc-/0/1774011192698/Open-Role-Enterprise-Security-Engineer-4320-4320png?e=2147483647&amp;v=beta&amp;t=MbhjZgbcMess3_Rh9Ji5HO0RIC69i6JJgQ_6LXza9wE","Open Creative")</f>
        <v>Open Creative</v>
      </c>
      <c r="L217" s="4" t="s">
        <v>62</v>
      </c>
      <c r="M217" s="4" t="s">
        <v>63</v>
      </c>
      <c r="N217" s="4" t="s">
        <v>2757</v>
      </c>
      <c r="O217" s="2" t="s">
        <v>132</v>
      </c>
      <c r="P217" s="2">
        <v>1.235191294E9</v>
      </c>
      <c r="Q217" s="2" t="s">
        <v>68</v>
      </c>
      <c r="R217" s="4" t="s">
        <v>3073</v>
      </c>
    </row>
    <row r="218">
      <c r="A218" s="4" t="s">
        <v>44</v>
      </c>
      <c r="B218" s="4" t="s">
        <v>44</v>
      </c>
      <c r="C218" s="4">
        <v>217.0</v>
      </c>
      <c r="D218" s="13" t="str">
        <f>HYPERLINK("https://www.linkedin.com/ad-library/detail/1235384224","Open Ad")</f>
        <v>Open Ad</v>
      </c>
      <c r="E218" s="4" t="s">
        <v>91</v>
      </c>
      <c r="F218" s="4" t="s">
        <v>3079</v>
      </c>
      <c r="G218" s="4" t="s">
        <v>664</v>
      </c>
      <c r="H218" s="4" t="s">
        <v>55</v>
      </c>
      <c r="I218" s="4" t="s">
        <v>228</v>
      </c>
      <c r="J218" s="4" t="s">
        <v>91</v>
      </c>
      <c r="K218" s="13" t="str">
        <f>HYPERLINK("https://media.licdn.com/dms/image/v2/D4E10AQHh-sW-Tkiq3w/image-shrink_1280/B4EZ0KhviYG8Ao-/0/1773998111322/1200x1200png?e=2147483647&amp;v=beta&amp;t=y-9d2AUAUbcdQrZqbXY_KrUK0HWwEMuP0ihuKaw_UyQ","Open Creative")</f>
        <v>Open Creative</v>
      </c>
      <c r="L218" s="4" t="s">
        <v>62</v>
      </c>
      <c r="M218" s="4" t="s">
        <v>63</v>
      </c>
      <c r="N218" s="4" t="s">
        <v>3082</v>
      </c>
      <c r="O218" s="2" t="s">
        <v>132</v>
      </c>
      <c r="P218" s="2">
        <v>1.235384224E9</v>
      </c>
      <c r="Q218" s="2" t="s">
        <v>68</v>
      </c>
      <c r="R218" s="4" t="s">
        <v>3083</v>
      </c>
    </row>
    <row r="219">
      <c r="A219" s="4" t="s">
        <v>44</v>
      </c>
      <c r="B219" s="4" t="s">
        <v>44</v>
      </c>
      <c r="C219" s="4">
        <v>218.0</v>
      </c>
      <c r="D219" s="13" t="str">
        <f>HYPERLINK("https://www.linkedin.com/ad-library/detail/1234792144","Open Ad")</f>
        <v>Open Ad</v>
      </c>
      <c r="E219" s="4" t="s">
        <v>91</v>
      </c>
      <c r="F219" s="4" t="s">
        <v>3079</v>
      </c>
      <c r="G219" s="4" t="s">
        <v>664</v>
      </c>
      <c r="H219" s="4" t="s">
        <v>55</v>
      </c>
      <c r="I219" s="4" t="s">
        <v>228</v>
      </c>
      <c r="J219" s="4" t="s">
        <v>91</v>
      </c>
      <c r="K219" s="13" t="str">
        <f>HYPERLINK("https://media.licdn.com/dms/image/v2/D4E10AQGXTKOK5_ATIw/image-shrink_1280/B4EZ0Kh_beHsAc-/0/1773998176446/1200x1200png?e=2147483647&amp;v=beta&amp;t=QG8pePVFrJNYrYPxiwuwxj59OcA2CPL_YEMAY4ru4Ac","Open Creative")</f>
        <v>Open Creative</v>
      </c>
      <c r="L219" s="4" t="s">
        <v>62</v>
      </c>
      <c r="M219" s="4" t="s">
        <v>63</v>
      </c>
      <c r="N219" s="4" t="s">
        <v>3082</v>
      </c>
      <c r="O219" s="2" t="s">
        <v>132</v>
      </c>
      <c r="P219" s="2">
        <v>1.234792144E9</v>
      </c>
      <c r="Q219" s="2" t="s">
        <v>68</v>
      </c>
      <c r="R219" s="4" t="s">
        <v>3094</v>
      </c>
    </row>
    <row r="220">
      <c r="A220" s="4" t="s">
        <v>44</v>
      </c>
      <c r="B220" s="4" t="s">
        <v>44</v>
      </c>
      <c r="C220" s="4">
        <v>219.0</v>
      </c>
      <c r="D220" s="13" t="str">
        <f>HYPERLINK("https://www.linkedin.com/ad-library/detail/1231413674","Open Ad")</f>
        <v>Open Ad</v>
      </c>
      <c r="E220" s="4" t="s">
        <v>91</v>
      </c>
      <c r="F220" s="4" t="s">
        <v>3097</v>
      </c>
      <c r="G220" s="4" t="s">
        <v>3100</v>
      </c>
      <c r="H220" s="4" t="s">
        <v>55</v>
      </c>
      <c r="I220" s="4" t="s">
        <v>985</v>
      </c>
      <c r="J220" s="4" t="s">
        <v>91</v>
      </c>
      <c r="K220" s="13" t="str">
        <f>HYPERLINK("https://media.licdn.com/dms/image/v2/D4E10AQHqw4dfD4MIoQ/image-shrink_1280/B4EZznQWSBIEAc-/0/1773406349222/Open-Role-Digital-Art-Director-Web-Design-2430-4320png?e=2147483647&amp;v=beta&amp;t=ZzRE47of27SdFz4M4IzTaW0o20ImWHp_TWzes12bzPo","Open Creative")</f>
        <v>Open Creative</v>
      </c>
      <c r="L220" s="4" t="s">
        <v>62</v>
      </c>
      <c r="M220" s="4" t="s">
        <v>63</v>
      </c>
      <c r="N220" s="4" t="s">
        <v>3105</v>
      </c>
      <c r="O220" s="2" t="s">
        <v>132</v>
      </c>
      <c r="P220" s="2">
        <v>1.231413674E9</v>
      </c>
      <c r="Q220" s="2" t="s">
        <v>68</v>
      </c>
      <c r="R220" s="4" t="s">
        <v>3108</v>
      </c>
    </row>
    <row r="221">
      <c r="A221" s="4" t="s">
        <v>44</v>
      </c>
      <c r="B221" s="4" t="s">
        <v>44</v>
      </c>
      <c r="C221" s="4">
        <v>220.0</v>
      </c>
      <c r="D221" s="13" t="str">
        <f>HYPERLINK("https://www.linkedin.com/ad-library/detail/1233798364","Open Ad")</f>
        <v>Open Ad</v>
      </c>
      <c r="E221" s="4" t="s">
        <v>91</v>
      </c>
      <c r="F221" s="4" t="s">
        <v>2431</v>
      </c>
      <c r="G221" s="4" t="s">
        <v>3111</v>
      </c>
      <c r="H221" s="4" t="s">
        <v>55</v>
      </c>
      <c r="I221" s="4" t="s">
        <v>2767</v>
      </c>
      <c r="J221" s="4" t="s">
        <v>91</v>
      </c>
      <c r="K221" s="13" t="str">
        <f>HYPERLINK("https://media.licdn.com/dms/image/v2/D4E10AQGusGPo5GRCpg/image-shrink_1280/B4EZ0GdhNiIkAc-/0/1773929896533/Open-Role-Business-Development-Representative-7680-4320png?e=2147483647&amp;v=beta&amp;t=Rw2oKk4h8sCqXozmRHEDuXyJEE5ABbbMGIDDDmQVBHs","Open Creative")</f>
        <v>Open Creative</v>
      </c>
      <c r="L221" s="4" t="s">
        <v>131</v>
      </c>
      <c r="M221" s="4" t="s">
        <v>63</v>
      </c>
      <c r="N221" s="4" t="s">
        <v>132</v>
      </c>
      <c r="O221" s="2" t="s">
        <v>132</v>
      </c>
      <c r="P221" s="2">
        <v>1.233798364E9</v>
      </c>
      <c r="Q221" s="2" t="s">
        <v>68</v>
      </c>
      <c r="R221" s="4" t="s">
        <v>3117</v>
      </c>
    </row>
    <row r="222">
      <c r="A222" s="4" t="s">
        <v>44</v>
      </c>
      <c r="B222" s="4" t="s">
        <v>44</v>
      </c>
      <c r="C222" s="4">
        <v>221.0</v>
      </c>
      <c r="D222" s="13" t="str">
        <f>HYPERLINK("https://www.linkedin.com/ad-library/detail/1229588904","Open Ad")</f>
        <v>Open Ad</v>
      </c>
      <c r="E222" s="4" t="s">
        <v>91</v>
      </c>
      <c r="F222" s="4" t="s">
        <v>2045</v>
      </c>
      <c r="G222" s="4" t="s">
        <v>3122</v>
      </c>
      <c r="H222" s="4" t="s">
        <v>55</v>
      </c>
      <c r="I222" s="4" t="s">
        <v>985</v>
      </c>
      <c r="J222" s="4" t="s">
        <v>91</v>
      </c>
      <c r="K222" s="13" t="str">
        <f>HYPERLINK("https://media.licdn.com/dms/image/v2/D4E10AQEt5tTGayuRKg/image-shrink_1280/B4EZy_afofGoAg-/0/1772737920379/Open-Role-Tech-Lead-2430-4320png?e=2147483647&amp;v=beta&amp;t=RxqKbO0OB8bN5oX4aQFbELdbNVNE7R_W7k119iiLpRg","Open Creative")</f>
        <v>Open Creative</v>
      </c>
      <c r="L222" s="4" t="s">
        <v>62</v>
      </c>
      <c r="M222" s="4" t="s">
        <v>63</v>
      </c>
      <c r="N222" s="4" t="s">
        <v>3129</v>
      </c>
      <c r="O222" s="2" t="s">
        <v>132</v>
      </c>
      <c r="P222" s="2">
        <v>1.229588904E9</v>
      </c>
      <c r="Q222" s="2" t="s">
        <v>68</v>
      </c>
      <c r="R222" s="4" t="s">
        <v>3130</v>
      </c>
    </row>
    <row r="223">
      <c r="A223" s="4" t="s">
        <v>44</v>
      </c>
      <c r="B223" s="4" t="s">
        <v>44</v>
      </c>
      <c r="C223" s="4">
        <v>222.0</v>
      </c>
      <c r="D223" s="13" t="str">
        <f>HYPERLINK("https://www.linkedin.com/ad-library/detail/1229984594","Open Ad")</f>
        <v>Open Ad</v>
      </c>
      <c r="E223" s="4" t="s">
        <v>91</v>
      </c>
      <c r="F223" s="4" t="s">
        <v>2045</v>
      </c>
      <c r="G223" s="4" t="s">
        <v>3122</v>
      </c>
      <c r="H223" s="4" t="s">
        <v>55</v>
      </c>
      <c r="I223" s="4" t="s">
        <v>985</v>
      </c>
      <c r="J223" s="4" t="s">
        <v>91</v>
      </c>
      <c r="K223" s="13" t="str">
        <f>HYPERLINK("https://media.licdn.com/dms/image/v2/D4E10AQEejfJaEtfpRg/image-shrink_1280/B4EZy_afngGoAc-/0/1772737920617/Open-Role-Tech-Lead-4320-4320png?e=2147483647&amp;v=beta&amp;t=1Op3SdMRIV9Z6me1buAsdzn897nB14sCQYZymwFWeCs","Open Creative")</f>
        <v>Open Creative</v>
      </c>
      <c r="L223" s="4" t="s">
        <v>62</v>
      </c>
      <c r="M223" s="4" t="s">
        <v>63</v>
      </c>
      <c r="N223" s="4" t="s">
        <v>3129</v>
      </c>
      <c r="O223" s="2" t="s">
        <v>132</v>
      </c>
      <c r="P223" s="2">
        <v>1.229984594E9</v>
      </c>
      <c r="Q223" s="2" t="s">
        <v>68</v>
      </c>
      <c r="R223" s="4" t="s">
        <v>3145</v>
      </c>
    </row>
    <row r="224">
      <c r="A224" s="4" t="s">
        <v>44</v>
      </c>
      <c r="B224" s="4" t="s">
        <v>44</v>
      </c>
      <c r="C224" s="4">
        <v>223.0</v>
      </c>
      <c r="D224" s="13" t="str">
        <f>HYPERLINK("https://www.linkedin.com/ad-library/detail/1235384194","Open Ad")</f>
        <v>Open Ad</v>
      </c>
      <c r="E224" s="4" t="s">
        <v>91</v>
      </c>
      <c r="F224" s="4" t="s">
        <v>3079</v>
      </c>
      <c r="G224" s="4" t="s">
        <v>664</v>
      </c>
      <c r="H224" s="4" t="s">
        <v>55</v>
      </c>
      <c r="I224" s="4" t="s">
        <v>228</v>
      </c>
      <c r="J224" s="4" t="s">
        <v>91</v>
      </c>
      <c r="K224" s="13" t="str">
        <f>HYPERLINK("https://media.licdn.com/dms/image/v2/D4E10AQFS6BW-q5HYkw/image-shrink_1280/B4EZ0Kh3avHQAc-/0/1773998143748/1200x1200png?e=2147483647&amp;v=beta&amp;t=A8CXWi2P8cuh_IVWhLZzpj4tHsUilYxsuUhAMtAiGrk","Open Creative")</f>
        <v>Open Creative</v>
      </c>
      <c r="L224" s="4" t="s">
        <v>62</v>
      </c>
      <c r="M224" s="4" t="s">
        <v>63</v>
      </c>
      <c r="N224" s="4" t="s">
        <v>3163</v>
      </c>
      <c r="O224" s="2" t="s">
        <v>132</v>
      </c>
      <c r="P224" s="2">
        <v>1.235384194E9</v>
      </c>
      <c r="Q224" s="2" t="s">
        <v>68</v>
      </c>
      <c r="R224" s="4" t="s">
        <v>3167</v>
      </c>
    </row>
    <row r="225">
      <c r="A225" s="4" t="s">
        <v>44</v>
      </c>
      <c r="B225" s="4" t="s">
        <v>44</v>
      </c>
      <c r="C225" s="4">
        <v>224.0</v>
      </c>
      <c r="D225" s="13" t="str">
        <f>HYPERLINK("https://www.linkedin.com/ad-library/detail/1234399814","Open Ad")</f>
        <v>Open Ad</v>
      </c>
      <c r="E225" s="4" t="s">
        <v>91</v>
      </c>
      <c r="F225" s="4" t="s">
        <v>3079</v>
      </c>
      <c r="G225" s="4" t="s">
        <v>664</v>
      </c>
      <c r="H225" s="4" t="s">
        <v>55</v>
      </c>
      <c r="I225" s="4" t="s">
        <v>228</v>
      </c>
      <c r="J225" s="4" t="s">
        <v>91</v>
      </c>
      <c r="K225" s="13" t="str">
        <f>HYPERLINK("https://media.licdn.com/dms/image/v2/D4E10AQHh-sW-Tkiq3w/image-shrink_1280/B4EZ0KhviYG8Ao-/0/1773998111322/1200x1200png?e=2147483647&amp;v=beta&amp;t=y-9d2AUAUbcdQrZqbXY_KrUK0HWwEMuP0ihuKaw_UyQ","Open Creative")</f>
        <v>Open Creative</v>
      </c>
      <c r="L225" s="4" t="s">
        <v>62</v>
      </c>
      <c r="M225" s="4" t="s">
        <v>63</v>
      </c>
      <c r="N225" s="4" t="s">
        <v>3163</v>
      </c>
      <c r="O225" s="2" t="s">
        <v>132</v>
      </c>
      <c r="P225" s="2">
        <v>1.234399814E9</v>
      </c>
      <c r="Q225" s="2" t="s">
        <v>68</v>
      </c>
      <c r="R225" s="4" t="s">
        <v>3179</v>
      </c>
    </row>
    <row r="226">
      <c r="A226" s="4" t="s">
        <v>44</v>
      </c>
      <c r="B226" s="4" t="s">
        <v>44</v>
      </c>
      <c r="C226" s="4">
        <v>225.0</v>
      </c>
      <c r="D226" s="13" t="str">
        <f>HYPERLINK("https://www.linkedin.com/ad-library/detail/1232493914","Open Ad")</f>
        <v>Open Ad</v>
      </c>
      <c r="E226" s="4" t="s">
        <v>91</v>
      </c>
      <c r="F226" s="4" t="s">
        <v>3183</v>
      </c>
      <c r="G226" s="4" t="s">
        <v>3184</v>
      </c>
      <c r="H226" s="4" t="s">
        <v>55</v>
      </c>
      <c r="I226" s="4" t="s">
        <v>985</v>
      </c>
      <c r="J226" s="4" t="s">
        <v>91</v>
      </c>
      <c r="K226" s="13" t="str">
        <f>HYPERLINK("https://media.licdn.com/dms/image/v2/D4E10AQE9XQMsJPVWog/image-shrink_1280/B4EZznPkyIJMAc-/0/1773406146678/Open-Role-Senior-Manager-Consulting-Services-4320-4320png?e=2147483647&amp;v=beta&amp;t=xgoxCVWR8_zujKtVfdK8LuZui9g94B3boKnByo-687A","Open Creative")</f>
        <v>Open Creative</v>
      </c>
      <c r="L226" s="4" t="s">
        <v>131</v>
      </c>
      <c r="M226" s="4" t="s">
        <v>63</v>
      </c>
      <c r="N226" s="4" t="s">
        <v>132</v>
      </c>
      <c r="O226" s="2" t="s">
        <v>132</v>
      </c>
      <c r="P226" s="2">
        <v>1.232493914E9</v>
      </c>
      <c r="Q226" s="2" t="s">
        <v>68</v>
      </c>
      <c r="R226" s="4" t="s">
        <v>3194</v>
      </c>
    </row>
    <row r="227">
      <c r="A227" s="4" t="s">
        <v>44</v>
      </c>
      <c r="B227" s="4" t="s">
        <v>44</v>
      </c>
      <c r="C227" s="4">
        <v>226.0</v>
      </c>
      <c r="D227" s="13" t="str">
        <f>HYPERLINK("https://www.linkedin.com/ad-library/detail/1233902454","Open Ad")</f>
        <v>Open Ad</v>
      </c>
      <c r="E227" s="4" t="s">
        <v>91</v>
      </c>
      <c r="F227" s="4" t="s">
        <v>3079</v>
      </c>
      <c r="G227" s="4" t="s">
        <v>664</v>
      </c>
      <c r="H227" s="4" t="s">
        <v>55</v>
      </c>
      <c r="I227" s="4" t="s">
        <v>228</v>
      </c>
      <c r="J227" s="4" t="s">
        <v>91</v>
      </c>
      <c r="K227" s="13" t="str">
        <f>HYPERLINK("https://media.licdn.com/dms/image/v2/D4E10AQEnwP_OOKvtQw/image-shrink_1280/B4EZ0KiYIcHQAc-/0/1773998277628/1200x1200png?e=2147483647&amp;v=beta&amp;t=SWcF5ZEA4WZ5MnktJgvmLbl13A1Vl3RL4wNtT5OH3vk","Open Creative")</f>
        <v>Open Creative</v>
      </c>
      <c r="L227" s="4" t="s">
        <v>62</v>
      </c>
      <c r="M227" s="4" t="s">
        <v>63</v>
      </c>
      <c r="N227" s="4" t="s">
        <v>3082</v>
      </c>
      <c r="O227" s="2" t="s">
        <v>132</v>
      </c>
      <c r="P227" s="2">
        <v>1.233902454E9</v>
      </c>
      <c r="Q227" s="2" t="s">
        <v>68</v>
      </c>
      <c r="R227" s="4" t="s">
        <v>3205</v>
      </c>
    </row>
    <row r="228">
      <c r="A228" s="4" t="s">
        <v>44</v>
      </c>
      <c r="B228" s="4" t="s">
        <v>44</v>
      </c>
      <c r="C228" s="4">
        <v>227.0</v>
      </c>
      <c r="D228" s="13" t="str">
        <f>HYPERLINK("https://www.linkedin.com/ad-library/detail/1233012504","Open Ad")</f>
        <v>Open Ad</v>
      </c>
      <c r="E228" s="4" t="s">
        <v>91</v>
      </c>
      <c r="F228" s="4" t="s">
        <v>2431</v>
      </c>
      <c r="G228" s="4" t="s">
        <v>3111</v>
      </c>
      <c r="H228" s="4" t="s">
        <v>55</v>
      </c>
      <c r="I228" s="4" t="s">
        <v>2767</v>
      </c>
      <c r="J228" s="4" t="s">
        <v>91</v>
      </c>
      <c r="K228" s="13" t="str">
        <f>HYPERLINK("https://media.licdn.com/dms/image/v2/D4E10AQHfYeTkVgGmRg/image-shrink_1280/B4EZ0GdhLjHQAg-/0/1773929895297/Open-Role-Business-Development-Representative-2430-4320png?e=2147483647&amp;v=beta&amp;t=wW1CPyD9Z5bCERVTG1xLxZnzezQnFVO6wM3TSo6wI70","Open Creative")</f>
        <v>Open Creative</v>
      </c>
      <c r="L228" s="4" t="s">
        <v>131</v>
      </c>
      <c r="M228" s="4" t="s">
        <v>63</v>
      </c>
      <c r="N228" s="4" t="s">
        <v>132</v>
      </c>
      <c r="O228" s="2" t="s">
        <v>132</v>
      </c>
      <c r="P228" s="2">
        <v>1.233012504E9</v>
      </c>
      <c r="Q228" s="2" t="s">
        <v>68</v>
      </c>
      <c r="R228" s="4" t="s">
        <v>3218</v>
      </c>
    </row>
    <row r="229">
      <c r="A229" s="4" t="s">
        <v>44</v>
      </c>
      <c r="B229" s="4" t="s">
        <v>44</v>
      </c>
      <c r="C229" s="4">
        <v>228.0</v>
      </c>
      <c r="D229" s="13" t="str">
        <f>HYPERLINK("https://www.linkedin.com/ad-library/detail/1234891164","Open Ad")</f>
        <v>Open Ad</v>
      </c>
      <c r="E229" s="4" t="s">
        <v>91</v>
      </c>
      <c r="F229" s="4" t="s">
        <v>3079</v>
      </c>
      <c r="G229" s="4" t="s">
        <v>664</v>
      </c>
      <c r="H229" s="4" t="s">
        <v>55</v>
      </c>
      <c r="I229" s="4" t="s">
        <v>228</v>
      </c>
      <c r="J229" s="4" t="s">
        <v>91</v>
      </c>
      <c r="K229" s="13" t="str">
        <f>HYPERLINK("https://media.licdn.com/dms/image/v2/D4E10AQEo94mTGZdDlA/image-shrink_1280/B4EZ0Kie6TIUAc-/0/1773998305362/1200x1200png?e=2147483647&amp;v=beta&amp;t=I6zjBs-kWE9PPTf2tXRO-eMhaIVCuES9OTErMW4FNok","Open Creative")</f>
        <v>Open Creative</v>
      </c>
      <c r="L229" s="4" t="s">
        <v>62</v>
      </c>
      <c r="M229" s="4" t="s">
        <v>63</v>
      </c>
      <c r="N229" s="4" t="s">
        <v>3082</v>
      </c>
      <c r="O229" s="2" t="s">
        <v>132</v>
      </c>
      <c r="P229" s="2">
        <v>1.234891164E9</v>
      </c>
      <c r="Q229" s="2" t="s">
        <v>68</v>
      </c>
      <c r="R229" s="4" t="s">
        <v>3231</v>
      </c>
    </row>
    <row r="230">
      <c r="A230" s="4" t="s">
        <v>44</v>
      </c>
      <c r="B230" s="4" t="s">
        <v>44</v>
      </c>
      <c r="C230" s="4">
        <v>229.0</v>
      </c>
      <c r="D230" s="13" t="str">
        <f>HYPERLINK("https://www.linkedin.com/ad-library/detail/1235188614","Open Ad")</f>
        <v>Open Ad</v>
      </c>
      <c r="E230" s="4" t="s">
        <v>91</v>
      </c>
      <c r="F230" s="4" t="s">
        <v>3079</v>
      </c>
      <c r="G230" s="4" t="s">
        <v>664</v>
      </c>
      <c r="H230" s="4" t="s">
        <v>55</v>
      </c>
      <c r="I230" s="4" t="s">
        <v>228</v>
      </c>
      <c r="J230" s="4" t="s">
        <v>91</v>
      </c>
      <c r="K230" s="13" t="str">
        <f>HYPERLINK("https://media.licdn.com/dms/image/v2/D4E10AQH6c3lFr33oow/image-shrink_1280/B4EZ0KiRsEIgAc-/0/1773998251156/1200x1200png?e=2147483647&amp;v=beta&amp;t=58uBIH8WGxZlc4zBUAsOqSWyE94HstE6TtC8lGuLIjo","Open Creative")</f>
        <v>Open Creative</v>
      </c>
      <c r="L230" s="4" t="s">
        <v>62</v>
      </c>
      <c r="M230" s="4" t="s">
        <v>63</v>
      </c>
      <c r="N230" s="4" t="s">
        <v>3082</v>
      </c>
      <c r="O230" s="2" t="s">
        <v>132</v>
      </c>
      <c r="P230" s="2">
        <v>1.235188614E9</v>
      </c>
      <c r="Q230" s="2" t="s">
        <v>68</v>
      </c>
      <c r="R230" s="4" t="s">
        <v>3243</v>
      </c>
    </row>
    <row r="231">
      <c r="A231" s="4" t="s">
        <v>44</v>
      </c>
      <c r="B231" s="4" t="s">
        <v>44</v>
      </c>
      <c r="C231" s="4">
        <v>230.0</v>
      </c>
      <c r="D231" s="13" t="str">
        <f>HYPERLINK("https://www.linkedin.com/ad-library/detail/1232297194","Open Ad")</f>
        <v>Open Ad</v>
      </c>
      <c r="E231" s="4" t="s">
        <v>91</v>
      </c>
      <c r="F231" s="4" t="s">
        <v>3183</v>
      </c>
      <c r="G231" s="4" t="s">
        <v>3184</v>
      </c>
      <c r="H231" s="4" t="s">
        <v>55</v>
      </c>
      <c r="I231" s="4" t="s">
        <v>985</v>
      </c>
      <c r="J231" s="4" t="s">
        <v>91</v>
      </c>
      <c r="K231" s="13" t="str">
        <f>HYPERLINK("https://media.licdn.com/dms/image/v2/D4E10AQGGLL6Pzangiw/image-shrink_1280/B4EZznPktzJUAc-/0/1773406146135/Open-Role-Senior-Manager-Consulting-Services-2430-4320png?e=2147483647&amp;v=beta&amp;t=r2ZEJYIA7FCvAedZl1qIHbDk33hq4dK_IJMJn7QL1vc","Open Creative")</f>
        <v>Open Creative</v>
      </c>
      <c r="L231" s="4" t="s">
        <v>131</v>
      </c>
      <c r="M231" s="4" t="s">
        <v>63</v>
      </c>
      <c r="N231" s="4" t="s">
        <v>132</v>
      </c>
      <c r="O231" s="2" t="s">
        <v>132</v>
      </c>
      <c r="P231" s="2">
        <v>1.232297194E9</v>
      </c>
      <c r="Q231" s="2" t="s">
        <v>68</v>
      </c>
      <c r="R231" s="4" t="s">
        <v>3257</v>
      </c>
    </row>
    <row r="232">
      <c r="A232" s="4" t="s">
        <v>44</v>
      </c>
      <c r="B232" s="4" t="s">
        <v>44</v>
      </c>
      <c r="C232" s="4">
        <v>231.0</v>
      </c>
      <c r="D232" s="13" t="str">
        <f>HYPERLINK("https://www.linkedin.com/ad-library/detail/1234891154","Open Ad")</f>
        <v>Open Ad</v>
      </c>
      <c r="E232" s="4" t="s">
        <v>91</v>
      </c>
      <c r="F232" s="4" t="s">
        <v>3079</v>
      </c>
      <c r="G232" s="4" t="s">
        <v>664</v>
      </c>
      <c r="H232" s="4" t="s">
        <v>55</v>
      </c>
      <c r="I232" s="4" t="s">
        <v>228</v>
      </c>
      <c r="J232" s="4" t="s">
        <v>91</v>
      </c>
      <c r="K232" s="13" t="str">
        <f>HYPERLINK("https://media.licdn.com/dms/image/v2/D4E10AQFILIQvPjYblQ/image-shrink_1280/B4EZ0KiKE1HQAc-/0/1773998219995/1200x1200png?e=2147483647&amp;v=beta&amp;t=5zWOzuFhzndJ5t_ruMdhk4zKx1LlPIwnR_TZazcLUh0","Open Creative")</f>
        <v>Open Creative</v>
      </c>
      <c r="L232" s="4" t="s">
        <v>62</v>
      </c>
      <c r="M232" s="4" t="s">
        <v>63</v>
      </c>
      <c r="N232" s="4" t="s">
        <v>3082</v>
      </c>
      <c r="O232" s="2" t="s">
        <v>132</v>
      </c>
      <c r="P232" s="2">
        <v>1.234891154E9</v>
      </c>
      <c r="Q232" s="2" t="s">
        <v>68</v>
      </c>
      <c r="R232" s="4" t="s">
        <v>3269</v>
      </c>
    </row>
    <row r="233">
      <c r="A233" s="4" t="s">
        <v>44</v>
      </c>
      <c r="B233" s="4" t="s">
        <v>44</v>
      </c>
      <c r="C233" s="4">
        <v>232.0</v>
      </c>
      <c r="D233" s="13" t="str">
        <f>HYPERLINK("https://www.linkedin.com/ad-library/detail/1234891144","Open Ad")</f>
        <v>Open Ad</v>
      </c>
      <c r="E233" s="4" t="s">
        <v>91</v>
      </c>
      <c r="F233" s="4" t="s">
        <v>3079</v>
      </c>
      <c r="G233" s="4" t="s">
        <v>664</v>
      </c>
      <c r="H233" s="4" t="s">
        <v>55</v>
      </c>
      <c r="I233" s="4" t="s">
        <v>228</v>
      </c>
      <c r="J233" s="4" t="s">
        <v>91</v>
      </c>
      <c r="K233" s="13" t="str">
        <f>HYPERLINK("https://media.licdn.com/dms/image/v2/D4E10AQH6c3lFr33oow/image-shrink_1280/B4EZ0KiRsEIgAc-/0/1773998251156/1200x1200png?e=2147483647&amp;v=beta&amp;t=58uBIH8WGxZlc4zBUAsOqSWyE94HstE6TtC8lGuLIjo","Open Creative")</f>
        <v>Open Creative</v>
      </c>
      <c r="L233" s="4" t="s">
        <v>62</v>
      </c>
      <c r="M233" s="4" t="s">
        <v>63</v>
      </c>
      <c r="N233" s="4" t="s">
        <v>3082</v>
      </c>
      <c r="O233" s="2" t="s">
        <v>132</v>
      </c>
      <c r="P233" s="2">
        <v>1.234891144E9</v>
      </c>
      <c r="Q233" s="2" t="s">
        <v>68</v>
      </c>
      <c r="R233" s="4" t="s">
        <v>3282</v>
      </c>
    </row>
    <row r="234">
      <c r="A234" s="4" t="s">
        <v>44</v>
      </c>
      <c r="B234" s="4" t="s">
        <v>44</v>
      </c>
      <c r="C234" s="4">
        <v>233.0</v>
      </c>
      <c r="D234" s="13" t="str">
        <f>HYPERLINK("https://www.linkedin.com/ad-library/detail/1234891094","Open Ad")</f>
        <v>Open Ad</v>
      </c>
      <c r="E234" s="4" t="s">
        <v>91</v>
      </c>
      <c r="F234" s="4" t="s">
        <v>3079</v>
      </c>
      <c r="G234" s="4" t="s">
        <v>664</v>
      </c>
      <c r="H234" s="4" t="s">
        <v>55</v>
      </c>
      <c r="I234" s="4" t="s">
        <v>228</v>
      </c>
      <c r="J234" s="4" t="s">
        <v>91</v>
      </c>
      <c r="K234" s="13" t="str">
        <f>HYPERLINK("https://media.licdn.com/dms/image/v2/D4E10AQGXTKOK5_ATIw/image-shrink_1280/B4EZ0Kh_beHsAc-/0/1773998176446/1200x1200png?e=2147483647&amp;v=beta&amp;t=QG8pePVFrJNYrYPxiwuwxj59OcA2CPL_YEMAY4ru4Ac","Open Creative")</f>
        <v>Open Creative</v>
      </c>
      <c r="L234" s="4" t="s">
        <v>62</v>
      </c>
      <c r="M234" s="4" t="s">
        <v>63</v>
      </c>
      <c r="N234" s="4" t="s">
        <v>3082</v>
      </c>
      <c r="O234" s="2" t="s">
        <v>132</v>
      </c>
      <c r="P234" s="2">
        <v>1.234891094E9</v>
      </c>
      <c r="Q234" s="2" t="s">
        <v>68</v>
      </c>
      <c r="R234" s="4" t="s">
        <v>3292</v>
      </c>
    </row>
    <row r="235">
      <c r="A235" s="4" t="s">
        <v>44</v>
      </c>
      <c r="B235" s="4" t="s">
        <v>44</v>
      </c>
      <c r="C235" s="4">
        <v>234.0</v>
      </c>
      <c r="D235" s="13" t="str">
        <f>HYPERLINK("https://www.linkedin.com/ad-library/detail/1234489464","Open Ad")</f>
        <v>Open Ad</v>
      </c>
      <c r="E235" s="4" t="s">
        <v>91</v>
      </c>
      <c r="F235" s="4" t="s">
        <v>2431</v>
      </c>
      <c r="G235" s="4" t="s">
        <v>3111</v>
      </c>
      <c r="H235" s="4" t="s">
        <v>55</v>
      </c>
      <c r="I235" s="4" t="s">
        <v>2767</v>
      </c>
      <c r="J235" s="4" t="s">
        <v>91</v>
      </c>
      <c r="K235" s="13" t="str">
        <f>HYPERLINK("https://media.licdn.com/dms/image/v2/D4E10AQHBA0icAvOlAw/image-shrink_1280/B4EZ0GdhLZGwAc-/0/1773929895519/Open-Role-Business-Development-Representative-4320-4320png?e=2147483647&amp;v=beta&amp;t=a9tqN5-gbnlvLqiZ-_u0fRSG-G9tdcohWwQx2iH25Tg","Open Creative")</f>
        <v>Open Creative</v>
      </c>
      <c r="L235" s="4" t="s">
        <v>131</v>
      </c>
      <c r="M235" s="4" t="s">
        <v>63</v>
      </c>
      <c r="N235" s="4" t="s">
        <v>132</v>
      </c>
      <c r="O235" s="2" t="s">
        <v>132</v>
      </c>
      <c r="P235" s="2">
        <v>1.234489464E9</v>
      </c>
      <c r="Q235" s="2" t="s">
        <v>68</v>
      </c>
      <c r="R235" s="4" t="s">
        <v>3300</v>
      </c>
    </row>
    <row r="236">
      <c r="A236" s="4" t="s">
        <v>44</v>
      </c>
      <c r="B236" s="4" t="s">
        <v>44</v>
      </c>
      <c r="C236" s="4">
        <v>235.0</v>
      </c>
      <c r="D236" s="13" t="str">
        <f>HYPERLINK("https://www.linkedin.com/ad-library/detail/1235680854","Open Ad")</f>
        <v>Open Ad</v>
      </c>
      <c r="E236" s="4" t="s">
        <v>91</v>
      </c>
      <c r="F236" s="4" t="s">
        <v>3079</v>
      </c>
      <c r="G236" s="4" t="s">
        <v>664</v>
      </c>
      <c r="H236" s="4" t="s">
        <v>55</v>
      </c>
      <c r="I236" s="4" t="s">
        <v>228</v>
      </c>
      <c r="J236" s="4" t="s">
        <v>91</v>
      </c>
      <c r="K236" s="13" t="str">
        <f>HYPERLINK("https://media.licdn.com/dms/image/v2/D4E10AQFILIQvPjYblQ/image-shrink_1280/B4EZ0KiKE1HQAc-/0/1773998219995/1200x1200png?e=2147483647&amp;v=beta&amp;t=5zWOzuFhzndJ5t_ruMdhk4zKx1LlPIwnR_TZazcLUh0","Open Creative")</f>
        <v>Open Creative</v>
      </c>
      <c r="L236" s="4" t="s">
        <v>62</v>
      </c>
      <c r="M236" s="4" t="s">
        <v>63</v>
      </c>
      <c r="N236" s="4" t="s">
        <v>3082</v>
      </c>
      <c r="O236" s="2" t="s">
        <v>132</v>
      </c>
      <c r="P236" s="2">
        <v>1.235680854E9</v>
      </c>
      <c r="Q236" s="2" t="s">
        <v>68</v>
      </c>
      <c r="R236" s="4" t="s">
        <v>3310</v>
      </c>
    </row>
    <row r="237">
      <c r="A237" s="4" t="s">
        <v>44</v>
      </c>
      <c r="B237" s="4" t="s">
        <v>44</v>
      </c>
      <c r="C237" s="4">
        <v>236.0</v>
      </c>
      <c r="D237" s="13" t="str">
        <f>HYPERLINK("https://www.linkedin.com/ad-library/detail/1235483904","Open Ad")</f>
        <v>Open Ad</v>
      </c>
      <c r="E237" s="4" t="s">
        <v>91</v>
      </c>
      <c r="F237" s="4" t="s">
        <v>2875</v>
      </c>
      <c r="G237" s="4" t="s">
        <v>2875</v>
      </c>
      <c r="H237" s="4" t="s">
        <v>55</v>
      </c>
      <c r="I237" s="4" t="s">
        <v>985</v>
      </c>
      <c r="J237" s="4" t="s">
        <v>91</v>
      </c>
      <c r="K237" s="13" t="str">
        <f>HYPERLINK("https://media.licdn.com/dms/image/v2/D4E10AQEftIKdIqiwpQ/image-shrink_1280/B4EZ0LFpPoJEAc-/0/1774007524262/Open-Role-Programmatic-Display-Lead-7680-4320png?e=2147483647&amp;v=beta&amp;t=eVKKwtnr11lhH8KjTTYkh25nsSM-hwVctrMBhjz6gDI","Open Creative")</f>
        <v>Open Creative</v>
      </c>
      <c r="L237" s="4" t="s">
        <v>62</v>
      </c>
      <c r="M237" s="4" t="s">
        <v>63</v>
      </c>
      <c r="N237" s="4" t="s">
        <v>2757</v>
      </c>
      <c r="O237" s="2" t="s">
        <v>132</v>
      </c>
      <c r="P237" s="2">
        <v>1.235483904E9</v>
      </c>
      <c r="Q237" s="2" t="s">
        <v>68</v>
      </c>
      <c r="R237" s="4" t="s">
        <v>3320</v>
      </c>
    </row>
    <row r="238">
      <c r="A238" s="4" t="s">
        <v>44</v>
      </c>
      <c r="B238" s="4" t="s">
        <v>44</v>
      </c>
      <c r="C238" s="4">
        <v>237.0</v>
      </c>
      <c r="D238" s="13" t="str">
        <f>HYPERLINK("https://www.linkedin.com/ad-library/detail/1232297214","Open Ad")</f>
        <v>Open Ad</v>
      </c>
      <c r="E238" s="4" t="s">
        <v>91</v>
      </c>
      <c r="F238" s="4" t="s">
        <v>3325</v>
      </c>
      <c r="G238" s="4" t="s">
        <v>3326</v>
      </c>
      <c r="H238" s="4" t="s">
        <v>55</v>
      </c>
      <c r="I238" s="4" t="s">
        <v>985</v>
      </c>
      <c r="J238" s="4" t="s">
        <v>91</v>
      </c>
      <c r="K238" s="13" t="str">
        <f>HYPERLINK("https://media.licdn.com/dms/image/v2/D4E10AQGQvmPIUp8ZvQ/image-shrink_1280/B4EZznP3czJcAc-/0/1773406223297/Open-Role-Onboarding-Consultant-Spanish-speaking-4320-4320png?e=2147483647&amp;v=beta&amp;t=u-UZhKRNWytYS2sAEWsD84Q1cwpWjkV3jzWXN-V_0aA","Open Creative")</f>
        <v>Open Creative</v>
      </c>
      <c r="L238" s="4" t="s">
        <v>62</v>
      </c>
      <c r="M238" s="4" t="s">
        <v>63</v>
      </c>
      <c r="N238" s="4" t="s">
        <v>3332</v>
      </c>
      <c r="O238" s="2" t="s">
        <v>132</v>
      </c>
      <c r="P238" s="2">
        <v>1.232297214E9</v>
      </c>
      <c r="Q238" s="2" t="s">
        <v>68</v>
      </c>
      <c r="R238" s="4" t="s">
        <v>3333</v>
      </c>
    </row>
    <row r="239">
      <c r="A239" s="4" t="s">
        <v>44</v>
      </c>
      <c r="B239" s="4" t="s">
        <v>44</v>
      </c>
      <c r="C239" s="4">
        <v>238.0</v>
      </c>
      <c r="D239" s="13" t="str">
        <f>HYPERLINK("https://www.linkedin.com/ad-library/detail/1232393924","Open Ad")</f>
        <v>Open Ad</v>
      </c>
      <c r="E239" s="4" t="s">
        <v>91</v>
      </c>
      <c r="F239" s="4" t="s">
        <v>3340</v>
      </c>
      <c r="G239" s="4" t="s">
        <v>2780</v>
      </c>
      <c r="H239" s="4" t="s">
        <v>55</v>
      </c>
      <c r="I239" s="4" t="s">
        <v>985</v>
      </c>
      <c r="J239" s="4" t="s">
        <v>91</v>
      </c>
      <c r="K239" s="13" t="str">
        <f>HYPERLINK("https://media.licdn.com/dms/image/v2/D4E10AQEpqIn9XI_p9Q/image-shrink_1280/B4EZznQIXTJcAc-/0/1773406292383/Open-Role-Senior-Data-Engineer-4320-43201png?e=2147483647&amp;v=beta&amp;t=z6C2xNFO1rfosSyguO68AgMcHTfFYRCvrjq56hWCC4I","Open Creative")</f>
        <v>Open Creative</v>
      </c>
      <c r="L239" s="4" t="s">
        <v>62</v>
      </c>
      <c r="M239" s="4" t="s">
        <v>63</v>
      </c>
      <c r="N239" s="4" t="s">
        <v>3332</v>
      </c>
      <c r="O239" s="2" t="s">
        <v>132</v>
      </c>
      <c r="P239" s="2">
        <v>1.232393924E9</v>
      </c>
      <c r="Q239" s="2" t="s">
        <v>68</v>
      </c>
      <c r="R239" s="4" t="s">
        <v>3345</v>
      </c>
    </row>
    <row r="240">
      <c r="A240" s="4" t="s">
        <v>44</v>
      </c>
      <c r="B240" s="4" t="s">
        <v>44</v>
      </c>
      <c r="C240" s="4">
        <v>239.0</v>
      </c>
      <c r="D240" s="13" t="str">
        <f>HYPERLINK("https://www.linkedin.com/ad-library/detail/1234990784","Open Ad")</f>
        <v>Open Ad</v>
      </c>
      <c r="E240" s="4" t="s">
        <v>91</v>
      </c>
      <c r="F240" s="4" t="s">
        <v>3079</v>
      </c>
      <c r="G240" s="4" t="s">
        <v>664</v>
      </c>
      <c r="H240" s="4" t="s">
        <v>55</v>
      </c>
      <c r="I240" s="4" t="s">
        <v>228</v>
      </c>
      <c r="J240" s="4" t="s">
        <v>91</v>
      </c>
      <c r="K240" s="13" t="str">
        <f>HYPERLINK("https://media.licdn.com/dms/image/v2/D4E10AQEmriF0P07L1Q/image-shrink_1280/B4EZ0KhmF5GwAc-/0/1773998072662/1200x1200png?e=2147483647&amp;v=beta&amp;t=fmZvkc-mx2hrT0pGnT-qkKVqxwjLUwGZS8OAobXSYa8","Open Creative")</f>
        <v>Open Creative</v>
      </c>
      <c r="L240" s="4" t="s">
        <v>62</v>
      </c>
      <c r="M240" s="4" t="s">
        <v>63</v>
      </c>
      <c r="N240" s="4" t="s">
        <v>3163</v>
      </c>
      <c r="O240" s="2" t="s">
        <v>132</v>
      </c>
      <c r="P240" s="2">
        <v>1.234990784E9</v>
      </c>
      <c r="Q240" s="2" t="s">
        <v>68</v>
      </c>
      <c r="R240" s="4" t="s">
        <v>3356</v>
      </c>
    </row>
    <row r="241">
      <c r="A241" s="4" t="s">
        <v>44</v>
      </c>
      <c r="B241" s="4" t="s">
        <v>44</v>
      </c>
      <c r="C241" s="4">
        <v>240.0</v>
      </c>
      <c r="D241" s="13" t="str">
        <f>HYPERLINK("https://www.linkedin.com/ad-library/detail/1230045454","Open Ad")</f>
        <v>Open Ad</v>
      </c>
      <c r="E241" s="4" t="s">
        <v>91</v>
      </c>
      <c r="F241" s="4" t="s">
        <v>3325</v>
      </c>
      <c r="G241" s="4" t="s">
        <v>3326</v>
      </c>
      <c r="H241" s="4" t="s">
        <v>55</v>
      </c>
      <c r="I241" s="4" t="s">
        <v>985</v>
      </c>
      <c r="J241" s="4" t="s">
        <v>91</v>
      </c>
      <c r="K241" s="13" t="str">
        <f>HYPERLINK("https://media.licdn.com/dms/image/v2/D4E10AQFVvh8bZTeXwg/image-shrink_1280/B4EZznP3axJEAc-/0/1773406222636/Open-Role-Onboarding-Consultant-Spanish-speaking-2430-4320png?e=2147483647&amp;v=beta&amp;t=cYbL84BYJcZ4HzEZO08kxn8NZQArIDffshhf2F26LTA","Open Creative")</f>
        <v>Open Creative</v>
      </c>
      <c r="L241" s="4" t="s">
        <v>62</v>
      </c>
      <c r="M241" s="4" t="s">
        <v>63</v>
      </c>
      <c r="N241" s="4" t="s">
        <v>3332</v>
      </c>
      <c r="O241" s="2" t="s">
        <v>132</v>
      </c>
      <c r="P241" s="2">
        <v>1.230045454E9</v>
      </c>
      <c r="Q241" s="2" t="s">
        <v>68</v>
      </c>
      <c r="R241" s="4" t="s">
        <v>3368</v>
      </c>
    </row>
    <row r="242">
      <c r="A242" s="4" t="s">
        <v>44</v>
      </c>
      <c r="B242" s="4" t="s">
        <v>44</v>
      </c>
      <c r="C242" s="4">
        <v>241.0</v>
      </c>
      <c r="D242" s="13" t="str">
        <f>HYPERLINK("https://www.linkedin.com/ad-library/detail/1147592014","Open Ad")</f>
        <v>Open Ad</v>
      </c>
      <c r="E242" s="4" t="s">
        <v>91</v>
      </c>
      <c r="F242" s="4" t="s">
        <v>3097</v>
      </c>
      <c r="G242" s="4" t="s">
        <v>3369</v>
      </c>
      <c r="H242" s="4" t="s">
        <v>55</v>
      </c>
      <c r="I242" s="4" t="s">
        <v>2486</v>
      </c>
      <c r="J242" s="4" t="s">
        <v>91</v>
      </c>
      <c r="K242" s="13" t="str">
        <f>HYPERLINK("https://media.licdn.com/dms/image/v2/D4E10AQHY_IqYPik0kA/image-shrink_1280/B4EZx7DEAnJcAc-/0/1771590928277/Open-Role-Senior-Content-Strategist-7680-4320png?e=2147483647&amp;v=beta&amp;t=0lUp-LYPLcyXM_E8SZe1lagqmhvKw7aU3Kf2-j4iQUg","Open Creative")</f>
        <v>Open Creative</v>
      </c>
      <c r="L242" s="4" t="s">
        <v>62</v>
      </c>
      <c r="M242" s="4" t="s">
        <v>63</v>
      </c>
      <c r="N242" s="4" t="s">
        <v>3376</v>
      </c>
      <c r="O242" s="2" t="s">
        <v>132</v>
      </c>
      <c r="P242" s="2">
        <v>1.147592014E9</v>
      </c>
      <c r="Q242" s="2" t="s">
        <v>68</v>
      </c>
      <c r="R242" s="4" t="s">
        <v>3378</v>
      </c>
    </row>
    <row r="243">
      <c r="A243" s="4" t="s">
        <v>44</v>
      </c>
      <c r="B243" s="4" t="s">
        <v>44</v>
      </c>
      <c r="C243" s="4">
        <v>242.0</v>
      </c>
      <c r="D243" s="13" t="str">
        <f>HYPERLINK("https://www.linkedin.com/ad-library/detail/1228584064","Open Ad")</f>
        <v>Open Ad</v>
      </c>
      <c r="E243" s="4" t="s">
        <v>91</v>
      </c>
      <c r="F243" s="4" t="s">
        <v>3079</v>
      </c>
      <c r="G243" s="4" t="s">
        <v>664</v>
      </c>
      <c r="H243" s="4" t="s">
        <v>55</v>
      </c>
      <c r="I243" s="4" t="s">
        <v>228</v>
      </c>
      <c r="J243" s="4" t="s">
        <v>91</v>
      </c>
      <c r="K243" s="13" t="str">
        <f>HYPERLINK("https://media.licdn.com/dms/image/v2/D4E10AQH7gwxeJKFAng/image-shrink_1280/B4EZy5HdHTKoAg-/0/1772632265480/scalebrandvisibility212001200png?e=2147483647&amp;v=beta&amp;t=PVNk7FLYyc_MDbsQ0JLaoKTgW77EKz5K73koDCzAIwA","Open Creative")</f>
        <v>Open Creative</v>
      </c>
      <c r="L243" s="4" t="s">
        <v>62</v>
      </c>
      <c r="M243" s="4" t="s">
        <v>63</v>
      </c>
      <c r="N243" s="4" t="s">
        <v>3388</v>
      </c>
      <c r="O243" s="2" t="s">
        <v>132</v>
      </c>
      <c r="P243" s="2">
        <v>1.228584064E9</v>
      </c>
      <c r="Q243" s="2" t="s">
        <v>68</v>
      </c>
      <c r="R243" s="4" t="s">
        <v>3392</v>
      </c>
    </row>
    <row r="244">
      <c r="A244" s="4" t="s">
        <v>44</v>
      </c>
      <c r="B244" s="4" t="s">
        <v>44</v>
      </c>
      <c r="C244" s="4">
        <v>243.0</v>
      </c>
      <c r="D244" s="13" t="str">
        <f>HYPERLINK("https://www.linkedin.com/ad-library/detail/1227784394","Open Ad")</f>
        <v>Open Ad</v>
      </c>
      <c r="E244" s="4" t="s">
        <v>91</v>
      </c>
      <c r="F244" s="4" t="s">
        <v>3079</v>
      </c>
      <c r="G244" s="4" t="s">
        <v>664</v>
      </c>
      <c r="H244" s="4" t="s">
        <v>55</v>
      </c>
      <c r="I244" s="4" t="s">
        <v>228</v>
      </c>
      <c r="J244" s="4" t="s">
        <v>91</v>
      </c>
      <c r="K244" s="13" t="str">
        <f>HYPERLINK("https://media.licdn.com/dms/image/v2/D4E10AQFS365ONG005g/image-shrink_1280/B4EZy5HpjIGYAc-/0/1772632316514/featureyourbrand120012002png?e=2147483647&amp;v=beta&amp;t=XLP5acWgJExGzBgfhijDER_-Zq-AnNCpQiBwqJqxG70","Open Creative")</f>
        <v>Open Creative</v>
      </c>
      <c r="L244" s="4" t="s">
        <v>62</v>
      </c>
      <c r="M244" s="4" t="s">
        <v>63</v>
      </c>
      <c r="N244" s="4" t="s">
        <v>3388</v>
      </c>
      <c r="O244" s="2" t="s">
        <v>132</v>
      </c>
      <c r="P244" s="2">
        <v>1.227784394E9</v>
      </c>
      <c r="Q244" s="2" t="s">
        <v>68</v>
      </c>
      <c r="R244" s="4" t="s">
        <v>3404</v>
      </c>
    </row>
    <row r="245">
      <c r="A245" s="4" t="s">
        <v>44</v>
      </c>
      <c r="B245" s="4" t="s">
        <v>44</v>
      </c>
      <c r="C245" s="4">
        <v>244.0</v>
      </c>
      <c r="D245" s="13" t="str">
        <f>HYPERLINK("https://www.linkedin.com/ad-library/detail/1227999274","Open Ad")</f>
        <v>Open Ad</v>
      </c>
      <c r="E245" s="4" t="s">
        <v>91</v>
      </c>
      <c r="F245" s="4" t="s">
        <v>2045</v>
      </c>
      <c r="G245" s="4" t="s">
        <v>3407</v>
      </c>
      <c r="H245" s="4" t="s">
        <v>55</v>
      </c>
      <c r="I245" s="4" t="s">
        <v>985</v>
      </c>
      <c r="J245" s="4" t="s">
        <v>91</v>
      </c>
      <c r="K245" s="13" t="str">
        <f>HYPERLINK("https://media.licdn.com/dms/image/v2/D4E10AQHm2ed-LllLEA/image-shrink_1280/B4EZy_X2CYJYAc-/0/1772737227009/Open-Role-Senior-Golang-Developer-7680-4320png?e=2147483647&amp;v=beta&amp;t=T3sizAQfmcJuAqXMeTCC4rXec4e4I5bzQE0vYXR4ioY","Open Creative")</f>
        <v>Open Creative</v>
      </c>
      <c r="L245" s="4" t="s">
        <v>62</v>
      </c>
      <c r="M245" s="4" t="s">
        <v>63</v>
      </c>
      <c r="N245" s="4" t="s">
        <v>3412</v>
      </c>
      <c r="O245" s="2" t="s">
        <v>132</v>
      </c>
      <c r="P245" s="2">
        <v>1.227999274E9</v>
      </c>
      <c r="Q245" s="2" t="s">
        <v>68</v>
      </c>
      <c r="R245" s="4" t="s">
        <v>3415</v>
      </c>
    </row>
    <row r="246">
      <c r="A246" s="4" t="s">
        <v>44</v>
      </c>
      <c r="B246" s="4" t="s">
        <v>44</v>
      </c>
      <c r="C246" s="4">
        <v>245.0</v>
      </c>
      <c r="D246" s="13" t="str">
        <f>HYPERLINK("https://www.linkedin.com/ad-library/detail/1154099924","Open Ad")</f>
        <v>Open Ad</v>
      </c>
      <c r="E246" s="4" t="s">
        <v>91</v>
      </c>
      <c r="F246" s="4" t="s">
        <v>2045</v>
      </c>
      <c r="G246" s="4" t="s">
        <v>3122</v>
      </c>
      <c r="H246" s="4" t="s">
        <v>55</v>
      </c>
      <c r="I246" s="4" t="s">
        <v>985</v>
      </c>
      <c r="J246" s="4" t="s">
        <v>91</v>
      </c>
      <c r="K246" s="13" t="str">
        <f>HYPERLINK("https://media.licdn.com/dms/image/v2/D4E10AQESqByfHjQmdQ/image-shrink_1280/B4EZy_afmrIQAg-/0/1772737920955/Open-Role-Tech-Lead-7680-4320png?e=2147483647&amp;v=beta&amp;t=bZVXnkkR1QMalv3n5vqRipbCtZND3uMRuQAfabpwQHo","Open Creative")</f>
        <v>Open Creative</v>
      </c>
      <c r="L246" s="4" t="s">
        <v>62</v>
      </c>
      <c r="M246" s="4" t="s">
        <v>63</v>
      </c>
      <c r="N246" s="4" t="s">
        <v>3425</v>
      </c>
      <c r="O246" s="2" t="s">
        <v>132</v>
      </c>
      <c r="P246" s="2">
        <v>1.154099924E9</v>
      </c>
      <c r="Q246" s="2" t="s">
        <v>68</v>
      </c>
      <c r="R246" s="4" t="s">
        <v>3428</v>
      </c>
    </row>
    <row r="247">
      <c r="A247" s="4" t="s">
        <v>44</v>
      </c>
      <c r="B247" s="4" t="s">
        <v>44</v>
      </c>
      <c r="C247" s="4">
        <v>246.0</v>
      </c>
      <c r="D247" s="13" t="str">
        <f>HYPERLINK("https://www.linkedin.com/ad-library/detail/1146709654","Open Ad")</f>
        <v>Open Ad</v>
      </c>
      <c r="E247" s="4" t="s">
        <v>91</v>
      </c>
      <c r="F247" s="4" t="s">
        <v>3097</v>
      </c>
      <c r="G247" s="4" t="s">
        <v>3369</v>
      </c>
      <c r="H247" s="4" t="s">
        <v>55</v>
      </c>
      <c r="I247" s="4" t="s">
        <v>2486</v>
      </c>
      <c r="J247" s="4" t="s">
        <v>91</v>
      </c>
      <c r="K247" s="13" t="str">
        <f>HYPERLINK("https://media.licdn.com/dms/image/v2/D4E10AQEPegz1sZQ8Aw/image-shrink_1280/B4EZx7DECdKIAc-/0/1771590927557/Open-Role-Senior-Content-Strategist-4320-4320png?e=2147483647&amp;v=beta&amp;t=NedGsAAN2cN_YOxKPb_GayjDIYZ10hbvajTV2P5QK50","Open Creative")</f>
        <v>Open Creative</v>
      </c>
      <c r="L247" s="4" t="s">
        <v>62</v>
      </c>
      <c r="M247" s="4" t="s">
        <v>63</v>
      </c>
      <c r="N247" s="4" t="s">
        <v>3376</v>
      </c>
      <c r="O247" s="2" t="s">
        <v>132</v>
      </c>
      <c r="P247" s="2">
        <v>1.146709654E9</v>
      </c>
      <c r="Q247" s="2" t="s">
        <v>68</v>
      </c>
      <c r="R247" s="4" t="s">
        <v>3441</v>
      </c>
    </row>
    <row r="248">
      <c r="A248" s="4" t="s">
        <v>44</v>
      </c>
      <c r="B248" s="4" t="s">
        <v>44</v>
      </c>
      <c r="C248" s="4">
        <v>247.0</v>
      </c>
      <c r="D248" s="13" t="str">
        <f>HYPERLINK("https://www.linkedin.com/ad-library/detail/1228799234","Open Ad")</f>
        <v>Open Ad</v>
      </c>
      <c r="E248" s="4" t="s">
        <v>91</v>
      </c>
      <c r="F248" s="4" t="s">
        <v>3340</v>
      </c>
      <c r="G248" s="4" t="s">
        <v>2780</v>
      </c>
      <c r="H248" s="4" t="s">
        <v>55</v>
      </c>
      <c r="I248" s="4" t="s">
        <v>985</v>
      </c>
      <c r="J248" s="4" t="s">
        <v>91</v>
      </c>
      <c r="K248" s="13" t="str">
        <f>HYPERLINK("https://media.licdn.com/dms/image/v2/D4E10AQH-72Lycdf6wg/image-shrink_1280/B4EZznQIVhHQAc-/0/1773406291907/Open-Role-Senior-Data-Engineer-2430-43201png?e=2147483647&amp;v=beta&amp;t=isxfGazk4Qr7XDaLttvl8zd8hMTlk8XYTLUG2fRhYhI","Open Creative")</f>
        <v>Open Creative</v>
      </c>
      <c r="L248" s="4" t="s">
        <v>62</v>
      </c>
      <c r="M248" s="4" t="s">
        <v>63</v>
      </c>
      <c r="N248" s="4" t="s">
        <v>3451</v>
      </c>
      <c r="O248" s="2" t="s">
        <v>132</v>
      </c>
      <c r="P248" s="2">
        <v>1.228799234E9</v>
      </c>
      <c r="Q248" s="2" t="s">
        <v>68</v>
      </c>
      <c r="R248" s="4" t="s">
        <v>3454</v>
      </c>
    </row>
    <row r="249">
      <c r="A249" s="4" t="s">
        <v>44</v>
      </c>
      <c r="B249" s="4" t="s">
        <v>44</v>
      </c>
      <c r="C249" s="4">
        <v>248.0</v>
      </c>
      <c r="D249" s="13" t="str">
        <f>HYPERLINK("https://www.linkedin.com/ad-library/detail/1229687104","Open Ad")</f>
        <v>Open Ad</v>
      </c>
      <c r="E249" s="4" t="s">
        <v>91</v>
      </c>
      <c r="F249" s="4" t="s">
        <v>3340</v>
      </c>
      <c r="G249" s="4" t="s">
        <v>2780</v>
      </c>
      <c r="H249" s="4" t="s">
        <v>55</v>
      </c>
      <c r="I249" s="4" t="s">
        <v>985</v>
      </c>
      <c r="J249" s="4" t="s">
        <v>91</v>
      </c>
      <c r="K249" s="13" t="str">
        <f>HYPERLINK("https://media.licdn.com/dms/image/v2/D4E10AQH3uYfhzkPhBg/image-shrink_1280/B4EZy_DfJzGoAc-/0/1772731888984/Open-Role-Senior-Data-Engineer-2430-4320png?e=2147483647&amp;v=beta&amp;t=V-aFAW5xKoZis-tQiFwV7vPv-sfL69QyyUC-tSuagQk","Open Creative")</f>
        <v>Open Creative</v>
      </c>
      <c r="L249" s="4" t="s">
        <v>62</v>
      </c>
      <c r="M249" s="4" t="s">
        <v>63</v>
      </c>
      <c r="N249" s="4" t="s">
        <v>3412</v>
      </c>
      <c r="O249" s="2" t="s">
        <v>132</v>
      </c>
      <c r="P249" s="2">
        <v>1.229687104E9</v>
      </c>
      <c r="Q249" s="2" t="s">
        <v>68</v>
      </c>
      <c r="R249" s="4" t="s">
        <v>3462</v>
      </c>
    </row>
    <row r="250">
      <c r="A250" s="4" t="s">
        <v>44</v>
      </c>
      <c r="B250" s="4" t="s">
        <v>44</v>
      </c>
      <c r="C250" s="4">
        <v>249.0</v>
      </c>
      <c r="D250" s="13" t="str">
        <f>HYPERLINK("https://www.linkedin.com/ad-library/detail/1229283514","Open Ad")</f>
        <v>Open Ad</v>
      </c>
      <c r="E250" s="4" t="s">
        <v>91</v>
      </c>
      <c r="F250" s="4" t="s">
        <v>3079</v>
      </c>
      <c r="G250" s="4" t="s">
        <v>664</v>
      </c>
      <c r="H250" s="4" t="s">
        <v>55</v>
      </c>
      <c r="I250" s="4" t="s">
        <v>228</v>
      </c>
      <c r="J250" s="4" t="s">
        <v>91</v>
      </c>
      <c r="K250" s="13" t="str">
        <f t="shared" ref="K250:K251" si="1">HYPERLINK("https://media.licdn.com/dms/image/v2/D4E10AQFS365ONG005g/image-shrink_1280/B4EZy5HpjIGYAc-/0/1772632316514/featureyourbrand120012002png?e=2147483647&amp;v=beta&amp;t=XLP5acWgJExGzBgfhijDER_-Zq-AnNCpQiBwqJqxG70","Open Creative")</f>
        <v>Open Creative</v>
      </c>
      <c r="L250" s="4" t="s">
        <v>62</v>
      </c>
      <c r="M250" s="4" t="s">
        <v>63</v>
      </c>
      <c r="N250" s="4" t="s">
        <v>3129</v>
      </c>
      <c r="O250" s="2" t="s">
        <v>132</v>
      </c>
      <c r="P250" s="2">
        <v>1.229283514E9</v>
      </c>
      <c r="Q250" s="2" t="s">
        <v>68</v>
      </c>
      <c r="R250" s="4" t="s">
        <v>3472</v>
      </c>
    </row>
    <row r="251">
      <c r="A251" s="4" t="s">
        <v>44</v>
      </c>
      <c r="B251" s="4" t="s">
        <v>44</v>
      </c>
      <c r="C251" s="4">
        <v>250.0</v>
      </c>
      <c r="D251" s="13" t="str">
        <f>HYPERLINK("https://www.linkedin.com/ad-library/detail/1228384664","Open Ad")</f>
        <v>Open Ad</v>
      </c>
      <c r="E251" s="4" t="s">
        <v>91</v>
      </c>
      <c r="F251" s="4" t="s">
        <v>3079</v>
      </c>
      <c r="G251" s="4" t="s">
        <v>664</v>
      </c>
      <c r="H251" s="4" t="s">
        <v>55</v>
      </c>
      <c r="I251" s="4" t="s">
        <v>228</v>
      </c>
      <c r="J251" s="4" t="s">
        <v>91</v>
      </c>
      <c r="K251" s="13" t="str">
        <f t="shared" si="1"/>
        <v>Open Creative</v>
      </c>
      <c r="L251" s="4" t="s">
        <v>62</v>
      </c>
      <c r="M251" s="4" t="s">
        <v>63</v>
      </c>
      <c r="N251" s="4" t="s">
        <v>3481</v>
      </c>
      <c r="O251" s="2" t="s">
        <v>132</v>
      </c>
      <c r="P251" s="2">
        <v>1.228384664E9</v>
      </c>
      <c r="Q251" s="2" t="s">
        <v>68</v>
      </c>
      <c r="R251" s="4" t="s">
        <v>3485</v>
      </c>
    </row>
    <row r="252">
      <c r="A252" s="4" t="s">
        <v>44</v>
      </c>
      <c r="B252" s="4" t="s">
        <v>44</v>
      </c>
      <c r="C252" s="4">
        <v>251.0</v>
      </c>
      <c r="D252" s="13" t="str">
        <f>HYPERLINK("https://www.linkedin.com/ad-library/detail/1228682024","Open Ad")</f>
        <v>Open Ad</v>
      </c>
      <c r="E252" s="4" t="s">
        <v>91</v>
      </c>
      <c r="F252" s="4" t="s">
        <v>3492</v>
      </c>
      <c r="G252" s="4" t="s">
        <v>3493</v>
      </c>
      <c r="H252" s="4" t="s">
        <v>55</v>
      </c>
      <c r="I252" s="4" t="s">
        <v>1758</v>
      </c>
      <c r="J252" s="4" t="s">
        <v>91</v>
      </c>
      <c r="K252" s="13" t="str">
        <f>HYPERLINK("https://media.licdn.com/dms/image/v2/D4E10AQHeUENnHKK66g/image-shrink_1280/B4EZy4VbjxGsAc-/0/1772619151963/1200x1200png?e=2147483647&amp;v=beta&amp;t=bY0yL60xAM-TDwNb_5l5HWATstnNaBz_lL_RwL2b6fk","Open Creative")</f>
        <v>Open Creative</v>
      </c>
      <c r="L252" s="4" t="s">
        <v>3498</v>
      </c>
      <c r="M252" s="4" t="s">
        <v>63</v>
      </c>
      <c r="N252" s="4" t="s">
        <v>3499</v>
      </c>
      <c r="O252" s="2" t="s">
        <v>132</v>
      </c>
      <c r="P252" s="2">
        <v>1.228682024E9</v>
      </c>
      <c r="Q252" s="2" t="s">
        <v>68</v>
      </c>
      <c r="R252" s="4" t="s">
        <v>3501</v>
      </c>
    </row>
    <row r="253">
      <c r="A253" s="4" t="s">
        <v>44</v>
      </c>
      <c r="B253" s="4" t="s">
        <v>44</v>
      </c>
      <c r="C253" s="4">
        <v>252.0</v>
      </c>
      <c r="D253" s="13" t="str">
        <f>HYPERLINK("https://www.linkedin.com/ad-library/detail/1227884624","Open Ad")</f>
        <v>Open Ad</v>
      </c>
      <c r="E253" s="4" t="s">
        <v>91</v>
      </c>
      <c r="F253" s="4" t="s">
        <v>3079</v>
      </c>
      <c r="G253" s="4" t="s">
        <v>664</v>
      </c>
      <c r="H253" s="4" t="s">
        <v>55</v>
      </c>
      <c r="I253" s="4" t="s">
        <v>228</v>
      </c>
      <c r="J253" s="4" t="s">
        <v>91</v>
      </c>
      <c r="K253" s="13" t="str">
        <f>HYPERLINK("https://media.licdn.com/dms/image/v2/D4E10AQH7gwxeJKFAng/image-shrink_1280/B4EZy5HdHTKoAg-/0/1772632265480/scalebrandvisibility212001200png?e=2147483647&amp;v=beta&amp;t=PVNk7FLYyc_MDbsQ0JLaoKTgW77EKz5K73koDCzAIwA","Open Creative")</f>
        <v>Open Creative</v>
      </c>
      <c r="L253" s="4" t="s">
        <v>62</v>
      </c>
      <c r="M253" s="4" t="s">
        <v>63</v>
      </c>
      <c r="N253" s="4" t="s">
        <v>3481</v>
      </c>
      <c r="O253" s="2" t="s">
        <v>132</v>
      </c>
      <c r="P253" s="2">
        <v>1.227884624E9</v>
      </c>
      <c r="Q253" s="2" t="s">
        <v>68</v>
      </c>
      <c r="R253" s="4" t="s">
        <v>3513</v>
      </c>
    </row>
    <row r="254">
      <c r="A254" s="4" t="s">
        <v>44</v>
      </c>
      <c r="B254" s="4" t="s">
        <v>44</v>
      </c>
      <c r="C254" s="4">
        <v>253.0</v>
      </c>
      <c r="D254" s="13" t="str">
        <f>HYPERLINK("https://www.linkedin.com/ad-library/detail/1229687904","Open Ad")</f>
        <v>Open Ad</v>
      </c>
      <c r="E254" s="4" t="s">
        <v>91</v>
      </c>
      <c r="F254" s="4" t="s">
        <v>2045</v>
      </c>
      <c r="G254" s="4" t="s">
        <v>3407</v>
      </c>
      <c r="H254" s="4" t="s">
        <v>55</v>
      </c>
      <c r="I254" s="4" t="s">
        <v>985</v>
      </c>
      <c r="J254" s="4" t="s">
        <v>91</v>
      </c>
      <c r="K254" s="13" t="str">
        <f>HYPERLINK("https://media.licdn.com/dms/image/v2/D4E10AQEuXpWM-T9dLw/image-shrink_1280/B4EZy_X2BxIMAk-/0/1772737225922/Open-Role-Senior-Golang-Developer-4320-4320png?e=2147483647&amp;v=beta&amp;t=Uok-Dwv_R3KJsQUFHWhoBR5oiHljczS-L0OmL6yz80w","Open Creative")</f>
        <v>Open Creative</v>
      </c>
      <c r="L254" s="4" t="s">
        <v>62</v>
      </c>
      <c r="M254" s="4" t="s">
        <v>63</v>
      </c>
      <c r="N254" s="4" t="s">
        <v>3412</v>
      </c>
      <c r="O254" s="2" t="s">
        <v>132</v>
      </c>
      <c r="P254" s="2">
        <v>1.229687904E9</v>
      </c>
      <c r="Q254" s="2" t="s">
        <v>68</v>
      </c>
      <c r="R254" s="4" t="s">
        <v>3525</v>
      </c>
    </row>
    <row r="255">
      <c r="A255" s="4" t="s">
        <v>44</v>
      </c>
      <c r="B255" s="4" t="s">
        <v>44</v>
      </c>
      <c r="C255" s="4">
        <v>254.0</v>
      </c>
      <c r="D255" s="13" t="str">
        <f>HYPERLINK("https://www.linkedin.com/ad-library/detail/1229787494","Open Ad")</f>
        <v>Open Ad</v>
      </c>
      <c r="E255" s="4" t="s">
        <v>91</v>
      </c>
      <c r="F255" s="4" t="s">
        <v>2045</v>
      </c>
      <c r="G255" s="4" t="s">
        <v>3407</v>
      </c>
      <c r="H255" s="4" t="s">
        <v>55</v>
      </c>
      <c r="I255" s="4" t="s">
        <v>985</v>
      </c>
      <c r="J255" s="4" t="s">
        <v>91</v>
      </c>
      <c r="K255" s="13" t="str">
        <f>HYPERLINK("https://media.licdn.com/dms/image/v2/D4E10AQGL4yR90e1uJA/image-shrink_1280/B4EZy_X2FGJAAc-/0/1772737225752/Open-Role-Senior-Golang-Developer-2430-4320png?e=2147483647&amp;v=beta&amp;t=kdcCNb9ZtqpEvGbsTEqHhuotfw_jNGWGI32ufR22qSw","Open Creative")</f>
        <v>Open Creative</v>
      </c>
      <c r="L255" s="4" t="s">
        <v>62</v>
      </c>
      <c r="M255" s="4" t="s">
        <v>63</v>
      </c>
      <c r="N255" s="4" t="s">
        <v>3412</v>
      </c>
      <c r="O255" s="2" t="s">
        <v>132</v>
      </c>
      <c r="P255" s="2">
        <v>1.229787494E9</v>
      </c>
      <c r="Q255" s="2" t="s">
        <v>68</v>
      </c>
      <c r="R255" s="4" t="s">
        <v>3536</v>
      </c>
    </row>
    <row r="256">
      <c r="A256" s="4" t="s">
        <v>44</v>
      </c>
      <c r="B256" s="4" t="s">
        <v>44</v>
      </c>
      <c r="C256" s="4">
        <v>255.0</v>
      </c>
      <c r="D256" s="13" t="str">
        <f>HYPERLINK("https://www.linkedin.com/ad-library/detail/1229787344","Open Ad")</f>
        <v>Open Ad</v>
      </c>
      <c r="E256" s="4" t="s">
        <v>91</v>
      </c>
      <c r="F256" s="4" t="s">
        <v>3325</v>
      </c>
      <c r="G256" s="4" t="s">
        <v>3326</v>
      </c>
      <c r="H256" s="4" t="s">
        <v>55</v>
      </c>
      <c r="I256" s="4" t="s">
        <v>985</v>
      </c>
      <c r="J256" s="4" t="s">
        <v>91</v>
      </c>
      <c r="K256" s="13" t="str">
        <f>HYPERLINK("https://media.licdn.com/dms/image/v2/D4E10AQGyVsmKqzw67w/image-shrink_1280/B4EZy_Ui.hIEAc-/0/1772736361597/Open-Role-Onboarding-Consultant-Spanish-Speaking-4320-4320png?e=2147483647&amp;v=beta&amp;t=lDy2oXd-1t7Z8_fmAC87IHqFeWPt58CY9pd47m8h1WM","Open Creative")</f>
        <v>Open Creative</v>
      </c>
      <c r="L256" s="4" t="s">
        <v>62</v>
      </c>
      <c r="M256" s="4" t="s">
        <v>63</v>
      </c>
      <c r="N256" s="4" t="s">
        <v>3547</v>
      </c>
      <c r="O256" s="2" t="s">
        <v>132</v>
      </c>
      <c r="P256" s="2">
        <v>1.229787344E9</v>
      </c>
      <c r="Q256" s="2" t="s">
        <v>68</v>
      </c>
      <c r="R256" s="4" t="s">
        <v>3550</v>
      </c>
    </row>
    <row r="257">
      <c r="A257" s="4" t="s">
        <v>44</v>
      </c>
      <c r="B257" s="4" t="s">
        <v>44</v>
      </c>
      <c r="C257" s="4">
        <v>256.0</v>
      </c>
      <c r="D257" s="13" t="str">
        <f>HYPERLINK("https://www.linkedin.com/ad-library/detail/1146807134","Open Ad")</f>
        <v>Open Ad</v>
      </c>
      <c r="E257" s="4" t="s">
        <v>91</v>
      </c>
      <c r="F257" s="4" t="s">
        <v>3183</v>
      </c>
      <c r="G257" s="4" t="s">
        <v>3184</v>
      </c>
      <c r="H257" s="4" t="s">
        <v>55</v>
      </c>
      <c r="I257" s="4" t="s">
        <v>985</v>
      </c>
      <c r="J257" s="4" t="s">
        <v>91</v>
      </c>
      <c r="K257" s="13" t="str">
        <f>HYPERLINK("https://media.licdn.com/dms/image/v2/D4E10AQGVUw2nNAykUQ/image-shrink_1280/B4EZx6_R7eJsAc-/0/1771589936454/Open-Role-Senior-Manager-Consulting-Services-7680-4320png?e=2147483647&amp;v=beta&amp;t=sMJ8Z41bXcKjRvgzT8xPMYq35darKoHQ2IyfTXipqpU","Open Creative")</f>
        <v>Open Creative</v>
      </c>
      <c r="L257" s="4" t="s">
        <v>131</v>
      </c>
      <c r="M257" s="4" t="s">
        <v>63</v>
      </c>
      <c r="N257" s="4" t="s">
        <v>132</v>
      </c>
      <c r="O257" s="2" t="s">
        <v>132</v>
      </c>
      <c r="P257" s="2">
        <v>1.146807134E9</v>
      </c>
      <c r="Q257" s="2" t="s">
        <v>68</v>
      </c>
      <c r="R257" s="4" t="s">
        <v>3559</v>
      </c>
    </row>
    <row r="258">
      <c r="A258" s="4" t="s">
        <v>44</v>
      </c>
      <c r="B258" s="4" t="s">
        <v>44</v>
      </c>
      <c r="C258" s="4">
        <v>257.0</v>
      </c>
      <c r="D258" s="13" t="str">
        <f>HYPERLINK("https://www.linkedin.com/ad-library/detail/1229787334","Open Ad")</f>
        <v>Open Ad</v>
      </c>
      <c r="E258" s="4" t="s">
        <v>91</v>
      </c>
      <c r="F258" s="4" t="s">
        <v>3325</v>
      </c>
      <c r="G258" s="4" t="s">
        <v>3326</v>
      </c>
      <c r="H258" s="4" t="s">
        <v>55</v>
      </c>
      <c r="I258" s="4" t="s">
        <v>985</v>
      </c>
      <c r="J258" s="4" t="s">
        <v>91</v>
      </c>
      <c r="K258" s="13" t="str">
        <f>HYPERLINK("https://media.licdn.com/dms/image/v2/D4E10AQFA_lX0cCzVxA/image-shrink_1280/B4EZy_Ui.4JcAc-/0/1772736362110/Open-Role-Onboarding-Consultant-Spanish-Speaking-7680-4320png?e=2147483647&amp;v=beta&amp;t=BKVvMwPGtILNF8tbuocr-0d6wRoabi1QUAdSMJUntuA","Open Creative")</f>
        <v>Open Creative</v>
      </c>
      <c r="L258" s="4" t="s">
        <v>62</v>
      </c>
      <c r="M258" s="4" t="s">
        <v>63</v>
      </c>
      <c r="N258" s="4" t="s">
        <v>3547</v>
      </c>
      <c r="O258" s="2" t="s">
        <v>132</v>
      </c>
      <c r="P258" s="2">
        <v>1.229787334E9</v>
      </c>
      <c r="Q258" s="2" t="s">
        <v>68</v>
      </c>
      <c r="R258" s="4" t="s">
        <v>3577</v>
      </c>
    </row>
    <row r="259">
      <c r="A259" s="4" t="s">
        <v>44</v>
      </c>
      <c r="B259" s="4" t="s">
        <v>44</v>
      </c>
      <c r="C259" s="4">
        <v>258.0</v>
      </c>
      <c r="D259" s="13" t="str">
        <f>HYPERLINK("https://www.linkedin.com/ad-library/detail/1228899724","Open Ad")</f>
        <v>Open Ad</v>
      </c>
      <c r="E259" s="4" t="s">
        <v>91</v>
      </c>
      <c r="F259" s="4" t="s">
        <v>3340</v>
      </c>
      <c r="G259" s="4" t="s">
        <v>2780</v>
      </c>
      <c r="H259" s="4" t="s">
        <v>55</v>
      </c>
      <c r="I259" s="4" t="s">
        <v>985</v>
      </c>
      <c r="J259" s="4" t="s">
        <v>91</v>
      </c>
      <c r="K259" s="13" t="str">
        <f>HYPERLINK("https://media.licdn.com/dms/image/v2/D4E10AQF-rk609-a6Gg/image-shrink_1280/B4EZy_DfLrHoAc-/0/1772731889505/Open-Role-Senior-Data-Engineer-4320-4320png?e=2147483647&amp;v=beta&amp;t=TQmKrsUQ3VC6rEA_pnP2E8NxoZgD7azSyzj9acErzEM","Open Creative")</f>
        <v>Open Creative</v>
      </c>
      <c r="L259" s="4" t="s">
        <v>62</v>
      </c>
      <c r="M259" s="4" t="s">
        <v>63</v>
      </c>
      <c r="N259" s="4" t="s">
        <v>3412</v>
      </c>
      <c r="O259" s="2" t="s">
        <v>132</v>
      </c>
      <c r="P259" s="2">
        <v>1.228899724E9</v>
      </c>
      <c r="Q259" s="2" t="s">
        <v>68</v>
      </c>
      <c r="R259" s="4" t="s">
        <v>3588</v>
      </c>
    </row>
    <row r="260">
      <c r="A260" s="4" t="s">
        <v>44</v>
      </c>
      <c r="B260" s="4" t="s">
        <v>44</v>
      </c>
      <c r="C260" s="4">
        <v>259.0</v>
      </c>
      <c r="D260" s="13" t="str">
        <f>HYPERLINK("https://www.linkedin.com/ad-library/detail/1227699604","Open Ad")</f>
        <v>Open Ad</v>
      </c>
      <c r="E260" s="4" t="s">
        <v>91</v>
      </c>
      <c r="F260" s="4" t="s">
        <v>3325</v>
      </c>
      <c r="G260" s="4" t="s">
        <v>3326</v>
      </c>
      <c r="H260" s="4" t="s">
        <v>55</v>
      </c>
      <c r="I260" s="4" t="s">
        <v>985</v>
      </c>
      <c r="J260" s="4" t="s">
        <v>91</v>
      </c>
      <c r="K260" s="13" t="str">
        <f>HYPERLINK("https://media.licdn.com/dms/image/v2/D4E10AQGJQHKMY1PQig/image-shrink_1280/B4EZznP3fDHEAc-/0/1773406224299/Open-Role-Onboarding-Consultant-Spanish-speaking-7680-4320png?e=2147483647&amp;v=beta&amp;t=c5mzGvWq9-lrus_wjW2FI5HJAEAmerLa9XfA-U0X5LY","Open Creative")</f>
        <v>Open Creative</v>
      </c>
      <c r="L260" s="4" t="s">
        <v>62</v>
      </c>
      <c r="M260" s="4" t="s">
        <v>63</v>
      </c>
      <c r="N260" s="4" t="s">
        <v>3598</v>
      </c>
      <c r="O260" s="2" t="s">
        <v>132</v>
      </c>
      <c r="P260" s="2">
        <v>1.227699604E9</v>
      </c>
      <c r="Q260" s="2" t="s">
        <v>68</v>
      </c>
      <c r="R260" s="4" t="s">
        <v>3600</v>
      </c>
    </row>
    <row r="261">
      <c r="A261" s="4" t="s">
        <v>44</v>
      </c>
      <c r="B261" s="4" t="s">
        <v>44</v>
      </c>
      <c r="C261" s="4">
        <v>260.0</v>
      </c>
      <c r="D261" s="13" t="str">
        <f>HYPERLINK("https://www.linkedin.com/ad-library/detail/1230084044","Open Ad")</f>
        <v>Open Ad</v>
      </c>
      <c r="E261" s="4" t="s">
        <v>91</v>
      </c>
      <c r="F261" s="4" t="s">
        <v>3097</v>
      </c>
      <c r="G261" s="4" t="s">
        <v>3100</v>
      </c>
      <c r="H261" s="4" t="s">
        <v>55</v>
      </c>
      <c r="I261" s="4" t="s">
        <v>985</v>
      </c>
      <c r="J261" s="4" t="s">
        <v>91</v>
      </c>
      <c r="K261" s="13" t="str">
        <f>HYPERLINK("https://media.licdn.com/dms/image/v2/D4E10AQF_YIWdPBxX7g/image-shrink_1280/B4EZy_T1dfGYAg-/0/1772736175743/Open-Role-Digital-Art-Director-Web-Design-7680-4320png?e=2147483647&amp;v=beta&amp;t=xI25eRnjNw90ajzF9Vx_DTEJsOwX7qfC-490QE-xo2E","Open Creative")</f>
        <v>Open Creative</v>
      </c>
      <c r="L261" s="4" t="s">
        <v>62</v>
      </c>
      <c r="M261" s="4" t="s">
        <v>63</v>
      </c>
      <c r="N261" s="4" t="s">
        <v>3547</v>
      </c>
      <c r="O261" s="2" t="s">
        <v>132</v>
      </c>
      <c r="P261" s="2">
        <v>1.230084044E9</v>
      </c>
      <c r="Q261" s="2" t="s">
        <v>68</v>
      </c>
      <c r="R261" s="4" t="s">
        <v>3613</v>
      </c>
    </row>
    <row r="262">
      <c r="A262" s="4" t="s">
        <v>44</v>
      </c>
      <c r="B262" s="4" t="s">
        <v>44</v>
      </c>
      <c r="C262" s="4">
        <v>261.0</v>
      </c>
      <c r="D262" s="13" t="str">
        <f>HYPERLINK("https://www.linkedin.com/ad-library/detail/1229281274","Open Ad")</f>
        <v>Open Ad</v>
      </c>
      <c r="E262" s="4" t="s">
        <v>91</v>
      </c>
      <c r="F262" s="4" t="s">
        <v>3492</v>
      </c>
      <c r="G262" s="4" t="s">
        <v>3619</v>
      </c>
      <c r="H262" s="4" t="s">
        <v>55</v>
      </c>
      <c r="I262" s="4" t="s">
        <v>272</v>
      </c>
      <c r="J262" s="4" t="s">
        <v>91</v>
      </c>
      <c r="K262" s="13" t="str">
        <f>HYPERLINK("https://media.licdn.com/dms/image/v2/D4E10AQHeUENnHKK66g/image-shrink_1280/B4EZy4VbjxGsAc-/0/1772619151963/1200x1200png?e=2147483647&amp;v=beta&amp;t=bY0yL60xAM-TDwNb_5l5HWATstnNaBz_lL_RwL2b6fk","Open Creative")</f>
        <v>Open Creative</v>
      </c>
      <c r="L262" s="4" t="s">
        <v>3498</v>
      </c>
      <c r="M262" s="4" t="s">
        <v>63</v>
      </c>
      <c r="N262" s="4" t="s">
        <v>3499</v>
      </c>
      <c r="O262" s="2" t="s">
        <v>132</v>
      </c>
      <c r="P262" s="2">
        <v>1.229281274E9</v>
      </c>
      <c r="Q262" s="2" t="s">
        <v>68</v>
      </c>
      <c r="R262" s="4" t="s">
        <v>3626</v>
      </c>
    </row>
    <row r="263">
      <c r="A263" s="4" t="s">
        <v>44</v>
      </c>
      <c r="B263" s="4" t="s">
        <v>44</v>
      </c>
      <c r="C263" s="4">
        <v>262.0</v>
      </c>
      <c r="D263" s="13" t="str">
        <f>HYPERLINK("https://www.linkedin.com/ad-library/detail/1147201634","Open Ad")</f>
        <v>Open Ad</v>
      </c>
      <c r="E263" s="4" t="s">
        <v>91</v>
      </c>
      <c r="F263" s="4" t="s">
        <v>3183</v>
      </c>
      <c r="G263" s="4" t="s">
        <v>3184</v>
      </c>
      <c r="H263" s="4" t="s">
        <v>55</v>
      </c>
      <c r="I263" s="4" t="s">
        <v>985</v>
      </c>
      <c r="J263" s="4" t="s">
        <v>91</v>
      </c>
      <c r="K263" s="13" t="str">
        <f>HYPERLINK("https://media.licdn.com/dms/image/v2/D4E10AQE66X1HVtaByA/image-shrink_1280/B4EZx6_R4pIQAc-/0/1771589935628/Open-Role-Senior-Manager-Consulting-Services-4320-4320png?e=2147483647&amp;v=beta&amp;t=AbLHOVPj8z5B0XdNoMi5BUazRa0d8KwmNOthttVC8C4","Open Creative")</f>
        <v>Open Creative</v>
      </c>
      <c r="L263" s="4" t="s">
        <v>131</v>
      </c>
      <c r="M263" s="4" t="s">
        <v>63</v>
      </c>
      <c r="N263" s="4" t="s">
        <v>132</v>
      </c>
      <c r="O263" s="2" t="s">
        <v>132</v>
      </c>
      <c r="P263" s="2">
        <v>1.147201634E9</v>
      </c>
      <c r="Q263" s="2" t="s">
        <v>68</v>
      </c>
      <c r="R263" s="4" t="s">
        <v>3635</v>
      </c>
    </row>
    <row r="264">
      <c r="A264" s="4" t="s">
        <v>44</v>
      </c>
      <c r="B264" s="4" t="s">
        <v>44</v>
      </c>
      <c r="C264" s="4">
        <v>263.0</v>
      </c>
      <c r="D264" s="13" t="str">
        <f>HYPERLINK("https://www.linkedin.com/ad-library/detail/1227299384","Open Ad")</f>
        <v>Open Ad</v>
      </c>
      <c r="E264" s="4" t="s">
        <v>91</v>
      </c>
      <c r="F264" s="4" t="s">
        <v>3097</v>
      </c>
      <c r="G264" s="4" t="s">
        <v>3100</v>
      </c>
      <c r="H264" s="4" t="s">
        <v>55</v>
      </c>
      <c r="I264" s="4" t="s">
        <v>985</v>
      </c>
      <c r="J264" s="4" t="s">
        <v>91</v>
      </c>
      <c r="K264" s="13" t="str">
        <f>HYPERLINK("https://media.licdn.com/dms/image/v2/D4E10AQF6qjIzwZ4r-A/image-shrink_1280/B4EZznQWWUJoAc-/0/1773406350196/Open-Role-Digital-Art-Director-Web-Design-7680-4320png?e=2147483647&amp;v=beta&amp;t=8HpHKZ6OXR2Aw2QYWVELFUVS_bv75ADc6ac5MXGgRCU","Open Creative")</f>
        <v>Open Creative</v>
      </c>
      <c r="L264" s="4" t="s">
        <v>62</v>
      </c>
      <c r="M264" s="4" t="s">
        <v>63</v>
      </c>
      <c r="N264" s="4" t="s">
        <v>3451</v>
      </c>
      <c r="O264" s="2" t="s">
        <v>132</v>
      </c>
      <c r="P264" s="2">
        <v>1.227299384E9</v>
      </c>
      <c r="Q264" s="2" t="s">
        <v>68</v>
      </c>
      <c r="R264" s="4" t="s">
        <v>3642</v>
      </c>
    </row>
    <row r="265">
      <c r="A265" s="4" t="s">
        <v>44</v>
      </c>
      <c r="B265" s="4" t="s">
        <v>44</v>
      </c>
      <c r="C265" s="4">
        <v>264.0</v>
      </c>
      <c r="D265" s="13" t="str">
        <f>HYPERLINK("https://www.linkedin.com/ad-library/detail/1230179994","Open Ad")</f>
        <v>Open Ad</v>
      </c>
      <c r="E265" s="4" t="s">
        <v>91</v>
      </c>
      <c r="F265" s="4" t="s">
        <v>3097</v>
      </c>
      <c r="G265" s="4" t="s">
        <v>3100</v>
      </c>
      <c r="H265" s="4" t="s">
        <v>55</v>
      </c>
      <c r="I265" s="4" t="s">
        <v>985</v>
      </c>
      <c r="J265" s="4" t="s">
        <v>91</v>
      </c>
      <c r="K265" s="13" t="str">
        <f>HYPERLINK("https://media.licdn.com/dms/image/v2/D4E10AQGrNAA8XhQBGg/image-shrink_1280/B4EZy_T1c3HgAg-/0/1772736175574/Open-Role-Digital-Art-Director-Web-Design-4320-4320png?e=2147483647&amp;v=beta&amp;t=fL16POPii0O1khXC_c8ZT4UdwboFqpiwm86mHIHvllc","Open Creative")</f>
        <v>Open Creative</v>
      </c>
      <c r="L265" s="4" t="s">
        <v>62</v>
      </c>
      <c r="M265" s="4" t="s">
        <v>63</v>
      </c>
      <c r="N265" s="4" t="s">
        <v>3547</v>
      </c>
      <c r="O265" s="2" t="s">
        <v>132</v>
      </c>
      <c r="P265" s="2">
        <v>1.230179994E9</v>
      </c>
      <c r="Q265" s="2" t="s">
        <v>68</v>
      </c>
      <c r="R265" s="4" t="s">
        <v>3656</v>
      </c>
    </row>
    <row r="266">
      <c r="A266" s="4" t="s">
        <v>44</v>
      </c>
      <c r="B266" s="4" t="s">
        <v>44</v>
      </c>
      <c r="C266" s="4">
        <v>265.0</v>
      </c>
      <c r="D266" s="13" t="str">
        <f>HYPERLINK("https://www.linkedin.com/ad-library/detail/1144690564","Open Ad")</f>
        <v>Open Ad</v>
      </c>
      <c r="E266" s="4" t="s">
        <v>91</v>
      </c>
      <c r="F266" s="4" t="s">
        <v>3661</v>
      </c>
      <c r="G266" s="4" t="s">
        <v>3663</v>
      </c>
      <c r="H266" s="4" t="s">
        <v>55</v>
      </c>
      <c r="I266" s="4" t="s">
        <v>985</v>
      </c>
      <c r="J266" s="4" t="s">
        <v>91</v>
      </c>
      <c r="K266" s="13" t="str">
        <f>HYPERLINK("https://media.licdn.com/dms/image/v2/D4E10AQFB2Yvu_KNu7A/image-shrink_1280/B4EZxSNoijIMAc-/0/1770905832633/Open-Role-Programmatic-Display-Lead-4320-4320png?e=2147483647&amp;v=beta&amp;t=gsbbpmGIyabkyvqIyyhRQTkmRVpB9mLwpIrHZrU7Oyg","Open Creative")</f>
        <v>Open Creative</v>
      </c>
      <c r="L266" s="4" t="s">
        <v>62</v>
      </c>
      <c r="M266" s="4" t="s">
        <v>63</v>
      </c>
      <c r="N266" s="4" t="s">
        <v>3670</v>
      </c>
      <c r="O266" s="2" t="s">
        <v>132</v>
      </c>
      <c r="P266" s="2">
        <v>1.144690564E9</v>
      </c>
      <c r="Q266" s="2" t="s">
        <v>68</v>
      </c>
      <c r="R266" s="4" t="s">
        <v>3672</v>
      </c>
    </row>
    <row r="267">
      <c r="A267" s="4" t="s">
        <v>44</v>
      </c>
      <c r="B267" s="4" t="s">
        <v>44</v>
      </c>
      <c r="C267" s="4">
        <v>266.0</v>
      </c>
      <c r="D267" s="13" t="str">
        <f>HYPERLINK("https://www.linkedin.com/ad-library/detail/1146305134","Open Ad")</f>
        <v>Open Ad</v>
      </c>
      <c r="E267" s="4" t="s">
        <v>91</v>
      </c>
      <c r="F267" s="4" t="s">
        <v>1205</v>
      </c>
      <c r="G267" s="4" t="s">
        <v>3678</v>
      </c>
      <c r="H267" s="4" t="s">
        <v>55</v>
      </c>
      <c r="I267" s="4" t="s">
        <v>985</v>
      </c>
      <c r="J267" s="4" t="s">
        <v>91</v>
      </c>
      <c r="K267" s="13" t="str">
        <f>HYPERLINK("https://media.licdn.com/dms/image/v2/D4E10AQGMwOVBsrs5eg/image-shrink_1280/B4EZx2poYDJMAg-/0/1771517151685/Open-Role-Senior-Accountant-2430-4320png?e=2147483647&amp;v=beta&amp;t=cAZsbzsGNfakJchIzvC8X-NeakpMKk0pgS7JBVMHd_c","Open Creative")</f>
        <v>Open Creative</v>
      </c>
      <c r="L267" s="4" t="s">
        <v>131</v>
      </c>
      <c r="M267" s="4" t="s">
        <v>63</v>
      </c>
      <c r="N267" s="4" t="s">
        <v>132</v>
      </c>
      <c r="O267" s="2" t="s">
        <v>132</v>
      </c>
      <c r="P267" s="2">
        <v>1.146305134E9</v>
      </c>
      <c r="Q267" s="2" t="s">
        <v>68</v>
      </c>
      <c r="R267" s="4" t="s">
        <v>3685</v>
      </c>
    </row>
    <row r="268">
      <c r="A268" s="4" t="s">
        <v>44</v>
      </c>
      <c r="B268" s="4" t="s">
        <v>44</v>
      </c>
      <c r="C268" s="4">
        <v>267.0</v>
      </c>
      <c r="D268" s="13" t="str">
        <f>HYPERLINK("https://www.linkedin.com/ad-library/detail/1146902364","Open Ad")</f>
        <v>Open Ad</v>
      </c>
      <c r="E268" s="4" t="s">
        <v>91</v>
      </c>
      <c r="F268" s="4" t="s">
        <v>3079</v>
      </c>
      <c r="G268" s="4" t="s">
        <v>664</v>
      </c>
      <c r="H268" s="4" t="s">
        <v>55</v>
      </c>
      <c r="I268" s="4" t="s">
        <v>228</v>
      </c>
      <c r="J268" s="4" t="s">
        <v>91</v>
      </c>
      <c r="K268" s="13" t="str">
        <f>HYPERLINK("https://media.licdn.com/dms/image/v2/D4E10AQHynFNJPFFQeQ/image-shrink_1280/B4EZvG6LdmJ4Ac-/0/1768568699237/Featureyourbrand?e=2147483647&amp;v=beta&amp;t=9EQZcmOSV1nDZCnM4-yMCbcShWmyziraZHFdOsN21Pc","Open Creative")</f>
        <v>Open Creative</v>
      </c>
      <c r="L268" s="4" t="s">
        <v>3498</v>
      </c>
      <c r="M268" s="4" t="s">
        <v>63</v>
      </c>
      <c r="N268" s="4" t="s">
        <v>3698</v>
      </c>
      <c r="O268" s="2" t="s">
        <v>132</v>
      </c>
      <c r="P268" s="2">
        <v>1.146902364E9</v>
      </c>
      <c r="Q268" s="2" t="s">
        <v>68</v>
      </c>
      <c r="R268" s="4" t="s">
        <v>3701</v>
      </c>
    </row>
    <row r="269">
      <c r="A269" s="4" t="s">
        <v>44</v>
      </c>
      <c r="B269" s="4" t="s">
        <v>44</v>
      </c>
      <c r="C269" s="4">
        <v>268.0</v>
      </c>
      <c r="D269" s="13" t="str">
        <f>HYPERLINK("https://www.linkedin.com/ad-library/detail/1146896944","Open Ad")</f>
        <v>Open Ad</v>
      </c>
      <c r="E269" s="4" t="s">
        <v>91</v>
      </c>
      <c r="F269" s="4" t="s">
        <v>3706</v>
      </c>
      <c r="G269" s="4" t="s">
        <v>3708</v>
      </c>
      <c r="H269" s="4" t="s">
        <v>55</v>
      </c>
      <c r="I269" s="4" t="s">
        <v>985</v>
      </c>
      <c r="J269" s="4" t="s">
        <v>91</v>
      </c>
      <c r="K269" s="13" t="str">
        <f>HYPERLINK("https://media.licdn.com/dms/image/v2/D4E10AQEowAPP4MgcQg/image-shrink_1280/B4EZx2ujpyJgAc-/0/1771518443153/Open-Role-Security-Compliance-Specialist-2430-4320png?e=2147483647&amp;v=beta&amp;t=feh9II6kikgAMxByYKEbKan09iQ8HVPOH0mc8C8oQAI","Open Creative")</f>
        <v>Open Creative</v>
      </c>
      <c r="L269" s="4" t="s">
        <v>62</v>
      </c>
      <c r="M269" s="4" t="s">
        <v>63</v>
      </c>
      <c r="N269" s="4" t="s">
        <v>3714</v>
      </c>
      <c r="O269" s="2" t="s">
        <v>132</v>
      </c>
      <c r="P269" s="2">
        <v>1.146896944E9</v>
      </c>
      <c r="Q269" s="2" t="s">
        <v>68</v>
      </c>
      <c r="R269" s="4" t="s">
        <v>3715</v>
      </c>
    </row>
    <row r="270">
      <c r="A270" s="4" t="s">
        <v>44</v>
      </c>
      <c r="B270" s="4" t="s">
        <v>44</v>
      </c>
      <c r="C270" s="4">
        <v>269.0</v>
      </c>
      <c r="D270" s="13" t="str">
        <f>HYPERLINK("https://www.linkedin.com/ad-library/detail/1145421634","Open Ad")</f>
        <v>Open Ad</v>
      </c>
      <c r="E270" s="4" t="s">
        <v>91</v>
      </c>
      <c r="F270" s="4" t="s">
        <v>3079</v>
      </c>
      <c r="G270" s="4" t="s">
        <v>664</v>
      </c>
      <c r="H270" s="4" t="s">
        <v>55</v>
      </c>
      <c r="I270" s="4" t="s">
        <v>228</v>
      </c>
      <c r="J270" s="4" t="s">
        <v>91</v>
      </c>
      <c r="K270" s="13" t="str">
        <f>HYPERLINK("https://media.licdn.com/dms/image/v2/D4E10AQF65IrenmbttA/image-shrink_1280/B4EZvG6FZkIkAc-/0/1768568674385/1200x1200png?e=2147483647&amp;v=beta&amp;t=RhnM6wXZDszpR3ZtD8-aHceeYdQmbNH4RbmbhW1kBiU","Open Creative")</f>
        <v>Open Creative</v>
      </c>
      <c r="L270" s="4" t="s">
        <v>3498</v>
      </c>
      <c r="M270" s="4" t="s">
        <v>63</v>
      </c>
      <c r="N270" s="4" t="s">
        <v>3725</v>
      </c>
      <c r="O270" s="2" t="s">
        <v>132</v>
      </c>
      <c r="P270" s="2">
        <v>1.145421634E9</v>
      </c>
      <c r="Q270" s="2" t="s">
        <v>68</v>
      </c>
      <c r="R270" s="4" t="s">
        <v>3727</v>
      </c>
    </row>
    <row r="271">
      <c r="A271" s="4" t="s">
        <v>44</v>
      </c>
      <c r="B271" s="4" t="s">
        <v>44</v>
      </c>
      <c r="C271" s="4">
        <v>270.0</v>
      </c>
      <c r="D271" s="13" t="str">
        <f>HYPERLINK("https://www.linkedin.com/ad-library/detail/1145529504","Open Ad")</f>
        <v>Open Ad</v>
      </c>
      <c r="E271" s="4" t="s">
        <v>91</v>
      </c>
      <c r="F271" s="4" t="s">
        <v>3706</v>
      </c>
      <c r="G271" s="4" t="s">
        <v>3708</v>
      </c>
      <c r="H271" s="4" t="s">
        <v>55</v>
      </c>
      <c r="I271" s="4" t="s">
        <v>985</v>
      </c>
      <c r="J271" s="4" t="s">
        <v>91</v>
      </c>
      <c r="K271" s="13" t="str">
        <f>HYPERLINK("https://media.licdn.com/dms/image/v2/D4E10AQE0cZpeZpDN5w/image-shrink_1280/B4EZx2ujp.GgAc-/0/1771518443172/Open-Role-Security-Compliance-Specialist-4320-4320png?e=2147483647&amp;v=beta&amp;t=70WYIeY8lBZtisFxAdRdrrgDJXIEthnSSimUu6p9zv8","Open Creative")</f>
        <v>Open Creative</v>
      </c>
      <c r="L271" s="4" t="s">
        <v>62</v>
      </c>
      <c r="M271" s="4" t="s">
        <v>63</v>
      </c>
      <c r="N271" s="4" t="s">
        <v>3714</v>
      </c>
      <c r="O271" s="2" t="s">
        <v>132</v>
      </c>
      <c r="P271" s="2">
        <v>1.145529504E9</v>
      </c>
      <c r="Q271" s="2" t="s">
        <v>68</v>
      </c>
      <c r="R271" s="4" t="s">
        <v>3743</v>
      </c>
    </row>
    <row r="272">
      <c r="A272" s="4" t="s">
        <v>44</v>
      </c>
      <c r="B272" s="4" t="s">
        <v>44</v>
      </c>
      <c r="C272" s="4">
        <v>271.0</v>
      </c>
      <c r="D272" s="13" t="str">
        <f>HYPERLINK("https://www.linkedin.com/ad-library/detail/1145535124","Open Ad")</f>
        <v>Open Ad</v>
      </c>
      <c r="E272" s="4" t="s">
        <v>91</v>
      </c>
      <c r="F272" s="4" t="s">
        <v>3079</v>
      </c>
      <c r="G272" s="4" t="s">
        <v>664</v>
      </c>
      <c r="H272" s="4" t="s">
        <v>55</v>
      </c>
      <c r="I272" s="4" t="s">
        <v>228</v>
      </c>
      <c r="J272" s="4" t="s">
        <v>91</v>
      </c>
      <c r="K272" s="13" t="str">
        <f>HYPERLINK("https://media.licdn.com/dms/image/v2/D4E10AQGG-dkMk_qCWA/image-shrink_1280/B4EZvG6Y1uIIAc-/0/1768568754048/TurnAIsearchvisibility?e=2147483647&amp;v=beta&amp;t=OmqASWqo4cgZoXkinMrWyIWNCRt9IMsquYjbiy3OkBE","Open Creative")</f>
        <v>Open Creative</v>
      </c>
      <c r="L272" s="4" t="s">
        <v>3498</v>
      </c>
      <c r="M272" s="4" t="s">
        <v>63</v>
      </c>
      <c r="N272" s="4" t="s">
        <v>3698</v>
      </c>
      <c r="O272" s="2" t="s">
        <v>132</v>
      </c>
      <c r="P272" s="2">
        <v>1.145535124E9</v>
      </c>
      <c r="Q272" s="2" t="s">
        <v>68</v>
      </c>
      <c r="R272" s="4" t="s">
        <v>3754</v>
      </c>
    </row>
    <row r="273">
      <c r="A273" s="4" t="s">
        <v>44</v>
      </c>
      <c r="B273" s="4" t="s">
        <v>44</v>
      </c>
      <c r="C273" s="4">
        <v>272.0</v>
      </c>
      <c r="D273" s="13" t="str">
        <f>HYPERLINK("https://www.linkedin.com/ad-library/detail/1146692914","Open Ad")</f>
        <v>Open Ad</v>
      </c>
      <c r="E273" s="4" t="s">
        <v>91</v>
      </c>
      <c r="F273" s="4" t="s">
        <v>3079</v>
      </c>
      <c r="G273" s="4" t="s">
        <v>664</v>
      </c>
      <c r="H273" s="4" t="s">
        <v>55</v>
      </c>
      <c r="I273" s="4" t="s">
        <v>228</v>
      </c>
      <c r="J273" s="4" t="s">
        <v>91</v>
      </c>
      <c r="K273" s="13" t="str">
        <f>HYPERLINK("https://media.licdn.com/dms/image/v2/D4E10AQEFeakBi16dHA/image-shrink_1280/B4EZvG5.vFHoAc-/0/1768568647134/1200x1200png?e=2147483647&amp;v=beta&amp;t=7dHuq2lrn8oY8Rglcc4eZaMBizQmKMVa5eT2tqpXI2U","Open Creative")</f>
        <v>Open Creative</v>
      </c>
      <c r="L273" s="4" t="s">
        <v>3498</v>
      </c>
      <c r="M273" s="4" t="s">
        <v>63</v>
      </c>
      <c r="N273" s="4" t="s">
        <v>3725</v>
      </c>
      <c r="O273" s="2" t="s">
        <v>132</v>
      </c>
      <c r="P273" s="2">
        <v>1.146692914E9</v>
      </c>
      <c r="Q273" s="2" t="s">
        <v>68</v>
      </c>
      <c r="R273" s="4" t="s">
        <v>3767</v>
      </c>
    </row>
    <row r="274">
      <c r="A274" s="4" t="s">
        <v>44</v>
      </c>
      <c r="B274" s="4" t="s">
        <v>44</v>
      </c>
      <c r="C274" s="4">
        <v>273.0</v>
      </c>
      <c r="D274" s="13" t="str">
        <f>HYPERLINK("https://www.linkedin.com/ad-library/detail/1146800914","Open Ad")</f>
        <v>Open Ad</v>
      </c>
      <c r="E274" s="4" t="s">
        <v>91</v>
      </c>
      <c r="F274" s="4" t="s">
        <v>3706</v>
      </c>
      <c r="G274" s="4" t="s">
        <v>3708</v>
      </c>
      <c r="H274" s="4" t="s">
        <v>55</v>
      </c>
      <c r="I274" s="4" t="s">
        <v>985</v>
      </c>
      <c r="J274" s="4" t="s">
        <v>91</v>
      </c>
      <c r="K274" s="13" t="str">
        <f>HYPERLINK("https://media.licdn.com/dms/image/v2/D4E10AQEaRiNYRoY2cA/image-shrink_1280/B4EZx2ujscKIAc-/0/1771518444011/Open-Role-Security-Compliance-Specialist-7680-4320png?e=2147483647&amp;v=beta&amp;t=eu34JcpqNR21UhHRTnDJV_XSsfxFzjlrnUag2_rc2BQ","Open Creative")</f>
        <v>Open Creative</v>
      </c>
      <c r="L274" s="4" t="s">
        <v>62</v>
      </c>
      <c r="M274" s="4" t="s">
        <v>63</v>
      </c>
      <c r="N274" s="4" t="s">
        <v>3714</v>
      </c>
      <c r="O274" s="2" t="s">
        <v>132</v>
      </c>
      <c r="P274" s="2">
        <v>1.146800914E9</v>
      </c>
      <c r="Q274" s="2" t="s">
        <v>68</v>
      </c>
      <c r="R274" s="4" t="s">
        <v>3779</v>
      </c>
    </row>
    <row r="275">
      <c r="A275" s="4" t="s">
        <v>44</v>
      </c>
      <c r="B275" s="4" t="s">
        <v>44</v>
      </c>
      <c r="C275" s="4">
        <v>274.0</v>
      </c>
      <c r="D275" s="13" t="str">
        <f>HYPERLINK("https://www.linkedin.com/ad-library/detail/1141506304","Open Ad")</f>
        <v>Open Ad</v>
      </c>
      <c r="E275" s="4" t="s">
        <v>91</v>
      </c>
      <c r="F275" s="4" t="s">
        <v>3661</v>
      </c>
      <c r="G275" s="4" t="s">
        <v>3663</v>
      </c>
      <c r="H275" s="4" t="s">
        <v>55</v>
      </c>
      <c r="I275" s="4" t="s">
        <v>985</v>
      </c>
      <c r="J275" s="4" t="s">
        <v>91</v>
      </c>
      <c r="K275" s="13" t="str">
        <f>HYPERLINK("https://media.licdn.com/dms/image/v2/D4E10AQFc5fsoFBcVrQ/image-shrink_1280/B4EZxSNojDIMAc-/0/1770905833283/Open-Role-Programmatic-Display-Lead-7680-4320png?e=2147483647&amp;v=beta&amp;t=CxIQEMx7enCIJRS8Ubw5i93139hUubx34rlQljfi31M","Open Creative")</f>
        <v>Open Creative</v>
      </c>
      <c r="L275" s="4" t="s">
        <v>62</v>
      </c>
      <c r="M275" s="4" t="s">
        <v>63</v>
      </c>
      <c r="N275" s="4" t="s">
        <v>3670</v>
      </c>
      <c r="O275" s="2" t="s">
        <v>132</v>
      </c>
      <c r="P275" s="2">
        <v>1.141506304E9</v>
      </c>
      <c r="Q275" s="2" t="s">
        <v>68</v>
      </c>
      <c r="R275" s="4" t="s">
        <v>3790</v>
      </c>
    </row>
    <row r="276">
      <c r="A276" s="4" t="s">
        <v>44</v>
      </c>
      <c r="B276" s="4" t="s">
        <v>44</v>
      </c>
      <c r="C276" s="4">
        <v>275.0</v>
      </c>
      <c r="D276" s="13" t="str">
        <f>HYPERLINK("https://www.linkedin.com/ad-library/detail/1147584894","Open Ad")</f>
        <v>Open Ad</v>
      </c>
      <c r="E276" s="4" t="s">
        <v>91</v>
      </c>
      <c r="F276" s="4" t="s">
        <v>1205</v>
      </c>
      <c r="G276" s="4" t="s">
        <v>3678</v>
      </c>
      <c r="H276" s="4" t="s">
        <v>55</v>
      </c>
      <c r="I276" s="4" t="s">
        <v>985</v>
      </c>
      <c r="J276" s="4" t="s">
        <v>91</v>
      </c>
      <c r="K276" s="13" t="str">
        <f>HYPERLINK("https://media.licdn.com/dms/image/v2/D4E10AQHFqa0ClnFfmw/image-shrink_1280/B4EZx2poT7GgAk-/0/1771517151693/Open-Role-Senior-Accountant-4320-4320png?e=2147483647&amp;v=beta&amp;t=GKgf4kNIGbRBbXbclVJX9_L14iZlH6HyjrUopYBXBq4","Open Creative")</f>
        <v>Open Creative</v>
      </c>
      <c r="L276" s="4" t="s">
        <v>131</v>
      </c>
      <c r="M276" s="4" t="s">
        <v>63</v>
      </c>
      <c r="N276" s="4" t="s">
        <v>132</v>
      </c>
      <c r="O276" s="2" t="s">
        <v>132</v>
      </c>
      <c r="P276" s="2">
        <v>1.147584894E9</v>
      </c>
      <c r="Q276" s="2" t="s">
        <v>68</v>
      </c>
      <c r="R276" s="4" t="s">
        <v>3801</v>
      </c>
    </row>
    <row r="277">
      <c r="A277" s="4" t="s">
        <v>44</v>
      </c>
      <c r="B277" s="4" t="s">
        <v>44</v>
      </c>
      <c r="C277" s="4">
        <v>276.0</v>
      </c>
      <c r="D277" s="13" t="str">
        <f>HYPERLINK("https://www.linkedin.com/ad-library/detail/1140586094","Open Ad")</f>
        <v>Open Ad</v>
      </c>
      <c r="E277" s="4" t="s">
        <v>91</v>
      </c>
      <c r="F277" s="4" t="s">
        <v>3806</v>
      </c>
      <c r="G277" s="4" t="s">
        <v>3807</v>
      </c>
      <c r="H277" s="4" t="s">
        <v>55</v>
      </c>
      <c r="I277" s="4" t="s">
        <v>985</v>
      </c>
      <c r="J277" s="4" t="s">
        <v>91</v>
      </c>
      <c r="K277" s="13" t="str">
        <f>HYPERLINK("https://media.licdn.com/dms/image/v2/D4E10AQEtrUN1uvjyzw/image-shrink_1280/B4EZwzPjYNJsAc-/0/1770386242093/Open-Role-Senior-Backend-Developer-4320-43201png?e=2147483647&amp;v=beta&amp;t=EwXw8w-XZNI3WiDjhucVRj5TGVrZlluV7Bz0HpVkOLc","Open Creative")</f>
        <v>Open Creative</v>
      </c>
      <c r="L277" s="4" t="s">
        <v>131</v>
      </c>
      <c r="M277" s="4" t="s">
        <v>63</v>
      </c>
      <c r="N277" s="4" t="s">
        <v>132</v>
      </c>
      <c r="O277" s="2" t="s">
        <v>132</v>
      </c>
      <c r="P277" s="2">
        <v>1.140586094E9</v>
      </c>
      <c r="Q277" s="2" t="s">
        <v>68</v>
      </c>
      <c r="R277" s="4" t="s">
        <v>3814</v>
      </c>
    </row>
    <row r="278">
      <c r="A278" s="4" t="s">
        <v>44</v>
      </c>
      <c r="B278" s="4" t="s">
        <v>44</v>
      </c>
      <c r="C278" s="4">
        <v>277.0</v>
      </c>
      <c r="D278" s="13" t="str">
        <f>HYPERLINK("https://www.linkedin.com/ad-library/detail/1146800744","Open Ad")</f>
        <v>Open Ad</v>
      </c>
      <c r="E278" s="4" t="s">
        <v>91</v>
      </c>
      <c r="F278" s="4" t="s">
        <v>1205</v>
      </c>
      <c r="G278" s="4" t="s">
        <v>3678</v>
      </c>
      <c r="H278" s="4" t="s">
        <v>55</v>
      </c>
      <c r="I278" s="4" t="s">
        <v>985</v>
      </c>
      <c r="J278" s="4" t="s">
        <v>91</v>
      </c>
      <c r="K278" s="13" t="str">
        <f>HYPERLINK("https://media.licdn.com/dms/image/v2/D4E10AQHQCFsnLz62Iw/image-shrink_1280/B4EZx2poWTGsAc-/0/1771517152587/Open-Role-Senior-Accountant-7680-4320png?e=2147483647&amp;v=beta&amp;t=oCDIWytc0J--MnRVWKcSPbjMjQIBvQu4Vp-2rcqssiA","Open Creative")</f>
        <v>Open Creative</v>
      </c>
      <c r="L278" s="4" t="s">
        <v>131</v>
      </c>
      <c r="M278" s="4" t="s">
        <v>63</v>
      </c>
      <c r="N278" s="4" t="s">
        <v>132</v>
      </c>
      <c r="O278" s="2" t="s">
        <v>132</v>
      </c>
      <c r="P278" s="2">
        <v>1.146800744E9</v>
      </c>
      <c r="Q278" s="2" t="s">
        <v>68</v>
      </c>
      <c r="R278" s="4" t="s">
        <v>3824</v>
      </c>
    </row>
    <row r="279">
      <c r="A279" s="4" t="s">
        <v>44</v>
      </c>
      <c r="B279" s="4" t="s">
        <v>44</v>
      </c>
      <c r="C279" s="4">
        <v>278.0</v>
      </c>
      <c r="D279" s="13" t="str">
        <f>HYPERLINK("https://www.linkedin.com/ad-library/detail/1146985064","Open Ad")</f>
        <v>Open Ad</v>
      </c>
      <c r="E279" s="4" t="s">
        <v>91</v>
      </c>
      <c r="F279" s="4" t="s">
        <v>3079</v>
      </c>
      <c r="G279" s="4" t="s">
        <v>664</v>
      </c>
      <c r="H279" s="4" t="s">
        <v>55</v>
      </c>
      <c r="I279" s="4" t="s">
        <v>228</v>
      </c>
      <c r="J279" s="4" t="s">
        <v>91</v>
      </c>
      <c r="K279" s="13" t="str">
        <f>HYPERLINK("https://media.licdn.com/dms/image/v2/D4E10AQGG-dkMk_qCWA/image-shrink_1280/B4EZvG6Y1uIIAc-/0/1768568754048/TurnAIsearchvisibility?e=2147483647&amp;v=beta&amp;t=OmqASWqo4cgZoXkinMrWyIWNCRt9IMsquYjbiy3OkBE","Open Creative")</f>
        <v>Open Creative</v>
      </c>
      <c r="L279" s="4" t="s">
        <v>3498</v>
      </c>
      <c r="M279" s="4" t="s">
        <v>63</v>
      </c>
      <c r="N279" s="4" t="s">
        <v>3725</v>
      </c>
      <c r="O279" s="2" t="s">
        <v>132</v>
      </c>
      <c r="P279" s="2">
        <v>1.146985064E9</v>
      </c>
      <c r="Q279" s="2" t="s">
        <v>68</v>
      </c>
      <c r="R279" s="4" t="s">
        <v>3835</v>
      </c>
    </row>
    <row r="280">
      <c r="A280" s="4" t="s">
        <v>44</v>
      </c>
      <c r="B280" s="4" t="s">
        <v>44</v>
      </c>
      <c r="C280" s="4">
        <v>279.0</v>
      </c>
      <c r="D280" s="13" t="str">
        <f>HYPERLINK("https://www.linkedin.com/ad-library/detail/1144593554","Open Ad")</f>
        <v>Open Ad</v>
      </c>
      <c r="E280" s="4" t="s">
        <v>91</v>
      </c>
      <c r="F280" s="4" t="s">
        <v>3340</v>
      </c>
      <c r="G280" s="4" t="s">
        <v>3841</v>
      </c>
      <c r="H280" s="4" t="s">
        <v>55</v>
      </c>
      <c r="I280" s="4" t="s">
        <v>985</v>
      </c>
      <c r="J280" s="4" t="s">
        <v>91</v>
      </c>
      <c r="K280" s="13" t="str">
        <f>HYPERLINK("https://media.licdn.com/dms/image/v2/D4E10AQEvtXBUe1kP7g/image-shrink_1280/B4EZxSILyzJYAc-/0/1770904404155/Open-Role-Senior-QA-Automation-Engineer-4320-4320png?e=2147483647&amp;v=beta&amp;t=C2ekVrED9XJgmXwqtd6saf20OoXGifbRyhVPAQnyZ9w","Open Creative")</f>
        <v>Open Creative</v>
      </c>
      <c r="L280" s="4" t="s">
        <v>62</v>
      </c>
      <c r="M280" s="4" t="s">
        <v>63</v>
      </c>
      <c r="N280" s="4" t="s">
        <v>3847</v>
      </c>
      <c r="O280" s="2" t="s">
        <v>132</v>
      </c>
      <c r="P280" s="2">
        <v>1.144593554E9</v>
      </c>
      <c r="Q280" s="2" t="s">
        <v>68</v>
      </c>
      <c r="R280" s="4" t="s">
        <v>3850</v>
      </c>
    </row>
    <row r="281">
      <c r="A281" s="4" t="s">
        <v>44</v>
      </c>
      <c r="B281" s="4" t="s">
        <v>44</v>
      </c>
      <c r="C281" s="4">
        <v>280.0</v>
      </c>
      <c r="D281" s="13" t="str">
        <f>HYPERLINK("https://www.linkedin.com/ad-library/detail/1146097524","Open Ad")</f>
        <v>Open Ad</v>
      </c>
      <c r="E281" s="4" t="s">
        <v>91</v>
      </c>
      <c r="F281" s="4" t="s">
        <v>3079</v>
      </c>
      <c r="G281" s="4" t="s">
        <v>664</v>
      </c>
      <c r="H281" s="4" t="s">
        <v>55</v>
      </c>
      <c r="I281" s="4" t="s">
        <v>228</v>
      </c>
      <c r="J281" s="4" t="s">
        <v>91</v>
      </c>
      <c r="K281" s="13" t="str">
        <f>HYPERLINK("https://media.licdn.com/dms/image/v2/D4E10AQHynFNJPFFQeQ/image-shrink_1280/B4EZvG6LdmJ4Ac-/0/1768568699237/Featureyourbrand?e=2147483647&amp;v=beta&amp;t=9EQZcmOSV1nDZCnM4-yMCbcShWmyziraZHFdOsN21Pc","Open Creative")</f>
        <v>Open Creative</v>
      </c>
      <c r="L281" s="4" t="s">
        <v>3498</v>
      </c>
      <c r="M281" s="4" t="s">
        <v>63</v>
      </c>
      <c r="N281" s="4" t="s">
        <v>3725</v>
      </c>
      <c r="O281" s="2" t="s">
        <v>132</v>
      </c>
      <c r="P281" s="2">
        <v>1.146097524E9</v>
      </c>
      <c r="Q281" s="2" t="s">
        <v>68</v>
      </c>
      <c r="R281" s="4" t="s">
        <v>3869</v>
      </c>
    </row>
    <row r="282">
      <c r="A282" s="4" t="s">
        <v>44</v>
      </c>
      <c r="B282" s="4" t="s">
        <v>44</v>
      </c>
      <c r="C282" s="4">
        <v>281.0</v>
      </c>
      <c r="D282" s="13" t="str">
        <f>HYPERLINK("https://www.linkedin.com/ad-library/detail/1140155924","Open Ad")</f>
        <v>Open Ad</v>
      </c>
      <c r="E282" s="4" t="s">
        <v>91</v>
      </c>
      <c r="F282" s="4" t="s">
        <v>3806</v>
      </c>
      <c r="G282" s="4" t="s">
        <v>3807</v>
      </c>
      <c r="H282" s="4" t="s">
        <v>55</v>
      </c>
      <c r="I282" s="4" t="s">
        <v>985</v>
      </c>
      <c r="J282" s="4" t="s">
        <v>91</v>
      </c>
      <c r="K282" s="13" t="str">
        <f>HYPERLINK("https://media.licdn.com/dms/image/v2/D4E10AQHeXThouz6cCA/image-shrink_1280/B4EZwzPjXTJAAc-/0/1770386242873/Open-Role-Senior-Backend-Developer-7680-43201png?e=2147483647&amp;v=beta&amp;t=Jma1j_Rt0TPe_mecEeMqARxW8bzdtVQcqXw1Cmi0Z8A","Open Creative")</f>
        <v>Open Creative</v>
      </c>
      <c r="L282" s="4" t="s">
        <v>131</v>
      </c>
      <c r="M282" s="4" t="s">
        <v>63</v>
      </c>
      <c r="N282" s="4" t="s">
        <v>132</v>
      </c>
      <c r="O282" s="2" t="s">
        <v>132</v>
      </c>
      <c r="P282" s="2">
        <v>1.140155924E9</v>
      </c>
      <c r="Q282" s="2" t="s">
        <v>68</v>
      </c>
      <c r="R282" s="4" t="s">
        <v>3881</v>
      </c>
    </row>
    <row r="283">
      <c r="A283" s="4" t="s">
        <v>44</v>
      </c>
      <c r="B283" s="4" t="s">
        <v>44</v>
      </c>
      <c r="C283" s="4">
        <v>282.0</v>
      </c>
      <c r="D283" s="13" t="str">
        <f>HYPERLINK("https://www.linkedin.com/ad-library/detail/1147393894","Open Ad")</f>
        <v>Open Ad</v>
      </c>
      <c r="E283" s="4" t="s">
        <v>91</v>
      </c>
      <c r="F283" s="4" t="s">
        <v>3079</v>
      </c>
      <c r="G283" s="4" t="s">
        <v>664</v>
      </c>
      <c r="H283" s="4" t="s">
        <v>55</v>
      </c>
      <c r="I283" s="4" t="s">
        <v>228</v>
      </c>
      <c r="J283" s="4" t="s">
        <v>91</v>
      </c>
      <c r="K283" s="13" t="str">
        <f>HYPERLINK("https://media.licdn.com/dms/image/v2/D4E10AQEFeakBi16dHA/image-shrink_1280/B4EZvG5.vFHoAc-/0/1768568647134/1200x1200png?e=2147483647&amp;v=beta&amp;t=7dHuq2lrn8oY8Rglcc4eZaMBizQmKMVa5eT2tqpXI2U","Open Creative")</f>
        <v>Open Creative</v>
      </c>
      <c r="L283" s="4" t="s">
        <v>3498</v>
      </c>
      <c r="M283" s="4" t="s">
        <v>63</v>
      </c>
      <c r="N283" s="4" t="s">
        <v>3698</v>
      </c>
      <c r="O283" s="2" t="s">
        <v>132</v>
      </c>
      <c r="P283" s="2">
        <v>1.147393894E9</v>
      </c>
      <c r="Q283" s="2" t="s">
        <v>68</v>
      </c>
      <c r="R283" s="4" t="s">
        <v>3892</v>
      </c>
    </row>
    <row r="284">
      <c r="A284" s="4" t="s">
        <v>44</v>
      </c>
      <c r="B284" s="4" t="s">
        <v>44</v>
      </c>
      <c r="C284" s="4">
        <v>283.0</v>
      </c>
      <c r="D284" s="13" t="str">
        <f>HYPERLINK("https://www.linkedin.com/ad-library/detail/1146708204","Open Ad")</f>
        <v>Open Ad</v>
      </c>
      <c r="E284" s="4" t="s">
        <v>91</v>
      </c>
      <c r="F284" s="4" t="s">
        <v>3079</v>
      </c>
      <c r="G284" s="4" t="s">
        <v>664</v>
      </c>
      <c r="H284" s="4" t="s">
        <v>55</v>
      </c>
      <c r="I284" s="4" t="s">
        <v>228</v>
      </c>
      <c r="J284" s="4" t="s">
        <v>91</v>
      </c>
      <c r="K284" s="13" t="str">
        <f>HYPERLINK("https://media.licdn.com/dms/image/v2/D4E10AQF65IrenmbttA/image-shrink_1280/B4EZvG6FZkIkAc-/0/1768568674385/1200x1200png?e=2147483647&amp;v=beta&amp;t=RhnM6wXZDszpR3ZtD8-aHceeYdQmbNH4RbmbhW1kBiU","Open Creative")</f>
        <v>Open Creative</v>
      </c>
      <c r="L284" s="4" t="s">
        <v>3498</v>
      </c>
      <c r="M284" s="4" t="s">
        <v>63</v>
      </c>
      <c r="N284" s="4" t="s">
        <v>3698</v>
      </c>
      <c r="O284" s="2" t="s">
        <v>132</v>
      </c>
      <c r="P284" s="2">
        <v>1.146708204E9</v>
      </c>
      <c r="Q284" s="2" t="s">
        <v>68</v>
      </c>
      <c r="R284" s="4" t="s">
        <v>3903</v>
      </c>
    </row>
    <row r="285">
      <c r="A285" s="4" t="s">
        <v>44</v>
      </c>
      <c r="B285" s="4" t="s">
        <v>44</v>
      </c>
      <c r="C285" s="4">
        <v>284.0</v>
      </c>
      <c r="D285" s="13" t="str">
        <f>HYPERLINK("https://www.linkedin.com/ad-library/detail/1138656134","Open Ad")</f>
        <v>Open Ad</v>
      </c>
      <c r="E285" s="4" t="s">
        <v>91</v>
      </c>
      <c r="F285" s="4" t="s">
        <v>3806</v>
      </c>
      <c r="G285" s="4" t="s">
        <v>3807</v>
      </c>
      <c r="H285" s="4" t="s">
        <v>55</v>
      </c>
      <c r="I285" s="4" t="s">
        <v>985</v>
      </c>
      <c r="J285" s="4" t="s">
        <v>91</v>
      </c>
      <c r="K285" s="13" t="str">
        <f>HYPERLINK("https://media.licdn.com/dms/image/v2/D4E10AQGRHk9ik44JOg/image-shrink_1280/B4EZwzPjWcGkAc-/0/1770386241727/Open-Role-Senior-Backend-Developer-2430-43201png?e=2147483647&amp;v=beta&amp;t=SFeTGSabO9tqxbFdriI6Zz1_2rdl8rJWQpZw_GOfxaY","Open Creative")</f>
        <v>Open Creative</v>
      </c>
      <c r="L285" s="4" t="s">
        <v>131</v>
      </c>
      <c r="M285" s="4" t="s">
        <v>63</v>
      </c>
      <c r="N285" s="4" t="s">
        <v>132</v>
      </c>
      <c r="O285" s="2" t="s">
        <v>132</v>
      </c>
      <c r="P285" s="2">
        <v>1.138656134E9</v>
      </c>
      <c r="Q285" s="2" t="s">
        <v>68</v>
      </c>
      <c r="R285" s="4" t="s">
        <v>3917</v>
      </c>
    </row>
    <row r="286">
      <c r="A286" s="4" t="s">
        <v>44</v>
      </c>
      <c r="B286" s="4" t="s">
        <v>44</v>
      </c>
      <c r="C286" s="4">
        <v>285.0</v>
      </c>
      <c r="D286" s="13" t="str">
        <f>HYPERLINK("https://www.linkedin.com/ad-library/detail/1146807124","Open Ad")</f>
        <v>Open Ad</v>
      </c>
      <c r="E286" s="4" t="s">
        <v>91</v>
      </c>
      <c r="F286" s="4" t="s">
        <v>3183</v>
      </c>
      <c r="G286" s="4" t="s">
        <v>3184</v>
      </c>
      <c r="H286" s="4" t="s">
        <v>55</v>
      </c>
      <c r="I286" s="4" t="s">
        <v>985</v>
      </c>
      <c r="J286" s="4" t="s">
        <v>91</v>
      </c>
      <c r="K286" s="13" t="str">
        <f>HYPERLINK("https://media.licdn.com/dms/image/v2/D4E10AQHS227M_FtxVg/image-shrink_1280/B4EZznPk0dIEAg-/0/1773406147233/Open-Role-Senior-Manager-Consulting-Services-7680-4320png?e=2147483647&amp;v=beta&amp;t=xg48m_5lT91mW_q3tQS6DpZYscunm4RmTT6d8VMNxzo","Open Creative")</f>
        <v>Open Creative</v>
      </c>
      <c r="L286" s="4" t="s">
        <v>131</v>
      </c>
      <c r="M286" s="4" t="s">
        <v>63</v>
      </c>
      <c r="N286" s="4" t="s">
        <v>132</v>
      </c>
      <c r="O286" s="2" t="s">
        <v>132</v>
      </c>
      <c r="P286" s="2">
        <v>1.146807124E9</v>
      </c>
      <c r="Q286" s="2" t="s">
        <v>68</v>
      </c>
      <c r="R286" s="4" t="s">
        <v>3930</v>
      </c>
    </row>
    <row r="287">
      <c r="A287" s="4" t="s">
        <v>44</v>
      </c>
      <c r="B287" s="4" t="s">
        <v>44</v>
      </c>
      <c r="C287" s="4">
        <v>286.0</v>
      </c>
      <c r="D287" s="13" t="str">
        <f>HYPERLINK("https://www.linkedin.com/ad-library/detail/1141506014","Open Ad")</f>
        <v>Open Ad</v>
      </c>
      <c r="E287" s="4" t="s">
        <v>91</v>
      </c>
      <c r="F287" s="4" t="s">
        <v>3340</v>
      </c>
      <c r="G287" s="4" t="s">
        <v>3841</v>
      </c>
      <c r="H287" s="4" t="s">
        <v>55</v>
      </c>
      <c r="I287" s="4" t="s">
        <v>985</v>
      </c>
      <c r="J287" s="4" t="s">
        <v>91</v>
      </c>
      <c r="K287" s="13" t="str">
        <f>HYPERLINK("https://media.licdn.com/dms/image/v2/D4E10AQFIGrbTtbMtZA/image-shrink_1280/B4EZxSILwsHMAc-/0/1770904403667/Open-Role-Senior-QA-Automation-Engineer-2430-4320png?e=2147483647&amp;v=beta&amp;t=DTs5B99ExYZ6GtR3VlEHzFRQ8iNFC0MV0bZCJvXSknc","Open Creative")</f>
        <v>Open Creative</v>
      </c>
      <c r="L287" s="4" t="s">
        <v>62</v>
      </c>
      <c r="M287" s="4" t="s">
        <v>63</v>
      </c>
      <c r="N287" s="4" t="s">
        <v>3940</v>
      </c>
      <c r="O287" s="2" t="s">
        <v>132</v>
      </c>
      <c r="P287" s="2">
        <v>1.141506014E9</v>
      </c>
      <c r="Q287" s="2" t="s">
        <v>68</v>
      </c>
      <c r="R287" s="4" t="s">
        <v>3941</v>
      </c>
    </row>
    <row r="288">
      <c r="A288" s="4" t="s">
        <v>44</v>
      </c>
      <c r="B288" s="4" t="s">
        <v>44</v>
      </c>
      <c r="C288" s="4">
        <v>287.0</v>
      </c>
      <c r="D288" s="13" t="str">
        <f>HYPERLINK("https://www.linkedin.com/ad-library/detail/1144200054","Open Ad")</f>
        <v>Open Ad</v>
      </c>
      <c r="E288" s="4" t="s">
        <v>91</v>
      </c>
      <c r="F288" s="4" t="s">
        <v>3340</v>
      </c>
      <c r="G288" s="4" t="s">
        <v>3841</v>
      </c>
      <c r="H288" s="4" t="s">
        <v>55</v>
      </c>
      <c r="I288" s="4" t="s">
        <v>985</v>
      </c>
      <c r="J288" s="4" t="s">
        <v>91</v>
      </c>
      <c r="K288" s="13" t="str">
        <f>HYPERLINK("https://media.licdn.com/dms/image/v2/D4E10AQHTMwVBJvXU8A/image-shrink_1280/B4EZxSILxoIgAc-/0/1770904404676/Open-Role-Senior-QA-Automation-Engineer-7680-4320png?e=2147483647&amp;v=beta&amp;t=AMQ5Nb1Am100-4UXokEAIHF_Ns2kz3wtVi1QEERogR0","Open Creative")</f>
        <v>Open Creative</v>
      </c>
      <c r="L288" s="4" t="s">
        <v>62</v>
      </c>
      <c r="M288" s="4" t="s">
        <v>63</v>
      </c>
      <c r="N288" s="4" t="s">
        <v>3940</v>
      </c>
      <c r="O288" s="2" t="s">
        <v>132</v>
      </c>
      <c r="P288" s="2">
        <v>1.144200054E9</v>
      </c>
      <c r="Q288" s="2" t="s">
        <v>68</v>
      </c>
      <c r="R288" s="4" t="s">
        <v>3953</v>
      </c>
    </row>
    <row r="289">
      <c r="A289" s="4" t="s">
        <v>44</v>
      </c>
      <c r="B289" s="4" t="s">
        <v>44</v>
      </c>
      <c r="C289" s="4">
        <v>288.0</v>
      </c>
      <c r="D289" s="13" t="str">
        <f>HYPERLINK("https://www.linkedin.com/ad-library/detail/1144003544","Open Ad")</f>
        <v>Open Ad</v>
      </c>
      <c r="E289" s="4" t="s">
        <v>91</v>
      </c>
      <c r="F289" s="4" t="s">
        <v>3661</v>
      </c>
      <c r="G289" s="4" t="s">
        <v>3663</v>
      </c>
      <c r="H289" s="4" t="s">
        <v>55</v>
      </c>
      <c r="I289" s="4" t="s">
        <v>985</v>
      </c>
      <c r="J289" s="4" t="s">
        <v>91</v>
      </c>
      <c r="K289" s="13" t="str">
        <f>HYPERLINK("https://media.licdn.com/dms/image/v2/D4E10AQEbCt8hIIJCpQ/image-shrink_1280/B4EZxSNoiCHQAc-/0/1770905832378/Open-Role-Programmatic-Display-Lead-2430-4320png?e=2147483647&amp;v=beta&amp;t=t9eNavcBpVT25_sd6C263brO5Fpe20yeVLUHVGyIUQQ","Open Creative")</f>
        <v>Open Creative</v>
      </c>
      <c r="L289" s="4" t="s">
        <v>62</v>
      </c>
      <c r="M289" s="4" t="s">
        <v>63</v>
      </c>
      <c r="N289" s="4" t="s">
        <v>3670</v>
      </c>
      <c r="O289" s="2" t="s">
        <v>132</v>
      </c>
      <c r="P289" s="2">
        <v>1.144003544E9</v>
      </c>
      <c r="Q289" s="2" t="s">
        <v>68</v>
      </c>
      <c r="R289" s="4" t="s">
        <v>3968</v>
      </c>
    </row>
    <row r="290">
      <c r="A290" s="4" t="s">
        <v>44</v>
      </c>
      <c r="B290" s="4" t="s">
        <v>44</v>
      </c>
      <c r="C290" s="4">
        <v>289.0</v>
      </c>
      <c r="D290" s="13" t="str">
        <f>HYPERLINK("https://www.linkedin.com/ad-library/detail/1080998354","Open Ad")</f>
        <v>Open Ad</v>
      </c>
      <c r="E290" s="4" t="s">
        <v>154</v>
      </c>
      <c r="F290" s="4" t="s">
        <v>3970</v>
      </c>
      <c r="G290" s="4" t="s">
        <v>3972</v>
      </c>
      <c r="H290" s="4" t="s">
        <v>55</v>
      </c>
      <c r="I290" s="4" t="s">
        <v>985</v>
      </c>
      <c r="J290" s="4" t="s">
        <v>154</v>
      </c>
      <c r="K290" s="13" t="str">
        <f>HYPERLINK("https://dms.licdn.com/playlist/vid/v2/D4E10AQG-1-VCiHOiCg/progressive-servable-video/B4EZtG.Ip1HcAk-/0/1766422253306/UGCSEMRUSHVideoEOY16x9mp4?e=2147483647&amp;v=beta&amp;t=d4QqDVRn7Q1a-DO7RkjZidOmy-_VXmQRCoYJt9k1siQ","Open Creative")</f>
        <v>Open Creative</v>
      </c>
      <c r="L290" s="4" t="s">
        <v>62</v>
      </c>
      <c r="M290" s="4" t="s">
        <v>63</v>
      </c>
      <c r="N290" s="4" t="s">
        <v>3981</v>
      </c>
      <c r="O290" s="2" t="s">
        <v>132</v>
      </c>
      <c r="P290" s="2">
        <v>1.080998354E9</v>
      </c>
      <c r="Q290" s="2" t="s">
        <v>68</v>
      </c>
      <c r="R290" s="4" t="s">
        <v>3982</v>
      </c>
    </row>
    <row r="291">
      <c r="A291" s="4" t="s">
        <v>44</v>
      </c>
      <c r="B291" s="4" t="s">
        <v>44</v>
      </c>
      <c r="C291" s="4">
        <v>290.0</v>
      </c>
      <c r="D291" s="13" t="str">
        <f>HYPERLINK("https://www.linkedin.com/ad-library/detail/1128383944","Open Ad")</f>
        <v>Open Ad</v>
      </c>
      <c r="E291" s="4" t="s">
        <v>91</v>
      </c>
      <c r="F291" s="4" t="s">
        <v>3097</v>
      </c>
      <c r="G291" s="4" t="s">
        <v>3986</v>
      </c>
      <c r="H291" s="4" t="s">
        <v>55</v>
      </c>
      <c r="I291" s="4" t="s">
        <v>985</v>
      </c>
      <c r="J291" s="4" t="s">
        <v>91</v>
      </c>
      <c r="K291" s="13" t="str">
        <f>HYPERLINK("https://media.licdn.com/dms/image/v2/D4E10AQHkaFFEzER7KQ/image-shrink_1280/B4EZvgxZIiGoAc-/0/1769002604067/Open-Role-Onboarding-Consultant-4320-4320png?e=2147483647&amp;v=beta&amp;t=H3RxPMrF8cdG27Kk7MDyHbBDza_1TWdfaMfadp1v-FQ","Open Creative")</f>
        <v>Open Creative</v>
      </c>
      <c r="L291" s="4" t="s">
        <v>62</v>
      </c>
      <c r="M291" s="4" t="s">
        <v>63</v>
      </c>
      <c r="N291" s="4" t="s">
        <v>3994</v>
      </c>
      <c r="O291" s="2" t="s">
        <v>132</v>
      </c>
      <c r="P291" s="2">
        <v>1.128383944E9</v>
      </c>
      <c r="Q291" s="2" t="s">
        <v>68</v>
      </c>
      <c r="R291" s="4" t="s">
        <v>3995</v>
      </c>
    </row>
    <row r="292">
      <c r="A292" s="4" t="s">
        <v>44</v>
      </c>
      <c r="B292" s="4" t="s">
        <v>44</v>
      </c>
      <c r="C292" s="4">
        <v>291.0</v>
      </c>
      <c r="D292" s="13" t="str">
        <f>HYPERLINK("https://www.linkedin.com/ad-library/detail/1081198094","Open Ad")</f>
        <v>Open Ad</v>
      </c>
      <c r="E292" s="4" t="s">
        <v>91</v>
      </c>
      <c r="F292" s="4" t="s">
        <v>3970</v>
      </c>
      <c r="G292" s="4" t="s">
        <v>3972</v>
      </c>
      <c r="H292" s="4" t="s">
        <v>55</v>
      </c>
      <c r="I292" s="4" t="s">
        <v>985</v>
      </c>
      <c r="J292" s="4" t="s">
        <v>91</v>
      </c>
      <c r="K292" s="13" t="str">
        <f>HYPERLINK("https://media.licdn.com/dms/image/v2/D4E10AQEl0a5ve_qCPA/image-shrink_1280/B4EZsSlE2oKkAM-/0/1765543270161/WineverysearchV3png?e=2147483647&amp;v=beta&amp;t=A2rieiMVWN_OAyYtoKqA0anCUH2OByXRSQT2N5XrS_I","Open Creative")</f>
        <v>Open Creative</v>
      </c>
      <c r="L292" s="4" t="s">
        <v>62</v>
      </c>
      <c r="M292" s="4" t="s">
        <v>63</v>
      </c>
      <c r="N292" s="4" t="s">
        <v>3981</v>
      </c>
      <c r="O292" s="2" t="s">
        <v>132</v>
      </c>
      <c r="P292" s="2">
        <v>1.081198094E9</v>
      </c>
      <c r="Q292" s="2" t="s">
        <v>68</v>
      </c>
      <c r="R292" s="4" t="s">
        <v>4010</v>
      </c>
    </row>
    <row r="293">
      <c r="A293" s="4" t="s">
        <v>44</v>
      </c>
      <c r="B293" s="4" t="s">
        <v>44</v>
      </c>
      <c r="C293" s="4">
        <v>292.0</v>
      </c>
      <c r="D293" s="13" t="str">
        <f>HYPERLINK("https://www.linkedin.com/ad-library/detail/1138655914","Open Ad")</f>
        <v>Open Ad</v>
      </c>
      <c r="E293" s="4" t="s">
        <v>91</v>
      </c>
      <c r="F293" s="4" t="s">
        <v>3340</v>
      </c>
      <c r="G293" s="4" t="s">
        <v>4017</v>
      </c>
      <c r="H293" s="4" t="s">
        <v>55</v>
      </c>
      <c r="I293" s="4" t="s">
        <v>985</v>
      </c>
      <c r="J293" s="4" t="s">
        <v>91</v>
      </c>
      <c r="K293" s="13" t="str">
        <f>HYPERLINK("https://media.licdn.com/dms/image/v2/D4E10AQGo4HK09VUQqA/image-shrink_1280/B4EZwzKk3hJAAg-/0/1770384938190/Open-Role-Senior-Golang-Developer-7680-4320png?e=2147483647&amp;v=beta&amp;t=bBnPwTnqP4T6QLOErC_K7hUjzGfgf6r3Iy7XKR5VE-k","Open Creative")</f>
        <v>Open Creative</v>
      </c>
      <c r="L293" s="4" t="s">
        <v>62</v>
      </c>
      <c r="M293" s="4" t="s">
        <v>63</v>
      </c>
      <c r="N293" s="4" t="s">
        <v>4023</v>
      </c>
      <c r="O293" s="2" t="s">
        <v>132</v>
      </c>
      <c r="P293" s="2">
        <v>1.138655914E9</v>
      </c>
      <c r="Q293" s="2" t="s">
        <v>68</v>
      </c>
      <c r="R293" s="4" t="s">
        <v>4024</v>
      </c>
    </row>
    <row r="294">
      <c r="A294" s="4" t="s">
        <v>44</v>
      </c>
      <c r="B294" s="4" t="s">
        <v>44</v>
      </c>
      <c r="C294" s="4">
        <v>293.0</v>
      </c>
      <c r="D294" s="13" t="str">
        <f>HYPERLINK("https://www.linkedin.com/ad-library/detail/1127984604","Open Ad")</f>
        <v>Open Ad</v>
      </c>
      <c r="E294" s="4" t="s">
        <v>91</v>
      </c>
      <c r="F294" s="4" t="s">
        <v>4026</v>
      </c>
      <c r="G294" s="4" t="s">
        <v>4027</v>
      </c>
      <c r="H294" s="4" t="s">
        <v>55</v>
      </c>
      <c r="I294" s="4" t="s">
        <v>985</v>
      </c>
      <c r="J294" s="4" t="s">
        <v>91</v>
      </c>
      <c r="K294" s="13" t="str">
        <f>HYPERLINK("https://media.licdn.com/dms/image/v2/D4E10AQHva5V1SFE0-g/image-shrink_1280/B4EZvg85N9GgAc-/0/1769005619067/Open-Role-Product-PR-Specialist-4320-4320png?e=2147483647&amp;v=beta&amp;t=uMLp4KmmSWj-SSYbb2We3eYlq51ia3y6wS9cSdm0CYk","Open Creative")</f>
        <v>Open Creative</v>
      </c>
      <c r="L294" s="4" t="s">
        <v>62</v>
      </c>
      <c r="M294" s="4" t="s">
        <v>63</v>
      </c>
      <c r="N294" s="4" t="s">
        <v>4034</v>
      </c>
      <c r="O294" s="2" t="s">
        <v>132</v>
      </c>
      <c r="P294" s="2">
        <v>1.127984604E9</v>
      </c>
      <c r="Q294" s="2" t="s">
        <v>68</v>
      </c>
      <c r="R294" s="4" t="s">
        <v>4037</v>
      </c>
    </row>
    <row r="295">
      <c r="A295" s="4" t="s">
        <v>44</v>
      </c>
      <c r="B295" s="4" t="s">
        <v>44</v>
      </c>
      <c r="C295" s="4">
        <v>294.0</v>
      </c>
      <c r="D295" s="13" t="str">
        <f>HYPERLINK("https://www.linkedin.com/ad-library/detail/1123783784","Open Ad")</f>
        <v>Open Ad</v>
      </c>
      <c r="E295" s="4" t="s">
        <v>91</v>
      </c>
      <c r="F295" s="4" t="s">
        <v>3079</v>
      </c>
      <c r="G295" s="4" t="s">
        <v>664</v>
      </c>
      <c r="H295" s="4" t="s">
        <v>55</v>
      </c>
      <c r="I295" s="4" t="s">
        <v>228</v>
      </c>
      <c r="J295" s="4" t="s">
        <v>91</v>
      </c>
      <c r="K295" s="13" t="str">
        <f>HYPERLINK("https://media.licdn.com/dms/image/v2/D4E10AQEFeakBi16dHA/image-shrink_1280/B4EZvG5.vFHoAc-/0/1768568647134/1200x1200png?e=2147483647&amp;v=beta&amp;t=7dHuq2lrn8oY8Rglcc4eZaMBizQmKMVa5eT2tqpXI2U","Open Creative")</f>
        <v>Open Creative</v>
      </c>
      <c r="L295" s="4" t="s">
        <v>3498</v>
      </c>
      <c r="M295" s="4" t="s">
        <v>63</v>
      </c>
      <c r="N295" s="4" t="s">
        <v>4048</v>
      </c>
      <c r="O295" s="2" t="s">
        <v>132</v>
      </c>
      <c r="P295" s="2">
        <v>1.123783784E9</v>
      </c>
      <c r="Q295" s="2" t="s">
        <v>68</v>
      </c>
      <c r="R295" s="4" t="s">
        <v>4049</v>
      </c>
    </row>
    <row r="296">
      <c r="A296" s="4" t="s">
        <v>44</v>
      </c>
      <c r="B296" s="4" t="s">
        <v>44</v>
      </c>
      <c r="C296" s="4">
        <v>295.0</v>
      </c>
      <c r="D296" s="13" t="str">
        <f>HYPERLINK("https://www.linkedin.com/ad-library/detail/1128684764","Open Ad")</f>
        <v>Open Ad</v>
      </c>
      <c r="E296" s="4" t="s">
        <v>91</v>
      </c>
      <c r="F296" s="4" t="s">
        <v>4026</v>
      </c>
      <c r="G296" s="4" t="s">
        <v>4027</v>
      </c>
      <c r="H296" s="4" t="s">
        <v>55</v>
      </c>
      <c r="I296" s="4" t="s">
        <v>985</v>
      </c>
      <c r="J296" s="4" t="s">
        <v>91</v>
      </c>
      <c r="K296" s="13" t="str">
        <f>HYPERLINK("https://media.licdn.com/dms/image/v2/D4E10AQEvY5DRDhfQuw/image-shrink_1280/B4EZvg85PVGwAc-/0/1769005618817/Open-Role-Product-PR-Specialist-2430-4320png?e=2147483647&amp;v=beta&amp;t=GtWZbM9aMK_oMBVecjcsRpU-Ss5RKoo8kssxhFSPCcE","Open Creative")</f>
        <v>Open Creative</v>
      </c>
      <c r="L296" s="4" t="s">
        <v>62</v>
      </c>
      <c r="M296" s="4" t="s">
        <v>63</v>
      </c>
      <c r="N296" s="4" t="s">
        <v>3994</v>
      </c>
      <c r="O296" s="2" t="s">
        <v>132</v>
      </c>
      <c r="P296" s="2">
        <v>1.128684764E9</v>
      </c>
      <c r="Q296" s="2" t="s">
        <v>68</v>
      </c>
      <c r="R296" s="4" t="s">
        <v>4061</v>
      </c>
    </row>
    <row r="297">
      <c r="A297" s="4" t="s">
        <v>44</v>
      </c>
      <c r="B297" s="4" t="s">
        <v>44</v>
      </c>
      <c r="C297" s="4">
        <v>296.0</v>
      </c>
      <c r="D297" s="13" t="str">
        <f>HYPERLINK("https://www.linkedin.com/ad-library/detail/1081894434","Open Ad")</f>
        <v>Open Ad</v>
      </c>
      <c r="E297" s="4" t="s">
        <v>91</v>
      </c>
      <c r="F297" s="4" t="s">
        <v>3970</v>
      </c>
      <c r="G297" s="4" t="s">
        <v>4064</v>
      </c>
      <c r="H297" s="4" t="s">
        <v>55</v>
      </c>
      <c r="I297" s="4" t="s">
        <v>57</v>
      </c>
      <c r="J297" s="4" t="s">
        <v>91</v>
      </c>
      <c r="K297" s="13" t="str">
        <f>HYPERLINK("https://media.licdn.com/dms/image/v2/D4E10AQEv6svmdRRqNQ/image-shrink_1280/B4EZsSkcJYKcAM-/0/1765543102430/ComebackV4png?e=2147483647&amp;v=beta&amp;t=zctG_0F6xiwZF1gcEzm32euoxNPFljssyeTrHvWtpLI","Open Creative")</f>
        <v>Open Creative</v>
      </c>
      <c r="L297" s="4" t="s">
        <v>62</v>
      </c>
      <c r="M297" s="4" t="s">
        <v>63</v>
      </c>
      <c r="N297" s="4" t="s">
        <v>3981</v>
      </c>
      <c r="O297" s="2" t="s">
        <v>132</v>
      </c>
      <c r="P297" s="2">
        <v>1.081894434E9</v>
      </c>
      <c r="Q297" s="2" t="s">
        <v>68</v>
      </c>
      <c r="R297" s="4" t="s">
        <v>4074</v>
      </c>
    </row>
    <row r="298">
      <c r="A298" s="4" t="s">
        <v>44</v>
      </c>
      <c r="B298" s="4" t="s">
        <v>44</v>
      </c>
      <c r="C298" s="4">
        <v>297.0</v>
      </c>
      <c r="D298" s="13" t="str">
        <f>HYPERLINK("https://www.linkedin.com/ad-library/detail/1078004664","Open Ad")</f>
        <v>Open Ad</v>
      </c>
      <c r="E298" s="4" t="s">
        <v>91</v>
      </c>
      <c r="F298" s="4" t="s">
        <v>3970</v>
      </c>
      <c r="G298" s="4" t="s">
        <v>4064</v>
      </c>
      <c r="H298" s="4" t="s">
        <v>55</v>
      </c>
      <c r="I298" s="4" t="s">
        <v>57</v>
      </c>
      <c r="J298" s="4" t="s">
        <v>91</v>
      </c>
      <c r="K298" s="13" t="str">
        <f>HYPERLINK("https://media.licdn.com/dms/image/v2/D4E10AQHeDIx4kcXdKA/image-shrink_1280/B4EZsShBl_HcAU-/0/1765542208122/ComebackV1png?e=2147483647&amp;v=beta&amp;t=myDwZIqhPXgPHSh113Chrbyf5mUgWH1I3NJo2y_cvTg","Open Creative")</f>
        <v>Open Creative</v>
      </c>
      <c r="L298" s="4" t="s">
        <v>62</v>
      </c>
      <c r="M298" s="4" t="s">
        <v>63</v>
      </c>
      <c r="N298" s="4" t="s">
        <v>3981</v>
      </c>
      <c r="O298" s="2" t="s">
        <v>132</v>
      </c>
      <c r="P298" s="2">
        <v>1.078004664E9</v>
      </c>
      <c r="Q298" s="2" t="s">
        <v>68</v>
      </c>
      <c r="R298" s="4" t="s">
        <v>4083</v>
      </c>
    </row>
    <row r="299">
      <c r="A299" s="4" t="s">
        <v>44</v>
      </c>
      <c r="B299" s="4" t="s">
        <v>44</v>
      </c>
      <c r="C299" s="4">
        <v>298.0</v>
      </c>
      <c r="D299" s="13" t="str">
        <f>HYPERLINK("https://www.linkedin.com/ad-library/detail/1081597444","Open Ad")</f>
        <v>Open Ad</v>
      </c>
      <c r="E299" s="4" t="s">
        <v>91</v>
      </c>
      <c r="F299" s="4" t="s">
        <v>3970</v>
      </c>
      <c r="G299" s="4" t="s">
        <v>4064</v>
      </c>
      <c r="H299" s="4" t="s">
        <v>55</v>
      </c>
      <c r="I299" s="4" t="s">
        <v>57</v>
      </c>
      <c r="J299" s="4" t="s">
        <v>91</v>
      </c>
      <c r="K299" s="13" t="str">
        <f>HYPERLINK("https://media.licdn.com/dms/image/v2/D4E10AQGWKuqn0S3ZJw/image-shrink_1280/B4EZsSiTvOKUAM-/0/1765542543688/ComebackV2png?e=2147483647&amp;v=beta&amp;t=xyiRjQTvsU2K1zr2MF6MlffvSlA1j8_HscZKvo8n6ME","Open Creative")</f>
        <v>Open Creative</v>
      </c>
      <c r="L299" s="4" t="s">
        <v>62</v>
      </c>
      <c r="M299" s="4" t="s">
        <v>63</v>
      </c>
      <c r="N299" s="4" t="s">
        <v>3981</v>
      </c>
      <c r="O299" s="2" t="s">
        <v>132</v>
      </c>
      <c r="P299" s="2">
        <v>1.081597444E9</v>
      </c>
      <c r="Q299" s="2" t="s">
        <v>68</v>
      </c>
      <c r="R299" s="4" t="s">
        <v>4096</v>
      </c>
    </row>
    <row r="300">
      <c r="A300" s="4" t="s">
        <v>44</v>
      </c>
      <c r="B300" s="4" t="s">
        <v>44</v>
      </c>
      <c r="C300" s="4">
        <v>299.0</v>
      </c>
      <c r="D300" s="13" t="str">
        <f>HYPERLINK("https://www.linkedin.com/ad-library/detail/1082091654","Open Ad")</f>
        <v>Open Ad</v>
      </c>
      <c r="E300" s="4" t="s">
        <v>154</v>
      </c>
      <c r="F300" s="4" t="s">
        <v>3970</v>
      </c>
      <c r="G300" s="4" t="s">
        <v>3972</v>
      </c>
      <c r="H300" s="4" t="s">
        <v>55</v>
      </c>
      <c r="I300" s="4" t="s">
        <v>985</v>
      </c>
      <c r="J300" s="4" t="s">
        <v>154</v>
      </c>
      <c r="K300" s="13" t="str">
        <f>HYPERLINK("https://dms.licdn.com/playlist/vid/v2/D4E10AQE05lyU38SRQA/mp4-720p-30fp-crf28/B4EZtG9S8KGQCY-/0/1766422035393/UGCSEMRUSHVideoEOY1x1mp4?e=2147483647&amp;v=beta&amp;t=vq6oIbU8t7vyDMoAbOgHAXT1j-csdxV8ulUfjri1G4c","Open Creative")</f>
        <v>Open Creative</v>
      </c>
      <c r="L300" s="4" t="s">
        <v>62</v>
      </c>
      <c r="M300" s="4" t="s">
        <v>63</v>
      </c>
      <c r="N300" s="4" t="s">
        <v>3981</v>
      </c>
      <c r="O300" s="2" t="s">
        <v>132</v>
      </c>
      <c r="P300" s="2">
        <v>1.082091654E9</v>
      </c>
      <c r="Q300" s="2" t="s">
        <v>68</v>
      </c>
      <c r="R300" s="4" t="s">
        <v>4108</v>
      </c>
    </row>
    <row r="301">
      <c r="A301" s="4" t="s">
        <v>44</v>
      </c>
      <c r="B301" s="4" t="s">
        <v>44</v>
      </c>
      <c r="C301" s="4">
        <v>300.0</v>
      </c>
      <c r="D301" s="13" t="str">
        <f>HYPERLINK("https://www.linkedin.com/ad-library/detail/1138255854","Open Ad")</f>
        <v>Open Ad</v>
      </c>
      <c r="E301" s="4" t="s">
        <v>91</v>
      </c>
      <c r="F301" s="4" t="s">
        <v>4026</v>
      </c>
      <c r="G301" s="4" t="s">
        <v>4115</v>
      </c>
      <c r="H301" s="4" t="s">
        <v>55</v>
      </c>
      <c r="I301" s="4" t="s">
        <v>985</v>
      </c>
      <c r="J301" s="4" t="s">
        <v>91</v>
      </c>
      <c r="K301" s="13" t="str">
        <f>HYPERLINK("https://media.licdn.com/dms/image/v2/D4E10AQFqg2r9mro9CA/image-shrink_1280/B4EZwzGxZRI0Ac-/0/1770383940133/Open-Role-Senior-Cloud-Engineer-4320-4320png?e=2147483647&amp;v=beta&amp;t=DH07ASWw1NASh48uzLS4UeDowpdoJXtQZIoHBdjS26U","Open Creative")</f>
        <v>Open Creative</v>
      </c>
      <c r="L301" s="4" t="s">
        <v>62</v>
      </c>
      <c r="M301" s="4" t="s">
        <v>63</v>
      </c>
      <c r="N301" s="4" t="s">
        <v>4130</v>
      </c>
      <c r="O301" s="2" t="s">
        <v>132</v>
      </c>
      <c r="P301" s="2">
        <v>1.138255854E9</v>
      </c>
      <c r="Q301" s="2" t="s">
        <v>68</v>
      </c>
      <c r="R301" s="4" t="s">
        <v>4131</v>
      </c>
    </row>
    <row r="302">
      <c r="A302" s="4" t="s">
        <v>44</v>
      </c>
      <c r="B302" s="4" t="s">
        <v>44</v>
      </c>
      <c r="C302" s="4">
        <v>301.0</v>
      </c>
      <c r="D302" s="13" t="str">
        <f>HYPERLINK("https://www.linkedin.com/ad-library/detail/1128383954","Open Ad")</f>
        <v>Open Ad</v>
      </c>
      <c r="E302" s="4" t="s">
        <v>91</v>
      </c>
      <c r="F302" s="4" t="s">
        <v>3097</v>
      </c>
      <c r="G302" s="4" t="s">
        <v>3986</v>
      </c>
      <c r="H302" s="4" t="s">
        <v>55</v>
      </c>
      <c r="I302" s="4" t="s">
        <v>985</v>
      </c>
      <c r="J302" s="4" t="s">
        <v>91</v>
      </c>
      <c r="K302" s="13" t="str">
        <f>HYPERLINK("https://media.licdn.com/dms/image/v2/D4E10AQGUrUMSoPjfKQ/image-shrink_1280/B4EZvgxZFwJAAg-/0/1769002603532/Open-Role-Onboarding-Consultant-2430-4320png?e=2147483647&amp;v=beta&amp;t=W_YichP_XmW024mPNrIaI9Lyqmdt39L82PRHzuyx75I","Open Creative")</f>
        <v>Open Creative</v>
      </c>
      <c r="L302" s="4" t="s">
        <v>62</v>
      </c>
      <c r="M302" s="4" t="s">
        <v>63</v>
      </c>
      <c r="N302" s="4" t="s">
        <v>3994</v>
      </c>
      <c r="O302" s="2" t="s">
        <v>132</v>
      </c>
      <c r="P302" s="2">
        <v>1.128383954E9</v>
      </c>
      <c r="Q302" s="2" t="s">
        <v>68</v>
      </c>
      <c r="R302" s="4" t="s">
        <v>4144</v>
      </c>
    </row>
    <row r="303">
      <c r="A303" s="4" t="s">
        <v>44</v>
      </c>
      <c r="B303" s="4" t="s">
        <v>44</v>
      </c>
      <c r="C303" s="4">
        <v>302.0</v>
      </c>
      <c r="D303" s="13" t="str">
        <f>HYPERLINK("https://www.linkedin.com/ad-library/detail/1093783584","Open Ad")</f>
        <v>Open Ad</v>
      </c>
      <c r="E303" s="4" t="s">
        <v>91</v>
      </c>
      <c r="F303" s="4" t="s">
        <v>3079</v>
      </c>
      <c r="G303" s="4" t="s">
        <v>664</v>
      </c>
      <c r="H303" s="4" t="s">
        <v>55</v>
      </c>
      <c r="I303" s="4" t="s">
        <v>228</v>
      </c>
      <c r="J303" s="4" t="s">
        <v>91</v>
      </c>
      <c r="K303" s="13" t="str">
        <f>HYPERLINK("https://media.licdn.com/dms/image/v2/D4E10AQHynFNJPFFQeQ/image-shrink_1280/B4EZvG6LdmJ4Ac-/0/1768568699237/Featureyourbrand?e=2147483647&amp;v=beta&amp;t=9EQZcmOSV1nDZCnM4-yMCbcShWmyziraZHFdOsN21Pc","Open Creative")</f>
        <v>Open Creative</v>
      </c>
      <c r="L303" s="4" t="s">
        <v>3498</v>
      </c>
      <c r="M303" s="4" t="s">
        <v>63</v>
      </c>
      <c r="N303" s="4" t="s">
        <v>4048</v>
      </c>
      <c r="O303" s="2" t="s">
        <v>132</v>
      </c>
      <c r="P303" s="2">
        <v>1.093783584E9</v>
      </c>
      <c r="Q303" s="2" t="s">
        <v>68</v>
      </c>
      <c r="R303" s="4" t="s">
        <v>4154</v>
      </c>
    </row>
    <row r="304">
      <c r="A304" s="4" t="s">
        <v>44</v>
      </c>
      <c r="B304" s="4" t="s">
        <v>44</v>
      </c>
      <c r="C304" s="4">
        <v>303.0</v>
      </c>
      <c r="D304" s="13" t="str">
        <f>HYPERLINK("https://www.linkedin.com/ad-library/detail/1127883654","Open Ad")</f>
        <v>Open Ad</v>
      </c>
      <c r="E304" s="4" t="s">
        <v>91</v>
      </c>
      <c r="F304" s="4" t="s">
        <v>4159</v>
      </c>
      <c r="G304" s="4" t="s">
        <v>4160</v>
      </c>
      <c r="H304" s="4" t="s">
        <v>55</v>
      </c>
      <c r="I304" s="4" t="s">
        <v>2767</v>
      </c>
      <c r="J304" s="4" t="s">
        <v>91</v>
      </c>
      <c r="K304" s="13" t="str">
        <f>HYPERLINK("https://media.licdn.com/dms/image/v2/D4E10AQHUrJVQXeAGvA/image-shrink_1280/B4EZvgjerrKsAc-/0/1768998957365/Open-Role-Customer-Success-Manager-7680-4320png?e=2147483647&amp;v=beta&amp;t=Aiwj4ngXJfRiYrJtO_koDkvb2iCGQDF_LtFvFzSV8og","Open Creative")</f>
        <v>Open Creative</v>
      </c>
      <c r="L304" s="4" t="s">
        <v>62</v>
      </c>
      <c r="M304" s="4" t="s">
        <v>63</v>
      </c>
      <c r="N304" s="4" t="s">
        <v>4171</v>
      </c>
      <c r="O304" s="2" t="s">
        <v>132</v>
      </c>
      <c r="P304" s="2">
        <v>1.127883654E9</v>
      </c>
      <c r="Q304" s="2" t="s">
        <v>68</v>
      </c>
      <c r="R304" s="4" t="s">
        <v>4173</v>
      </c>
    </row>
    <row r="305">
      <c r="A305" s="4" t="s">
        <v>44</v>
      </c>
      <c r="B305" s="4" t="s">
        <v>44</v>
      </c>
      <c r="C305" s="4">
        <v>304.0</v>
      </c>
      <c r="D305" s="13" t="str">
        <f>HYPERLINK("https://www.linkedin.com/ad-library/detail/1128402014","Open Ad")</f>
        <v>Open Ad</v>
      </c>
      <c r="E305" s="4" t="s">
        <v>91</v>
      </c>
      <c r="F305" s="4" t="s">
        <v>3492</v>
      </c>
      <c r="G305" s="4" t="s">
        <v>3493</v>
      </c>
      <c r="H305" s="4" t="s">
        <v>55</v>
      </c>
      <c r="I305" s="4" t="s">
        <v>1758</v>
      </c>
      <c r="J305" s="4" t="s">
        <v>91</v>
      </c>
      <c r="K305" s="13" t="str">
        <f>HYPERLINK("https://media.licdn.com/dms/image/v2/D4E10AQG-fU8aP0tLBA/image-shrink_1280/B4EZvrU2H0GwAc-/0/1769179669553/AIO-in-the-Wild-022png?e=2147483647&amp;v=beta&amp;t=bAFq8JWoniFLVQJHChEH-bXWPKxS2NkIsopqoDJBkJ0","Open Creative")</f>
        <v>Open Creative</v>
      </c>
      <c r="L305" s="4" t="s">
        <v>3498</v>
      </c>
      <c r="M305" s="4" t="s">
        <v>63</v>
      </c>
      <c r="N305" s="4" t="s">
        <v>4187</v>
      </c>
      <c r="O305" s="2" t="s">
        <v>132</v>
      </c>
      <c r="P305" s="2">
        <v>1.128402014E9</v>
      </c>
      <c r="Q305" s="2" t="s">
        <v>68</v>
      </c>
      <c r="R305" s="4" t="s">
        <v>4189</v>
      </c>
    </row>
    <row r="306">
      <c r="A306" s="4" t="s">
        <v>44</v>
      </c>
      <c r="B306" s="4" t="s">
        <v>44</v>
      </c>
      <c r="C306" s="4">
        <v>305.0</v>
      </c>
      <c r="D306" s="13" t="str">
        <f>HYPERLINK("https://www.linkedin.com/ad-library/detail/1077204774","Open Ad")</f>
        <v>Open Ad</v>
      </c>
      <c r="E306" s="4" t="s">
        <v>91</v>
      </c>
      <c r="F306" s="4" t="s">
        <v>3970</v>
      </c>
      <c r="G306" s="4" t="s">
        <v>4064</v>
      </c>
      <c r="H306" s="4" t="s">
        <v>55</v>
      </c>
      <c r="I306" s="4" t="s">
        <v>57</v>
      </c>
      <c r="J306" s="4" t="s">
        <v>91</v>
      </c>
      <c r="K306" s="13" t="str">
        <f>HYPERLINK("https://media.licdn.com/dms/image/v2/D4E10AQFmGc-u4f8TzQ/image-shrink_1280/B4EZsSis4iKUAM-/0/1765542646502/ComebackV3png?e=2147483647&amp;v=beta&amp;t=HpXzAu9jQ_RMbwFn95--WGuO3hY-0Jlkmtvqn9iorw8","Open Creative")</f>
        <v>Open Creative</v>
      </c>
      <c r="L306" s="4" t="s">
        <v>62</v>
      </c>
      <c r="M306" s="4" t="s">
        <v>63</v>
      </c>
      <c r="N306" s="4" t="s">
        <v>3981</v>
      </c>
      <c r="O306" s="2" t="s">
        <v>132</v>
      </c>
      <c r="P306" s="2">
        <v>1.077204774E9</v>
      </c>
      <c r="Q306" s="2" t="s">
        <v>68</v>
      </c>
      <c r="R306" s="4" t="s">
        <v>4200</v>
      </c>
    </row>
    <row r="307">
      <c r="A307" s="4" t="s">
        <v>44</v>
      </c>
      <c r="B307" s="4" t="s">
        <v>44</v>
      </c>
      <c r="C307" s="4">
        <v>306.0</v>
      </c>
      <c r="D307" s="13" t="str">
        <f>HYPERLINK("https://www.linkedin.com/ad-library/detail/1131281894","Open Ad")</f>
        <v>Open Ad</v>
      </c>
      <c r="E307" s="4" t="s">
        <v>91</v>
      </c>
      <c r="F307" s="4" t="s">
        <v>4159</v>
      </c>
      <c r="G307" s="4" t="s">
        <v>4160</v>
      </c>
      <c r="H307" s="4" t="s">
        <v>55</v>
      </c>
      <c r="I307" s="4" t="s">
        <v>2767</v>
      </c>
      <c r="J307" s="4" t="s">
        <v>91</v>
      </c>
      <c r="K307" s="13" t="str">
        <f>HYPERLINK("https://media.licdn.com/dms/image/v2/D4E10AQEp1hHVQ7hQhA/image-shrink_1280/B4EZvgjeotKgAc-/0/1768998956301/Open-Role-Customer-Success-Manager-2430-4320png?e=2147483647&amp;v=beta&amp;t=uGD5cGrllYM9SiaNs_av2Xd9sSEFgKUVkx4AELLy6pI","Open Creative")</f>
        <v>Open Creative</v>
      </c>
      <c r="L307" s="4" t="s">
        <v>62</v>
      </c>
      <c r="M307" s="4" t="s">
        <v>63</v>
      </c>
      <c r="N307" s="4" t="s">
        <v>4171</v>
      </c>
      <c r="O307" s="2" t="s">
        <v>132</v>
      </c>
      <c r="P307" s="2">
        <v>1.131281894E9</v>
      </c>
      <c r="Q307" s="2" t="s">
        <v>68</v>
      </c>
      <c r="R307" s="4" t="s">
        <v>4211</v>
      </c>
    </row>
    <row r="308">
      <c r="A308" s="4" t="s">
        <v>44</v>
      </c>
      <c r="B308" s="4" t="s">
        <v>44</v>
      </c>
      <c r="C308" s="4">
        <v>307.0</v>
      </c>
      <c r="D308" s="13" t="str">
        <f>HYPERLINK("https://www.linkedin.com/ad-library/detail/1093483904","Open Ad")</f>
        <v>Open Ad</v>
      </c>
      <c r="E308" s="4" t="s">
        <v>91</v>
      </c>
      <c r="F308" s="4" t="s">
        <v>3079</v>
      </c>
      <c r="G308" s="4" t="s">
        <v>664</v>
      </c>
      <c r="H308" s="4" t="s">
        <v>55</v>
      </c>
      <c r="I308" s="4" t="s">
        <v>228</v>
      </c>
      <c r="J308" s="4" t="s">
        <v>91</v>
      </c>
      <c r="K308" s="13" t="str">
        <f>HYPERLINK("https://media.licdn.com/dms/image/v2/D4E10AQGG-dkMk_qCWA/image-shrink_1280/B4EZvG6Y1uIIAc-/0/1768568754048/TurnAIsearchvisibility?e=2147483647&amp;v=beta&amp;t=OmqASWqo4cgZoXkinMrWyIWNCRt9IMsquYjbiy3OkBE","Open Creative")</f>
        <v>Open Creative</v>
      </c>
      <c r="L308" s="4" t="s">
        <v>3498</v>
      </c>
      <c r="M308" s="4" t="s">
        <v>63</v>
      </c>
      <c r="N308" s="4" t="s">
        <v>4048</v>
      </c>
      <c r="O308" s="2" t="s">
        <v>132</v>
      </c>
      <c r="P308" s="2">
        <v>1.093483904E9</v>
      </c>
      <c r="Q308" s="2" t="s">
        <v>68</v>
      </c>
      <c r="R308" s="4" t="s">
        <v>4230</v>
      </c>
    </row>
    <row r="309">
      <c r="A309" s="4" t="s">
        <v>44</v>
      </c>
      <c r="B309" s="4" t="s">
        <v>44</v>
      </c>
      <c r="C309" s="4">
        <v>308.0</v>
      </c>
      <c r="D309" s="13" t="str">
        <f>HYPERLINK("https://www.linkedin.com/ad-library/detail/1092784094","Open Ad")</f>
        <v>Open Ad</v>
      </c>
      <c r="E309" s="4" t="s">
        <v>91</v>
      </c>
      <c r="F309" s="4" t="s">
        <v>3079</v>
      </c>
      <c r="G309" s="4" t="s">
        <v>664</v>
      </c>
      <c r="H309" s="4" t="s">
        <v>55</v>
      </c>
      <c r="I309" s="4" t="s">
        <v>228</v>
      </c>
      <c r="J309" s="4" t="s">
        <v>91</v>
      </c>
      <c r="K309" s="13" t="str">
        <f>HYPERLINK("https://media.licdn.com/dms/image/v2/D4E10AQF65IrenmbttA/image-shrink_1280/B4EZvG6FZkIkAc-/0/1768568674385/1200x1200png?e=2147483647&amp;v=beta&amp;t=RhnM6wXZDszpR3ZtD8-aHceeYdQmbNH4RbmbhW1kBiU","Open Creative")</f>
        <v>Open Creative</v>
      </c>
      <c r="L309" s="4" t="s">
        <v>3498</v>
      </c>
      <c r="M309" s="4" t="s">
        <v>63</v>
      </c>
      <c r="N309" s="4" t="s">
        <v>4048</v>
      </c>
      <c r="O309" s="2" t="s">
        <v>132</v>
      </c>
      <c r="P309" s="2">
        <v>1.092784094E9</v>
      </c>
      <c r="Q309" s="2" t="s">
        <v>68</v>
      </c>
      <c r="R309" s="4" t="s">
        <v>4242</v>
      </c>
    </row>
    <row r="310">
      <c r="A310" s="4" t="s">
        <v>44</v>
      </c>
      <c r="B310" s="4" t="s">
        <v>44</v>
      </c>
      <c r="C310" s="4">
        <v>309.0</v>
      </c>
      <c r="D310" s="13" t="str">
        <f>HYPERLINK("https://www.linkedin.com/ad-library/detail/1080598434","Open Ad")</f>
        <v>Open Ad</v>
      </c>
      <c r="E310" s="4" t="s">
        <v>154</v>
      </c>
      <c r="F310" s="4" t="s">
        <v>3970</v>
      </c>
      <c r="G310" s="4" t="s">
        <v>3972</v>
      </c>
      <c r="H310" s="4" t="s">
        <v>55</v>
      </c>
      <c r="I310" s="4" t="s">
        <v>985</v>
      </c>
      <c r="J310" s="4" t="s">
        <v>154</v>
      </c>
      <c r="K310" s="13" t="str">
        <f>HYPERLINK("https://dms.licdn.com/playlist/vid/v2/D4E10AQE05lyU38SRQA/mp4-720p-30fp-crf28/B4EZtG9S8KGQCY-/0/1766422035393/UGCSEMRUSHVideoEOY1x1mp4?e=2147483647&amp;v=beta&amp;t=vq6oIbU8t7vyDMoAbOgHAXT1j-csdxV8ulUfjri1G4c","Open Creative")</f>
        <v>Open Creative</v>
      </c>
      <c r="L310" s="4" t="s">
        <v>62</v>
      </c>
      <c r="M310" s="4" t="s">
        <v>63</v>
      </c>
      <c r="N310" s="4" t="s">
        <v>3981</v>
      </c>
      <c r="O310" s="2" t="s">
        <v>132</v>
      </c>
      <c r="P310" s="2">
        <v>1.080598434E9</v>
      </c>
      <c r="Q310" s="2" t="s">
        <v>68</v>
      </c>
      <c r="R310" s="4" t="s">
        <v>4253</v>
      </c>
    </row>
    <row r="311">
      <c r="A311" s="4" t="s">
        <v>44</v>
      </c>
      <c r="B311" s="4" t="s">
        <v>44</v>
      </c>
      <c r="C311" s="4">
        <v>310.0</v>
      </c>
      <c r="D311" s="13" t="str">
        <f>HYPERLINK("https://www.linkedin.com/ad-library/detail/1128784514","Open Ad")</f>
        <v>Open Ad</v>
      </c>
      <c r="E311" s="4" t="s">
        <v>91</v>
      </c>
      <c r="F311" s="4" t="s">
        <v>4026</v>
      </c>
      <c r="G311" s="4" t="s">
        <v>4027</v>
      </c>
      <c r="H311" s="4" t="s">
        <v>55</v>
      </c>
      <c r="I311" s="4" t="s">
        <v>985</v>
      </c>
      <c r="J311" s="4" t="s">
        <v>91</v>
      </c>
      <c r="K311" s="13" t="str">
        <f>HYPERLINK("https://media.licdn.com/dms/image/v2/D4E10AQF1X0t7RzvpsA/image-shrink_1280/B4EZvg85SxHoAg-/0/1769005620247/Open-Role-Product-PR-Specialist-7680-4320png?e=2147483647&amp;v=beta&amp;t=cL6P6jvYDyj7vVvWuJMqgc9-8hN-BaIrAuWPvNW78jY","Open Creative")</f>
        <v>Open Creative</v>
      </c>
      <c r="L311" s="4" t="s">
        <v>62</v>
      </c>
      <c r="M311" s="4" t="s">
        <v>63</v>
      </c>
      <c r="N311" s="4" t="s">
        <v>4034</v>
      </c>
      <c r="O311" s="2" t="s">
        <v>132</v>
      </c>
      <c r="P311" s="2">
        <v>1.128784514E9</v>
      </c>
      <c r="Q311" s="2" t="s">
        <v>68</v>
      </c>
      <c r="R311" s="4" t="s">
        <v>4264</v>
      </c>
    </row>
    <row r="312">
      <c r="A312" s="4" t="s">
        <v>44</v>
      </c>
      <c r="B312" s="4" t="s">
        <v>44</v>
      </c>
      <c r="C312" s="4">
        <v>311.0</v>
      </c>
      <c r="D312" s="13" t="str">
        <f>HYPERLINK("https://www.linkedin.com/ad-library/detail/1128983684","Open Ad")</f>
        <v>Open Ad</v>
      </c>
      <c r="E312" s="4" t="s">
        <v>91</v>
      </c>
      <c r="F312" s="4" t="s">
        <v>4159</v>
      </c>
      <c r="G312" s="4" t="s">
        <v>4160</v>
      </c>
      <c r="H312" s="4" t="s">
        <v>55</v>
      </c>
      <c r="I312" s="4" t="s">
        <v>2767</v>
      </c>
      <c r="J312" s="4" t="s">
        <v>91</v>
      </c>
      <c r="K312" s="13" t="str">
        <f>HYPERLINK("https://media.licdn.com/dms/image/v2/D4E10AQFodjxYHyDB2A/image-shrink_1280/B4EZvgjengKYAk-/0/1768998956634/Open-Role-Customer-Success-Manager-4320-4320png?e=2147483647&amp;v=beta&amp;t=QsrpLu7oKc_lyBxeeHhYdpNfiTcwOFMu9Co_SjcTyvQ","Open Creative")</f>
        <v>Open Creative</v>
      </c>
      <c r="L312" s="4" t="s">
        <v>62</v>
      </c>
      <c r="M312" s="4" t="s">
        <v>63</v>
      </c>
      <c r="N312" s="4" t="s">
        <v>4171</v>
      </c>
      <c r="O312" s="2" t="s">
        <v>132</v>
      </c>
      <c r="P312" s="2">
        <v>1.128983684E9</v>
      </c>
      <c r="Q312" s="2" t="s">
        <v>68</v>
      </c>
      <c r="R312" s="4" t="s">
        <v>4283</v>
      </c>
    </row>
    <row r="313">
      <c r="A313" s="4" t="s">
        <v>44</v>
      </c>
      <c r="B313" s="4" t="s">
        <v>44</v>
      </c>
      <c r="C313" s="4">
        <v>312.0</v>
      </c>
      <c r="D313" s="13" t="str">
        <f>HYPERLINK("https://www.linkedin.com/ad-library/detail/1131300034","Open Ad")</f>
        <v>Open Ad</v>
      </c>
      <c r="E313" s="4" t="s">
        <v>91</v>
      </c>
      <c r="F313" s="4" t="s">
        <v>3492</v>
      </c>
      <c r="G313" s="4" t="s">
        <v>3619</v>
      </c>
      <c r="H313" s="4" t="s">
        <v>55</v>
      </c>
      <c r="I313" s="4" t="s">
        <v>272</v>
      </c>
      <c r="J313" s="4" t="s">
        <v>91</v>
      </c>
      <c r="K313" s="13" t="str">
        <f>HYPERLINK("https://media.licdn.com/dms/image/v2/D4E10AQG-fU8aP0tLBA/image-shrink_1280/B4EZvrU2H0GwAc-/0/1769179669553/AIO-in-the-Wild-022png?e=2147483647&amp;v=beta&amp;t=bAFq8JWoniFLVQJHChEH-bXWPKxS2NkIsopqoDJBkJ0","Open Creative")</f>
        <v>Open Creative</v>
      </c>
      <c r="L313" s="4" t="s">
        <v>3498</v>
      </c>
      <c r="M313" s="4" t="s">
        <v>63</v>
      </c>
      <c r="N313" s="4" t="s">
        <v>4187</v>
      </c>
      <c r="O313" s="2" t="s">
        <v>132</v>
      </c>
      <c r="P313" s="2">
        <v>1.131300034E9</v>
      </c>
      <c r="Q313" s="2" t="s">
        <v>68</v>
      </c>
      <c r="R313" s="4" t="s">
        <v>4292</v>
      </c>
    </row>
    <row r="314">
      <c r="A314" s="4" t="s">
        <v>44</v>
      </c>
      <c r="B314" s="4" t="s">
        <v>44</v>
      </c>
      <c r="C314" s="4">
        <v>313.0</v>
      </c>
      <c r="D314" s="13" t="str">
        <f>HYPERLINK("https://www.linkedin.com/ad-library/detail/1078004504","Open Ad")</f>
        <v>Open Ad</v>
      </c>
      <c r="E314" s="4" t="s">
        <v>91</v>
      </c>
      <c r="F314" s="4" t="s">
        <v>3970</v>
      </c>
      <c r="G314" s="4" t="s">
        <v>4064</v>
      </c>
      <c r="H314" s="4" t="s">
        <v>55</v>
      </c>
      <c r="I314" s="4" t="s">
        <v>57</v>
      </c>
      <c r="J314" s="4" t="s">
        <v>91</v>
      </c>
      <c r="K314" s="13" t="str">
        <f>HYPERLINK("https://media.licdn.com/dms/image/v2/D4E10AQFmGc-u4f8TzQ/image-shrink_1280/B4EZsSis4iKUAM-/0/1765542646502/ComebackV3png?e=2147483647&amp;v=beta&amp;t=HpXzAu9jQ_RMbwFn95--WGuO3hY-0Jlkmtvqn9iorw8","Open Creative")</f>
        <v>Open Creative</v>
      </c>
      <c r="L314" s="4" t="s">
        <v>62</v>
      </c>
      <c r="M314" s="4" t="s">
        <v>63</v>
      </c>
      <c r="N314" s="4" t="s">
        <v>3981</v>
      </c>
      <c r="O314" s="2" t="s">
        <v>132</v>
      </c>
      <c r="P314" s="2">
        <v>1.078004504E9</v>
      </c>
      <c r="Q314" s="2" t="s">
        <v>68</v>
      </c>
      <c r="R314" s="4" t="s">
        <v>4308</v>
      </c>
    </row>
    <row r="315">
      <c r="A315" s="4" t="s">
        <v>44</v>
      </c>
      <c r="B315" s="4" t="s">
        <v>44</v>
      </c>
      <c r="C315" s="4">
        <v>314.0</v>
      </c>
      <c r="D315" s="13" t="str">
        <f>HYPERLINK("https://www.linkedin.com/ad-library/detail/1081098594","Open Ad")</f>
        <v>Open Ad</v>
      </c>
      <c r="E315" s="4" t="s">
        <v>91</v>
      </c>
      <c r="F315" s="4" t="s">
        <v>3970</v>
      </c>
      <c r="G315" s="4" t="s">
        <v>3972</v>
      </c>
      <c r="H315" s="4" t="s">
        <v>55</v>
      </c>
      <c r="I315" s="4" t="s">
        <v>985</v>
      </c>
      <c r="J315" s="4" t="s">
        <v>91</v>
      </c>
      <c r="K315" s="13" t="str">
        <f>HYPERLINK("https://media.licdn.com/dms/image/v2/D4E10AQHhhPKfgziqSQ/image-shrink_1280/B4EZsSkvFhHgAM-/0/1765543181193/WineverysearchV1png?e=2147483647&amp;v=beta&amp;t=0s9X1-KD0cwda43KUHXiZ6VgA0oYUQummgCRbXIXT5Y","Open Creative")</f>
        <v>Open Creative</v>
      </c>
      <c r="L315" s="4" t="s">
        <v>62</v>
      </c>
      <c r="M315" s="4" t="s">
        <v>63</v>
      </c>
      <c r="N315" s="4" t="s">
        <v>3981</v>
      </c>
      <c r="O315" s="2" t="s">
        <v>132</v>
      </c>
      <c r="P315" s="2">
        <v>1.081098594E9</v>
      </c>
      <c r="Q315" s="2" t="s">
        <v>68</v>
      </c>
      <c r="R315" s="4" t="s">
        <v>4319</v>
      </c>
    </row>
    <row r="316">
      <c r="A316" s="4" t="s">
        <v>44</v>
      </c>
      <c r="B316" s="4" t="s">
        <v>44</v>
      </c>
      <c r="C316" s="4">
        <v>315.0</v>
      </c>
      <c r="D316" s="13" t="str">
        <f>HYPERLINK("https://www.linkedin.com/ad-library/detail/1080698434","Open Ad")</f>
        <v>Open Ad</v>
      </c>
      <c r="E316" s="4" t="s">
        <v>91</v>
      </c>
      <c r="F316" s="4" t="s">
        <v>3970</v>
      </c>
      <c r="G316" s="4" t="s">
        <v>3972</v>
      </c>
      <c r="H316" s="4" t="s">
        <v>55</v>
      </c>
      <c r="I316" s="4" t="s">
        <v>985</v>
      </c>
      <c r="J316" s="4" t="s">
        <v>91</v>
      </c>
      <c r="K316" s="13" t="str">
        <f>HYPERLINK("https://media.licdn.com/dms/image/v2/D4E10AQEl0a5ve_qCPA/image-shrink_1280/B4EZsSlE2oKkAM-/0/1765543270161/WineverysearchV3png?e=2147483647&amp;v=beta&amp;t=A2rieiMVWN_OAyYtoKqA0anCUH2OByXRSQT2N5XrS_I","Open Creative")</f>
        <v>Open Creative</v>
      </c>
      <c r="L316" s="4" t="s">
        <v>62</v>
      </c>
      <c r="M316" s="4" t="s">
        <v>63</v>
      </c>
      <c r="N316" s="4" t="s">
        <v>3981</v>
      </c>
      <c r="O316" s="2" t="s">
        <v>132</v>
      </c>
      <c r="P316" s="2">
        <v>1.080698434E9</v>
      </c>
      <c r="Q316" s="2" t="s">
        <v>68</v>
      </c>
      <c r="R316" s="4" t="s">
        <v>4336</v>
      </c>
    </row>
    <row r="317">
      <c r="A317" s="4" t="s">
        <v>44</v>
      </c>
      <c r="B317" s="4" t="s">
        <v>44</v>
      </c>
      <c r="C317" s="4">
        <v>316.0</v>
      </c>
      <c r="D317" s="13" t="str">
        <f>HYPERLINK("https://www.linkedin.com/ad-library/detail/1078294414","Open Ad")</f>
        <v>Open Ad</v>
      </c>
      <c r="E317" s="4" t="s">
        <v>91</v>
      </c>
      <c r="F317" s="4" t="s">
        <v>4343</v>
      </c>
      <c r="G317" s="4" t="s">
        <v>4344</v>
      </c>
      <c r="H317" s="4" t="s">
        <v>55</v>
      </c>
      <c r="I317" s="4" t="s">
        <v>4345</v>
      </c>
      <c r="J317" s="4" t="s">
        <v>91</v>
      </c>
      <c r="K317" s="13" t="str">
        <f>HYPERLINK("https://media.licdn.com/dms/image/v2/D4E10AQFiderjHNEmfA/image-shrink_1280/B4EZpJFlyjKMAU-/0/1762162795050/everytoolv1png?e=2147483647&amp;v=beta&amp;t=bKwBE2ciiGznP3B9BVejtsHNaVeRohDadTESyyUQ1fI","Open Creative")</f>
        <v>Open Creative</v>
      </c>
      <c r="L317" s="4" t="s">
        <v>62</v>
      </c>
      <c r="M317" s="4" t="s">
        <v>63</v>
      </c>
      <c r="N317" s="4" t="s">
        <v>4353</v>
      </c>
      <c r="O317" s="2" t="s">
        <v>132</v>
      </c>
      <c r="P317" s="2">
        <v>1.078294414E9</v>
      </c>
      <c r="Q317" s="2" t="s">
        <v>68</v>
      </c>
      <c r="R317" s="4" t="s">
        <v>4354</v>
      </c>
    </row>
    <row r="318">
      <c r="A318" s="4" t="s">
        <v>44</v>
      </c>
      <c r="B318" s="4" t="s">
        <v>44</v>
      </c>
      <c r="C318" s="4">
        <v>317.0</v>
      </c>
      <c r="D318" s="13" t="str">
        <f>HYPERLINK("https://www.linkedin.com/ad-library/detail/1081884334","Open Ad")</f>
        <v>Open Ad</v>
      </c>
      <c r="E318" s="4" t="s">
        <v>91</v>
      </c>
      <c r="F318" s="4" t="s">
        <v>4343</v>
      </c>
      <c r="G318" s="4" t="s">
        <v>4344</v>
      </c>
      <c r="H318" s="4" t="s">
        <v>55</v>
      </c>
      <c r="I318" s="4" t="s">
        <v>4345</v>
      </c>
      <c r="J318" s="4" t="s">
        <v>91</v>
      </c>
      <c r="K318" s="13" t="str">
        <f>HYPERLINK("https://media.licdn.com/dms/image/v2/D4E10AQFALTRYA2PG2g/image-shrink_1280/B4EZpJHOAqIQAM-/0/1762163221643/Everytool_v2png?e=2147483647&amp;v=beta&amp;t=OdIyyNqQeBQAfaHOYFSuH72yURT95HgluqQnSEps6CM","Open Creative")</f>
        <v>Open Creative</v>
      </c>
      <c r="L318" s="4" t="s">
        <v>62</v>
      </c>
      <c r="M318" s="4" t="s">
        <v>63</v>
      </c>
      <c r="N318" s="4" t="s">
        <v>4353</v>
      </c>
      <c r="O318" s="2" t="s">
        <v>132</v>
      </c>
      <c r="P318" s="2">
        <v>1.081884334E9</v>
      </c>
      <c r="Q318" s="2" t="s">
        <v>68</v>
      </c>
      <c r="R318" s="4" t="s">
        <v>4366</v>
      </c>
    </row>
    <row r="319">
      <c r="A319" s="4" t="s">
        <v>44</v>
      </c>
      <c r="B319" s="4" t="s">
        <v>44</v>
      </c>
      <c r="C319" s="4">
        <v>318.0</v>
      </c>
      <c r="D319" s="13" t="str">
        <f>HYPERLINK("https://www.linkedin.com/ad-library/detail/1081497254","Open Ad")</f>
        <v>Open Ad</v>
      </c>
      <c r="E319" s="4" t="s">
        <v>91</v>
      </c>
      <c r="F319" s="4" t="s">
        <v>3970</v>
      </c>
      <c r="G319" s="4" t="s">
        <v>4064</v>
      </c>
      <c r="H319" s="4" t="s">
        <v>55</v>
      </c>
      <c r="I319" s="4" t="s">
        <v>57</v>
      </c>
      <c r="J319" s="4" t="s">
        <v>91</v>
      </c>
      <c r="K319" s="13" t="str">
        <f>HYPERLINK("https://media.licdn.com/dms/image/v2/D4E10AQGWKuqn0S3ZJw/image-shrink_1280/B4EZsSiTvOKUAM-/0/1765542543688/ComebackV2png?e=2147483647&amp;v=beta&amp;t=xyiRjQTvsU2K1zr2MF6MlffvSlA1j8_HscZKvo8n6ME","Open Creative")</f>
        <v>Open Creative</v>
      </c>
      <c r="L319" s="4" t="s">
        <v>62</v>
      </c>
      <c r="M319" s="4" t="s">
        <v>63</v>
      </c>
      <c r="N319" s="4" t="s">
        <v>3981</v>
      </c>
      <c r="O319" s="2" t="s">
        <v>132</v>
      </c>
      <c r="P319" s="2">
        <v>1.081497254E9</v>
      </c>
      <c r="Q319" s="2" t="s">
        <v>68</v>
      </c>
      <c r="R319" s="4" t="s">
        <v>4379</v>
      </c>
    </row>
    <row r="320">
      <c r="A320" s="4" t="s">
        <v>44</v>
      </c>
      <c r="B320" s="4" t="s">
        <v>44</v>
      </c>
      <c r="C320" s="4">
        <v>319.0</v>
      </c>
      <c r="D320" s="13" t="str">
        <f>HYPERLINK("https://www.linkedin.com/ad-library/detail/1081497244","Open Ad")</f>
        <v>Open Ad</v>
      </c>
      <c r="E320" s="4" t="s">
        <v>91</v>
      </c>
      <c r="F320" s="4" t="s">
        <v>3970</v>
      </c>
      <c r="G320" s="4" t="s">
        <v>4064</v>
      </c>
      <c r="H320" s="4" t="s">
        <v>55</v>
      </c>
      <c r="I320" s="4" t="s">
        <v>57</v>
      </c>
      <c r="J320" s="4" t="s">
        <v>91</v>
      </c>
      <c r="K320" s="13" t="str">
        <f>HYPERLINK("https://media.licdn.com/dms/image/v2/D4E10AQEv6svmdRRqNQ/image-shrink_1280/B4EZsSkcJYKcAM-/0/1765543102430/ComebackV4png?e=2147483647&amp;v=beta&amp;t=zctG_0F6xiwZF1gcEzm32euoxNPFljssyeTrHvWtpLI","Open Creative")</f>
        <v>Open Creative</v>
      </c>
      <c r="L320" s="4" t="s">
        <v>62</v>
      </c>
      <c r="M320" s="4" t="s">
        <v>63</v>
      </c>
      <c r="N320" s="4" t="s">
        <v>3981</v>
      </c>
      <c r="O320" s="2" t="s">
        <v>132</v>
      </c>
      <c r="P320" s="2">
        <v>1.081497244E9</v>
      </c>
      <c r="Q320" s="2" t="s">
        <v>68</v>
      </c>
      <c r="R320" s="4" t="s">
        <v>4392</v>
      </c>
    </row>
    <row r="321">
      <c r="A321" s="4" t="s">
        <v>44</v>
      </c>
      <c r="B321" s="4" t="s">
        <v>44</v>
      </c>
      <c r="C321" s="4">
        <v>320.0</v>
      </c>
      <c r="D321" s="13" t="str">
        <f>HYPERLINK("https://www.linkedin.com/ad-library/detail/1080794814","Open Ad")</f>
        <v>Open Ad</v>
      </c>
      <c r="E321" s="4" t="s">
        <v>91</v>
      </c>
      <c r="F321" s="4" t="s">
        <v>4343</v>
      </c>
      <c r="G321" s="4" t="s">
        <v>4344</v>
      </c>
      <c r="H321" s="4" t="s">
        <v>55</v>
      </c>
      <c r="I321" s="4" t="s">
        <v>4345</v>
      </c>
      <c r="J321" s="4" t="s">
        <v>91</v>
      </c>
      <c r="K321" s="13" t="str">
        <f>HYPERLINK("https://media.licdn.com/dms/image/v2/D4E10AQFiderjHNEmfA/image-shrink_1280/B4EZpJFlyjKMAU-/0/1762162795050/everytoolv1png?e=2147483647&amp;v=beta&amp;t=bKwBE2ciiGznP3B9BVejtsHNaVeRohDadTESyyUQ1fI","Open Creative")</f>
        <v>Open Creative</v>
      </c>
      <c r="L321" s="4" t="s">
        <v>62</v>
      </c>
      <c r="M321" s="4" t="s">
        <v>63</v>
      </c>
      <c r="N321" s="4" t="s">
        <v>4407</v>
      </c>
      <c r="O321" s="2" t="s">
        <v>132</v>
      </c>
      <c r="P321" s="2">
        <v>1.080794814E9</v>
      </c>
      <c r="Q321" s="2" t="s">
        <v>68</v>
      </c>
      <c r="R321" s="4" t="s">
        <v>4409</v>
      </c>
    </row>
    <row r="322">
      <c r="A322" s="4" t="s">
        <v>44</v>
      </c>
      <c r="B322" s="4" t="s">
        <v>44</v>
      </c>
      <c r="C322" s="4">
        <v>321.0</v>
      </c>
      <c r="D322" s="13" t="str">
        <f>HYPERLINK("https://www.linkedin.com/ad-library/detail/1080088974","Open Ad")</f>
        <v>Open Ad</v>
      </c>
      <c r="E322" s="4" t="s">
        <v>91</v>
      </c>
      <c r="F322" s="4" t="s">
        <v>4343</v>
      </c>
      <c r="G322" s="4" t="s">
        <v>4344</v>
      </c>
      <c r="H322" s="4" t="s">
        <v>55</v>
      </c>
      <c r="I322" s="4" t="s">
        <v>4345</v>
      </c>
      <c r="J322" s="4" t="s">
        <v>91</v>
      </c>
      <c r="K322" s="13" t="str">
        <f>HYPERLINK("https://media.licdn.com/dms/image/v2/D4E10AQGNmJRJ2AaL9Q/image-shrink_1280/B4EZpJHOAlHEAM-/0/1762163221668/Cutmanual_v2png?e=2147483647&amp;v=beta&amp;t=87pX_7WdH1CEMUq0dRJqOLWJH_BHpsYtrJK-SbFSvIA","Open Creative")</f>
        <v>Open Creative</v>
      </c>
      <c r="L322" s="4" t="s">
        <v>62</v>
      </c>
      <c r="M322" s="4" t="s">
        <v>63</v>
      </c>
      <c r="N322" s="4" t="s">
        <v>4353</v>
      </c>
      <c r="O322" s="2" t="s">
        <v>132</v>
      </c>
      <c r="P322" s="2">
        <v>1.080088974E9</v>
      </c>
      <c r="Q322" s="2" t="s">
        <v>68</v>
      </c>
      <c r="R322" s="4" t="s">
        <v>4423</v>
      </c>
    </row>
    <row r="323">
      <c r="A323" s="4" t="s">
        <v>44</v>
      </c>
      <c r="B323" s="4" t="s">
        <v>44</v>
      </c>
      <c r="C323" s="4">
        <v>322.0</v>
      </c>
      <c r="D323" s="13" t="str">
        <f>HYPERLINK("https://www.linkedin.com/ad-library/detail/1080195174","Open Ad")</f>
        <v>Open Ad</v>
      </c>
      <c r="E323" s="4" t="s">
        <v>91</v>
      </c>
      <c r="F323" s="4" t="s">
        <v>4343</v>
      </c>
      <c r="G323" s="4" t="s">
        <v>4344</v>
      </c>
      <c r="H323" s="4" t="s">
        <v>55</v>
      </c>
      <c r="I323" s="4" t="s">
        <v>4345</v>
      </c>
      <c r="J323" s="4" t="s">
        <v>91</v>
      </c>
      <c r="K323" s="13" t="str">
        <f>HYPERLINK("https://media.licdn.com/dms/image/v2/D4E10AQG3mhPj4Jq23A/image-shrink_1280/B4EZpJFlyfHMAM-/0/1762162795167/analyzeseov1png?e=2147483647&amp;v=beta&amp;t=PMyvpJXJb7kPV-WN8Hin_f-lkjdHOg6FfkPXWnbLzqM","Open Creative")</f>
        <v>Open Creative</v>
      </c>
      <c r="L323" s="4" t="s">
        <v>62</v>
      </c>
      <c r="M323" s="4" t="s">
        <v>63</v>
      </c>
      <c r="N323" s="4" t="s">
        <v>4407</v>
      </c>
      <c r="O323" s="2" t="s">
        <v>132</v>
      </c>
      <c r="P323" s="2">
        <v>1.080195174E9</v>
      </c>
      <c r="Q323" s="2" t="s">
        <v>68</v>
      </c>
      <c r="R323" s="4" t="s">
        <v>4431</v>
      </c>
    </row>
    <row r="324">
      <c r="A324" s="4" t="s">
        <v>44</v>
      </c>
      <c r="B324" s="4" t="s">
        <v>44</v>
      </c>
      <c r="C324" s="4">
        <v>323.0</v>
      </c>
      <c r="D324" s="13" t="str">
        <f>HYPERLINK("https://www.linkedin.com/ad-library/detail/1081890614","Open Ad")</f>
        <v>Open Ad</v>
      </c>
      <c r="E324" s="4" t="s">
        <v>91</v>
      </c>
      <c r="F324" s="4" t="s">
        <v>4343</v>
      </c>
      <c r="G324" s="4" t="s">
        <v>4344</v>
      </c>
      <c r="H324" s="4" t="s">
        <v>55</v>
      </c>
      <c r="I324" s="4" t="s">
        <v>4345</v>
      </c>
      <c r="J324" s="4" t="s">
        <v>91</v>
      </c>
      <c r="K324" s="13" t="str">
        <f>HYPERLINK("https://media.licdn.com/dms/image/v2/D4E10AQEpN2cvLR7V9Q/image-shrink_1280/B4EZpJH38UKoAQ-/0/1762163393251/Everytool_v3png?e=2147483647&amp;v=beta&amp;t=xjVpTyZnU-i3AmlCzJwTQvgQWJYT4myITqseHmwrxtA","Open Creative")</f>
        <v>Open Creative</v>
      </c>
      <c r="L324" s="4" t="s">
        <v>62</v>
      </c>
      <c r="M324" s="4" t="s">
        <v>63</v>
      </c>
      <c r="N324" s="4" t="s">
        <v>4407</v>
      </c>
      <c r="O324" s="2" t="s">
        <v>132</v>
      </c>
      <c r="P324" s="2">
        <v>1.081890614E9</v>
      </c>
      <c r="Q324" s="2" t="s">
        <v>68</v>
      </c>
      <c r="R324" s="4" t="s">
        <v>4445</v>
      </c>
    </row>
    <row r="325">
      <c r="A325" s="4" t="s">
        <v>44</v>
      </c>
      <c r="B325" s="4" t="s">
        <v>44</v>
      </c>
      <c r="C325" s="4">
        <v>324.0</v>
      </c>
      <c r="D325" s="13" t="str">
        <f>HYPERLINK("https://www.linkedin.com/ad-library/detail/1081494214","Open Ad")</f>
        <v>Open Ad</v>
      </c>
      <c r="E325" s="4" t="s">
        <v>91</v>
      </c>
      <c r="F325" s="4" t="s">
        <v>4343</v>
      </c>
      <c r="G325" s="4" t="s">
        <v>4344</v>
      </c>
      <c r="H325" s="4" t="s">
        <v>55</v>
      </c>
      <c r="I325" s="4" t="s">
        <v>4345</v>
      </c>
      <c r="J325" s="4" t="s">
        <v>91</v>
      </c>
      <c r="K325" s="13" t="str">
        <f>HYPERLINK("https://media.licdn.com/dms/image/v2/D4E10AQFiderjHNEmfA/image-shrink_1280/B4EZpJFlyjKMAU-/0/1762162795050/everytoolv1png?e=2147483647&amp;v=beta&amp;t=bKwBE2ciiGznP3B9BVejtsHNaVeRohDadTESyyUQ1fI","Open Creative")</f>
        <v>Open Creative</v>
      </c>
      <c r="L325" s="4" t="s">
        <v>62</v>
      </c>
      <c r="M325" s="4" t="s">
        <v>63</v>
      </c>
      <c r="N325" s="4" t="s">
        <v>4407</v>
      </c>
      <c r="O325" s="2" t="s">
        <v>132</v>
      </c>
      <c r="P325" s="2">
        <v>1.081494214E9</v>
      </c>
      <c r="Q325" s="2" t="s">
        <v>68</v>
      </c>
      <c r="R325" s="4" t="s">
        <v>4461</v>
      </c>
    </row>
    <row r="326">
      <c r="A326" s="4" t="s">
        <v>44</v>
      </c>
      <c r="B326" s="4" t="s">
        <v>44</v>
      </c>
      <c r="C326" s="4">
        <v>325.0</v>
      </c>
      <c r="D326" s="13" t="str">
        <f>HYPERLINK("https://www.linkedin.com/ad-library/detail/1081597284","Open Ad")</f>
        <v>Open Ad</v>
      </c>
      <c r="E326" s="4" t="s">
        <v>91</v>
      </c>
      <c r="F326" s="4" t="s">
        <v>3970</v>
      </c>
      <c r="G326" s="4" t="s">
        <v>4064</v>
      </c>
      <c r="H326" s="4" t="s">
        <v>55</v>
      </c>
      <c r="I326" s="4" t="s">
        <v>57</v>
      </c>
      <c r="J326" s="4" t="s">
        <v>91</v>
      </c>
      <c r="K326" s="13" t="str">
        <f>HYPERLINK("https://media.licdn.com/dms/image/v2/D4E10AQHeDIx4kcXdKA/image-shrink_1280/B4EZsShBl_HcAU-/0/1765542208122/ComebackV1png?e=2147483647&amp;v=beta&amp;t=myDwZIqhPXgPHSh113Chrbyf5mUgWH1I3NJo2y_cvTg","Open Creative")</f>
        <v>Open Creative</v>
      </c>
      <c r="L326" s="4" t="s">
        <v>62</v>
      </c>
      <c r="M326" s="4" t="s">
        <v>63</v>
      </c>
      <c r="N326" s="4" t="s">
        <v>3981</v>
      </c>
      <c r="O326" s="2" t="s">
        <v>1713</v>
      </c>
      <c r="P326" s="2">
        <v>1.081597284E9</v>
      </c>
      <c r="Q326" s="2" t="s">
        <v>68</v>
      </c>
      <c r="R326" s="4" t="s">
        <v>4472</v>
      </c>
    </row>
    <row r="327">
      <c r="A327" s="4" t="s">
        <v>44</v>
      </c>
      <c r="B327" s="4" t="s">
        <v>44</v>
      </c>
      <c r="C327" s="4">
        <v>326.0</v>
      </c>
      <c r="D327" s="13" t="str">
        <f>HYPERLINK("https://www.linkedin.com/ad-library/detail/1081792774","Open Ad")</f>
        <v>Open Ad</v>
      </c>
      <c r="E327" s="4" t="s">
        <v>91</v>
      </c>
      <c r="F327" s="4" t="s">
        <v>4343</v>
      </c>
      <c r="G327" s="4" t="s">
        <v>4344</v>
      </c>
      <c r="H327" s="4" t="s">
        <v>55</v>
      </c>
      <c r="I327" s="4" t="s">
        <v>4345</v>
      </c>
      <c r="J327" s="4" t="s">
        <v>91</v>
      </c>
      <c r="K327" s="13" t="str">
        <f>HYPERLINK("https://media.licdn.com/dms/image/v2/D4E10AQFALTRYA2PG2g/image-shrink_1280/B4EZpJHOAqIQAM-/0/1762163221643/Everytool_v2png?e=2147483647&amp;v=beta&amp;t=OdIyyNqQeBQAfaHOYFSuH72yURT95HgluqQnSEps6CM","Open Creative")</f>
        <v>Open Creative</v>
      </c>
      <c r="L327" s="4" t="s">
        <v>62</v>
      </c>
      <c r="M327" s="4" t="s">
        <v>63</v>
      </c>
      <c r="N327" s="4" t="s">
        <v>4407</v>
      </c>
      <c r="O327" s="2" t="s">
        <v>132</v>
      </c>
      <c r="P327" s="2">
        <v>1.081792774E9</v>
      </c>
      <c r="Q327" s="2" t="s">
        <v>68</v>
      </c>
      <c r="R327" s="4" t="s">
        <v>4481</v>
      </c>
    </row>
    <row r="328">
      <c r="A328" s="4" t="s">
        <v>44</v>
      </c>
      <c r="B328" s="4" t="s">
        <v>44</v>
      </c>
      <c r="C328" s="4">
        <v>327.0</v>
      </c>
      <c r="D328" s="13" t="str">
        <f>HYPERLINK("https://www.linkedin.com/ad-library/detail/1080095524","Open Ad")</f>
        <v>Open Ad</v>
      </c>
      <c r="E328" s="4" t="s">
        <v>91</v>
      </c>
      <c r="F328" s="4" t="s">
        <v>4343</v>
      </c>
      <c r="G328" s="4" t="s">
        <v>4344</v>
      </c>
      <c r="H328" s="4" t="s">
        <v>55</v>
      </c>
      <c r="I328" s="4" t="s">
        <v>4345</v>
      </c>
      <c r="J328" s="4" t="s">
        <v>91</v>
      </c>
      <c r="K328" s="13" t="str">
        <f>HYPERLINK("https://media.licdn.com/dms/image/v2/D4E10AQFrvZlk7xzYGA/image-shrink_1280/B4EZpJH38cGUAM-/0/1762163393376/Analyzeseo_v3png?e=2147483647&amp;v=beta&amp;t=CATIMuw66HtFFmiECmnv7JsWS6ghLh6qWFZVFsLoJFQ","Open Creative")</f>
        <v>Open Creative</v>
      </c>
      <c r="L328" s="4" t="s">
        <v>62</v>
      </c>
      <c r="M328" s="4" t="s">
        <v>63</v>
      </c>
      <c r="N328" s="4" t="s">
        <v>4407</v>
      </c>
      <c r="O328" s="2" t="s">
        <v>132</v>
      </c>
      <c r="P328" s="2">
        <v>1.080095524E9</v>
      </c>
      <c r="Q328" s="2" t="s">
        <v>68</v>
      </c>
      <c r="R328" s="4" t="s">
        <v>4492</v>
      </c>
    </row>
    <row r="329">
      <c r="A329" s="4" t="s">
        <v>44</v>
      </c>
      <c r="B329" s="4" t="s">
        <v>44</v>
      </c>
      <c r="C329" s="4">
        <v>328.0</v>
      </c>
      <c r="D329" s="13" t="str">
        <f>HYPERLINK("https://www.linkedin.com/ad-library/detail/1081594184","Open Ad")</f>
        <v>Open Ad</v>
      </c>
      <c r="E329" s="4" t="s">
        <v>91</v>
      </c>
      <c r="F329" s="4" t="s">
        <v>4343</v>
      </c>
      <c r="G329" s="4" t="s">
        <v>4344</v>
      </c>
      <c r="H329" s="4" t="s">
        <v>55</v>
      </c>
      <c r="I329" s="4" t="s">
        <v>4345</v>
      </c>
      <c r="J329" s="4" t="s">
        <v>91</v>
      </c>
      <c r="K329" s="13" t="str">
        <f>HYPERLINK("https://media.licdn.com/dms/image/v2/D4E10AQGNmJRJ2AaL9Q/image-shrink_1280/B4EZpJHOAlHEAM-/0/1762163221668/Cutmanual_v2png?e=2147483647&amp;v=beta&amp;t=87pX_7WdH1CEMUq0dRJqOLWJH_BHpsYtrJK-SbFSvIA","Open Creative")</f>
        <v>Open Creative</v>
      </c>
      <c r="L329" s="4" t="s">
        <v>62</v>
      </c>
      <c r="M329" s="4" t="s">
        <v>63</v>
      </c>
      <c r="N329" s="4" t="s">
        <v>4407</v>
      </c>
      <c r="O329" s="2" t="s">
        <v>132</v>
      </c>
      <c r="P329" s="2">
        <v>1.081594184E9</v>
      </c>
      <c r="Q329" s="2" t="s">
        <v>68</v>
      </c>
      <c r="R329" s="4" t="s">
        <v>4504</v>
      </c>
    </row>
    <row r="330">
      <c r="A330" s="4" t="s">
        <v>44</v>
      </c>
      <c r="B330" s="4" t="s">
        <v>44</v>
      </c>
      <c r="C330" s="4">
        <v>329.0</v>
      </c>
      <c r="D330" s="13" t="str">
        <f>HYPERLINK("https://www.linkedin.com/ad-library/detail/1079695364","Open Ad")</f>
        <v>Open Ad</v>
      </c>
      <c r="E330" s="4" t="s">
        <v>91</v>
      </c>
      <c r="F330" s="4" t="s">
        <v>4343</v>
      </c>
      <c r="G330" s="4" t="s">
        <v>4344</v>
      </c>
      <c r="H330" s="4" t="s">
        <v>55</v>
      </c>
      <c r="I330" s="4" t="s">
        <v>4345</v>
      </c>
      <c r="J330" s="4" t="s">
        <v>91</v>
      </c>
      <c r="K330" s="13" t="str">
        <f>HYPERLINK("https://media.licdn.com/dms/image/v2/D4E10AQEpN2cvLR7V9Q/image-shrink_1280/B4EZpJH38UKoAQ-/0/1762163393251/Everytool_v3png?e=2147483647&amp;v=beta&amp;t=xjVpTyZnU-i3AmlCzJwTQvgQWJYT4myITqseHmwrxtA","Open Creative")</f>
        <v>Open Creative</v>
      </c>
      <c r="L330" s="4" t="s">
        <v>62</v>
      </c>
      <c r="M330" s="4" t="s">
        <v>63</v>
      </c>
      <c r="N330" s="4" t="s">
        <v>4407</v>
      </c>
      <c r="O330" s="2" t="s">
        <v>132</v>
      </c>
      <c r="P330" s="2">
        <v>1.079695364E9</v>
      </c>
      <c r="Q330" s="2" t="s">
        <v>68</v>
      </c>
      <c r="R330" s="4" t="s">
        <v>4517</v>
      </c>
    </row>
    <row r="331">
      <c r="A331" s="4" t="s">
        <v>44</v>
      </c>
      <c r="B331" s="4" t="s">
        <v>44</v>
      </c>
      <c r="C331" s="4">
        <v>330.0</v>
      </c>
      <c r="D331" s="13" t="str">
        <f>HYPERLINK("https://www.linkedin.com/ad-library/detail/1079695354","Open Ad")</f>
        <v>Open Ad</v>
      </c>
      <c r="E331" s="4" t="s">
        <v>91</v>
      </c>
      <c r="F331" s="4" t="s">
        <v>4343</v>
      </c>
      <c r="G331" s="4" t="s">
        <v>4344</v>
      </c>
      <c r="H331" s="4" t="s">
        <v>55</v>
      </c>
      <c r="I331" s="4" t="s">
        <v>4345</v>
      </c>
      <c r="J331" s="4" t="s">
        <v>91</v>
      </c>
      <c r="K331" s="13" t="str">
        <f>HYPERLINK("https://media.licdn.com/dms/image/v2/D4E10AQFrvZlk7xzYGA/image-shrink_1280/B4EZpJH38cGUAM-/0/1762163393376/Analyzeseo_v3png?e=2147483647&amp;v=beta&amp;t=CATIMuw66HtFFmiECmnv7JsWS6ghLh6qWFZVFsLoJFQ","Open Creative")</f>
        <v>Open Creative</v>
      </c>
      <c r="L331" s="4" t="s">
        <v>62</v>
      </c>
      <c r="M331" s="4" t="s">
        <v>63</v>
      </c>
      <c r="N331" s="4" t="s">
        <v>4407</v>
      </c>
      <c r="O331" s="2" t="s">
        <v>132</v>
      </c>
      <c r="P331" s="2">
        <v>1.079695354E9</v>
      </c>
      <c r="Q331" s="2" t="s">
        <v>68</v>
      </c>
      <c r="R331" s="4" t="s">
        <v>4534</v>
      </c>
    </row>
    <row r="332">
      <c r="A332" s="4" t="s">
        <v>44</v>
      </c>
      <c r="B332" s="4" t="s">
        <v>44</v>
      </c>
      <c r="C332" s="4">
        <v>331.0</v>
      </c>
      <c r="D332" s="13" t="str">
        <f>HYPERLINK("https://www.linkedin.com/ad-library/detail/1078000924","Open Ad")</f>
        <v>Open Ad</v>
      </c>
      <c r="E332" s="4" t="s">
        <v>91</v>
      </c>
      <c r="F332" s="4" t="s">
        <v>4343</v>
      </c>
      <c r="G332" s="4" t="s">
        <v>4344</v>
      </c>
      <c r="H332" s="4" t="s">
        <v>55</v>
      </c>
      <c r="I332" s="4" t="s">
        <v>4345</v>
      </c>
      <c r="J332" s="4" t="s">
        <v>91</v>
      </c>
      <c r="K332" s="13" t="str">
        <f>HYPERLINK("https://media.licdn.com/dms/image/v2/D4E10AQFALTRYA2PG2g/image-shrink_1280/B4EZpJHOAqIQAM-/0/1762163221643/Everytool_v2png?e=2147483647&amp;v=beta&amp;t=OdIyyNqQeBQAfaHOYFSuH72yURT95HgluqQnSEps6CM","Open Creative")</f>
        <v>Open Creative</v>
      </c>
      <c r="L332" s="4" t="s">
        <v>62</v>
      </c>
      <c r="M332" s="4" t="s">
        <v>63</v>
      </c>
      <c r="N332" s="4" t="s">
        <v>4407</v>
      </c>
      <c r="O332" s="2" t="s">
        <v>132</v>
      </c>
      <c r="P332" s="2">
        <v>1.078000924E9</v>
      </c>
      <c r="Q332" s="2" t="s">
        <v>68</v>
      </c>
      <c r="R332" s="4" t="s">
        <v>4546</v>
      </c>
    </row>
    <row r="333">
      <c r="A333" s="4" t="s">
        <v>44</v>
      </c>
      <c r="B333" s="4" t="s">
        <v>44</v>
      </c>
      <c r="C333" s="4">
        <v>332.0</v>
      </c>
      <c r="D333" s="13" t="str">
        <f>HYPERLINK("https://www.linkedin.com/ad-library/detail/1080298374","Open Ad")</f>
        <v>Open Ad</v>
      </c>
      <c r="E333" s="4" t="s">
        <v>154</v>
      </c>
      <c r="F333" s="4" t="s">
        <v>3970</v>
      </c>
      <c r="G333" s="4" t="s">
        <v>3972</v>
      </c>
      <c r="H333" s="4" t="s">
        <v>55</v>
      </c>
      <c r="I333" s="4" t="s">
        <v>985</v>
      </c>
      <c r="J333" s="4" t="s">
        <v>154</v>
      </c>
      <c r="K333" s="13" t="str">
        <f>HYPERLINK("https://dms.licdn.com/playlist/vid/v2/D4E10AQG-1-VCiHOiCg/progressive-servable-video/B4EZtG.Ip1HcAk-/0/1766422253306/UGCSEMRUSHVideoEOY16x9mp4?e=2147483647&amp;v=beta&amp;t=d4QqDVRn7Q1a-DO7RkjZidOmy-_VXmQRCoYJt9k1siQ","Open Creative")</f>
        <v>Open Creative</v>
      </c>
      <c r="L333" s="4" t="s">
        <v>62</v>
      </c>
      <c r="M333" s="4" t="s">
        <v>63</v>
      </c>
      <c r="N333" s="4" t="s">
        <v>3981</v>
      </c>
      <c r="O333" s="2" t="s">
        <v>132</v>
      </c>
      <c r="P333" s="2">
        <v>1.080298374E9</v>
      </c>
      <c r="Q333" s="2" t="s">
        <v>68</v>
      </c>
      <c r="R333" s="4" t="s">
        <v>4557</v>
      </c>
    </row>
    <row r="334">
      <c r="A334" s="4" t="s">
        <v>44</v>
      </c>
      <c r="B334" s="4" t="s">
        <v>44</v>
      </c>
      <c r="C334" s="4">
        <v>333.0</v>
      </c>
      <c r="D334" s="13" t="str">
        <f>HYPERLINK("https://www.linkedin.com/ad-library/detail/1080298264","Open Ad")</f>
        <v>Open Ad</v>
      </c>
      <c r="E334" s="4" t="s">
        <v>91</v>
      </c>
      <c r="F334" s="4" t="s">
        <v>3970</v>
      </c>
      <c r="G334" s="4" t="s">
        <v>3972</v>
      </c>
      <c r="H334" s="4" t="s">
        <v>55</v>
      </c>
      <c r="I334" s="4" t="s">
        <v>985</v>
      </c>
      <c r="J334" s="4" t="s">
        <v>91</v>
      </c>
      <c r="K334" s="13" t="str">
        <f>HYPERLINK("https://media.licdn.com/dms/image/v2/D4E10AQEs6GRvvoLGSw/image-shrink_1280/B4EZsSlSAsKUAM-/0/1765543324073/WineverysearchV4png?e=2147483647&amp;v=beta&amp;t=E0NkYNU5ZfvDAz6CbfKhF9Nf4Dnt5hXrWTH0m4oRi3s","Open Creative")</f>
        <v>Open Creative</v>
      </c>
      <c r="L334" s="4" t="s">
        <v>62</v>
      </c>
      <c r="M334" s="4" t="s">
        <v>63</v>
      </c>
      <c r="N334" s="4" t="s">
        <v>3981</v>
      </c>
      <c r="O334" s="2" t="s">
        <v>132</v>
      </c>
      <c r="P334" s="2">
        <v>1.080298264E9</v>
      </c>
      <c r="Q334" s="2" t="s">
        <v>68</v>
      </c>
      <c r="R334" s="4" t="s">
        <v>4572</v>
      </c>
    </row>
    <row r="335">
      <c r="A335" s="4" t="s">
        <v>44</v>
      </c>
      <c r="B335" s="4" t="s">
        <v>44</v>
      </c>
      <c r="C335" s="4">
        <v>334.0</v>
      </c>
      <c r="D335" s="13" t="str">
        <f>HYPERLINK("https://www.linkedin.com/ad-library/detail/1080298274","Open Ad")</f>
        <v>Open Ad</v>
      </c>
      <c r="E335" s="4" t="s">
        <v>91</v>
      </c>
      <c r="F335" s="4" t="s">
        <v>3970</v>
      </c>
      <c r="G335" s="4" t="s">
        <v>3972</v>
      </c>
      <c r="H335" s="4" t="s">
        <v>55</v>
      </c>
      <c r="I335" s="4" t="s">
        <v>985</v>
      </c>
      <c r="J335" s="4" t="s">
        <v>91</v>
      </c>
      <c r="K335" s="13" t="str">
        <f>HYPERLINK("https://media.licdn.com/dms/image/v2/D4E10AQGgvuB7AUd0ow/image-shrink_1280/B4EZsSk6qsIwAQ-/0/1765543228302/WineverysearchV2png?e=2147483647&amp;v=beta&amp;t=tzb5OXtXVLhmvurVfk7gRMUV5DPyqe7Izp010XbgeKc","Open Creative")</f>
        <v>Open Creative</v>
      </c>
      <c r="L335" s="4" t="s">
        <v>62</v>
      </c>
      <c r="M335" s="4" t="s">
        <v>63</v>
      </c>
      <c r="N335" s="4" t="s">
        <v>3981</v>
      </c>
      <c r="O335" s="2" t="s">
        <v>132</v>
      </c>
      <c r="P335" s="2">
        <v>1.080298274E9</v>
      </c>
      <c r="Q335" s="2" t="s">
        <v>68</v>
      </c>
      <c r="R335" s="4" t="s">
        <v>4590</v>
      </c>
    </row>
    <row r="336">
      <c r="A336" s="4" t="s">
        <v>44</v>
      </c>
      <c r="B336" s="4" t="s">
        <v>44</v>
      </c>
      <c r="C336" s="4">
        <v>335.0</v>
      </c>
      <c r="D336" s="13" t="str">
        <f>HYPERLINK("https://www.linkedin.com/ad-library/detail/1080395464","Open Ad")</f>
        <v>Open Ad</v>
      </c>
      <c r="E336" s="4" t="s">
        <v>91</v>
      </c>
      <c r="F336" s="4" t="s">
        <v>4343</v>
      </c>
      <c r="G336" s="4" t="s">
        <v>4344</v>
      </c>
      <c r="H336" s="4" t="s">
        <v>55</v>
      </c>
      <c r="I336" s="4" t="s">
        <v>4345</v>
      </c>
      <c r="J336" s="4" t="s">
        <v>91</v>
      </c>
      <c r="K336" s="13" t="str">
        <f>HYPERLINK("https://media.licdn.com/dms/image/v2/D4E10AQG3mhPj4Jq23A/image-shrink_1280/B4EZpJFlyfHMAM-/0/1762162795167/analyzeseov1png?e=2147483647&amp;v=beta&amp;t=PMyvpJXJb7kPV-WN8Hin_f-lkjdHOg6FfkPXWnbLzqM","Open Creative")</f>
        <v>Open Creative</v>
      </c>
      <c r="L336" s="4" t="s">
        <v>62</v>
      </c>
      <c r="M336" s="4" t="s">
        <v>63</v>
      </c>
      <c r="N336" s="4" t="s">
        <v>4407</v>
      </c>
      <c r="O336" s="2" t="s">
        <v>132</v>
      </c>
      <c r="P336" s="2">
        <v>1.080395464E9</v>
      </c>
      <c r="Q336" s="2" t="s">
        <v>68</v>
      </c>
      <c r="R336" s="4" t="s">
        <v>4599</v>
      </c>
    </row>
    <row r="337">
      <c r="A337" s="4" t="s">
        <v>44</v>
      </c>
      <c r="B337" s="4" t="s">
        <v>44</v>
      </c>
      <c r="C337" s="4">
        <v>336.0</v>
      </c>
      <c r="D337" s="13" t="str">
        <f>HYPERLINK("https://www.linkedin.com/ad-library/detail/1081587654","Open Ad")</f>
        <v>Open Ad</v>
      </c>
      <c r="E337" s="4" t="s">
        <v>91</v>
      </c>
      <c r="F337" s="4" t="s">
        <v>4343</v>
      </c>
      <c r="G337" s="4" t="s">
        <v>4344</v>
      </c>
      <c r="H337" s="4" t="s">
        <v>55</v>
      </c>
      <c r="I337" s="4" t="s">
        <v>4345</v>
      </c>
      <c r="J337" s="4" t="s">
        <v>91</v>
      </c>
      <c r="K337" s="13" t="str">
        <f>HYPERLINK("https://media.licdn.com/dms/image/v2/D4E10AQEpN2cvLR7V9Q/image-shrink_1280/B4EZpJH38UKoAQ-/0/1762163393251/Everytool_v3png?e=2147483647&amp;v=beta&amp;t=xjVpTyZnU-i3AmlCzJwTQvgQWJYT4myITqseHmwrxtA","Open Creative")</f>
        <v>Open Creative</v>
      </c>
      <c r="L337" s="4" t="s">
        <v>62</v>
      </c>
      <c r="M337" s="4" t="s">
        <v>63</v>
      </c>
      <c r="N337" s="4" t="s">
        <v>4353</v>
      </c>
      <c r="O337" s="2" t="s">
        <v>132</v>
      </c>
      <c r="P337" s="2">
        <v>1.081587654E9</v>
      </c>
      <c r="Q337" s="2" t="s">
        <v>68</v>
      </c>
      <c r="R337" s="4" t="s">
        <v>4613</v>
      </c>
    </row>
    <row r="338">
      <c r="A338" s="4" t="s">
        <v>44</v>
      </c>
      <c r="B338" s="4" t="s">
        <v>44</v>
      </c>
      <c r="C338" s="4">
        <v>337.0</v>
      </c>
      <c r="D338" s="13" t="str">
        <f>HYPERLINK("https://www.linkedin.com/ad-library/detail/1080188854","Open Ad")</f>
        <v>Open Ad</v>
      </c>
      <c r="E338" s="4" t="s">
        <v>91</v>
      </c>
      <c r="F338" s="4" t="s">
        <v>4343</v>
      </c>
      <c r="G338" s="4" t="s">
        <v>4344</v>
      </c>
      <c r="H338" s="4" t="s">
        <v>55</v>
      </c>
      <c r="I338" s="4" t="s">
        <v>4345</v>
      </c>
      <c r="J338" s="4" t="s">
        <v>91</v>
      </c>
      <c r="K338" s="13" t="str">
        <f>HYPERLINK("https://media.licdn.com/dms/image/v2/D4E10AQGNmJRJ2AaL9Q/image-shrink_1280/B4EZpJHOAlHEAM-/0/1762163221668/Cutmanual_v2png?e=2147483647&amp;v=beta&amp;t=87pX_7WdH1CEMUq0dRJqOLWJH_BHpsYtrJK-SbFSvIA","Open Creative")</f>
        <v>Open Creative</v>
      </c>
      <c r="L338" s="4" t="s">
        <v>3498</v>
      </c>
      <c r="M338" s="4" t="s">
        <v>63</v>
      </c>
      <c r="N338" s="4" t="s">
        <v>4353</v>
      </c>
      <c r="O338" s="2" t="s">
        <v>132</v>
      </c>
      <c r="P338" s="2">
        <v>1.080188854E9</v>
      </c>
      <c r="Q338" s="2" t="s">
        <v>68</v>
      </c>
      <c r="R338" s="4" t="s">
        <v>4622</v>
      </c>
    </row>
    <row r="339">
      <c r="A339" s="4" t="s">
        <v>44</v>
      </c>
      <c r="B339" s="4" t="s">
        <v>44</v>
      </c>
      <c r="C339" s="4">
        <v>338.0</v>
      </c>
      <c r="D339" s="13" t="str">
        <f>HYPERLINK("https://www.linkedin.com/ad-library/detail/1071862684","Open Ad")</f>
        <v>Open Ad</v>
      </c>
      <c r="E339" s="4" t="s">
        <v>91</v>
      </c>
      <c r="F339" s="4" t="s">
        <v>3970</v>
      </c>
      <c r="G339" s="4" t="s">
        <v>3972</v>
      </c>
      <c r="H339" s="4" t="s">
        <v>55</v>
      </c>
      <c r="I339" s="4" t="s">
        <v>985</v>
      </c>
      <c r="J339" s="4" t="s">
        <v>91</v>
      </c>
      <c r="K339" s="13" t="str">
        <f>HYPERLINK("https://media.licdn.com/dms/image/v2/D4E10AQEs6GRvvoLGSw/image-shrink_1280/B4EZsSlSAsKUAM-/0/1765543324073/WineverysearchV4png?e=2147483647&amp;v=beta&amp;t=E0NkYNU5ZfvDAz6CbfKhF9Nf4Dnt5hXrWTH0m4oRi3s","Open Creative")</f>
        <v>Open Creative</v>
      </c>
      <c r="L339" s="4" t="s">
        <v>62</v>
      </c>
      <c r="M339" s="4" t="s">
        <v>63</v>
      </c>
      <c r="N339" s="4" t="s">
        <v>4632</v>
      </c>
      <c r="O339" s="2" t="s">
        <v>132</v>
      </c>
      <c r="P339" s="2">
        <v>1.071862684E9</v>
      </c>
      <c r="Q339" s="2" t="s">
        <v>68</v>
      </c>
      <c r="R339" s="4" t="s">
        <v>4634</v>
      </c>
    </row>
    <row r="340">
      <c r="A340" s="4" t="s">
        <v>44</v>
      </c>
      <c r="B340" s="4" t="s">
        <v>44</v>
      </c>
      <c r="C340" s="4">
        <v>339.0</v>
      </c>
      <c r="D340" s="13" t="str">
        <f>HYPERLINK("https://www.linkedin.com/ad-library/detail/1071862674","Open Ad")</f>
        <v>Open Ad</v>
      </c>
      <c r="E340" s="4" t="s">
        <v>91</v>
      </c>
      <c r="F340" s="4" t="s">
        <v>3970</v>
      </c>
      <c r="G340" s="4" t="s">
        <v>4064</v>
      </c>
      <c r="H340" s="4" t="s">
        <v>55</v>
      </c>
      <c r="I340" s="4" t="s">
        <v>57</v>
      </c>
      <c r="J340" s="4" t="s">
        <v>91</v>
      </c>
      <c r="K340" s="13" t="str">
        <f>HYPERLINK("https://media.licdn.com/dms/image/v2/D4E10AQFmGc-u4f8TzQ/image-shrink_1280/B4EZsSis4iKUAM-/0/1765542646502/ComebackV3png?e=2147483647&amp;v=beta&amp;t=HpXzAu9jQ_RMbwFn95--WGuO3hY-0Jlkmtvqn9iorw8","Open Creative")</f>
        <v>Open Creative</v>
      </c>
      <c r="L340" s="4" t="s">
        <v>62</v>
      </c>
      <c r="M340" s="4" t="s">
        <v>63</v>
      </c>
      <c r="N340" s="4" t="s">
        <v>4632</v>
      </c>
      <c r="O340" s="2" t="s">
        <v>132</v>
      </c>
      <c r="P340" s="2">
        <v>1.071862674E9</v>
      </c>
      <c r="Q340" s="2" t="s">
        <v>68</v>
      </c>
      <c r="R340" s="4" t="s">
        <v>4647</v>
      </c>
    </row>
    <row r="341">
      <c r="A341" s="4" t="s">
        <v>44</v>
      </c>
      <c r="B341" s="4" t="s">
        <v>44</v>
      </c>
      <c r="C341" s="4">
        <v>340.0</v>
      </c>
      <c r="D341" s="13" t="str">
        <f>HYPERLINK("https://www.linkedin.com/ad-library/detail/1077994564","Open Ad")</f>
        <v>Open Ad</v>
      </c>
      <c r="E341" s="4" t="s">
        <v>4653</v>
      </c>
      <c r="F341" s="4" t="s">
        <v>53</v>
      </c>
      <c r="G341" s="4" t="s">
        <v>4655</v>
      </c>
      <c r="H341" s="4" t="s">
        <v>55</v>
      </c>
      <c r="I341" s="4" t="s">
        <v>1251</v>
      </c>
      <c r="J341" s="4" t="s">
        <v>4653</v>
      </c>
      <c r="K341" s="13" t="str">
        <f>HYPERLINK("https://media.licdn.com/dms/image/v2/D4E10AQETIP0ki9XErA/image-shrink_627_1200/B4EZpJsv2lIUAY-/0/1762173059264?e=1789462800&amp;v=beta&amp;t=Mo884HtQuyvGYQgl-1awYKjhKmi3RNSp5sbtFDtdjuE","Open Creative")</f>
        <v>Open Creative</v>
      </c>
      <c r="L341" s="4" t="s">
        <v>62</v>
      </c>
      <c r="M341" s="4" t="s">
        <v>63</v>
      </c>
      <c r="N341" s="4" t="s">
        <v>4353</v>
      </c>
      <c r="O341" s="2" t="s">
        <v>132</v>
      </c>
      <c r="P341" s="2">
        <v>1.077994564E9</v>
      </c>
      <c r="Q341" s="2" t="s">
        <v>68</v>
      </c>
      <c r="R341" s="4" t="s">
        <v>4664</v>
      </c>
    </row>
    <row r="342">
      <c r="A342" s="4" t="s">
        <v>44</v>
      </c>
      <c r="B342" s="4" t="s">
        <v>44</v>
      </c>
      <c r="C342" s="4">
        <v>341.0</v>
      </c>
      <c r="D342" s="13" t="str">
        <f>HYPERLINK("https://www.linkedin.com/ad-library/detail/1080188884","Open Ad")</f>
        <v>Open Ad</v>
      </c>
      <c r="E342" s="4" t="s">
        <v>4653</v>
      </c>
      <c r="F342" s="4" t="s">
        <v>53</v>
      </c>
      <c r="G342" s="4" t="s">
        <v>4670</v>
      </c>
      <c r="H342" s="4" t="s">
        <v>55</v>
      </c>
      <c r="I342" s="4" t="s">
        <v>1377</v>
      </c>
      <c r="J342" s="4" t="s">
        <v>4653</v>
      </c>
      <c r="K342" s="13" t="str">
        <f>HYPERLINK("https://media.licdn.com/dms/image/v2/D4E10AQHpvJ6OPms_Hw/image-shrink_1080_1080/B4EZpJtI6oKsAk-/0/1762173161854?e=1789462800&amp;v=beta&amp;t=B9paeK4XptHjukBWgn212rtbxiGtqaaNNijRBdaD2ao","Open Creative")</f>
        <v>Open Creative</v>
      </c>
      <c r="L342" s="4" t="s">
        <v>62</v>
      </c>
      <c r="M342" s="4" t="s">
        <v>63</v>
      </c>
      <c r="N342" s="4" t="s">
        <v>4353</v>
      </c>
      <c r="O342" s="2" t="s">
        <v>132</v>
      </c>
      <c r="P342" s="2">
        <v>1.080188884E9</v>
      </c>
      <c r="Q342" s="2" t="s">
        <v>68</v>
      </c>
      <c r="R342" s="4" t="s">
        <v>4678</v>
      </c>
    </row>
    <row r="343">
      <c r="A343" s="4" t="s">
        <v>44</v>
      </c>
      <c r="B343" s="4" t="s">
        <v>44</v>
      </c>
      <c r="C343" s="4">
        <v>342.0</v>
      </c>
      <c r="D343" s="13" t="str">
        <f>HYPERLINK("https://www.linkedin.com/ad-library/detail/1078294204","Open Ad")</f>
        <v>Open Ad</v>
      </c>
      <c r="E343" s="4" t="s">
        <v>91</v>
      </c>
      <c r="F343" s="4" t="s">
        <v>4343</v>
      </c>
      <c r="G343" s="4" t="s">
        <v>4344</v>
      </c>
      <c r="H343" s="4" t="s">
        <v>55</v>
      </c>
      <c r="I343" s="4" t="s">
        <v>4345</v>
      </c>
      <c r="J343" s="4" t="s">
        <v>91</v>
      </c>
      <c r="K343" s="13" t="str">
        <f>HYPERLINK("https://media.licdn.com/dms/image/v2/D4E10AQHf_FRjLX3CAQ/image-shrink_1280/B4EZpJHAD6HoAQ-/0/1762163164323/Takethelead_v2png?e=2147483647&amp;v=beta&amp;t=Z3CgwL5lSTxmqeaexRhij4U5_rP-B_3FFguxPwHmMyc","Open Creative")</f>
        <v>Open Creative</v>
      </c>
      <c r="L343" s="4" t="s">
        <v>3498</v>
      </c>
      <c r="M343" s="4" t="s">
        <v>63</v>
      </c>
      <c r="N343" s="4" t="s">
        <v>4353</v>
      </c>
      <c r="O343" s="2" t="s">
        <v>132</v>
      </c>
      <c r="P343" s="2">
        <v>1.078294204E9</v>
      </c>
      <c r="Q343" s="2" t="s">
        <v>68</v>
      </c>
      <c r="R343" s="4" t="s">
        <v>4690</v>
      </c>
    </row>
    <row r="344">
      <c r="A344" s="4" t="s">
        <v>44</v>
      </c>
      <c r="B344" s="4" t="s">
        <v>44</v>
      </c>
      <c r="C344" s="4">
        <v>343.0</v>
      </c>
      <c r="D344" s="13" t="str">
        <f>HYPERLINK("https://www.linkedin.com/ad-library/detail/1071760004","Open Ad")</f>
        <v>Open Ad</v>
      </c>
      <c r="E344" s="4" t="s">
        <v>91</v>
      </c>
      <c r="F344" s="4" t="s">
        <v>3970</v>
      </c>
      <c r="G344" s="4" t="s">
        <v>3972</v>
      </c>
      <c r="H344" s="4" t="s">
        <v>55</v>
      </c>
      <c r="I344" s="4" t="s">
        <v>985</v>
      </c>
      <c r="J344" s="4" t="s">
        <v>91</v>
      </c>
      <c r="K344" s="13" t="str">
        <f>HYPERLINK("https://media.licdn.com/dms/image/v2/D4E10AQEl0a5ve_qCPA/image-shrink_1280/B4EZsSlE2oKkAM-/0/1765543270161/WineverysearchV3png?e=2147483647&amp;v=beta&amp;t=A2rieiMVWN_OAyYtoKqA0anCUH2OByXRSQT2N5XrS_I","Open Creative")</f>
        <v>Open Creative</v>
      </c>
      <c r="L344" s="4" t="s">
        <v>62</v>
      </c>
      <c r="M344" s="4" t="s">
        <v>63</v>
      </c>
      <c r="N344" s="4" t="s">
        <v>4632</v>
      </c>
      <c r="O344" s="2" t="s">
        <v>132</v>
      </c>
      <c r="P344" s="2">
        <v>1.071760004E9</v>
      </c>
      <c r="Q344" s="2" t="s">
        <v>68</v>
      </c>
      <c r="R344" s="4" t="s">
        <v>4702</v>
      </c>
    </row>
    <row r="345">
      <c r="A345" s="4" t="s">
        <v>44</v>
      </c>
      <c r="B345" s="4" t="s">
        <v>44</v>
      </c>
      <c r="C345" s="4">
        <v>344.0</v>
      </c>
      <c r="D345" s="13" t="str">
        <f>HYPERLINK("https://www.linkedin.com/ad-library/detail/1081785984","Open Ad")</f>
        <v>Open Ad</v>
      </c>
      <c r="E345" s="4" t="s">
        <v>91</v>
      </c>
      <c r="F345" s="4" t="s">
        <v>4343</v>
      </c>
      <c r="G345" s="4" t="s">
        <v>4344</v>
      </c>
      <c r="H345" s="4" t="s">
        <v>55</v>
      </c>
      <c r="I345" s="4" t="s">
        <v>4345</v>
      </c>
      <c r="J345" s="4" t="s">
        <v>91</v>
      </c>
      <c r="K345" s="13" t="str">
        <f>HYPERLINK("https://media.licdn.com/dms/image/v2/D4E10AQHmc1R2KRyshA/image-shrink_1280/B4EZpJFlykHoAM-/0/1762162794752/taketheleadv1png?e=2147483647&amp;v=beta&amp;t=u30hfMraoLz4YGWlucxL_3ImcktQp1PuQMxe5mp03-8","Open Creative")</f>
        <v>Open Creative</v>
      </c>
      <c r="L345" s="4" t="s">
        <v>3498</v>
      </c>
      <c r="M345" s="4" t="s">
        <v>63</v>
      </c>
      <c r="N345" s="4" t="s">
        <v>4353</v>
      </c>
      <c r="O345" s="2" t="s">
        <v>132</v>
      </c>
      <c r="P345" s="2">
        <v>1.081785984E9</v>
      </c>
      <c r="Q345" s="2" t="s">
        <v>68</v>
      </c>
      <c r="R345" s="4" t="s">
        <v>4714</v>
      </c>
    </row>
    <row r="346">
      <c r="A346" s="4" t="s">
        <v>44</v>
      </c>
      <c r="B346" s="4" t="s">
        <v>44</v>
      </c>
      <c r="C346" s="4">
        <v>345.0</v>
      </c>
      <c r="D346" s="13" t="str">
        <f>HYPERLINK("https://www.linkedin.com/ad-library/detail/1081981504","Open Ad")</f>
        <v>Open Ad</v>
      </c>
      <c r="E346" s="4" t="s">
        <v>91</v>
      </c>
      <c r="F346" s="4" t="s">
        <v>4343</v>
      </c>
      <c r="G346" s="4" t="s">
        <v>4344</v>
      </c>
      <c r="H346" s="4" t="s">
        <v>55</v>
      </c>
      <c r="I346" s="4" t="s">
        <v>4345</v>
      </c>
      <c r="J346" s="4" t="s">
        <v>91</v>
      </c>
      <c r="K346" s="13" t="str">
        <f>HYPERLINK("https://media.licdn.com/dms/image/v2/D4E10AQFALTRYA2PG2g/image-shrink_1280/B4EZpJHOAqIQAM-/0/1762163221643/Everytool_v2png?e=2147483647&amp;v=beta&amp;t=OdIyyNqQeBQAfaHOYFSuH72yURT95HgluqQnSEps6CM","Open Creative")</f>
        <v>Open Creative</v>
      </c>
      <c r="L346" s="4" t="s">
        <v>3498</v>
      </c>
      <c r="M346" s="4" t="s">
        <v>63</v>
      </c>
      <c r="N346" s="4" t="s">
        <v>4353</v>
      </c>
      <c r="O346" s="2" t="s">
        <v>132</v>
      </c>
      <c r="P346" s="2">
        <v>1.081981504E9</v>
      </c>
      <c r="Q346" s="2" t="s">
        <v>68</v>
      </c>
      <c r="R346" s="4" t="s">
        <v>4728</v>
      </c>
    </row>
    <row r="347">
      <c r="A347" s="4" t="s">
        <v>44</v>
      </c>
      <c r="B347" s="4" t="s">
        <v>44</v>
      </c>
      <c r="C347" s="4">
        <v>346.0</v>
      </c>
      <c r="D347" s="13" t="str">
        <f>HYPERLINK("https://www.linkedin.com/ad-library/detail/1081981514","Open Ad")</f>
        <v>Open Ad</v>
      </c>
      <c r="E347" s="4" t="s">
        <v>91</v>
      </c>
      <c r="F347" s="4" t="s">
        <v>4343</v>
      </c>
      <c r="G347" s="4" t="s">
        <v>4344</v>
      </c>
      <c r="H347" s="4" t="s">
        <v>55</v>
      </c>
      <c r="I347" s="4" t="s">
        <v>4345</v>
      </c>
      <c r="J347" s="4" t="s">
        <v>91</v>
      </c>
      <c r="K347" s="13" t="str">
        <f>HYPERLINK("https://media.licdn.com/dms/image/v2/D4E10AQG3mhPj4Jq23A/image-shrink_1280/B4EZpJFlyfHMAM-/0/1762162795167/analyzeseov1png?e=2147483647&amp;v=beta&amp;t=PMyvpJXJb7kPV-WN8Hin_f-lkjdHOg6FfkPXWnbLzqM","Open Creative")</f>
        <v>Open Creative</v>
      </c>
      <c r="L347" s="4" t="s">
        <v>3498</v>
      </c>
      <c r="M347" s="4" t="s">
        <v>63</v>
      </c>
      <c r="N347" s="4" t="s">
        <v>4353</v>
      </c>
      <c r="O347" s="2" t="s">
        <v>132</v>
      </c>
      <c r="P347" s="2">
        <v>1.081981514E9</v>
      </c>
      <c r="Q347" s="2" t="s">
        <v>68</v>
      </c>
      <c r="R347" s="4" t="s">
        <v>4740</v>
      </c>
    </row>
    <row r="348">
      <c r="A348" s="4" t="s">
        <v>44</v>
      </c>
      <c r="B348" s="4" t="s">
        <v>44</v>
      </c>
      <c r="C348" s="4">
        <v>347.0</v>
      </c>
      <c r="D348" s="13" t="str">
        <f>HYPERLINK("https://www.linkedin.com/ad-library/detail/1081388064","Open Ad")</f>
        <v>Open Ad</v>
      </c>
      <c r="E348" s="4" t="s">
        <v>91</v>
      </c>
      <c r="F348" s="4" t="s">
        <v>4343</v>
      </c>
      <c r="G348" s="4" t="s">
        <v>4344</v>
      </c>
      <c r="H348" s="4" t="s">
        <v>55</v>
      </c>
      <c r="I348" s="4" t="s">
        <v>4345</v>
      </c>
      <c r="J348" s="4" t="s">
        <v>91</v>
      </c>
      <c r="K348" s="13" t="str">
        <f>HYPERLINK("https://media.licdn.com/dms/image/v2/D4E10AQFiderjHNEmfA/image-shrink_1280/B4EZpJFlyjKMAU-/0/1762162795050/everytoolv1png?e=2147483647&amp;v=beta&amp;t=bKwBE2ciiGznP3B9BVejtsHNaVeRohDadTESyyUQ1fI","Open Creative")</f>
        <v>Open Creative</v>
      </c>
      <c r="L348" s="4" t="s">
        <v>3498</v>
      </c>
      <c r="M348" s="4" t="s">
        <v>63</v>
      </c>
      <c r="N348" s="4" t="s">
        <v>4353</v>
      </c>
      <c r="O348" s="2" t="s">
        <v>132</v>
      </c>
      <c r="P348" s="2">
        <v>1.081388064E9</v>
      </c>
      <c r="Q348" s="2" t="s">
        <v>68</v>
      </c>
      <c r="R348" s="4" t="s">
        <v>4750</v>
      </c>
    </row>
    <row r="349">
      <c r="A349" s="4" t="s">
        <v>44</v>
      </c>
      <c r="B349" s="4" t="s">
        <v>44</v>
      </c>
      <c r="C349" s="4">
        <v>348.0</v>
      </c>
      <c r="D349" s="13" t="str">
        <f>HYPERLINK("https://www.linkedin.com/ad-library/detail/1081088084","Open Ad")</f>
        <v>Open Ad</v>
      </c>
      <c r="E349" s="4" t="s">
        <v>154</v>
      </c>
      <c r="F349" s="4" t="s">
        <v>3970</v>
      </c>
      <c r="G349" s="4" t="s">
        <v>3972</v>
      </c>
      <c r="H349" s="4" t="s">
        <v>55</v>
      </c>
      <c r="I349" s="4" t="s">
        <v>985</v>
      </c>
      <c r="J349" s="4" t="s">
        <v>154</v>
      </c>
      <c r="K349" s="13" t="str">
        <f>HYPERLINK("https://dms.licdn.com/playlist/vid/v2/D4E10AQE05lyU38SRQA/mp4-720p-30fp-crf28/B4EZtG9S8KGQCY-/0/1766422035393/UGCSEMRUSHVideoEOY1x1mp4?e=2147483647&amp;v=beta&amp;t=vq6oIbU8t7vyDMoAbOgHAXT1j-csdxV8ulUfjri1G4c","Open Creative")</f>
        <v>Open Creative</v>
      </c>
      <c r="L349" s="4" t="s">
        <v>62</v>
      </c>
      <c r="M349" s="4" t="s">
        <v>63</v>
      </c>
      <c r="N349" s="4" t="s">
        <v>4760</v>
      </c>
      <c r="O349" s="2" t="s">
        <v>132</v>
      </c>
      <c r="P349" s="2">
        <v>1.081088084E9</v>
      </c>
      <c r="Q349" s="2" t="s">
        <v>68</v>
      </c>
      <c r="R349" s="4" t="s">
        <v>4761</v>
      </c>
    </row>
    <row r="350">
      <c r="A350" s="4" t="s">
        <v>44</v>
      </c>
      <c r="B350" s="4" t="s">
        <v>44</v>
      </c>
      <c r="C350" s="4">
        <v>349.0</v>
      </c>
      <c r="D350" s="13" t="str">
        <f>HYPERLINK("https://www.linkedin.com/ad-library/detail/1072062424","Open Ad")</f>
        <v>Open Ad</v>
      </c>
      <c r="E350" s="4" t="s">
        <v>91</v>
      </c>
      <c r="F350" s="4" t="s">
        <v>3970</v>
      </c>
      <c r="G350" s="4" t="s">
        <v>3972</v>
      </c>
      <c r="H350" s="4" t="s">
        <v>55</v>
      </c>
      <c r="I350" s="4" t="s">
        <v>985</v>
      </c>
      <c r="J350" s="4" t="s">
        <v>91</v>
      </c>
      <c r="K350" s="13" t="str">
        <f>HYPERLINK("https://media.licdn.com/dms/image/v2/D4E10AQHhhPKfgziqSQ/image-shrink_1280/B4EZsSkvFhHgAM-/0/1765543181193/WineverysearchV1png?e=2147483647&amp;v=beta&amp;t=0s9X1-KD0cwda43KUHXiZ6VgA0oYUQummgCRbXIXT5Y","Open Creative")</f>
        <v>Open Creative</v>
      </c>
      <c r="L350" s="4" t="s">
        <v>62</v>
      </c>
      <c r="M350" s="4" t="s">
        <v>63</v>
      </c>
      <c r="N350" s="4" t="s">
        <v>4632</v>
      </c>
      <c r="O350" s="2" t="s">
        <v>132</v>
      </c>
      <c r="P350" s="2">
        <v>1.072062424E9</v>
      </c>
      <c r="Q350" s="2" t="s">
        <v>68</v>
      </c>
      <c r="R350" s="4" t="s">
        <v>4776</v>
      </c>
    </row>
    <row r="351">
      <c r="A351" s="4" t="s">
        <v>44</v>
      </c>
      <c r="B351" s="4" t="s">
        <v>44</v>
      </c>
      <c r="C351" s="4">
        <v>350.0</v>
      </c>
      <c r="D351" s="13" t="str">
        <f>HYPERLINK("https://www.linkedin.com/ad-library/detail/1081188074","Open Ad")</f>
        <v>Open Ad</v>
      </c>
      <c r="E351" s="4" t="s">
        <v>91</v>
      </c>
      <c r="F351" s="4" t="s">
        <v>4343</v>
      </c>
      <c r="G351" s="4" t="s">
        <v>4344</v>
      </c>
      <c r="H351" s="4" t="s">
        <v>55</v>
      </c>
      <c r="I351" s="4" t="s">
        <v>4345</v>
      </c>
      <c r="J351" s="4" t="s">
        <v>91</v>
      </c>
      <c r="K351" s="13" t="str">
        <f>HYPERLINK("https://media.licdn.com/dms/image/v2/D4E10AQHXoZWBoQjhiw/image-shrink_1280/B4EZpJH39BHcAM-/0/1762163393322/Takethelead_v3png?e=2147483647&amp;v=beta&amp;t=JM9iYudONjL9Tdbo2Q7hPdjCJTO_z20FFmZ-mLizVDQ","Open Creative")</f>
        <v>Open Creative</v>
      </c>
      <c r="L351" s="4" t="s">
        <v>3498</v>
      </c>
      <c r="M351" s="4" t="s">
        <v>63</v>
      </c>
      <c r="N351" s="4" t="s">
        <v>4353</v>
      </c>
      <c r="O351" s="2" t="s">
        <v>132</v>
      </c>
      <c r="P351" s="2">
        <v>1.081188074E9</v>
      </c>
      <c r="Q351" s="2" t="s">
        <v>68</v>
      </c>
      <c r="R351" s="4" t="s">
        <v>4789</v>
      </c>
    </row>
    <row r="352">
      <c r="A352" s="4" t="s">
        <v>44</v>
      </c>
      <c r="B352" s="4" t="s">
        <v>44</v>
      </c>
      <c r="C352" s="4">
        <v>351.0</v>
      </c>
      <c r="D352" s="13" t="str">
        <f>HYPERLINK("https://www.linkedin.com/ad-library/detail/1080788154","Open Ad")</f>
        <v>Open Ad</v>
      </c>
      <c r="E352" s="4" t="s">
        <v>91</v>
      </c>
      <c r="F352" s="4" t="s">
        <v>4343</v>
      </c>
      <c r="G352" s="4" t="s">
        <v>4344</v>
      </c>
      <c r="H352" s="4" t="s">
        <v>55</v>
      </c>
      <c r="I352" s="4" t="s">
        <v>4345</v>
      </c>
      <c r="J352" s="4" t="s">
        <v>91</v>
      </c>
      <c r="K352" s="13" t="str">
        <f>HYPERLINK("https://media.licdn.com/dms/image/v2/D4E10AQHZEwCNmnv2kw/image-shrink_1280/B4EZpJFlypKMAM-/0/1762162795213/cutmanualv1png?e=2147483647&amp;v=beta&amp;t=k4bB-sfflKPBJfNxb0h-Jr8NUOB5s3mJQs8cRTUx_v8","Open Creative")</f>
        <v>Open Creative</v>
      </c>
      <c r="L352" s="4" t="s">
        <v>3498</v>
      </c>
      <c r="M352" s="4" t="s">
        <v>63</v>
      </c>
      <c r="N352" s="4" t="s">
        <v>4353</v>
      </c>
      <c r="O352" s="2" t="s">
        <v>132</v>
      </c>
      <c r="P352" s="2">
        <v>1.080788154E9</v>
      </c>
      <c r="Q352" s="2" t="s">
        <v>68</v>
      </c>
      <c r="R352" s="4" t="s">
        <v>4799</v>
      </c>
    </row>
    <row r="353">
      <c r="A353" s="4" t="s">
        <v>44</v>
      </c>
      <c r="B353" s="4" t="s">
        <v>44</v>
      </c>
      <c r="C353" s="4">
        <v>352.0</v>
      </c>
      <c r="D353" s="13" t="str">
        <f>HYPERLINK("https://www.linkedin.com/ad-library/detail/1080788164","Open Ad")</f>
        <v>Open Ad</v>
      </c>
      <c r="E353" s="4" t="s">
        <v>91</v>
      </c>
      <c r="F353" s="4" t="s">
        <v>4343</v>
      </c>
      <c r="G353" s="4" t="s">
        <v>4344</v>
      </c>
      <c r="H353" s="4" t="s">
        <v>55</v>
      </c>
      <c r="I353" s="4" t="s">
        <v>4345</v>
      </c>
      <c r="J353" s="4" t="s">
        <v>91</v>
      </c>
      <c r="K353" s="13" t="str">
        <f>HYPERLINK("https://media.licdn.com/dms/image/v2/D4E10AQHshE6tfg3xGg/image-shrink_1280/B4EZpJH38cKcAM-/0/1762163393342/Cutmanual_v3png?e=2147483647&amp;v=beta&amp;t=Bgq0SMe9nN-tsnJQu7S09qN_EmYvMaxDrk1_hh3DwX8","Open Creative")</f>
        <v>Open Creative</v>
      </c>
      <c r="L353" s="4" t="s">
        <v>3498</v>
      </c>
      <c r="M353" s="4" t="s">
        <v>63</v>
      </c>
      <c r="N353" s="4" t="s">
        <v>4353</v>
      </c>
      <c r="O353" s="2" t="s">
        <v>132</v>
      </c>
      <c r="P353" s="2">
        <v>1.080788164E9</v>
      </c>
      <c r="Q353" s="2" t="s">
        <v>68</v>
      </c>
      <c r="R353" s="4" t="s">
        <v>4812</v>
      </c>
    </row>
    <row r="354">
      <c r="A354" s="4" t="s">
        <v>44</v>
      </c>
      <c r="B354" s="4" t="s">
        <v>44</v>
      </c>
      <c r="C354" s="4">
        <v>353.0</v>
      </c>
      <c r="D354" s="13" t="str">
        <f>HYPERLINK("https://www.linkedin.com/ad-library/detail/1080587644","Open Ad")</f>
        <v>Open Ad</v>
      </c>
      <c r="E354" s="4" t="s">
        <v>154</v>
      </c>
      <c r="F354" s="4" t="s">
        <v>3970</v>
      </c>
      <c r="G354" s="4" t="s">
        <v>3972</v>
      </c>
      <c r="H354" s="4" t="s">
        <v>55</v>
      </c>
      <c r="I354" s="4" t="s">
        <v>985</v>
      </c>
      <c r="J354" s="4" t="s">
        <v>154</v>
      </c>
      <c r="K354" s="13" t="str">
        <f>HYPERLINK("https://dms.licdn.com/playlist/vid/v2/D4E10AQG-1-VCiHOiCg/progressive-servable-video/B4EZtG.Ip1HcAk-/0/1766422253306/UGCSEMRUSHVideoEOY16x9mp4?e=2147483647&amp;v=beta&amp;t=d4QqDVRn7Q1a-DO7RkjZidOmy-_VXmQRCoYJt9k1siQ","Open Creative")</f>
        <v>Open Creative</v>
      </c>
      <c r="L354" s="4" t="s">
        <v>62</v>
      </c>
      <c r="M354" s="4" t="s">
        <v>63</v>
      </c>
      <c r="N354" s="4" t="s">
        <v>4760</v>
      </c>
      <c r="O354" s="2" t="s">
        <v>132</v>
      </c>
      <c r="P354" s="2">
        <v>1.080587644E9</v>
      </c>
      <c r="Q354" s="2" t="s">
        <v>68</v>
      </c>
      <c r="R354" s="4" t="s">
        <v>4824</v>
      </c>
    </row>
    <row r="355">
      <c r="A355" s="4" t="s">
        <v>44</v>
      </c>
      <c r="B355" s="4" t="s">
        <v>44</v>
      </c>
      <c r="C355" s="4">
        <v>354.0</v>
      </c>
      <c r="D355" s="13" t="str">
        <f>HYPERLINK("https://www.linkedin.com/ad-library/detail/1080288644","Open Ad")</f>
        <v>Open Ad</v>
      </c>
      <c r="E355" s="4" t="s">
        <v>91</v>
      </c>
      <c r="F355" s="4" t="s">
        <v>4343</v>
      </c>
      <c r="G355" s="4" t="s">
        <v>4344</v>
      </c>
      <c r="H355" s="4" t="s">
        <v>55</v>
      </c>
      <c r="I355" s="4" t="s">
        <v>4345</v>
      </c>
      <c r="J355" s="4" t="s">
        <v>91</v>
      </c>
      <c r="K355" s="13" t="str">
        <f>HYPERLINK("https://media.licdn.com/dms/image/v2/D4E10AQFrvZlk7xzYGA/image-shrink_1280/B4EZpJH38cGUAM-/0/1762163393376/Analyzeseo_v3png?e=2147483647&amp;v=beta&amp;t=CATIMuw66HtFFmiECmnv7JsWS6ghLh6qWFZVFsLoJFQ","Open Creative")</f>
        <v>Open Creative</v>
      </c>
      <c r="L355" s="4" t="s">
        <v>62</v>
      </c>
      <c r="M355" s="4" t="s">
        <v>63</v>
      </c>
      <c r="N355" s="4" t="s">
        <v>4353</v>
      </c>
      <c r="O355" s="2" t="s">
        <v>132</v>
      </c>
      <c r="P355" s="2">
        <v>1.080288644E9</v>
      </c>
      <c r="Q355" s="2" t="s">
        <v>68</v>
      </c>
      <c r="R355" s="4" t="s">
        <v>4836</v>
      </c>
    </row>
    <row r="356">
      <c r="A356" s="4" t="s">
        <v>44</v>
      </c>
      <c r="B356" s="4" t="s">
        <v>44</v>
      </c>
      <c r="C356" s="4">
        <v>355.0</v>
      </c>
      <c r="D356" s="13" t="str">
        <f>HYPERLINK("https://www.linkedin.com/ad-library/detail/1081785134","Open Ad")</f>
        <v>Open Ad</v>
      </c>
      <c r="E356" s="4" t="s">
        <v>154</v>
      </c>
      <c r="F356" s="4" t="s">
        <v>3970</v>
      </c>
      <c r="G356" s="4" t="s">
        <v>3972</v>
      </c>
      <c r="H356" s="4" t="s">
        <v>55</v>
      </c>
      <c r="I356" s="4" t="s">
        <v>985</v>
      </c>
      <c r="J356" s="4" t="s">
        <v>154</v>
      </c>
      <c r="K356" s="13" t="str">
        <f>HYPERLINK("https://dms.licdn.com/playlist/vid/v2/D4E10AQE05lyU38SRQA/mp4-720p-30fp-crf28/B4EZtG9S8KGQCY-/0/1766422035393/UGCSEMRUSHVideoEOY1x1mp4?e=2147483647&amp;v=beta&amp;t=vq6oIbU8t7vyDMoAbOgHAXT1j-csdxV8ulUfjri1G4c","Open Creative")</f>
        <v>Open Creative</v>
      </c>
      <c r="L356" s="4" t="s">
        <v>62</v>
      </c>
      <c r="M356" s="4" t="s">
        <v>63</v>
      </c>
      <c r="N356" s="4" t="s">
        <v>4760</v>
      </c>
      <c r="O356" s="2" t="s">
        <v>132</v>
      </c>
      <c r="P356" s="2">
        <v>1.081785134E9</v>
      </c>
      <c r="Q356" s="2" t="s">
        <v>68</v>
      </c>
      <c r="R356" s="4" t="s">
        <v>4848</v>
      </c>
    </row>
    <row r="357">
      <c r="A357" s="4" t="s">
        <v>44</v>
      </c>
      <c r="B357" s="4" t="s">
        <v>44</v>
      </c>
      <c r="C357" s="4">
        <v>356.0</v>
      </c>
      <c r="D357" s="13" t="str">
        <f>HYPERLINK("https://www.linkedin.com/ad-library/detail/1081587314","Open Ad")</f>
        <v>Open Ad</v>
      </c>
      <c r="E357" s="4" t="s">
        <v>154</v>
      </c>
      <c r="F357" s="4" t="s">
        <v>3970</v>
      </c>
      <c r="G357" s="4" t="s">
        <v>3972</v>
      </c>
      <c r="H357" s="4" t="s">
        <v>55</v>
      </c>
      <c r="I357" s="4" t="s">
        <v>985</v>
      </c>
      <c r="J357" s="4" t="s">
        <v>154</v>
      </c>
      <c r="K357" s="13" t="str">
        <f>HYPERLINK("https://dms.licdn.com/playlist/vid/v2/D4E10AQG-1-VCiHOiCg/progressive-servable-video/B4EZtG.Ip1HcAk-/0/1766422253306/UGCSEMRUSHVideoEOY16x9mp4?e=2147483647&amp;v=beta&amp;t=d4QqDVRn7Q1a-DO7RkjZidOmy-_VXmQRCoYJt9k1siQ","Open Creative")</f>
        <v>Open Creative</v>
      </c>
      <c r="L357" s="4" t="s">
        <v>62</v>
      </c>
      <c r="M357" s="4" t="s">
        <v>63</v>
      </c>
      <c r="N357" s="4" t="s">
        <v>4760</v>
      </c>
      <c r="O357" s="2" t="s">
        <v>132</v>
      </c>
      <c r="P357" s="2">
        <v>1.081587314E9</v>
      </c>
      <c r="Q357" s="2" t="s">
        <v>68</v>
      </c>
      <c r="R357" s="4" t="s">
        <v>4871</v>
      </c>
    </row>
    <row r="358">
      <c r="A358" s="4" t="s">
        <v>44</v>
      </c>
      <c r="B358" s="4" t="s">
        <v>44</v>
      </c>
      <c r="C358" s="4">
        <v>357.0</v>
      </c>
      <c r="D358" s="13" t="str">
        <f>HYPERLINK("https://www.linkedin.com/ad-library/detail/1074337974","Open Ad")</f>
        <v>Open Ad</v>
      </c>
      <c r="E358" s="4" t="s">
        <v>154</v>
      </c>
      <c r="F358" s="4" t="s">
        <v>53</v>
      </c>
      <c r="G358" s="4" t="s">
        <v>4882</v>
      </c>
      <c r="H358" s="4" t="s">
        <v>55</v>
      </c>
      <c r="I358" s="4" t="s">
        <v>4883</v>
      </c>
      <c r="J358" s="4" t="s">
        <v>154</v>
      </c>
      <c r="K358" s="13" t="str">
        <f>HYPERLINK("https://dms.licdn.com/playlist/vid/v2/D4E10AQE1AWt1qxey1A/mp4-360p-30fp-crf28/B4EZsxtjsfHgB4-/0/1766065587677?e=2147483647&amp;v=beta&amp;t=l-MeuknfAirbvTJeNGsleYkiwf8iXgOiri4iq5TY2YM","Open Creative")</f>
        <v>Open Creative</v>
      </c>
      <c r="L358" s="4" t="s">
        <v>62</v>
      </c>
      <c r="M358" s="4" t="s">
        <v>63</v>
      </c>
      <c r="N358" s="4" t="s">
        <v>4889</v>
      </c>
      <c r="O358" s="2" t="s">
        <v>132</v>
      </c>
      <c r="P358" s="2">
        <v>1.074337974E9</v>
      </c>
      <c r="Q358" s="2" t="s">
        <v>68</v>
      </c>
      <c r="R358" s="4" t="s">
        <v>4890</v>
      </c>
    </row>
    <row r="359">
      <c r="A359" s="4" t="s">
        <v>44</v>
      </c>
      <c r="B359" s="4" t="s">
        <v>44</v>
      </c>
      <c r="C359" s="4">
        <v>358.0</v>
      </c>
      <c r="D359" s="13" t="str">
        <f>HYPERLINK("https://www.linkedin.com/ad-library/detail/1079789214","Open Ad")</f>
        <v>Open Ad</v>
      </c>
      <c r="E359" s="4" t="s">
        <v>91</v>
      </c>
      <c r="F359" s="4" t="s">
        <v>4343</v>
      </c>
      <c r="G359" s="4" t="s">
        <v>4344</v>
      </c>
      <c r="H359" s="4" t="s">
        <v>55</v>
      </c>
      <c r="I359" s="4" t="s">
        <v>4345</v>
      </c>
      <c r="J359" s="4" t="s">
        <v>91</v>
      </c>
      <c r="K359" s="13" t="str">
        <f>HYPERLINK("https://media.licdn.com/dms/image/v2/D4E10AQGlzxaKaJymrw/image-shrink_1280/B4EZpJHOAnHoAM-/0/1762163221695/Analyzeseo_v2png?e=2147483647&amp;v=beta&amp;t=vin2EBRhZuEmnxFdYMIh39L_t5ptC9mjT8COKKz3Jac","Open Creative")</f>
        <v>Open Creative</v>
      </c>
      <c r="L359" s="4" t="s">
        <v>3498</v>
      </c>
      <c r="M359" s="4" t="s">
        <v>63</v>
      </c>
      <c r="N359" s="4" t="s">
        <v>4353</v>
      </c>
      <c r="O359" s="2" t="s">
        <v>132</v>
      </c>
      <c r="P359" s="2">
        <v>1.079789214E9</v>
      </c>
      <c r="Q359" s="2" t="s">
        <v>68</v>
      </c>
      <c r="R359" s="4" t="s">
        <v>4905</v>
      </c>
    </row>
    <row r="360">
      <c r="A360" s="4" t="s">
        <v>44</v>
      </c>
      <c r="B360" s="4" t="s">
        <v>44</v>
      </c>
      <c r="C360" s="4">
        <v>359.0</v>
      </c>
      <c r="D360" s="13" t="str">
        <f>HYPERLINK("https://www.linkedin.com/ad-library/detail/1070568914","Open Ad")</f>
        <v>Open Ad</v>
      </c>
      <c r="E360" s="4" t="s">
        <v>91</v>
      </c>
      <c r="F360" s="4" t="s">
        <v>3970</v>
      </c>
      <c r="G360" s="4" t="s">
        <v>3972</v>
      </c>
      <c r="H360" s="4" t="s">
        <v>55</v>
      </c>
      <c r="I360" s="4" t="s">
        <v>985</v>
      </c>
      <c r="J360" s="4" t="s">
        <v>91</v>
      </c>
      <c r="K360" s="13" t="str">
        <f>HYPERLINK("https://media.licdn.com/dms/image/v2/D4E10AQGgvuB7AUd0ow/image-shrink_1280/B4EZsSk6qsIwAQ-/0/1765543228302/WineverysearchV2png?e=2147483647&amp;v=beta&amp;t=tzb5OXtXVLhmvurVfk7gRMUV5DPyqe7Izp010XbgeKc","Open Creative")</f>
        <v>Open Creative</v>
      </c>
      <c r="L360" s="4" t="s">
        <v>62</v>
      </c>
      <c r="M360" s="4" t="s">
        <v>63</v>
      </c>
      <c r="N360" s="4" t="s">
        <v>4632</v>
      </c>
      <c r="O360" s="2" t="s">
        <v>132</v>
      </c>
      <c r="P360" s="2">
        <v>1.070568914E9</v>
      </c>
      <c r="Q360" s="2" t="s">
        <v>68</v>
      </c>
      <c r="R360" s="4" t="s">
        <v>4917</v>
      </c>
    </row>
    <row r="361">
      <c r="A361" s="4" t="s">
        <v>44</v>
      </c>
      <c r="B361" s="4" t="s">
        <v>44</v>
      </c>
      <c r="C361" s="4">
        <v>360.0</v>
      </c>
      <c r="D361" s="13" t="str">
        <f>HYPERLINK("https://www.linkedin.com/ad-library/detail/1070372124","Open Ad")</f>
        <v>Open Ad</v>
      </c>
      <c r="E361" s="4" t="s">
        <v>91</v>
      </c>
      <c r="F361" s="4" t="s">
        <v>3970</v>
      </c>
      <c r="G361" s="4" t="s">
        <v>4064</v>
      </c>
      <c r="H361" s="4" t="s">
        <v>55</v>
      </c>
      <c r="I361" s="4" t="s">
        <v>57</v>
      </c>
      <c r="J361" s="4" t="s">
        <v>91</v>
      </c>
      <c r="K361" s="13" t="str">
        <f>HYPERLINK("https://media.licdn.com/dms/image/v2/D4E10AQGWKuqn0S3ZJw/image-shrink_1280/B4EZsSiTvOKUAM-/0/1765542543688/ComebackV2png?e=2147483647&amp;v=beta&amp;t=xyiRjQTvsU2K1zr2MF6MlffvSlA1j8_HscZKvo8n6ME","Open Creative")</f>
        <v>Open Creative</v>
      </c>
      <c r="L361" s="4" t="s">
        <v>62</v>
      </c>
      <c r="M361" s="4" t="s">
        <v>63</v>
      </c>
      <c r="N361" s="4" t="s">
        <v>4632</v>
      </c>
      <c r="O361" s="2" t="s">
        <v>132</v>
      </c>
      <c r="P361" s="2">
        <v>1.070372124E9</v>
      </c>
      <c r="Q361" s="2" t="s">
        <v>68</v>
      </c>
      <c r="R361" s="4" t="s">
        <v>4932</v>
      </c>
    </row>
    <row r="362">
      <c r="A362" s="4" t="s">
        <v>44</v>
      </c>
      <c r="B362" s="4" t="s">
        <v>44</v>
      </c>
      <c r="C362" s="4">
        <v>361.0</v>
      </c>
      <c r="D362" s="13" t="str">
        <f>HYPERLINK("https://www.linkedin.com/ad-library/detail/926962234","Open Ad")</f>
        <v>Open Ad</v>
      </c>
      <c r="E362" s="4" t="s">
        <v>91</v>
      </c>
      <c r="F362" s="4" t="s">
        <v>4939</v>
      </c>
      <c r="G362" s="4" t="s">
        <v>4940</v>
      </c>
      <c r="H362" s="4" t="s">
        <v>55</v>
      </c>
      <c r="I362" s="4" t="s">
        <v>1377</v>
      </c>
      <c r="J362" s="4" t="s">
        <v>91</v>
      </c>
      <c r="K362" s="13" t="str">
        <f>HYPERLINK("https://media.licdn.com/dms/image/v2/D4E10AQHwN_0BBPz2PA/image-shrink_1280/B4EZp3c7r0KoAM-/0/1762940665717/1080x10803png?e=2147483647&amp;v=beta&amp;t=WsnMIAk6vds0IX_Ey5rc9dJUB4HqZTOZIvb3CLNIFOo","Open Creative")</f>
        <v>Open Creative</v>
      </c>
      <c r="L362" s="4" t="s">
        <v>62</v>
      </c>
      <c r="M362" s="4" t="s">
        <v>63</v>
      </c>
      <c r="N362" s="4" t="s">
        <v>4951</v>
      </c>
      <c r="O362" s="2" t="s">
        <v>132</v>
      </c>
      <c r="P362" s="2">
        <v>9.26962234E8</v>
      </c>
      <c r="Q362" s="2" t="s">
        <v>68</v>
      </c>
      <c r="R362" s="4" t="s">
        <v>4952</v>
      </c>
    </row>
    <row r="363">
      <c r="A363" s="4" t="s">
        <v>44</v>
      </c>
      <c r="B363" s="4" t="s">
        <v>44</v>
      </c>
      <c r="C363" s="4">
        <v>362.0</v>
      </c>
      <c r="D363" s="13" t="str">
        <f>HYPERLINK("https://www.linkedin.com/ad-library/detail/934837234","Open Ad")</f>
        <v>Open Ad</v>
      </c>
      <c r="E363" s="4" t="s">
        <v>91</v>
      </c>
      <c r="F363" s="4" t="s">
        <v>4343</v>
      </c>
      <c r="G363" s="4" t="s">
        <v>4344</v>
      </c>
      <c r="H363" s="4" t="s">
        <v>55</v>
      </c>
      <c r="I363" s="4" t="s">
        <v>4345</v>
      </c>
      <c r="J363" s="4" t="s">
        <v>91</v>
      </c>
      <c r="K363" s="13" t="str">
        <f>HYPERLINK("https://media.licdn.com/dms/image/v2/D4E10AQFiderjHNEmfA/image-shrink_1280/B4EZpJFlyjKMAU-/0/1762162795050/everytoolv1png?e=2147483647&amp;v=beta&amp;t=bKwBE2ciiGznP3B9BVejtsHNaVeRohDadTESyyUQ1fI","Open Creative")</f>
        <v>Open Creative</v>
      </c>
      <c r="L363" s="4" t="s">
        <v>62</v>
      </c>
      <c r="M363" s="4" t="s">
        <v>63</v>
      </c>
      <c r="N363" s="4" t="s">
        <v>4963</v>
      </c>
      <c r="O363" s="2" t="s">
        <v>132</v>
      </c>
      <c r="P363" s="2">
        <v>9.34837234E8</v>
      </c>
      <c r="Q363" s="2" t="s">
        <v>68</v>
      </c>
      <c r="R363" s="4" t="s">
        <v>4964</v>
      </c>
    </row>
    <row r="364">
      <c r="A364" s="4" t="s">
        <v>44</v>
      </c>
      <c r="B364" s="4" t="s">
        <v>44</v>
      </c>
      <c r="C364" s="4">
        <v>363.0</v>
      </c>
      <c r="D364" s="13" t="str">
        <f>HYPERLINK("https://www.linkedin.com/ad-library/detail/971594623","Open Ad")</f>
        <v>Open Ad</v>
      </c>
      <c r="E364" s="4" t="s">
        <v>91</v>
      </c>
      <c r="F364" s="4" t="s">
        <v>4343</v>
      </c>
      <c r="G364" s="4" t="s">
        <v>4344</v>
      </c>
      <c r="H364" s="4" t="s">
        <v>55</v>
      </c>
      <c r="I364" s="4" t="s">
        <v>4345</v>
      </c>
      <c r="J364" s="4" t="s">
        <v>91</v>
      </c>
      <c r="K364" s="13" t="str">
        <f>HYPERLINK("https://media.licdn.com/dms/image/v2/D4E10AQFrvZlk7xzYGA/image-shrink_1280/B4EZpJH38cGUAM-/0/1762163393376/Analyzeseo_v3png?e=2147483647&amp;v=beta&amp;t=CATIMuw66HtFFmiECmnv7JsWS6ghLh6qWFZVFsLoJFQ","Open Creative")</f>
        <v>Open Creative</v>
      </c>
      <c r="L364" s="4" t="s">
        <v>62</v>
      </c>
      <c r="M364" s="4" t="s">
        <v>63</v>
      </c>
      <c r="N364" s="4" t="s">
        <v>4975</v>
      </c>
      <c r="O364" s="2" t="s">
        <v>132</v>
      </c>
      <c r="P364" s="2">
        <v>9.71594623E8</v>
      </c>
      <c r="Q364" s="2" t="s">
        <v>68</v>
      </c>
      <c r="R364" s="4" t="s">
        <v>4979</v>
      </c>
    </row>
    <row r="365">
      <c r="A365" s="4" t="s">
        <v>44</v>
      </c>
      <c r="B365" s="4" t="s">
        <v>44</v>
      </c>
      <c r="C365" s="4">
        <v>364.0</v>
      </c>
      <c r="D365" s="13" t="str">
        <f>HYPERLINK("https://www.linkedin.com/ad-library/detail/971544883","Open Ad")</f>
        <v>Open Ad</v>
      </c>
      <c r="E365" s="4" t="s">
        <v>91</v>
      </c>
      <c r="F365" s="4" t="s">
        <v>4343</v>
      </c>
      <c r="G365" s="4" t="s">
        <v>4344</v>
      </c>
      <c r="H365" s="4" t="s">
        <v>55</v>
      </c>
      <c r="I365" s="4" t="s">
        <v>4345</v>
      </c>
      <c r="J365" s="4" t="s">
        <v>91</v>
      </c>
      <c r="K365" s="13" t="str">
        <f t="shared" ref="K365:K366" si="2">HYPERLINK("https://media.licdn.com/dms/image/v2/D4E10AQEpN2cvLR7V9Q/image-shrink_1280/B4EZpJH38UKoAQ-/0/1762163393251/Everytool_v3png?e=2147483647&amp;v=beta&amp;t=xjVpTyZnU-i3AmlCzJwTQvgQWJYT4myITqseHmwrxtA","Open Creative")</f>
        <v>Open Creative</v>
      </c>
      <c r="L365" s="4" t="s">
        <v>62</v>
      </c>
      <c r="M365" s="4" t="s">
        <v>63</v>
      </c>
      <c r="N365" s="4" t="s">
        <v>4975</v>
      </c>
      <c r="O365" s="2" t="s">
        <v>132</v>
      </c>
      <c r="P365" s="2">
        <v>9.71544883E8</v>
      </c>
      <c r="Q365" s="2" t="s">
        <v>68</v>
      </c>
      <c r="R365" s="4" t="s">
        <v>4991</v>
      </c>
    </row>
    <row r="366">
      <c r="A366" s="4" t="s">
        <v>44</v>
      </c>
      <c r="B366" s="4" t="s">
        <v>44</v>
      </c>
      <c r="C366" s="4">
        <v>365.0</v>
      </c>
      <c r="D366" s="13" t="str">
        <f>HYPERLINK("https://www.linkedin.com/ad-library/detail/934946124","Open Ad")</f>
        <v>Open Ad</v>
      </c>
      <c r="E366" s="4" t="s">
        <v>91</v>
      </c>
      <c r="F366" s="4" t="s">
        <v>4343</v>
      </c>
      <c r="G366" s="4" t="s">
        <v>4344</v>
      </c>
      <c r="H366" s="4" t="s">
        <v>55</v>
      </c>
      <c r="I366" s="4" t="s">
        <v>4345</v>
      </c>
      <c r="J366" s="4" t="s">
        <v>91</v>
      </c>
      <c r="K366" s="13" t="str">
        <f t="shared" si="2"/>
        <v>Open Creative</v>
      </c>
      <c r="L366" s="4" t="s">
        <v>62</v>
      </c>
      <c r="M366" s="4" t="s">
        <v>63</v>
      </c>
      <c r="N366" s="4" t="s">
        <v>4997</v>
      </c>
      <c r="O366" s="2" t="s">
        <v>132</v>
      </c>
      <c r="P366" s="2">
        <v>9.34946124E8</v>
      </c>
      <c r="Q366" s="2" t="s">
        <v>68</v>
      </c>
      <c r="R366" s="4" t="s">
        <v>4998</v>
      </c>
    </row>
    <row r="367">
      <c r="A367" s="4" t="s">
        <v>44</v>
      </c>
      <c r="B367" s="4" t="s">
        <v>44</v>
      </c>
      <c r="C367" s="4">
        <v>366.0</v>
      </c>
      <c r="D367" s="13" t="str">
        <f>HYPERLINK("https://www.linkedin.com/ad-library/detail/971673543","Open Ad")</f>
        <v>Open Ad</v>
      </c>
      <c r="E367" s="4" t="s">
        <v>91</v>
      </c>
      <c r="F367" s="4" t="s">
        <v>4343</v>
      </c>
      <c r="G367" s="4" t="s">
        <v>4344</v>
      </c>
      <c r="H367" s="4" t="s">
        <v>55</v>
      </c>
      <c r="I367" s="4" t="s">
        <v>4345</v>
      </c>
      <c r="J367" s="4" t="s">
        <v>91</v>
      </c>
      <c r="K367" s="13" t="str">
        <f>HYPERLINK("https://media.licdn.com/dms/image/v2/D4E10AQGNmJRJ2AaL9Q/image-shrink_1280/B4EZpJHOAlHEAM-/0/1762163221668/Cutmanual_v2png?e=2147483647&amp;v=beta&amp;t=87pX_7WdH1CEMUq0dRJqOLWJH_BHpsYtrJK-SbFSvIA","Open Creative")</f>
        <v>Open Creative</v>
      </c>
      <c r="L367" s="4" t="s">
        <v>62</v>
      </c>
      <c r="M367" s="4" t="s">
        <v>63</v>
      </c>
      <c r="N367" s="4" t="s">
        <v>4975</v>
      </c>
      <c r="O367" s="2" t="s">
        <v>132</v>
      </c>
      <c r="P367" s="2">
        <v>9.71673543E8</v>
      </c>
      <c r="Q367" s="2" t="s">
        <v>68</v>
      </c>
      <c r="R367" s="4" t="s">
        <v>5008</v>
      </c>
    </row>
    <row r="368">
      <c r="A368" s="4" t="s">
        <v>44</v>
      </c>
      <c r="B368" s="4" t="s">
        <v>44</v>
      </c>
      <c r="C368" s="4">
        <v>367.0</v>
      </c>
      <c r="D368" s="13" t="str">
        <f>HYPERLINK("https://www.linkedin.com/ad-library/detail/1070372094","Open Ad")</f>
        <v>Open Ad</v>
      </c>
      <c r="E368" s="4" t="s">
        <v>91</v>
      </c>
      <c r="F368" s="4" t="s">
        <v>3970</v>
      </c>
      <c r="G368" s="4" t="s">
        <v>3972</v>
      </c>
      <c r="H368" s="4" t="s">
        <v>55</v>
      </c>
      <c r="I368" s="4" t="s">
        <v>985</v>
      </c>
      <c r="J368" s="4" t="s">
        <v>91</v>
      </c>
      <c r="K368" s="13" t="str">
        <f>HYPERLINK("https://media.licdn.com/dms/image/v2/D4E10AQEl0a5ve_qCPA/image-shrink_1280/B4EZsSlE2oKkAM-/0/1765543270161/WineverysearchV3png?e=2147483647&amp;v=beta&amp;t=A2rieiMVWN_OAyYtoKqA0anCUH2OByXRSQT2N5XrS_I","Open Creative")</f>
        <v>Open Creative</v>
      </c>
      <c r="L368" s="4" t="s">
        <v>62</v>
      </c>
      <c r="M368" s="4" t="s">
        <v>63</v>
      </c>
      <c r="N368" s="4" t="s">
        <v>4632</v>
      </c>
      <c r="O368" s="2" t="s">
        <v>132</v>
      </c>
      <c r="P368" s="2">
        <v>1.070372094E9</v>
      </c>
      <c r="Q368" s="2" t="s">
        <v>68</v>
      </c>
      <c r="R368" s="4" t="s">
        <v>5022</v>
      </c>
    </row>
    <row r="369">
      <c r="A369" s="4" t="s">
        <v>44</v>
      </c>
      <c r="B369" s="4" t="s">
        <v>44</v>
      </c>
      <c r="C369" s="4">
        <v>368.0</v>
      </c>
      <c r="D369" s="13" t="str">
        <f>HYPERLINK("https://www.linkedin.com/ad-library/detail/943249844","Open Ad")</f>
        <v>Open Ad</v>
      </c>
      <c r="E369" s="4" t="s">
        <v>91</v>
      </c>
      <c r="F369" s="4" t="s">
        <v>4343</v>
      </c>
      <c r="G369" s="4" t="s">
        <v>4344</v>
      </c>
      <c r="H369" s="4" t="s">
        <v>55</v>
      </c>
      <c r="I369" s="4" t="s">
        <v>4345</v>
      </c>
      <c r="J369" s="4" t="s">
        <v>91</v>
      </c>
      <c r="K369" s="13" t="str">
        <f>HYPERLINK("https://media.licdn.com/dms/image/v2/D4E10AQFALTRYA2PG2g/image-shrink_1280/B4EZpJHOAqIQAM-/0/1762163221643/Everytool_v2png?e=2147483647&amp;v=beta&amp;t=OdIyyNqQeBQAfaHOYFSuH72yURT95HgluqQnSEps6CM","Open Creative")</f>
        <v>Open Creative</v>
      </c>
      <c r="L369" s="4" t="s">
        <v>62</v>
      </c>
      <c r="M369" s="4" t="s">
        <v>63</v>
      </c>
      <c r="N369" s="4" t="s">
        <v>5031</v>
      </c>
      <c r="O369" s="2" t="s">
        <v>132</v>
      </c>
      <c r="P369" s="2">
        <v>9.43249844E8</v>
      </c>
      <c r="Q369" s="2" t="s">
        <v>68</v>
      </c>
      <c r="R369" s="4" t="s">
        <v>5033</v>
      </c>
    </row>
    <row r="370">
      <c r="A370" s="4" t="s">
        <v>44</v>
      </c>
      <c r="B370" s="4" t="s">
        <v>44</v>
      </c>
      <c r="C370" s="4">
        <v>369.0</v>
      </c>
      <c r="D370" s="13" t="str">
        <f>HYPERLINK("https://www.linkedin.com/ad-library/detail/935151044","Open Ad")</f>
        <v>Open Ad</v>
      </c>
      <c r="E370" s="4" t="s">
        <v>91</v>
      </c>
      <c r="F370" s="4" t="s">
        <v>4343</v>
      </c>
      <c r="G370" s="4" t="s">
        <v>4344</v>
      </c>
      <c r="H370" s="4" t="s">
        <v>55</v>
      </c>
      <c r="I370" s="4" t="s">
        <v>4345</v>
      </c>
      <c r="J370" s="4" t="s">
        <v>91</v>
      </c>
      <c r="K370" s="13" t="str">
        <f>HYPERLINK("https://media.licdn.com/dms/image/v2/D4E10AQFiderjHNEmfA/image-shrink_1280/B4EZpJFlyjKMAU-/0/1762162795050/everytoolv1png?e=2147483647&amp;v=beta&amp;t=bKwBE2ciiGznP3B9BVejtsHNaVeRohDadTESyyUQ1fI","Open Creative")</f>
        <v>Open Creative</v>
      </c>
      <c r="L370" s="4" t="s">
        <v>62</v>
      </c>
      <c r="M370" s="4" t="s">
        <v>63</v>
      </c>
      <c r="N370" s="4" t="s">
        <v>5031</v>
      </c>
      <c r="O370" s="2" t="s">
        <v>132</v>
      </c>
      <c r="P370" s="2">
        <v>9.35151044E8</v>
      </c>
      <c r="Q370" s="2" t="s">
        <v>68</v>
      </c>
      <c r="R370" s="4" t="s">
        <v>5044</v>
      </c>
    </row>
    <row r="371">
      <c r="A371" s="4" t="s">
        <v>44</v>
      </c>
      <c r="B371" s="4" t="s">
        <v>44</v>
      </c>
      <c r="C371" s="4">
        <v>370.0</v>
      </c>
      <c r="D371" s="13" t="str">
        <f>HYPERLINK("https://www.linkedin.com/ad-library/detail/1071364094","Open Ad")</f>
        <v>Open Ad</v>
      </c>
      <c r="E371" s="4" t="s">
        <v>91</v>
      </c>
      <c r="F371" s="4" t="s">
        <v>3970</v>
      </c>
      <c r="G371" s="4" t="s">
        <v>3972</v>
      </c>
      <c r="H371" s="4" t="s">
        <v>55</v>
      </c>
      <c r="I371" s="4" t="s">
        <v>985</v>
      </c>
      <c r="J371" s="4" t="s">
        <v>91</v>
      </c>
      <c r="K371" s="13" t="str">
        <f>HYPERLINK("https://media.licdn.com/dms/image/v2/D4E10AQEs6GRvvoLGSw/image-shrink_1280/B4EZsSlSAsKUAM-/0/1765543324073/WineverysearchV4png?e=2147483647&amp;v=beta&amp;t=E0NkYNU5ZfvDAz6CbfKhF9Nf4Dnt5hXrWTH0m4oRi3s","Open Creative")</f>
        <v>Open Creative</v>
      </c>
      <c r="L371" s="4" t="s">
        <v>62</v>
      </c>
      <c r="M371" s="4" t="s">
        <v>63</v>
      </c>
      <c r="N371" s="4" t="s">
        <v>4632</v>
      </c>
      <c r="O371" s="2" t="s">
        <v>132</v>
      </c>
      <c r="P371" s="2">
        <v>1.071364094E9</v>
      </c>
      <c r="Q371" s="2" t="s">
        <v>68</v>
      </c>
      <c r="R371" s="4" t="s">
        <v>5056</v>
      </c>
    </row>
    <row r="372">
      <c r="A372" s="4" t="s">
        <v>44</v>
      </c>
      <c r="B372" s="4" t="s">
        <v>44</v>
      </c>
      <c r="C372" s="4">
        <v>371.0</v>
      </c>
      <c r="D372" s="13" t="str">
        <f>HYPERLINK("https://www.linkedin.com/ad-library/detail/971643803","Open Ad")</f>
        <v>Open Ad</v>
      </c>
      <c r="E372" s="4" t="s">
        <v>91</v>
      </c>
      <c r="F372" s="4" t="s">
        <v>4343</v>
      </c>
      <c r="G372" s="4" t="s">
        <v>4344</v>
      </c>
      <c r="H372" s="4" t="s">
        <v>55</v>
      </c>
      <c r="I372" s="4" t="s">
        <v>4345</v>
      </c>
      <c r="J372" s="4" t="s">
        <v>91</v>
      </c>
      <c r="K372" s="13" t="str">
        <f>HYPERLINK("https://media.licdn.com/dms/image/v2/D4E10AQG3mhPj4Jq23A/image-shrink_1280/B4EZpJFlyfHMAM-/0/1762162795167/analyzeseov1png?e=2147483647&amp;v=beta&amp;t=PMyvpJXJb7kPV-WN8Hin_f-lkjdHOg6FfkPXWnbLzqM","Open Creative")</f>
        <v>Open Creative</v>
      </c>
      <c r="L372" s="4" t="s">
        <v>62</v>
      </c>
      <c r="M372" s="4" t="s">
        <v>63</v>
      </c>
      <c r="N372" s="4" t="s">
        <v>4975</v>
      </c>
      <c r="O372" s="2" t="s">
        <v>132</v>
      </c>
      <c r="P372" s="2">
        <v>9.71643803E8</v>
      </c>
      <c r="Q372" s="2" t="s">
        <v>68</v>
      </c>
      <c r="R372" s="4" t="s">
        <v>5078</v>
      </c>
    </row>
    <row r="373">
      <c r="A373" s="4" t="s">
        <v>44</v>
      </c>
      <c r="B373" s="4" t="s">
        <v>44</v>
      </c>
      <c r="C373" s="4">
        <v>372.0</v>
      </c>
      <c r="D373" s="13" t="str">
        <f>HYPERLINK("https://www.linkedin.com/ad-library/detail/934847524","Open Ad")</f>
        <v>Open Ad</v>
      </c>
      <c r="E373" s="4" t="s">
        <v>91</v>
      </c>
      <c r="F373" s="4" t="s">
        <v>4343</v>
      </c>
      <c r="G373" s="4" t="s">
        <v>4344</v>
      </c>
      <c r="H373" s="4" t="s">
        <v>55</v>
      </c>
      <c r="I373" s="4" t="s">
        <v>4345</v>
      </c>
      <c r="J373" s="4" t="s">
        <v>91</v>
      </c>
      <c r="K373" s="13" t="str">
        <f>HYPERLINK("https://media.licdn.com/dms/image/v2/D4E10AQGNmJRJ2AaL9Q/image-shrink_1280/B4EZpJHOAlHEAM-/0/1762163221668/Cutmanual_v2png?e=2147483647&amp;v=beta&amp;t=87pX_7WdH1CEMUq0dRJqOLWJH_BHpsYtrJK-SbFSvIA","Open Creative")</f>
        <v>Open Creative</v>
      </c>
      <c r="L373" s="4" t="s">
        <v>62</v>
      </c>
      <c r="M373" s="4" t="s">
        <v>63</v>
      </c>
      <c r="N373" s="4" t="s">
        <v>4963</v>
      </c>
      <c r="O373" s="2" t="s">
        <v>132</v>
      </c>
      <c r="P373" s="2">
        <v>9.34847524E8</v>
      </c>
      <c r="Q373" s="2" t="s">
        <v>68</v>
      </c>
      <c r="R373" s="4" t="s">
        <v>5085</v>
      </c>
    </row>
    <row r="374">
      <c r="A374" s="4" t="s">
        <v>44</v>
      </c>
      <c r="B374" s="4" t="s">
        <v>44</v>
      </c>
      <c r="C374" s="4">
        <v>373.0</v>
      </c>
      <c r="D374" s="13" t="str">
        <f>HYPERLINK("https://www.linkedin.com/ad-library/detail/934956244","Open Ad")</f>
        <v>Open Ad</v>
      </c>
      <c r="E374" s="4" t="s">
        <v>91</v>
      </c>
      <c r="F374" s="4" t="s">
        <v>4343</v>
      </c>
      <c r="G374" s="4" t="s">
        <v>4344</v>
      </c>
      <c r="H374" s="4" t="s">
        <v>55</v>
      </c>
      <c r="I374" s="4" t="s">
        <v>4345</v>
      </c>
      <c r="J374" s="4" t="s">
        <v>91</v>
      </c>
      <c r="K374" s="13" t="str">
        <f>HYPERLINK("https://media.licdn.com/dms/image/v2/D4E10AQFrvZlk7xzYGA/image-shrink_1280/B4EZpJH38cGUAM-/0/1762163393376/Analyzeseo_v3png?e=2147483647&amp;v=beta&amp;t=CATIMuw66HtFFmiECmnv7JsWS6ghLh6qWFZVFsLoJFQ","Open Creative")</f>
        <v>Open Creative</v>
      </c>
      <c r="L374" s="4" t="s">
        <v>62</v>
      </c>
      <c r="M374" s="4" t="s">
        <v>63</v>
      </c>
      <c r="N374" s="4" t="s">
        <v>4997</v>
      </c>
      <c r="O374" s="2" t="s">
        <v>132</v>
      </c>
      <c r="P374" s="2">
        <v>9.34956244E8</v>
      </c>
      <c r="Q374" s="2" t="s">
        <v>68</v>
      </c>
      <c r="R374" s="4" t="s">
        <v>5099</v>
      </c>
    </row>
    <row r="375">
      <c r="A375" s="4" t="s">
        <v>44</v>
      </c>
      <c r="B375" s="4" t="s">
        <v>44</v>
      </c>
      <c r="C375" s="4">
        <v>374.0</v>
      </c>
      <c r="D375" s="13" t="str">
        <f>HYPERLINK("https://www.linkedin.com/ad-library/detail/935045194","Open Ad")</f>
        <v>Open Ad</v>
      </c>
      <c r="E375" s="4" t="s">
        <v>91</v>
      </c>
      <c r="F375" s="4" t="s">
        <v>4343</v>
      </c>
      <c r="G375" s="4" t="s">
        <v>4344</v>
      </c>
      <c r="H375" s="4" t="s">
        <v>55</v>
      </c>
      <c r="I375" s="4" t="s">
        <v>4345</v>
      </c>
      <c r="J375" s="4" t="s">
        <v>91</v>
      </c>
      <c r="K375" s="13" t="str">
        <f>HYPERLINK("https://media.licdn.com/dms/image/v2/D4E10AQG3mhPj4Jq23A/image-shrink_1280/B4EZpJFlyfHMAM-/0/1762162795167/analyzeseov1png?e=2147483647&amp;v=beta&amp;t=PMyvpJXJb7kPV-WN8Hin_f-lkjdHOg6FfkPXWnbLzqM","Open Creative")</f>
        <v>Open Creative</v>
      </c>
      <c r="L375" s="4" t="s">
        <v>62</v>
      </c>
      <c r="M375" s="4" t="s">
        <v>63</v>
      </c>
      <c r="N375" s="4" t="s">
        <v>4997</v>
      </c>
      <c r="O375" s="2" t="s">
        <v>132</v>
      </c>
      <c r="P375" s="2">
        <v>9.35045194E8</v>
      </c>
      <c r="Q375" s="2" t="s">
        <v>68</v>
      </c>
      <c r="R375" s="4" t="s">
        <v>5113</v>
      </c>
    </row>
    <row r="376">
      <c r="A376" s="4" t="s">
        <v>44</v>
      </c>
      <c r="B376" s="4" t="s">
        <v>44</v>
      </c>
      <c r="C376" s="4">
        <v>375.0</v>
      </c>
      <c r="D376" s="13" t="str">
        <f>HYPERLINK("https://www.linkedin.com/ad-library/detail/934856824","Open Ad")</f>
        <v>Open Ad</v>
      </c>
      <c r="E376" s="4" t="s">
        <v>91</v>
      </c>
      <c r="F376" s="4" t="s">
        <v>4343</v>
      </c>
      <c r="G376" s="4" t="s">
        <v>4344</v>
      </c>
      <c r="H376" s="4" t="s">
        <v>55</v>
      </c>
      <c r="I376" s="4" t="s">
        <v>4345</v>
      </c>
      <c r="J376" s="4" t="s">
        <v>91</v>
      </c>
      <c r="K376" s="13" t="str">
        <f>HYPERLINK("https://media.licdn.com/dms/image/v2/D4E10AQFALTRYA2PG2g/image-shrink_1280/B4EZpJHOAqIQAM-/0/1762163221643/Everytool_v2png?e=2147483647&amp;v=beta&amp;t=OdIyyNqQeBQAfaHOYFSuH72yURT95HgluqQnSEps6CM","Open Creative")</f>
        <v>Open Creative</v>
      </c>
      <c r="L376" s="4" t="s">
        <v>62</v>
      </c>
      <c r="M376" s="4" t="s">
        <v>63</v>
      </c>
      <c r="N376" s="4" t="s">
        <v>4963</v>
      </c>
      <c r="O376" s="2" t="s">
        <v>132</v>
      </c>
      <c r="P376" s="2">
        <v>9.34856824E8</v>
      </c>
      <c r="Q376" s="2" t="s">
        <v>68</v>
      </c>
      <c r="R376" s="4" t="s">
        <v>5126</v>
      </c>
    </row>
    <row r="377">
      <c r="A377" s="4" t="s">
        <v>44</v>
      </c>
      <c r="B377" s="4" t="s">
        <v>44</v>
      </c>
      <c r="C377" s="4">
        <v>376.0</v>
      </c>
      <c r="D377" s="13" t="str">
        <f>HYPERLINK("https://www.linkedin.com/ad-library/detail/1071462054","Open Ad")</f>
        <v>Open Ad</v>
      </c>
      <c r="E377" s="4" t="s">
        <v>91</v>
      </c>
      <c r="F377" s="4" t="s">
        <v>3970</v>
      </c>
      <c r="G377" s="4" t="s">
        <v>4064</v>
      </c>
      <c r="H377" s="4" t="s">
        <v>55</v>
      </c>
      <c r="I377" s="4" t="s">
        <v>57</v>
      </c>
      <c r="J377" s="4" t="s">
        <v>91</v>
      </c>
      <c r="K377" s="13" t="str">
        <f>HYPERLINK("https://media.licdn.com/dms/image/v2/D4E10AQFmGc-u4f8TzQ/image-shrink_1280/B4EZsSis4iKUAM-/0/1765542646502/ComebackV3png?e=2147483647&amp;v=beta&amp;t=HpXzAu9jQ_RMbwFn95--WGuO3hY-0Jlkmtvqn9iorw8","Open Creative")</f>
        <v>Open Creative</v>
      </c>
      <c r="L377" s="4" t="s">
        <v>62</v>
      </c>
      <c r="M377" s="4" t="s">
        <v>63</v>
      </c>
      <c r="N377" s="4" t="s">
        <v>4632</v>
      </c>
      <c r="O377" s="2" t="s">
        <v>132</v>
      </c>
      <c r="P377" s="2">
        <v>1.071462054E9</v>
      </c>
      <c r="Q377" s="2" t="s">
        <v>68</v>
      </c>
      <c r="R377" s="4" t="s">
        <v>5135</v>
      </c>
    </row>
    <row r="378">
      <c r="A378" s="4" t="s">
        <v>44</v>
      </c>
      <c r="B378" s="4" t="s">
        <v>44</v>
      </c>
      <c r="C378" s="4">
        <v>377.0</v>
      </c>
      <c r="D378" s="13" t="str">
        <f>HYPERLINK("https://www.linkedin.com/ad-library/detail/1072161564","Open Ad")</f>
        <v>Open Ad</v>
      </c>
      <c r="E378" s="4" t="s">
        <v>91</v>
      </c>
      <c r="F378" s="4" t="s">
        <v>3970</v>
      </c>
      <c r="G378" s="4" t="s">
        <v>4064</v>
      </c>
      <c r="H378" s="4" t="s">
        <v>55</v>
      </c>
      <c r="I378" s="4" t="s">
        <v>57</v>
      </c>
      <c r="J378" s="4" t="s">
        <v>91</v>
      </c>
      <c r="K378" s="13" t="str">
        <f>HYPERLINK("https://media.licdn.com/dms/image/v2/D4E10AQEv6svmdRRqNQ/image-shrink_1280/B4EZsSkcJYKcAM-/0/1765543102430/ComebackV4png?e=2147483647&amp;v=beta&amp;t=zctG_0F6xiwZF1gcEzm32euoxNPFljssyeTrHvWtpLI","Open Creative")</f>
        <v>Open Creative</v>
      </c>
      <c r="L378" s="4" t="s">
        <v>62</v>
      </c>
      <c r="M378" s="4" t="s">
        <v>63</v>
      </c>
      <c r="N378" s="4" t="s">
        <v>4632</v>
      </c>
      <c r="O378" s="2" t="s">
        <v>132</v>
      </c>
      <c r="P378" s="2">
        <v>1.072161564E9</v>
      </c>
      <c r="Q378" s="2" t="s">
        <v>68</v>
      </c>
      <c r="R378" s="4" t="s">
        <v>5150</v>
      </c>
    </row>
    <row r="379">
      <c r="A379" s="4" t="s">
        <v>44</v>
      </c>
      <c r="B379" s="4" t="s">
        <v>44</v>
      </c>
      <c r="C379" s="4">
        <v>378.0</v>
      </c>
      <c r="D379" s="13" t="str">
        <f>HYPERLINK("https://www.linkedin.com/ad-library/detail/935160624","Open Ad")</f>
        <v>Open Ad</v>
      </c>
      <c r="E379" s="4" t="s">
        <v>91</v>
      </c>
      <c r="F379" s="4" t="s">
        <v>4343</v>
      </c>
      <c r="G379" s="4" t="s">
        <v>4344</v>
      </c>
      <c r="H379" s="4" t="s">
        <v>55</v>
      </c>
      <c r="I379" s="4" t="s">
        <v>4345</v>
      </c>
      <c r="J379" s="4" t="s">
        <v>91</v>
      </c>
      <c r="K379" s="13" t="str">
        <f>HYPERLINK("https://media.licdn.com/dms/image/v2/D4E10AQEpN2cvLR7V9Q/image-shrink_1280/B4EZpJH38UKoAQ-/0/1762163393251/Everytool_v3png?e=2147483647&amp;v=beta&amp;t=xjVpTyZnU-i3AmlCzJwTQvgQWJYT4myITqseHmwrxtA","Open Creative")</f>
        <v>Open Creative</v>
      </c>
      <c r="L379" s="4" t="s">
        <v>62</v>
      </c>
      <c r="M379" s="4" t="s">
        <v>63</v>
      </c>
      <c r="N379" s="4" t="s">
        <v>5031</v>
      </c>
      <c r="O379" s="2" t="s">
        <v>132</v>
      </c>
      <c r="P379" s="2">
        <v>9.35160624E8</v>
      </c>
      <c r="Q379" s="2" t="s">
        <v>68</v>
      </c>
      <c r="R379" s="4" t="s">
        <v>5157</v>
      </c>
    </row>
    <row r="380">
      <c r="A380" s="4" t="s">
        <v>44</v>
      </c>
      <c r="B380" s="4" t="s">
        <v>44</v>
      </c>
      <c r="C380" s="4">
        <v>379.0</v>
      </c>
      <c r="D380" s="13" t="str">
        <f>HYPERLINK("https://www.linkedin.com/ad-library/detail/1071562514","Open Ad")</f>
        <v>Open Ad</v>
      </c>
      <c r="E380" s="4" t="s">
        <v>91</v>
      </c>
      <c r="F380" s="4" t="s">
        <v>3970</v>
      </c>
      <c r="G380" s="4" t="s">
        <v>3972</v>
      </c>
      <c r="H380" s="4" t="s">
        <v>55</v>
      </c>
      <c r="I380" s="4" t="s">
        <v>985</v>
      </c>
      <c r="J380" s="4" t="s">
        <v>91</v>
      </c>
      <c r="K380" s="13" t="str">
        <f>HYPERLINK("https://media.licdn.com/dms/image/v2/D4E10AQHhhPKfgziqSQ/image-shrink_1280/B4EZsSkvFhHgAM-/0/1765543181193/WineverysearchV1png?e=2147483647&amp;v=beta&amp;t=0s9X1-KD0cwda43KUHXiZ6VgA0oYUQummgCRbXIXT5Y","Open Creative")</f>
        <v>Open Creative</v>
      </c>
      <c r="L380" s="4" t="s">
        <v>62</v>
      </c>
      <c r="M380" s="4" t="s">
        <v>63</v>
      </c>
      <c r="N380" s="4" t="s">
        <v>4632</v>
      </c>
      <c r="O380" s="2" t="s">
        <v>132</v>
      </c>
      <c r="P380" s="2">
        <v>1.071562514E9</v>
      </c>
      <c r="Q380" s="2" t="s">
        <v>68</v>
      </c>
      <c r="R380" s="4" t="s">
        <v>5169</v>
      </c>
    </row>
    <row r="381">
      <c r="A381" s="4" t="s">
        <v>44</v>
      </c>
      <c r="B381" s="4" t="s">
        <v>44</v>
      </c>
      <c r="C381" s="4">
        <v>380.0</v>
      </c>
      <c r="D381" s="13" t="str">
        <f>HYPERLINK("https://www.linkedin.com/ad-library/detail/935072004","Open Ad")</f>
        <v>Open Ad</v>
      </c>
      <c r="E381" s="4" t="s">
        <v>91</v>
      </c>
      <c r="F381" s="4" t="s">
        <v>4343</v>
      </c>
      <c r="G381" s="4" t="s">
        <v>4344</v>
      </c>
      <c r="H381" s="4" t="s">
        <v>55</v>
      </c>
      <c r="I381" s="4" t="s">
        <v>4345</v>
      </c>
      <c r="J381" s="4" t="s">
        <v>91</v>
      </c>
      <c r="K381" s="13" t="str">
        <f>HYPERLINK("https://media.licdn.com/dms/image/v2/D4E10AQGNmJRJ2AaL9Q/image-shrink_1280/B4EZpJHOAlHEAM-/0/1762163221668/Cutmanual_v2png?e=2147483647&amp;v=beta&amp;t=87pX_7WdH1CEMUq0dRJqOLWJH_BHpsYtrJK-SbFSvIA","Open Creative")</f>
        <v>Open Creative</v>
      </c>
      <c r="L381" s="4" t="s">
        <v>62</v>
      </c>
      <c r="M381" s="4" t="s">
        <v>63</v>
      </c>
      <c r="N381" s="4" t="s">
        <v>5031</v>
      </c>
      <c r="O381" s="2" t="s">
        <v>132</v>
      </c>
      <c r="P381" s="2">
        <v>9.35072004E8</v>
      </c>
      <c r="Q381" s="2" t="s">
        <v>68</v>
      </c>
      <c r="R381" s="4" t="s">
        <v>5177</v>
      </c>
    </row>
    <row r="382">
      <c r="A382" s="4" t="s">
        <v>44</v>
      </c>
      <c r="B382" s="4" t="s">
        <v>44</v>
      </c>
      <c r="C382" s="4">
        <v>381.0</v>
      </c>
      <c r="D382" s="13" t="str">
        <f>HYPERLINK("https://www.linkedin.com/ad-library/detail/943210114","Open Ad")</f>
        <v>Open Ad</v>
      </c>
      <c r="E382" s="4" t="s">
        <v>91</v>
      </c>
      <c r="F382" s="4" t="s">
        <v>4343</v>
      </c>
      <c r="G382" s="4" t="s">
        <v>4344</v>
      </c>
      <c r="H382" s="4" t="s">
        <v>55</v>
      </c>
      <c r="I382" s="4" t="s">
        <v>4345</v>
      </c>
      <c r="J382" s="4" t="s">
        <v>91</v>
      </c>
      <c r="K382" s="13" t="str">
        <f>HYPERLINK("https://media.licdn.com/dms/image/v2/D4E10AQG3mhPj4Jq23A/image-shrink_1280/B4EZpJFlyfHMAM-/0/1762162795167/analyzeseov1png?e=2147483647&amp;v=beta&amp;t=PMyvpJXJb7kPV-WN8Hin_f-lkjdHOg6FfkPXWnbLzqM","Open Creative")</f>
        <v>Open Creative</v>
      </c>
      <c r="L382" s="4" t="s">
        <v>62</v>
      </c>
      <c r="M382" s="4" t="s">
        <v>63</v>
      </c>
      <c r="N382" s="4" t="s">
        <v>5031</v>
      </c>
      <c r="O382" s="2" t="s">
        <v>132</v>
      </c>
      <c r="P382" s="2">
        <v>9.43210114E8</v>
      </c>
      <c r="Q382" s="2" t="s">
        <v>68</v>
      </c>
      <c r="R382" s="4" t="s">
        <v>5188</v>
      </c>
    </row>
    <row r="383">
      <c r="A383" s="4" t="s">
        <v>44</v>
      </c>
      <c r="B383" s="4" t="s">
        <v>44</v>
      </c>
      <c r="C383" s="4">
        <v>382.0</v>
      </c>
      <c r="D383" s="13" t="str">
        <f>HYPERLINK("https://www.linkedin.com/ad-library/detail/1070764004","Open Ad")</f>
        <v>Open Ad</v>
      </c>
      <c r="E383" s="4" t="s">
        <v>91</v>
      </c>
      <c r="F383" s="4" t="s">
        <v>3970</v>
      </c>
      <c r="G383" s="4" t="s">
        <v>4064</v>
      </c>
      <c r="H383" s="4" t="s">
        <v>55</v>
      </c>
      <c r="I383" s="4" t="s">
        <v>57</v>
      </c>
      <c r="J383" s="4" t="s">
        <v>91</v>
      </c>
      <c r="K383" s="13" t="str">
        <f>HYPERLINK("https://media.licdn.com/dms/image/v2/D4E10AQGWKuqn0S3ZJw/image-shrink_1280/B4EZsSiTvOKUAM-/0/1765542543688/ComebackV2png?e=2147483647&amp;v=beta&amp;t=xyiRjQTvsU2K1zr2MF6MlffvSlA1j8_HscZKvo8n6ME","Open Creative")</f>
        <v>Open Creative</v>
      </c>
      <c r="L383" s="4" t="s">
        <v>62</v>
      </c>
      <c r="M383" s="4" t="s">
        <v>63</v>
      </c>
      <c r="N383" s="4" t="s">
        <v>4632</v>
      </c>
      <c r="O383" s="2" t="s">
        <v>1713</v>
      </c>
      <c r="P383" s="2">
        <v>1.070764004E9</v>
      </c>
      <c r="Q383" s="2" t="s">
        <v>68</v>
      </c>
      <c r="R383" s="4" t="s">
        <v>5195</v>
      </c>
    </row>
    <row r="384">
      <c r="A384" s="4" t="s">
        <v>44</v>
      </c>
      <c r="B384" s="4" t="s">
        <v>44</v>
      </c>
      <c r="C384" s="4">
        <v>383.0</v>
      </c>
      <c r="D384" s="13" t="str">
        <f>HYPERLINK("https://www.linkedin.com/ad-library/detail/927022004","Open Ad")</f>
        <v>Open Ad</v>
      </c>
      <c r="E384" s="4" t="s">
        <v>91</v>
      </c>
      <c r="F384" s="4" t="s">
        <v>4939</v>
      </c>
      <c r="G384" s="4" t="s">
        <v>4940</v>
      </c>
      <c r="H384" s="4" t="s">
        <v>55</v>
      </c>
      <c r="I384" s="4" t="s">
        <v>1377</v>
      </c>
      <c r="J384" s="4" t="s">
        <v>91</v>
      </c>
      <c r="K384" s="13" t="str">
        <f>HYPERLINK("https://media.licdn.com/dms/image/v2/D4E10AQEhl1xuexBSeQ/image-shrink_1280/B4EZp3cmUZHcAM-/0/1762940578000/1080x1080png?e=2147483647&amp;v=beta&amp;t=MCYE-UbJnIioDCbmlNbIXaXtPgvSQ15a7mHBuAzGymc","Open Creative")</f>
        <v>Open Creative</v>
      </c>
      <c r="L384" s="4" t="s">
        <v>62</v>
      </c>
      <c r="M384" s="4" t="s">
        <v>63</v>
      </c>
      <c r="N384" s="4" t="s">
        <v>4951</v>
      </c>
      <c r="O384" s="2" t="s">
        <v>132</v>
      </c>
      <c r="P384" s="2">
        <v>9.27022004E8</v>
      </c>
      <c r="Q384" s="2" t="s">
        <v>68</v>
      </c>
      <c r="R384" s="4" t="s">
        <v>5204</v>
      </c>
    </row>
    <row r="385">
      <c r="A385" s="4" t="s">
        <v>44</v>
      </c>
      <c r="B385" s="4" t="s">
        <v>44</v>
      </c>
      <c r="C385" s="4">
        <v>384.0</v>
      </c>
      <c r="D385" s="13" t="str">
        <f>HYPERLINK("https://www.linkedin.com/ad-library/detail/1071862634","Open Ad")</f>
        <v>Open Ad</v>
      </c>
      <c r="E385" s="4" t="s">
        <v>91</v>
      </c>
      <c r="F385" s="4" t="s">
        <v>3970</v>
      </c>
      <c r="G385" s="4" t="s">
        <v>3972</v>
      </c>
      <c r="H385" s="4" t="s">
        <v>55</v>
      </c>
      <c r="I385" s="4" t="s">
        <v>985</v>
      </c>
      <c r="J385" s="4" t="s">
        <v>91</v>
      </c>
      <c r="K385" s="13" t="str">
        <f>HYPERLINK("https://media.licdn.com/dms/image/v2/D4E10AQGgvuB7AUd0ow/image-shrink_1280/B4EZsSk6qsIwAQ-/0/1765543228302/WineverysearchV2png?e=2147483647&amp;v=beta&amp;t=tzb5OXtXVLhmvurVfk7gRMUV5DPyqe7Izp010XbgeKc","Open Creative")</f>
        <v>Open Creative</v>
      </c>
      <c r="L385" s="4" t="s">
        <v>62</v>
      </c>
      <c r="M385" s="4" t="s">
        <v>63</v>
      </c>
      <c r="N385" s="4" t="s">
        <v>4632</v>
      </c>
      <c r="O385" s="2" t="s">
        <v>132</v>
      </c>
      <c r="P385" s="2">
        <v>1.071862634E9</v>
      </c>
      <c r="Q385" s="2" t="s">
        <v>68</v>
      </c>
      <c r="R385" s="4" t="s">
        <v>5214</v>
      </c>
    </row>
    <row r="386">
      <c r="A386" s="4" t="s">
        <v>44</v>
      </c>
      <c r="B386" s="4" t="s">
        <v>44</v>
      </c>
      <c r="C386" s="4">
        <v>385.0</v>
      </c>
      <c r="D386" s="13" t="str">
        <f>HYPERLINK("https://www.linkedin.com/ad-library/detail/926912464","Open Ad")</f>
        <v>Open Ad</v>
      </c>
      <c r="E386" s="4" t="s">
        <v>91</v>
      </c>
      <c r="F386" s="4" t="s">
        <v>4939</v>
      </c>
      <c r="G386" s="4" t="s">
        <v>4940</v>
      </c>
      <c r="H386" s="4" t="s">
        <v>55</v>
      </c>
      <c r="I386" s="4" t="s">
        <v>1377</v>
      </c>
      <c r="J386" s="4" t="s">
        <v>91</v>
      </c>
      <c r="K386" s="13" t="str">
        <f>HYPERLINK("https://media.licdn.com/dms/image/v2/D4E10AQGZJMH_id5Hyw/image-shrink_1280/B4EZp3c15JKgAM-/0/1762940641730/1080x10802png?e=2147483647&amp;v=beta&amp;t=aNNnCOAvPWeSrMDB5gdZKogEniysqLK2z7jXwjWrk94","Open Creative")</f>
        <v>Open Creative</v>
      </c>
      <c r="L386" s="4" t="s">
        <v>62</v>
      </c>
      <c r="M386" s="4" t="s">
        <v>63</v>
      </c>
      <c r="N386" s="4" t="s">
        <v>4951</v>
      </c>
      <c r="O386" s="2" t="s">
        <v>132</v>
      </c>
      <c r="P386" s="2">
        <v>9.26912464E8</v>
      </c>
      <c r="Q386" s="2" t="s">
        <v>68</v>
      </c>
      <c r="R386" s="4" t="s">
        <v>5220</v>
      </c>
    </row>
    <row r="387">
      <c r="A387" s="4" t="s">
        <v>44</v>
      </c>
      <c r="B387" s="4" t="s">
        <v>44</v>
      </c>
      <c r="C387" s="4">
        <v>386.0</v>
      </c>
      <c r="D387" s="13" t="str">
        <f>HYPERLINK("https://www.linkedin.com/ad-library/detail/926932274","Open Ad")</f>
        <v>Open Ad</v>
      </c>
      <c r="E387" s="4" t="s">
        <v>91</v>
      </c>
      <c r="F387" s="4" t="s">
        <v>5225</v>
      </c>
      <c r="G387" s="4" t="s">
        <v>5226</v>
      </c>
      <c r="H387" s="4" t="s">
        <v>55</v>
      </c>
      <c r="I387" s="4" t="s">
        <v>1377</v>
      </c>
      <c r="J387" s="4" t="s">
        <v>91</v>
      </c>
      <c r="K387" s="13" t="str">
        <f>HYPERLINK("https://media.licdn.com/dms/image/v2/D4E10AQHYuADKfB9VxQ/image-shrink_1280/B4EZrAnmkpHMAM-/0/1764168199277?e=2147483647&amp;v=beta&amp;t=a_GXQ3EsNIIMNUwjzMmjbTC3J--aohP1Uqrs3zCPPmA","Open Creative")</f>
        <v>Open Creative</v>
      </c>
      <c r="L387" s="4" t="s">
        <v>3498</v>
      </c>
      <c r="M387" s="4" t="s">
        <v>63</v>
      </c>
      <c r="N387" s="4" t="s">
        <v>5231</v>
      </c>
      <c r="O387" s="2" t="s">
        <v>132</v>
      </c>
      <c r="P387" s="2">
        <v>9.26932274E8</v>
      </c>
      <c r="Q387" s="2" t="s">
        <v>68</v>
      </c>
      <c r="R387" s="4" t="s">
        <v>5232</v>
      </c>
    </row>
    <row r="388">
      <c r="A388" s="4" t="s">
        <v>44</v>
      </c>
      <c r="B388" s="4" t="s">
        <v>44</v>
      </c>
      <c r="C388" s="4">
        <v>387.0</v>
      </c>
      <c r="D388" s="13" t="str">
        <f>HYPERLINK("https://www.linkedin.com/ad-library/detail/927032044","Open Ad")</f>
        <v>Open Ad</v>
      </c>
      <c r="E388" s="4" t="s">
        <v>91</v>
      </c>
      <c r="F388" s="4" t="s">
        <v>5238</v>
      </c>
      <c r="G388" s="4" t="s">
        <v>5239</v>
      </c>
      <c r="H388" s="4" t="s">
        <v>55</v>
      </c>
      <c r="I388" s="4" t="s">
        <v>5240</v>
      </c>
      <c r="J388" s="4" t="s">
        <v>91</v>
      </c>
      <c r="K388" s="13" t="str">
        <f>HYPERLINK("https://media.licdn.com/dms/image/v2/D4E10AQHwN_0BBPz2PA/image-shrink_1280/B4EZp3c7r0KoAM-/0/1762940665717/1080x10803png?e=2147483647&amp;v=beta&amp;t=WsnMIAk6vds0IX_Ey5rc9dJUB4HqZTOZIvb3CLNIFOo","Open Creative")</f>
        <v>Open Creative</v>
      </c>
      <c r="L388" s="4" t="s">
        <v>62</v>
      </c>
      <c r="M388" s="4" t="s">
        <v>63</v>
      </c>
      <c r="N388" s="4" t="s">
        <v>4951</v>
      </c>
      <c r="O388" s="2" t="s">
        <v>132</v>
      </c>
      <c r="P388" s="2">
        <v>9.27032044E8</v>
      </c>
      <c r="Q388" s="2" t="s">
        <v>68</v>
      </c>
      <c r="R388" s="4" t="s">
        <v>5243</v>
      </c>
    </row>
    <row r="389">
      <c r="A389" s="4" t="s">
        <v>44</v>
      </c>
      <c r="B389" s="4" t="s">
        <v>44</v>
      </c>
      <c r="C389" s="4">
        <v>388.0</v>
      </c>
      <c r="D389" s="13" t="str">
        <f>HYPERLINK("https://www.linkedin.com/ad-library/detail/927081784","Open Ad")</f>
        <v>Open Ad</v>
      </c>
      <c r="E389" s="4" t="s">
        <v>91</v>
      </c>
      <c r="F389" s="4" t="s">
        <v>5238</v>
      </c>
      <c r="G389" s="4" t="s">
        <v>5239</v>
      </c>
      <c r="H389" s="4" t="s">
        <v>55</v>
      </c>
      <c r="I389" s="4" t="s">
        <v>5240</v>
      </c>
      <c r="J389" s="4" t="s">
        <v>91</v>
      </c>
      <c r="K389" s="13" t="str">
        <f>HYPERLINK("https://media.licdn.com/dms/image/v2/D4E10AQGZJMH_id5Hyw/image-shrink_1280/B4EZp3c15JKgAM-/0/1762940641730/1080x10802png?e=2147483647&amp;v=beta&amp;t=aNNnCOAvPWeSrMDB5gdZKogEniysqLK2z7jXwjWrk94","Open Creative")</f>
        <v>Open Creative</v>
      </c>
      <c r="L389" s="4" t="s">
        <v>62</v>
      </c>
      <c r="M389" s="4" t="s">
        <v>63</v>
      </c>
      <c r="N389" s="4" t="s">
        <v>4951</v>
      </c>
      <c r="O389" s="2" t="s">
        <v>132</v>
      </c>
      <c r="P389" s="2">
        <v>9.27081784E8</v>
      </c>
      <c r="Q389" s="2" t="s">
        <v>68</v>
      </c>
      <c r="R389" s="4" t="s">
        <v>5248</v>
      </c>
    </row>
    <row r="390">
      <c r="A390" s="4" t="s">
        <v>44</v>
      </c>
      <c r="B390" s="4" t="s">
        <v>44</v>
      </c>
      <c r="C390" s="4">
        <v>389.0</v>
      </c>
      <c r="D390" s="13" t="str">
        <f>HYPERLINK("https://www.linkedin.com/ad-library/detail/926883244","Open Ad")</f>
        <v>Open Ad</v>
      </c>
      <c r="E390" s="4" t="s">
        <v>91</v>
      </c>
      <c r="F390" s="4" t="s">
        <v>5238</v>
      </c>
      <c r="G390" s="4" t="s">
        <v>5239</v>
      </c>
      <c r="H390" s="4" t="s">
        <v>55</v>
      </c>
      <c r="I390" s="4" t="s">
        <v>5240</v>
      </c>
      <c r="J390" s="4" t="s">
        <v>91</v>
      </c>
      <c r="K390" s="13" t="str">
        <f t="shared" ref="K390:K391" si="3">HYPERLINK("https://media.licdn.com/dms/image/v2/D4E10AQEhl1xuexBSeQ/image-shrink_1280/B4EZp3cmUZHcAM-/0/1762940578000/1080x1080png?e=2147483647&amp;v=beta&amp;t=MCYE-UbJnIioDCbmlNbIXaXtPgvSQ15a7mHBuAzGymc","Open Creative")</f>
        <v>Open Creative</v>
      </c>
      <c r="L390" s="4" t="s">
        <v>62</v>
      </c>
      <c r="M390" s="4" t="s">
        <v>63</v>
      </c>
      <c r="N390" s="4" t="s">
        <v>4951</v>
      </c>
      <c r="O390" s="2" t="s">
        <v>132</v>
      </c>
      <c r="P390" s="2">
        <v>9.26883244E8</v>
      </c>
      <c r="Q390" s="2" t="s">
        <v>68</v>
      </c>
      <c r="R390" s="4" t="s">
        <v>5255</v>
      </c>
    </row>
    <row r="391">
      <c r="A391" s="4" t="s">
        <v>44</v>
      </c>
      <c r="B391" s="4" t="s">
        <v>44</v>
      </c>
      <c r="C391" s="4">
        <v>390.0</v>
      </c>
      <c r="D391" s="13" t="str">
        <f>HYPERLINK("https://www.linkedin.com/ad-library/detail/927101344","Open Ad")</f>
        <v>Open Ad</v>
      </c>
      <c r="E391" s="4" t="s">
        <v>91</v>
      </c>
      <c r="F391" s="4" t="s">
        <v>5256</v>
      </c>
      <c r="G391" s="4" t="s">
        <v>5257</v>
      </c>
      <c r="H391" s="4" t="s">
        <v>55</v>
      </c>
      <c r="I391" s="4" t="s">
        <v>2767</v>
      </c>
      <c r="J391" s="4" t="s">
        <v>91</v>
      </c>
      <c r="K391" s="13" t="str">
        <f t="shared" si="3"/>
        <v>Open Creative</v>
      </c>
      <c r="L391" s="4" t="s">
        <v>62</v>
      </c>
      <c r="M391" s="4" t="s">
        <v>63</v>
      </c>
      <c r="N391" s="4" t="s">
        <v>4951</v>
      </c>
      <c r="O391" s="2" t="s">
        <v>132</v>
      </c>
      <c r="P391" s="2">
        <v>9.27101344E8</v>
      </c>
      <c r="Q391" s="2" t="s">
        <v>68</v>
      </c>
      <c r="R391" s="4" t="s">
        <v>5258</v>
      </c>
    </row>
    <row r="392">
      <c r="A392" s="4" t="s">
        <v>44</v>
      </c>
      <c r="B392" s="4" t="s">
        <v>44</v>
      </c>
      <c r="C392" s="4">
        <v>391.0</v>
      </c>
      <c r="D392" s="13" t="str">
        <f>HYPERLINK("https://www.linkedin.com/ad-library/detail/926952494","Open Ad")</f>
        <v>Open Ad</v>
      </c>
      <c r="E392" s="4" t="s">
        <v>91</v>
      </c>
      <c r="F392" s="4" t="s">
        <v>5225</v>
      </c>
      <c r="G392" s="4" t="s">
        <v>5226</v>
      </c>
      <c r="H392" s="4" t="s">
        <v>55</v>
      </c>
      <c r="I392" s="4" t="s">
        <v>1377</v>
      </c>
      <c r="J392" s="4" t="s">
        <v>91</v>
      </c>
      <c r="K392" s="13" t="str">
        <f>HYPERLINK("https://media.licdn.com/dms/image/v2/D4E10AQGXMoZgJD2_SQ/image-shrink_1280/B4EZrAnmkwHEAM-/0/1764168199080?e=2147483647&amp;v=beta&amp;t=0lyRi8Xwk_rMo02Mk9zFwtFkGNWtQ8E3FEtGmErT-U8","Open Creative")</f>
        <v>Open Creative</v>
      </c>
      <c r="L392" s="4" t="s">
        <v>3498</v>
      </c>
      <c r="M392" s="4" t="s">
        <v>63</v>
      </c>
      <c r="N392" s="4" t="s">
        <v>5231</v>
      </c>
      <c r="O392" s="2" t="s">
        <v>132</v>
      </c>
      <c r="P392" s="2">
        <v>9.26952494E8</v>
      </c>
      <c r="Q392" s="2" t="s">
        <v>68</v>
      </c>
      <c r="R392" s="4" t="s">
        <v>5270</v>
      </c>
    </row>
    <row r="393">
      <c r="A393" s="4" t="s">
        <v>44</v>
      </c>
      <c r="B393" s="4" t="s">
        <v>44</v>
      </c>
      <c r="C393" s="4">
        <v>392.0</v>
      </c>
      <c r="D393" s="13" t="str">
        <f>HYPERLINK("https://www.linkedin.com/ad-library/detail/927101254","Open Ad")</f>
        <v>Open Ad</v>
      </c>
      <c r="E393" s="4" t="s">
        <v>91</v>
      </c>
      <c r="F393" s="4" t="s">
        <v>5225</v>
      </c>
      <c r="G393" s="4" t="s">
        <v>5226</v>
      </c>
      <c r="H393" s="4" t="s">
        <v>55</v>
      </c>
      <c r="I393" s="4" t="s">
        <v>1377</v>
      </c>
      <c r="J393" s="4" t="s">
        <v>91</v>
      </c>
      <c r="K393" s="13" t="str">
        <f>HYPERLINK("https://media.licdn.com/dms/image/v2/D4E10AQE36Ca14gTPTQ/image-shrink_1280/B4EZrAnhKWKYAM-/0/1764168176957?e=2147483647&amp;v=beta&amp;t=CE77j2P_W74hHCBzido7C8WjJqIaNbJRUCIFEHjTSxA","Open Creative")</f>
        <v>Open Creative</v>
      </c>
      <c r="L393" s="4" t="s">
        <v>3498</v>
      </c>
      <c r="M393" s="4" t="s">
        <v>63</v>
      </c>
      <c r="N393" s="4" t="s">
        <v>5231</v>
      </c>
      <c r="O393" s="2" t="s">
        <v>132</v>
      </c>
      <c r="P393" s="2">
        <v>9.27101254E8</v>
      </c>
      <c r="Q393" s="2" t="s">
        <v>68</v>
      </c>
      <c r="R393" s="4" t="s">
        <v>5276</v>
      </c>
    </row>
    <row r="394">
      <c r="A394" s="4" t="s">
        <v>44</v>
      </c>
      <c r="B394" s="4" t="s">
        <v>44</v>
      </c>
      <c r="C394" s="4">
        <v>393.0</v>
      </c>
      <c r="D394" s="13" t="str">
        <f>HYPERLINK("https://www.linkedin.com/ad-library/detail/926952484","Open Ad")</f>
        <v>Open Ad</v>
      </c>
      <c r="E394" s="4" t="s">
        <v>91</v>
      </c>
      <c r="F394" s="4" t="s">
        <v>5225</v>
      </c>
      <c r="G394" s="4" t="s">
        <v>5226</v>
      </c>
      <c r="H394" s="4" t="s">
        <v>55</v>
      </c>
      <c r="I394" s="4" t="s">
        <v>1377</v>
      </c>
      <c r="J394" s="4" t="s">
        <v>91</v>
      </c>
      <c r="K394" s="13" t="str">
        <f>HYPERLINK("https://media.licdn.com/dms/image/v2/D4E10AQGUOBDg5HaULw/image-shrink_1280/B4EZrAnhbuGoAU-/0/1764168178260?e=2147483647&amp;v=beta&amp;t=_r1HLVghI_3O49bNsI9cVPRA9TUsQ0m4HXz2x4S7DM0","Open Creative")</f>
        <v>Open Creative</v>
      </c>
      <c r="L394" s="4" t="s">
        <v>3498</v>
      </c>
      <c r="M394" s="4" t="s">
        <v>63</v>
      </c>
      <c r="N394" s="4" t="s">
        <v>5231</v>
      </c>
      <c r="O394" s="2" t="s">
        <v>132</v>
      </c>
      <c r="P394" s="2">
        <v>9.26952484E8</v>
      </c>
      <c r="Q394" s="2" t="s">
        <v>68</v>
      </c>
      <c r="R394" s="4" t="s">
        <v>5282</v>
      </c>
    </row>
    <row r="395">
      <c r="A395" s="4" t="s">
        <v>44</v>
      </c>
      <c r="B395" s="4" t="s">
        <v>44</v>
      </c>
      <c r="C395" s="4">
        <v>394.0</v>
      </c>
      <c r="D395" s="13" t="str">
        <f>HYPERLINK("https://www.linkedin.com/ad-library/detail/927051724","Open Ad")</f>
        <v>Open Ad</v>
      </c>
      <c r="E395" s="4" t="s">
        <v>91</v>
      </c>
      <c r="F395" s="4" t="s">
        <v>5256</v>
      </c>
      <c r="G395" s="4" t="s">
        <v>5257</v>
      </c>
      <c r="H395" s="4" t="s">
        <v>55</v>
      </c>
      <c r="I395" s="4" t="s">
        <v>2767</v>
      </c>
      <c r="J395" s="4" t="s">
        <v>91</v>
      </c>
      <c r="K395" s="13" t="str">
        <f>HYPERLINK("https://media.licdn.com/dms/image/v2/D4E10AQGZJMH_id5Hyw/image-shrink_1280/B4EZp3c15JKgAM-/0/1762940641730/1080x10802png?e=2147483647&amp;v=beta&amp;t=aNNnCOAvPWeSrMDB5gdZKogEniysqLK2z7jXwjWrk94","Open Creative")</f>
        <v>Open Creative</v>
      </c>
      <c r="L395" s="4" t="s">
        <v>62</v>
      </c>
      <c r="M395" s="4" t="s">
        <v>63</v>
      </c>
      <c r="N395" s="4" t="s">
        <v>4951</v>
      </c>
      <c r="O395" s="2" t="s">
        <v>132</v>
      </c>
      <c r="P395" s="2">
        <v>9.27051724E8</v>
      </c>
      <c r="Q395" s="2" t="s">
        <v>68</v>
      </c>
      <c r="R395" s="4" t="s">
        <v>5287</v>
      </c>
    </row>
    <row r="396">
      <c r="A396" s="4" t="s">
        <v>44</v>
      </c>
      <c r="B396" s="4" t="s">
        <v>44</v>
      </c>
      <c r="C396" s="4">
        <v>395.0</v>
      </c>
      <c r="D396" s="13" t="str">
        <f>HYPERLINK("https://www.linkedin.com/ad-library/detail/926992264","Open Ad")</f>
        <v>Open Ad</v>
      </c>
      <c r="E396" s="4" t="s">
        <v>91</v>
      </c>
      <c r="F396" s="4" t="s">
        <v>5289</v>
      </c>
      <c r="G396" s="4" t="s">
        <v>5290</v>
      </c>
      <c r="H396" s="4" t="s">
        <v>55</v>
      </c>
      <c r="I396" s="4" t="s">
        <v>653</v>
      </c>
      <c r="J396" s="4" t="s">
        <v>91</v>
      </c>
      <c r="K396" s="13" t="str">
        <f>HYPERLINK("https://media.licdn.com/dms/image/v2/D4E10AQFu-8AOY2HSmg/image-shrink_1280/B4EZrAnmluHgAM-/0/1764168199122?e=2147483647&amp;v=beta&amp;t=FE_wW0Sm416zbLnK71i6x-ZMWL2LhmNsZrXwDOiBG0M","Open Creative")</f>
        <v>Open Creative</v>
      </c>
      <c r="L396" s="4" t="s">
        <v>3498</v>
      </c>
      <c r="M396" s="4" t="s">
        <v>63</v>
      </c>
      <c r="N396" s="4" t="s">
        <v>5231</v>
      </c>
      <c r="O396" s="2" t="s">
        <v>132</v>
      </c>
      <c r="P396" s="2">
        <v>9.26992264E8</v>
      </c>
      <c r="Q396" s="2" t="s">
        <v>68</v>
      </c>
      <c r="R396" s="4" t="s">
        <v>5292</v>
      </c>
    </row>
    <row r="397">
      <c r="A397" s="4" t="s">
        <v>44</v>
      </c>
      <c r="B397" s="4" t="s">
        <v>44</v>
      </c>
      <c r="C397" s="4">
        <v>396.0</v>
      </c>
      <c r="D397" s="13" t="str">
        <f>HYPERLINK("https://www.linkedin.com/ad-library/detail/927002104","Open Ad")</f>
        <v>Open Ad</v>
      </c>
      <c r="E397" s="4" t="s">
        <v>91</v>
      </c>
      <c r="F397" s="4" t="s">
        <v>5225</v>
      </c>
      <c r="G397" s="4" t="s">
        <v>5226</v>
      </c>
      <c r="H397" s="4" t="s">
        <v>55</v>
      </c>
      <c r="I397" s="4" t="s">
        <v>1377</v>
      </c>
      <c r="J397" s="4" t="s">
        <v>91</v>
      </c>
      <c r="K397" s="13" t="str">
        <f>HYPERLINK("https://media.licdn.com/dms/image/v2/D4E10AQFl8-Spsi4RSw/image-shrink_1280/B4EZrAncCFHEAM-/0/1764168155985?e=2147483647&amp;v=beta&amp;t=pMxgbEmiaFosfWCHNsVfUws5kYLgtwnVlh88vjE_s2s","Open Creative")</f>
        <v>Open Creative</v>
      </c>
      <c r="L397" s="4" t="s">
        <v>3498</v>
      </c>
      <c r="M397" s="4" t="s">
        <v>63</v>
      </c>
      <c r="N397" s="4" t="s">
        <v>5231</v>
      </c>
      <c r="O397" s="2" t="s">
        <v>132</v>
      </c>
      <c r="P397" s="2">
        <v>9.27002104E8</v>
      </c>
      <c r="Q397" s="2" t="s">
        <v>68</v>
      </c>
      <c r="R397" s="4" t="s">
        <v>5294</v>
      </c>
    </row>
    <row r="398">
      <c r="A398" s="4" t="s">
        <v>44</v>
      </c>
      <c r="B398" s="4" t="s">
        <v>44</v>
      </c>
      <c r="C398" s="4">
        <v>397.0</v>
      </c>
      <c r="D398" s="13" t="str">
        <f>HYPERLINK("https://www.linkedin.com/ad-library/detail/926952514","Open Ad")</f>
        <v>Open Ad</v>
      </c>
      <c r="E398" s="4" t="s">
        <v>91</v>
      </c>
      <c r="F398" s="4" t="s">
        <v>5256</v>
      </c>
      <c r="G398" s="4" t="s">
        <v>5257</v>
      </c>
      <c r="H398" s="4" t="s">
        <v>55</v>
      </c>
      <c r="I398" s="4" t="s">
        <v>2767</v>
      </c>
      <c r="J398" s="4" t="s">
        <v>91</v>
      </c>
      <c r="K398" s="13" t="str">
        <f>HYPERLINK("https://media.licdn.com/dms/image/v2/D4E10AQEbg0Bmp-0ByA/image-shrink_1280/B4EZp3cw0WGUAU-/0/1762940620977/1080x10801png?e=2147483647&amp;v=beta&amp;t=wXm6L7Z81sI9Y5Sxu8KYIZEVsNzBlRvwFSwR-pCzBLQ","Open Creative")</f>
        <v>Open Creative</v>
      </c>
      <c r="L398" s="4" t="s">
        <v>62</v>
      </c>
      <c r="M398" s="4" t="s">
        <v>63</v>
      </c>
      <c r="N398" s="4" t="s">
        <v>4951</v>
      </c>
      <c r="O398" s="2" t="s">
        <v>132</v>
      </c>
      <c r="P398" s="2">
        <v>9.26952514E8</v>
      </c>
      <c r="Q398" s="2" t="s">
        <v>68</v>
      </c>
      <c r="R398" s="4" t="s">
        <v>5297</v>
      </c>
    </row>
    <row r="399">
      <c r="A399" s="4" t="s">
        <v>44</v>
      </c>
      <c r="B399" s="4" t="s">
        <v>44</v>
      </c>
      <c r="C399" s="4">
        <v>398.0</v>
      </c>
      <c r="D399" s="13" t="str">
        <f>HYPERLINK("https://www.linkedin.com/ad-library/detail/927091284","Open Ad")</f>
        <v>Open Ad</v>
      </c>
      <c r="E399" s="4" t="s">
        <v>91</v>
      </c>
      <c r="F399" s="4" t="s">
        <v>5225</v>
      </c>
      <c r="G399" s="4" t="s">
        <v>5226</v>
      </c>
      <c r="H399" s="4" t="s">
        <v>55</v>
      </c>
      <c r="I399" s="4" t="s">
        <v>1377</v>
      </c>
      <c r="J399" s="4" t="s">
        <v>91</v>
      </c>
      <c r="K399" s="13" t="str">
        <f>HYPERLINK("https://media.licdn.com/dms/image/v2/D4E10AQEmRbYx9brMTw/image-shrink_1280/B4EZrAnmjPKoAQ-/0/1764168199086?e=2147483647&amp;v=beta&amp;t=yoYSvWiPmI-R1Gf8fM3zYY9wf3ZIsBGcUtAXjd8B4Gg","Open Creative")</f>
        <v>Open Creative</v>
      </c>
      <c r="L399" s="4" t="s">
        <v>3498</v>
      </c>
      <c r="M399" s="4" t="s">
        <v>63</v>
      </c>
      <c r="N399" s="4" t="s">
        <v>5231</v>
      </c>
      <c r="O399" s="2" t="s">
        <v>132</v>
      </c>
      <c r="P399" s="2">
        <v>9.27091284E8</v>
      </c>
      <c r="Q399" s="2" t="s">
        <v>68</v>
      </c>
      <c r="R399" s="4" t="s">
        <v>5300</v>
      </c>
    </row>
    <row r="400">
      <c r="A400" s="4" t="s">
        <v>44</v>
      </c>
      <c r="B400" s="4" t="s">
        <v>44</v>
      </c>
      <c r="C400" s="4">
        <v>399.0</v>
      </c>
      <c r="D400" s="13" t="str">
        <f>HYPERLINK("https://www.linkedin.com/ad-library/detail/926872934","Open Ad")</f>
        <v>Open Ad</v>
      </c>
      <c r="E400" s="4" t="s">
        <v>91</v>
      </c>
      <c r="F400" s="4" t="s">
        <v>5238</v>
      </c>
      <c r="G400" s="4" t="s">
        <v>5239</v>
      </c>
      <c r="H400" s="4" t="s">
        <v>55</v>
      </c>
      <c r="I400" s="4" t="s">
        <v>5240</v>
      </c>
      <c r="J400" s="4" t="s">
        <v>91</v>
      </c>
      <c r="K400" s="13" t="str">
        <f>HYPERLINK("https://media.licdn.com/dms/image/v2/D4E10AQEbg0Bmp-0ByA/image-shrink_1280/B4EZp3cw0WGUAU-/0/1762940620977/1080x10801png?e=2147483647&amp;v=beta&amp;t=wXm6L7Z81sI9Y5Sxu8KYIZEVsNzBlRvwFSwR-pCzBLQ","Open Creative")</f>
        <v>Open Creative</v>
      </c>
      <c r="L400" s="4" t="s">
        <v>62</v>
      </c>
      <c r="M400" s="4" t="s">
        <v>63</v>
      </c>
      <c r="N400" s="4" t="s">
        <v>4951</v>
      </c>
      <c r="O400" s="2" t="s">
        <v>132</v>
      </c>
      <c r="P400" s="2">
        <v>9.26872934E8</v>
      </c>
      <c r="Q400" s="2" t="s">
        <v>68</v>
      </c>
      <c r="R400" s="4" t="s">
        <v>5303</v>
      </c>
    </row>
    <row r="401">
      <c r="A401" s="4" t="s">
        <v>44</v>
      </c>
      <c r="B401" s="4" t="s">
        <v>44</v>
      </c>
      <c r="C401" s="4">
        <v>400.0</v>
      </c>
      <c r="D401" s="13" t="str">
        <f>HYPERLINK("https://www.linkedin.com/ad-library/detail/926972314","Open Ad")</f>
        <v>Open Ad</v>
      </c>
      <c r="E401" s="4" t="s">
        <v>91</v>
      </c>
      <c r="F401" s="4" t="s">
        <v>5289</v>
      </c>
      <c r="G401" s="4" t="s">
        <v>5290</v>
      </c>
      <c r="H401" s="4" t="s">
        <v>55</v>
      </c>
      <c r="I401" s="4" t="s">
        <v>653</v>
      </c>
      <c r="J401" s="4" t="s">
        <v>91</v>
      </c>
      <c r="K401" s="13" t="str">
        <f>HYPERLINK("https://media.licdn.com/dms/image/v2/D4E10AQE3UU-Sj8Elxg/image-shrink_1280/B4EZrAnhiCKUAM-/0/1764168178490?e=2147483647&amp;v=beta&amp;t=o9vf0P0OJzvsDek6SxLGXm9XEaGUOYe8UzFB-AOOH6c","Open Creative")</f>
        <v>Open Creative</v>
      </c>
      <c r="L401" s="4" t="s">
        <v>3498</v>
      </c>
      <c r="M401" s="4" t="s">
        <v>63</v>
      </c>
      <c r="N401" s="4" t="s">
        <v>5231</v>
      </c>
      <c r="O401" s="2" t="s">
        <v>132</v>
      </c>
      <c r="P401" s="2">
        <v>9.26972314E8</v>
      </c>
      <c r="Q401" s="2" t="s">
        <v>68</v>
      </c>
      <c r="R401" s="4" t="s">
        <v>5304</v>
      </c>
    </row>
    <row r="402">
      <c r="A402" s="4" t="s">
        <v>44</v>
      </c>
      <c r="B402" s="4" t="s">
        <v>44</v>
      </c>
      <c r="C402" s="4">
        <v>401.0</v>
      </c>
      <c r="D402" s="13" t="str">
        <f>HYPERLINK("https://www.linkedin.com/ad-library/detail/926872874","Open Ad")</f>
        <v>Open Ad</v>
      </c>
      <c r="E402" s="4" t="s">
        <v>91</v>
      </c>
      <c r="F402" s="4" t="s">
        <v>5225</v>
      </c>
      <c r="G402" s="4" t="s">
        <v>5226</v>
      </c>
      <c r="H402" s="4" t="s">
        <v>55</v>
      </c>
      <c r="I402" s="4" t="s">
        <v>1377</v>
      </c>
      <c r="J402" s="4" t="s">
        <v>91</v>
      </c>
      <c r="K402" s="13" t="str">
        <f>HYPERLINK("https://media.licdn.com/dms/image/v2/D4E10AQEC4Ryfo27kLA/image-shrink_1280/B4EZrAnhN_IIAM-/0/1764168177039?e=2147483647&amp;v=beta&amp;t=9_bFHDNZemETk1mDNtGsbIyoGnuJT2bDoSGRNWgc0kk","Open Creative")</f>
        <v>Open Creative</v>
      </c>
      <c r="L402" s="4" t="s">
        <v>3498</v>
      </c>
      <c r="M402" s="4" t="s">
        <v>63</v>
      </c>
      <c r="N402" s="4" t="s">
        <v>5231</v>
      </c>
      <c r="O402" s="2" t="s">
        <v>132</v>
      </c>
      <c r="P402" s="2">
        <v>9.26872874E8</v>
      </c>
      <c r="Q402" s="2" t="s">
        <v>68</v>
      </c>
      <c r="R402" s="4" t="s">
        <v>5307</v>
      </c>
    </row>
    <row r="403">
      <c r="A403" s="4" t="s">
        <v>44</v>
      </c>
      <c r="B403" s="4" t="s">
        <v>44</v>
      </c>
      <c r="C403" s="4">
        <v>402.0</v>
      </c>
      <c r="D403" s="13" t="str">
        <f>HYPERLINK("https://www.linkedin.com/ad-library/detail/927061804","Open Ad")</f>
        <v>Open Ad</v>
      </c>
      <c r="E403" s="4" t="s">
        <v>91</v>
      </c>
      <c r="F403" s="4" t="s">
        <v>5225</v>
      </c>
      <c r="G403" s="4" t="s">
        <v>5226</v>
      </c>
      <c r="H403" s="4" t="s">
        <v>55</v>
      </c>
      <c r="I403" s="4" t="s">
        <v>1377</v>
      </c>
      <c r="J403" s="4" t="s">
        <v>91</v>
      </c>
      <c r="K403" s="13" t="str">
        <f>HYPERLINK("https://media.licdn.com/dms/image/v2/D4E10AQFhIidLetHSXQ/image-shrink_1280/B4EZrAnmgeJ0AQ-/0/1764168199017?e=2147483647&amp;v=beta&amp;t=cNgBa_GYt79F4k8C5cCAf2unRilUk6DjzzKLb2qlwuw","Open Creative")</f>
        <v>Open Creative</v>
      </c>
      <c r="L403" s="4" t="s">
        <v>3498</v>
      </c>
      <c r="M403" s="4" t="s">
        <v>63</v>
      </c>
      <c r="N403" s="4" t="s">
        <v>5231</v>
      </c>
      <c r="O403" s="2" t="s">
        <v>132</v>
      </c>
      <c r="P403" s="2">
        <v>9.27061804E8</v>
      </c>
      <c r="Q403" s="2" t="s">
        <v>68</v>
      </c>
      <c r="R403" s="4" t="s">
        <v>5310</v>
      </c>
    </row>
    <row r="404">
      <c r="A404" s="4" t="s">
        <v>44</v>
      </c>
      <c r="B404" s="4" t="s">
        <v>44</v>
      </c>
      <c r="C404" s="4">
        <v>403.0</v>
      </c>
      <c r="D404" s="13" t="str">
        <f>HYPERLINK("https://www.linkedin.com/ad-library/detail/926893154","Open Ad")</f>
        <v>Open Ad</v>
      </c>
      <c r="E404" s="4" t="s">
        <v>91</v>
      </c>
      <c r="F404" s="4" t="s">
        <v>5225</v>
      </c>
      <c r="G404" s="4" t="s">
        <v>5226</v>
      </c>
      <c r="H404" s="4" t="s">
        <v>55</v>
      </c>
      <c r="I404" s="4" t="s">
        <v>1377</v>
      </c>
      <c r="J404" s="4" t="s">
        <v>91</v>
      </c>
      <c r="K404" s="13" t="str">
        <f>HYPERLINK("https://media.licdn.com/dms/image/v2/D4E10AQEVZFfoi8IvWQ/image-shrink_1280/B4EZrAncPEGYAM-/0/1764168157025?e=2147483647&amp;v=beta&amp;t=QVbh4nbmGEivP8HSHeI_xl-QUg1X1s_eZDF3_qxo6gQ","Open Creative")</f>
        <v>Open Creative</v>
      </c>
      <c r="L404" s="4" t="s">
        <v>3498</v>
      </c>
      <c r="M404" s="4" t="s">
        <v>63</v>
      </c>
      <c r="N404" s="4" t="s">
        <v>5231</v>
      </c>
      <c r="O404" s="2" t="s">
        <v>132</v>
      </c>
      <c r="P404" s="2">
        <v>9.26893154E8</v>
      </c>
      <c r="Q404" s="2" t="s">
        <v>68</v>
      </c>
      <c r="R404" s="4" t="s">
        <v>5313</v>
      </c>
    </row>
    <row r="405">
      <c r="A405" s="4" t="s">
        <v>44</v>
      </c>
      <c r="B405" s="4" t="s">
        <v>44</v>
      </c>
      <c r="C405" s="4">
        <v>404.0</v>
      </c>
      <c r="D405" s="13" t="str">
        <f>HYPERLINK("https://www.linkedin.com/ad-library/detail/926872864","Open Ad")</f>
        <v>Open Ad</v>
      </c>
      <c r="E405" s="4" t="s">
        <v>91</v>
      </c>
      <c r="F405" s="4" t="s">
        <v>5289</v>
      </c>
      <c r="G405" s="4" t="s">
        <v>5290</v>
      </c>
      <c r="H405" s="4" t="s">
        <v>55</v>
      </c>
      <c r="I405" s="4" t="s">
        <v>653</v>
      </c>
      <c r="J405" s="4" t="s">
        <v>91</v>
      </c>
      <c r="K405" s="13" t="str">
        <f>HYPERLINK("https://media.licdn.com/dms/image/v2/D4E10AQGUlxKx6ng1gw/image-shrink_1280/B4EZrAnb.YHMAM-/0/1764168155812?e=2147483647&amp;v=beta&amp;t=MLjhaopwBz91I3QkewpRoMYIgmrhyK7WpT8zXh0bd8U","Open Creative")</f>
        <v>Open Creative</v>
      </c>
      <c r="L405" s="4" t="s">
        <v>3498</v>
      </c>
      <c r="M405" s="4" t="s">
        <v>63</v>
      </c>
      <c r="N405" s="4" t="s">
        <v>5316</v>
      </c>
      <c r="O405" s="2" t="s">
        <v>132</v>
      </c>
      <c r="P405" s="2">
        <v>9.26872864E8</v>
      </c>
      <c r="Q405" s="2" t="s">
        <v>68</v>
      </c>
      <c r="R405" s="4" t="s">
        <v>5317</v>
      </c>
    </row>
    <row r="406">
      <c r="A406" s="4" t="s">
        <v>44</v>
      </c>
      <c r="B406" s="4" t="s">
        <v>44</v>
      </c>
      <c r="C406" s="4">
        <v>405.0</v>
      </c>
      <c r="D406" s="13" t="str">
        <f>HYPERLINK("https://www.linkedin.com/ad-library/detail/927061864","Open Ad")</f>
        <v>Open Ad</v>
      </c>
      <c r="E406" s="4" t="s">
        <v>91</v>
      </c>
      <c r="F406" s="4" t="s">
        <v>5256</v>
      </c>
      <c r="G406" s="4" t="s">
        <v>5257</v>
      </c>
      <c r="H406" s="4" t="s">
        <v>55</v>
      </c>
      <c r="I406" s="4" t="s">
        <v>2767</v>
      </c>
      <c r="J406" s="4" t="s">
        <v>91</v>
      </c>
      <c r="K406" s="13" t="str">
        <f>HYPERLINK("https://media.licdn.com/dms/image/v2/D4E10AQHwN_0BBPz2PA/image-shrink_1280/B4EZp3c7r0KoAM-/0/1762940665717/1080x10803png?e=2147483647&amp;v=beta&amp;t=WsnMIAk6vds0IX_Ey5rc9dJUB4HqZTOZIvb3CLNIFOo","Open Creative")</f>
        <v>Open Creative</v>
      </c>
      <c r="L406" s="4" t="s">
        <v>62</v>
      </c>
      <c r="M406" s="4" t="s">
        <v>63</v>
      </c>
      <c r="N406" s="4" t="s">
        <v>4951</v>
      </c>
      <c r="O406" s="2" t="s">
        <v>132</v>
      </c>
      <c r="P406" s="2">
        <v>9.27061864E8</v>
      </c>
      <c r="Q406" s="2" t="s">
        <v>68</v>
      </c>
      <c r="R406" s="4" t="s">
        <v>5320</v>
      </c>
    </row>
    <row r="407">
      <c r="A407" s="4" t="s">
        <v>44</v>
      </c>
      <c r="B407" s="4" t="s">
        <v>44</v>
      </c>
      <c r="C407" s="4">
        <v>406.0</v>
      </c>
      <c r="D407" s="13" t="str">
        <f>HYPERLINK("https://www.linkedin.com/ad-library/detail/927041994","Open Ad")</f>
        <v>Open Ad</v>
      </c>
      <c r="E407" s="4" t="s">
        <v>91</v>
      </c>
      <c r="F407" s="4" t="s">
        <v>4939</v>
      </c>
      <c r="G407" s="4" t="s">
        <v>4940</v>
      </c>
      <c r="H407" s="4" t="s">
        <v>55</v>
      </c>
      <c r="I407" s="4" t="s">
        <v>1377</v>
      </c>
      <c r="J407" s="4" t="s">
        <v>91</v>
      </c>
      <c r="K407" s="13" t="str">
        <f>HYPERLINK("https://media.licdn.com/dms/image/v2/D4E10AQEbg0Bmp-0ByA/image-shrink_1280/B4EZp3cw0WGUAU-/0/1762940620977/1080x10801png?e=2147483647&amp;v=beta&amp;t=wXm6L7Z81sI9Y5Sxu8KYIZEVsNzBlRvwFSwR-pCzBLQ","Open Creative")</f>
        <v>Open Creative</v>
      </c>
      <c r="L407" s="4" t="s">
        <v>62</v>
      </c>
      <c r="M407" s="4" t="s">
        <v>63</v>
      </c>
      <c r="N407" s="4" t="s">
        <v>4951</v>
      </c>
      <c r="O407" s="2" t="s">
        <v>132</v>
      </c>
      <c r="P407" s="2">
        <v>9.27041994E8</v>
      </c>
      <c r="Q407" s="2" t="s">
        <v>68</v>
      </c>
      <c r="R407" s="4" t="s">
        <v>5322</v>
      </c>
    </row>
    <row r="408">
      <c r="A408" s="4" t="s">
        <v>44</v>
      </c>
      <c r="B408" s="4" t="s">
        <v>44</v>
      </c>
      <c r="C408" s="4">
        <v>407.0</v>
      </c>
      <c r="D408" s="13" t="str">
        <f>HYPERLINK("https://www.linkedin.com/ad-library/detail/926912424","Open Ad")</f>
        <v>Open Ad</v>
      </c>
      <c r="E408" s="4" t="s">
        <v>91</v>
      </c>
      <c r="F408" s="4" t="s">
        <v>5225</v>
      </c>
      <c r="G408" s="4" t="s">
        <v>5226</v>
      </c>
      <c r="H408" s="4" t="s">
        <v>55</v>
      </c>
      <c r="I408" s="4" t="s">
        <v>1377</v>
      </c>
      <c r="J408" s="4" t="s">
        <v>91</v>
      </c>
      <c r="K408" s="13" t="str">
        <f>HYPERLINK("https://media.licdn.com/dms/image/v2/D4E10AQG03s1PEao6Dg/image-shrink_1280/B4EZrAnhbyKkAQ-/0/1764168177960?e=2147483647&amp;v=beta&amp;t=jOapKcRNGl0PWu79SibFPFcbV-9ZqgtkqOTXglPPtog","Open Creative")</f>
        <v>Open Creative</v>
      </c>
      <c r="L408" s="4" t="s">
        <v>3498</v>
      </c>
      <c r="M408" s="4" t="s">
        <v>63</v>
      </c>
      <c r="N408" s="4" t="s">
        <v>5325</v>
      </c>
      <c r="O408" s="2" t="s">
        <v>132</v>
      </c>
      <c r="P408" s="2">
        <v>9.26912424E8</v>
      </c>
      <c r="Q408" s="2" t="s">
        <v>68</v>
      </c>
      <c r="R408" s="4" t="s">
        <v>5326</v>
      </c>
    </row>
    <row r="409">
      <c r="A409" s="4" t="s">
        <v>44</v>
      </c>
      <c r="B409" s="4" t="s">
        <v>44</v>
      </c>
      <c r="C409" s="4">
        <v>408.0</v>
      </c>
      <c r="D409" s="13" t="str">
        <f>HYPERLINK("https://www.linkedin.com/ad-library/detail/926982054","Open Ad")</f>
        <v>Open Ad</v>
      </c>
      <c r="E409" s="4" t="s">
        <v>91</v>
      </c>
      <c r="F409" s="4" t="s">
        <v>5289</v>
      </c>
      <c r="G409" s="4" t="s">
        <v>5290</v>
      </c>
      <c r="H409" s="4" t="s">
        <v>55</v>
      </c>
      <c r="I409" s="4" t="s">
        <v>653</v>
      </c>
      <c r="J409" s="4" t="s">
        <v>91</v>
      </c>
      <c r="K409" s="13" t="str">
        <f>HYPERLINK("https://media.licdn.com/dms/image/v2/D4E10AQGN3dRhL8rXmA/image-shrink_1280/B4EZrAnhcNKoAM-/0/1764168178382?e=2147483647&amp;v=beta&amp;t=cHrfDHJtoy84DJrhlApMxcY-cOazwDPQ2fwT0bphdQw","Open Creative")</f>
        <v>Open Creative</v>
      </c>
      <c r="L409" s="4" t="s">
        <v>3498</v>
      </c>
      <c r="M409" s="4" t="s">
        <v>63</v>
      </c>
      <c r="N409" s="4" t="s">
        <v>5325</v>
      </c>
      <c r="O409" s="2" t="s">
        <v>132</v>
      </c>
      <c r="P409" s="2">
        <v>9.26982054E8</v>
      </c>
      <c r="Q409" s="2" t="s">
        <v>68</v>
      </c>
      <c r="R409" s="4" t="s">
        <v>5328</v>
      </c>
    </row>
    <row r="410">
      <c r="A410" s="4" t="s">
        <v>44</v>
      </c>
      <c r="B410" s="4" t="s">
        <v>44</v>
      </c>
      <c r="C410" s="4">
        <v>409.0</v>
      </c>
      <c r="D410" s="13" t="str">
        <f>HYPERLINK("https://www.linkedin.com/ad-library/detail/927041844","Open Ad")</f>
        <v>Open Ad</v>
      </c>
      <c r="E410" s="4" t="s">
        <v>91</v>
      </c>
      <c r="F410" s="4" t="s">
        <v>5289</v>
      </c>
      <c r="G410" s="4" t="s">
        <v>5290</v>
      </c>
      <c r="H410" s="4" t="s">
        <v>55</v>
      </c>
      <c r="I410" s="4" t="s">
        <v>653</v>
      </c>
      <c r="J410" s="4" t="s">
        <v>91</v>
      </c>
      <c r="K410" s="13" t="str">
        <f>HYPERLINK("https://media.licdn.com/dms/image/v2/D4E10AQEDPQ6l45w8qA/image-shrink_1280/B4EZrAnQZxGUAM-/0/1764168108306?e=2147483647&amp;v=beta&amp;t=EGYDaqGbPL5M-zJ73zYTQz39h-eQQocaHztfw-nl_uI","Open Creative")</f>
        <v>Open Creative</v>
      </c>
      <c r="L410" s="4" t="s">
        <v>3498</v>
      </c>
      <c r="M410" s="4" t="s">
        <v>63</v>
      </c>
      <c r="N410" s="4" t="s">
        <v>5231</v>
      </c>
      <c r="O410" s="2" t="s">
        <v>132</v>
      </c>
      <c r="P410" s="2">
        <v>9.27041844E8</v>
      </c>
      <c r="Q410" s="2" t="s">
        <v>68</v>
      </c>
      <c r="R410" s="4" t="s">
        <v>5331</v>
      </c>
    </row>
    <row r="411">
      <c r="A411" s="4" t="s">
        <v>44</v>
      </c>
      <c r="B411" s="4" t="s">
        <v>44</v>
      </c>
      <c r="C411" s="4">
        <v>410.0</v>
      </c>
      <c r="D411" s="13" t="str">
        <f>HYPERLINK("https://www.linkedin.com/ad-library/detail/927041934","Open Ad")</f>
        <v>Open Ad</v>
      </c>
      <c r="E411" s="4" t="s">
        <v>91</v>
      </c>
      <c r="F411" s="4" t="s">
        <v>5225</v>
      </c>
      <c r="G411" s="4" t="s">
        <v>5226</v>
      </c>
      <c r="H411" s="4" t="s">
        <v>55</v>
      </c>
      <c r="I411" s="4" t="s">
        <v>1377</v>
      </c>
      <c r="J411" s="4" t="s">
        <v>91</v>
      </c>
      <c r="K411" s="13" t="str">
        <f>HYPERLINK("https://media.licdn.com/dms/image/v2/D4E10AQEm0VeN4RN8Ng/image-shrink_1280/B4EZrAnbtVKcAM-/0/1764168154511?e=2147483647&amp;v=beta&amp;t=pWocwEQKjemLaAPLbiKknKcx3a_aCt2o2PC_wh-CtkE","Open Creative")</f>
        <v>Open Creative</v>
      </c>
      <c r="L411" s="4" t="s">
        <v>3498</v>
      </c>
      <c r="M411" s="4" t="s">
        <v>63</v>
      </c>
      <c r="N411" s="4" t="s">
        <v>5334</v>
      </c>
      <c r="O411" s="2" t="s">
        <v>132</v>
      </c>
      <c r="P411" s="2">
        <v>9.27041934E8</v>
      </c>
      <c r="Q411" s="2" t="s">
        <v>68</v>
      </c>
      <c r="R411" s="4" t="s">
        <v>5335</v>
      </c>
    </row>
    <row r="412">
      <c r="A412" s="4" t="s">
        <v>44</v>
      </c>
      <c r="B412" s="4" t="s">
        <v>44</v>
      </c>
      <c r="C412" s="4">
        <v>411.0</v>
      </c>
      <c r="D412" s="13" t="str">
        <f>HYPERLINK("https://www.linkedin.com/ad-library/detail/927021924","Open Ad")</f>
        <v>Open Ad</v>
      </c>
      <c r="E412" s="4" t="s">
        <v>91</v>
      </c>
      <c r="F412" s="4" t="s">
        <v>5225</v>
      </c>
      <c r="G412" s="4" t="s">
        <v>5226</v>
      </c>
      <c r="H412" s="4" t="s">
        <v>55</v>
      </c>
      <c r="I412" s="4" t="s">
        <v>1377</v>
      </c>
      <c r="J412" s="4" t="s">
        <v>91</v>
      </c>
      <c r="K412" s="13" t="str">
        <f>HYPERLINK("https://media.licdn.com/dms/image/v2/D4E10AQEdA11fmmBCfw/image-shrink_1280/B4EZrAnVrPHUAQ-/0/1764168129981?e=2147483647&amp;v=beta&amp;t=Y6YmzQx-9y6uHgISRuVEBRDeTtSW7rpHyawzwBdD7FY","Open Creative")</f>
        <v>Open Creative</v>
      </c>
      <c r="L412" s="4" t="s">
        <v>3498</v>
      </c>
      <c r="M412" s="4" t="s">
        <v>63</v>
      </c>
      <c r="N412" s="4" t="s">
        <v>5231</v>
      </c>
      <c r="O412" s="2" t="s">
        <v>132</v>
      </c>
      <c r="P412" s="2">
        <v>9.27021924E8</v>
      </c>
      <c r="Q412" s="2" t="s">
        <v>68</v>
      </c>
      <c r="R412" s="4" t="s">
        <v>5338</v>
      </c>
    </row>
    <row r="413">
      <c r="A413" s="4" t="s">
        <v>44</v>
      </c>
      <c r="B413" s="4" t="s">
        <v>44</v>
      </c>
      <c r="C413" s="4">
        <v>412.0</v>
      </c>
      <c r="D413" s="13" t="str">
        <f>HYPERLINK("https://www.linkedin.com/ad-library/detail/927002084","Open Ad")</f>
        <v>Open Ad</v>
      </c>
      <c r="E413" s="4" t="s">
        <v>91</v>
      </c>
      <c r="F413" s="4" t="s">
        <v>5225</v>
      </c>
      <c r="G413" s="4" t="s">
        <v>5226</v>
      </c>
      <c r="H413" s="4" t="s">
        <v>55</v>
      </c>
      <c r="I413" s="4" t="s">
        <v>1377</v>
      </c>
      <c r="J413" s="4" t="s">
        <v>91</v>
      </c>
      <c r="K413" s="13" t="str">
        <f>HYPERLINK("https://media.licdn.com/dms/image/v2/D4E10AQHLbqn40XYWiw/image-shrink_1280/B4EZrAnV7UKkAM-/0/1764168130842?e=2147483647&amp;v=beta&amp;t=mkP3auMxfycBqaoU5wufY31sT2FVdFznaxa_7_v7-Ao","Open Creative")</f>
        <v>Open Creative</v>
      </c>
      <c r="L413" s="4" t="s">
        <v>3498</v>
      </c>
      <c r="M413" s="4" t="s">
        <v>63</v>
      </c>
      <c r="N413" s="4" t="s">
        <v>5231</v>
      </c>
      <c r="O413" s="2" t="s">
        <v>132</v>
      </c>
      <c r="P413" s="2">
        <v>9.27002084E8</v>
      </c>
      <c r="Q413" s="2" t="s">
        <v>68</v>
      </c>
      <c r="R413" s="4" t="s">
        <v>5341</v>
      </c>
    </row>
    <row r="414">
      <c r="A414" s="4" t="s">
        <v>44</v>
      </c>
      <c r="B414" s="4" t="s">
        <v>44</v>
      </c>
      <c r="C414" s="4">
        <v>413.0</v>
      </c>
      <c r="D414" s="13" t="str">
        <f>HYPERLINK("https://www.linkedin.com/ad-library/detail/926922854","Open Ad")</f>
        <v>Open Ad</v>
      </c>
      <c r="E414" s="4" t="s">
        <v>91</v>
      </c>
      <c r="F414" s="4" t="s">
        <v>5289</v>
      </c>
      <c r="G414" s="4" t="s">
        <v>5290</v>
      </c>
      <c r="H414" s="4" t="s">
        <v>55</v>
      </c>
      <c r="I414" s="4" t="s">
        <v>653</v>
      </c>
      <c r="J414" s="4" t="s">
        <v>91</v>
      </c>
      <c r="K414" s="13" t="str">
        <f>HYPERLINK("https://media.licdn.com/dms/image/v2/D4E10AQFzHLdgHkZ69g/image-shrink_1280/B4EZrAnb5FKgAU-/0/1764168155274?e=2147483647&amp;v=beta&amp;t=j_S8lUSmesQVwmjUUdr__qSrprx72CWS4Pqybs-PV1o","Open Creative")</f>
        <v>Open Creative</v>
      </c>
      <c r="L414" s="4" t="s">
        <v>3498</v>
      </c>
      <c r="M414" s="4" t="s">
        <v>63</v>
      </c>
      <c r="N414" s="4" t="s">
        <v>5231</v>
      </c>
      <c r="O414" s="2" t="s">
        <v>132</v>
      </c>
      <c r="P414" s="2">
        <v>9.26922854E8</v>
      </c>
      <c r="Q414" s="2" t="s">
        <v>68</v>
      </c>
      <c r="R414" s="4" t="s">
        <v>5344</v>
      </c>
    </row>
    <row r="415">
      <c r="A415" s="4" t="s">
        <v>44</v>
      </c>
      <c r="B415" s="4" t="s">
        <v>44</v>
      </c>
      <c r="C415" s="4">
        <v>414.0</v>
      </c>
      <c r="D415" s="13" t="str">
        <f>HYPERLINK("https://www.linkedin.com/ad-library/detail/927101244","Open Ad")</f>
        <v>Open Ad</v>
      </c>
      <c r="E415" s="4" t="s">
        <v>91</v>
      </c>
      <c r="F415" s="4" t="s">
        <v>5225</v>
      </c>
      <c r="G415" s="4" t="s">
        <v>5226</v>
      </c>
      <c r="H415" s="4" t="s">
        <v>55</v>
      </c>
      <c r="I415" s="4" t="s">
        <v>1377</v>
      </c>
      <c r="J415" s="4" t="s">
        <v>91</v>
      </c>
      <c r="K415" s="13" t="str">
        <f>HYPERLINK("https://media.licdn.com/dms/image/v2/D4E10AQH6tm5a_cs5tA/image-shrink_1280/B4EZrAnQV7KoAQ-/0/1764168108074?e=2147483647&amp;v=beta&amp;t=iAsH0la5w0_hPnXbpQ_r1jLi6o55iGV7QR8MDPQQ2eM","Open Creative")</f>
        <v>Open Creative</v>
      </c>
      <c r="L415" s="4" t="s">
        <v>3498</v>
      </c>
      <c r="M415" s="4" t="s">
        <v>63</v>
      </c>
      <c r="N415" s="4" t="s">
        <v>5231</v>
      </c>
      <c r="O415" s="2" t="s">
        <v>132</v>
      </c>
      <c r="P415" s="2">
        <v>9.27101244E8</v>
      </c>
      <c r="Q415" s="2" t="s">
        <v>68</v>
      </c>
      <c r="R415" s="4" t="s">
        <v>5347</v>
      </c>
    </row>
    <row r="416">
      <c r="A416" s="4" t="s">
        <v>44</v>
      </c>
      <c r="B416" s="4" t="s">
        <v>44</v>
      </c>
      <c r="C416" s="4">
        <v>415.0</v>
      </c>
      <c r="D416" s="13" t="str">
        <f>HYPERLINK("https://www.linkedin.com/ad-library/detail/926972294","Open Ad")</f>
        <v>Open Ad</v>
      </c>
      <c r="E416" s="4" t="s">
        <v>91</v>
      </c>
      <c r="F416" s="4" t="s">
        <v>5225</v>
      </c>
      <c r="G416" s="4" t="s">
        <v>5226</v>
      </c>
      <c r="H416" s="4" t="s">
        <v>55</v>
      </c>
      <c r="I416" s="4" t="s">
        <v>1377</v>
      </c>
      <c r="J416" s="4" t="s">
        <v>91</v>
      </c>
      <c r="K416" s="13" t="str">
        <f>HYPERLINK("https://media.licdn.com/dms/image/v2/D4E10AQEUi0h5rJtrzw/image-shrink_1280/B4EZrAnWOkJ0AM-/0/1764168132400?e=2147483647&amp;v=beta&amp;t=wq4mv4mcHW8LjVM8m1CEhk0ChY81_abA0ZzORpieNwU","Open Creative")</f>
        <v>Open Creative</v>
      </c>
      <c r="L416" s="4" t="s">
        <v>3498</v>
      </c>
      <c r="M416" s="4" t="s">
        <v>63</v>
      </c>
      <c r="N416" s="4" t="s">
        <v>5231</v>
      </c>
      <c r="O416" s="2" t="s">
        <v>132</v>
      </c>
      <c r="P416" s="2">
        <v>9.26972294E8</v>
      </c>
      <c r="Q416" s="2" t="s">
        <v>68</v>
      </c>
      <c r="R416" s="4" t="s">
        <v>5350</v>
      </c>
    </row>
    <row r="417">
      <c r="A417" s="4" t="s">
        <v>44</v>
      </c>
      <c r="B417" s="4" t="s">
        <v>44</v>
      </c>
      <c r="C417" s="4">
        <v>416.0</v>
      </c>
      <c r="D417" s="13" t="str">
        <f>HYPERLINK("https://www.linkedin.com/ad-library/detail/926902834","Open Ad")</f>
        <v>Open Ad</v>
      </c>
      <c r="E417" s="4" t="s">
        <v>91</v>
      </c>
      <c r="F417" s="4" t="s">
        <v>5289</v>
      </c>
      <c r="G417" s="4" t="s">
        <v>5290</v>
      </c>
      <c r="H417" s="4" t="s">
        <v>55</v>
      </c>
      <c r="I417" s="4" t="s">
        <v>653</v>
      </c>
      <c r="J417" s="4" t="s">
        <v>91</v>
      </c>
      <c r="K417" s="13" t="str">
        <f>HYPERLINK("https://media.licdn.com/dms/image/v2/D4E10AQHaYtrVqF3tRw/image-shrink_1280/B4EZrAnVrkKoAM-/0/1764168129849?e=2147483647&amp;v=beta&amp;t=eMSSj7DgezyicUm0pXTNBFtCh3Vagn1gs0tGeE27K_0","Open Creative")</f>
        <v>Open Creative</v>
      </c>
      <c r="L417" s="4" t="s">
        <v>3498</v>
      </c>
      <c r="M417" s="4" t="s">
        <v>63</v>
      </c>
      <c r="N417" s="4" t="s">
        <v>5231</v>
      </c>
      <c r="O417" s="2" t="s">
        <v>132</v>
      </c>
      <c r="P417" s="2">
        <v>9.26902834E8</v>
      </c>
      <c r="Q417" s="2" t="s">
        <v>68</v>
      </c>
      <c r="R417" s="4" t="s">
        <v>5353</v>
      </c>
    </row>
    <row r="418">
      <c r="A418" s="4" t="s">
        <v>44</v>
      </c>
      <c r="B418" s="4" t="s">
        <v>44</v>
      </c>
      <c r="C418" s="4">
        <v>417.0</v>
      </c>
      <c r="D418" s="13" t="str">
        <f>HYPERLINK("https://www.linkedin.com/ad-library/detail/926902854","Open Ad")</f>
        <v>Open Ad</v>
      </c>
      <c r="E418" s="4" t="s">
        <v>91</v>
      </c>
      <c r="F418" s="4" t="s">
        <v>5225</v>
      </c>
      <c r="G418" s="4" t="s">
        <v>5226</v>
      </c>
      <c r="H418" s="4" t="s">
        <v>55</v>
      </c>
      <c r="I418" s="4" t="s">
        <v>1377</v>
      </c>
      <c r="J418" s="4" t="s">
        <v>91</v>
      </c>
      <c r="K418" s="13" t="str">
        <f>HYPERLINK("https://media.licdn.com/dms/image/v2/D4E10AQEmeRsUgBa1cg/image-shrink_1280/B4EZrAnbqVKkAM-/0/1764168154632?e=2147483647&amp;v=beta&amp;t=YHwWt1CTs7EUUl3eMtmajCsgrCIcnyhxep4S2cKbUts","Open Creative")</f>
        <v>Open Creative</v>
      </c>
      <c r="L418" s="4" t="s">
        <v>3498</v>
      </c>
      <c r="M418" s="4" t="s">
        <v>63</v>
      </c>
      <c r="N418" s="4" t="s">
        <v>5325</v>
      </c>
      <c r="O418" s="2" t="s">
        <v>132</v>
      </c>
      <c r="P418" s="2">
        <v>9.26902854E8</v>
      </c>
      <c r="Q418" s="2" t="s">
        <v>68</v>
      </c>
      <c r="R418" s="4" t="s">
        <v>5356</v>
      </c>
    </row>
    <row r="419">
      <c r="A419" s="4" t="s">
        <v>44</v>
      </c>
      <c r="B419" s="4" t="s">
        <v>44</v>
      </c>
      <c r="C419" s="4">
        <v>418.0</v>
      </c>
      <c r="D419" s="13" t="str">
        <f>HYPERLINK("https://www.linkedin.com/ad-library/detail/927031984","Open Ad")</f>
        <v>Open Ad</v>
      </c>
      <c r="E419" s="4" t="s">
        <v>91</v>
      </c>
      <c r="F419" s="4" t="s">
        <v>5225</v>
      </c>
      <c r="G419" s="4" t="s">
        <v>5226</v>
      </c>
      <c r="H419" s="4" t="s">
        <v>55</v>
      </c>
      <c r="I419" s="4" t="s">
        <v>1377</v>
      </c>
      <c r="J419" s="4" t="s">
        <v>91</v>
      </c>
      <c r="K419" s="13" t="str">
        <f>HYPERLINK("https://media.licdn.com/dms/image/v2/D4E10AQEoNArcsfQ-uQ/image-shrink_1280/B4EZrAnWS3J0AM-/0/1764168132768?e=2147483647&amp;v=beta&amp;t=kj4Cv_J4RfVMY8sHFh40XeLvY93FB_0EkmwCIwz2awU","Open Creative")</f>
        <v>Open Creative</v>
      </c>
      <c r="L419" s="4" t="s">
        <v>3498</v>
      </c>
      <c r="M419" s="4" t="s">
        <v>63</v>
      </c>
      <c r="N419" s="4" t="s">
        <v>5231</v>
      </c>
      <c r="O419" s="2" t="s">
        <v>132</v>
      </c>
      <c r="P419" s="2">
        <v>9.27031984E8</v>
      </c>
      <c r="Q419" s="2" t="s">
        <v>68</v>
      </c>
      <c r="R419" s="4" t="s">
        <v>5361</v>
      </c>
    </row>
    <row r="420">
      <c r="A420" s="4" t="s">
        <v>44</v>
      </c>
      <c r="B420" s="4" t="s">
        <v>44</v>
      </c>
      <c r="C420" s="4">
        <v>419.0</v>
      </c>
      <c r="D420" s="13" t="str">
        <f>HYPERLINK("https://www.linkedin.com/ad-library/detail/927071504","Open Ad")</f>
        <v>Open Ad</v>
      </c>
      <c r="E420" s="4" t="s">
        <v>91</v>
      </c>
      <c r="F420" s="4" t="s">
        <v>5289</v>
      </c>
      <c r="G420" s="4" t="s">
        <v>5290</v>
      </c>
      <c r="H420" s="4" t="s">
        <v>55</v>
      </c>
      <c r="I420" s="4" t="s">
        <v>653</v>
      </c>
      <c r="J420" s="4" t="s">
        <v>91</v>
      </c>
      <c r="K420" s="13" t="str">
        <f>HYPERLINK("https://media.licdn.com/dms/image/v2/D4E10AQGY1PXGkFKBPQ/image-shrink_1280/B4EZrAnQXNIwAM-/0/1764168108029?e=2147483647&amp;v=beta&amp;t=qy3VdMaREweg516bvK3cd5n3-h5g61d59aHa3hEJZjE","Open Creative")</f>
        <v>Open Creative</v>
      </c>
      <c r="L420" s="4" t="s">
        <v>3498</v>
      </c>
      <c r="M420" s="4" t="s">
        <v>63</v>
      </c>
      <c r="N420" s="4" t="s">
        <v>5231</v>
      </c>
      <c r="O420" s="2" t="s">
        <v>132</v>
      </c>
      <c r="P420" s="2">
        <v>9.27071504E8</v>
      </c>
      <c r="Q420" s="2" t="s">
        <v>68</v>
      </c>
      <c r="R420" s="4" t="s">
        <v>5364</v>
      </c>
    </row>
    <row r="421">
      <c r="A421" s="4" t="s">
        <v>44</v>
      </c>
      <c r="B421" s="4" t="s">
        <v>44</v>
      </c>
      <c r="C421" s="4">
        <v>420.0</v>
      </c>
      <c r="D421" s="13" t="str">
        <f>HYPERLINK("https://www.linkedin.com/ad-library/detail/926972284","Open Ad")</f>
        <v>Open Ad</v>
      </c>
      <c r="E421" s="4" t="s">
        <v>91</v>
      </c>
      <c r="F421" s="4" t="s">
        <v>5225</v>
      </c>
      <c r="G421" s="4" t="s">
        <v>5226</v>
      </c>
      <c r="H421" s="4" t="s">
        <v>55</v>
      </c>
      <c r="I421" s="4" t="s">
        <v>1377</v>
      </c>
      <c r="J421" s="4" t="s">
        <v>91</v>
      </c>
      <c r="K421" s="13" t="str">
        <f>HYPERLINK("https://media.licdn.com/dms/image/v2/D4E10AQEqqXEiRHGJjg/image-shrink_1280/B4EZrAnQFXJ0AM-/0/1764168107562?e=2147483647&amp;v=beta&amp;t=upq7i0ZzRNA77-swzVoJpEkOa_F7VULPv96s3QAvlgo","Open Creative")</f>
        <v>Open Creative</v>
      </c>
      <c r="L421" s="4" t="s">
        <v>3498</v>
      </c>
      <c r="M421" s="4" t="s">
        <v>63</v>
      </c>
      <c r="N421" s="4" t="s">
        <v>5231</v>
      </c>
      <c r="O421" s="2" t="s">
        <v>132</v>
      </c>
      <c r="P421" s="2">
        <v>9.26972284E8</v>
      </c>
      <c r="Q421" s="2" t="s">
        <v>68</v>
      </c>
      <c r="R421" s="4" t="s">
        <v>5367</v>
      </c>
    </row>
    <row r="422">
      <c r="A422" s="4" t="s">
        <v>44</v>
      </c>
      <c r="B422" s="4" t="s">
        <v>44</v>
      </c>
      <c r="C422" s="4">
        <v>421.0</v>
      </c>
      <c r="D422" s="13" t="str">
        <f>HYPERLINK("https://www.linkedin.com/ad-library/detail/926972264","Open Ad")</f>
        <v>Open Ad</v>
      </c>
      <c r="E422" s="4" t="s">
        <v>91</v>
      </c>
      <c r="F422" s="4" t="s">
        <v>5289</v>
      </c>
      <c r="G422" s="4" t="s">
        <v>5290</v>
      </c>
      <c r="H422" s="4" t="s">
        <v>55</v>
      </c>
      <c r="I422" s="4" t="s">
        <v>653</v>
      </c>
      <c r="J422" s="4" t="s">
        <v>91</v>
      </c>
      <c r="K422" s="13" t="str">
        <f>HYPERLINK("https://media.licdn.com/dms/image/v2/D4E10AQFwHitvv2nTYA/image-shrink_1280/B4EZrAnLRiKcAM-/0/1764168087866?e=2147483647&amp;v=beta&amp;t=rdfmrVAPAemqm8sqF5IwuOJTieNURJbkwjf1VRjgwpg","Open Creative")</f>
        <v>Open Creative</v>
      </c>
      <c r="L422" s="4" t="s">
        <v>3498</v>
      </c>
      <c r="M422" s="4" t="s">
        <v>63</v>
      </c>
      <c r="N422" s="4" t="s">
        <v>5325</v>
      </c>
      <c r="O422" s="2" t="s">
        <v>132</v>
      </c>
      <c r="P422" s="2">
        <v>9.26972264E8</v>
      </c>
      <c r="Q422" s="2" t="s">
        <v>68</v>
      </c>
      <c r="R422" s="4" t="s">
        <v>5370</v>
      </c>
    </row>
    <row r="423">
      <c r="A423" s="4" t="s">
        <v>44</v>
      </c>
      <c r="B423" s="4" t="s">
        <v>44</v>
      </c>
      <c r="C423" s="4">
        <v>422.0</v>
      </c>
      <c r="D423" s="13" t="str">
        <f>HYPERLINK("https://www.linkedin.com/ad-library/detail/927051674","Open Ad")</f>
        <v>Open Ad</v>
      </c>
      <c r="E423" s="4" t="s">
        <v>91</v>
      </c>
      <c r="F423" s="4" t="s">
        <v>5225</v>
      </c>
      <c r="G423" s="4" t="s">
        <v>5226</v>
      </c>
      <c r="H423" s="4" t="s">
        <v>55</v>
      </c>
      <c r="I423" s="4" t="s">
        <v>1377</v>
      </c>
      <c r="J423" s="4" t="s">
        <v>91</v>
      </c>
      <c r="K423" s="13" t="str">
        <f>HYPERLINK("https://media.licdn.com/dms/image/v2/D4E10AQGcxUjB0hAuhw/image-shrink_1280/B4EZrAnV8_HMAM-/0/1764168131075?e=2147483647&amp;v=beta&amp;t=z7jyZ4e61nGIQV4cJuICWlavhXWam-H1rvpoBjhDq7s","Open Creative")</f>
        <v>Open Creative</v>
      </c>
      <c r="L423" s="4" t="s">
        <v>3498</v>
      </c>
      <c r="M423" s="4" t="s">
        <v>63</v>
      </c>
      <c r="N423" s="4" t="s">
        <v>5231</v>
      </c>
      <c r="O423" s="2" t="s">
        <v>132</v>
      </c>
      <c r="P423" s="2">
        <v>9.27051674E8</v>
      </c>
      <c r="Q423" s="2" t="s">
        <v>68</v>
      </c>
      <c r="R423" s="4" t="s">
        <v>5373</v>
      </c>
    </row>
    <row r="424">
      <c r="A424" s="4" t="s">
        <v>44</v>
      </c>
      <c r="B424" s="4" t="s">
        <v>44</v>
      </c>
      <c r="C424" s="4">
        <v>423.0</v>
      </c>
      <c r="D424" s="13" t="str">
        <f>HYPERLINK("https://www.linkedin.com/ad-library/detail/926872854","Open Ad")</f>
        <v>Open Ad</v>
      </c>
      <c r="E424" s="4" t="s">
        <v>91</v>
      </c>
      <c r="F424" s="4" t="s">
        <v>5225</v>
      </c>
      <c r="G424" s="4" t="s">
        <v>5226</v>
      </c>
      <c r="H424" s="4" t="s">
        <v>55</v>
      </c>
      <c r="I424" s="4" t="s">
        <v>1377</v>
      </c>
      <c r="J424" s="4" t="s">
        <v>91</v>
      </c>
      <c r="K424" s="13" t="str">
        <f>HYPERLINK("https://media.licdn.com/dms/image/v2/D4E10AQHtugf5h7w17w/image-shrink_1280/B4EZrAnV97J0AM-/0/1764168131259?e=2147483647&amp;v=beta&amp;t=MfEprfiyfH-d5wt4s96iPcEvDQCidLFpaVA6-rtqJeI","Open Creative")</f>
        <v>Open Creative</v>
      </c>
      <c r="L424" s="4" t="s">
        <v>3498</v>
      </c>
      <c r="M424" s="4" t="s">
        <v>63</v>
      </c>
      <c r="N424" s="4" t="s">
        <v>5231</v>
      </c>
      <c r="O424" s="2" t="s">
        <v>132</v>
      </c>
      <c r="P424" s="2">
        <v>9.26872854E8</v>
      </c>
      <c r="Q424" s="2" t="s">
        <v>68</v>
      </c>
      <c r="R424" s="4" t="s">
        <v>5376</v>
      </c>
    </row>
    <row r="425">
      <c r="A425" s="4" t="s">
        <v>44</v>
      </c>
      <c r="B425" s="4" t="s">
        <v>44</v>
      </c>
      <c r="C425" s="4">
        <v>424.0</v>
      </c>
      <c r="D425" s="13" t="str">
        <f>HYPERLINK("https://www.linkedin.com/ad-library/detail/926952464","Open Ad")</f>
        <v>Open Ad</v>
      </c>
      <c r="E425" s="4" t="s">
        <v>91</v>
      </c>
      <c r="F425" s="4" t="s">
        <v>5289</v>
      </c>
      <c r="G425" s="4" t="s">
        <v>5290</v>
      </c>
      <c r="H425" s="4" t="s">
        <v>55</v>
      </c>
      <c r="I425" s="4" t="s">
        <v>653</v>
      </c>
      <c r="J425" s="4" t="s">
        <v>91</v>
      </c>
      <c r="K425" s="13" t="str">
        <f>HYPERLINK("https://media.licdn.com/dms/image/v2/D4E10AQF2fXD888jUvg/image-shrink_1280/B4EZrAnV.mHoAM-/0/1764168131112?e=2147483647&amp;v=beta&amp;t=uB_Mlk5ymBkKu67SXi1Jk5EUb46HOehllAVEje6wOfM","Open Creative")</f>
        <v>Open Creative</v>
      </c>
      <c r="L425" s="4" t="s">
        <v>3498</v>
      </c>
      <c r="M425" s="4" t="s">
        <v>63</v>
      </c>
      <c r="N425" s="4" t="s">
        <v>5325</v>
      </c>
      <c r="O425" s="2" t="s">
        <v>132</v>
      </c>
      <c r="P425" s="2">
        <v>9.26952464E8</v>
      </c>
      <c r="Q425" s="2" t="s">
        <v>68</v>
      </c>
      <c r="R425" s="4" t="s">
        <v>5380</v>
      </c>
    </row>
    <row r="426">
      <c r="A426" s="4" t="s">
        <v>44</v>
      </c>
      <c r="B426" s="4" t="s">
        <v>44</v>
      </c>
      <c r="C426" s="4">
        <v>425.0</v>
      </c>
      <c r="D426" s="13" t="str">
        <f>HYPERLINK("https://www.linkedin.com/ad-library/detail/927091254","Open Ad")</f>
        <v>Open Ad</v>
      </c>
      <c r="E426" s="4" t="s">
        <v>91</v>
      </c>
      <c r="F426" s="4" t="s">
        <v>5225</v>
      </c>
      <c r="G426" s="4" t="s">
        <v>5226</v>
      </c>
      <c r="H426" s="4" t="s">
        <v>55</v>
      </c>
      <c r="I426" s="4" t="s">
        <v>1377</v>
      </c>
      <c r="J426" s="4" t="s">
        <v>91</v>
      </c>
      <c r="K426" s="13" t="str">
        <f>HYPERLINK("https://media.licdn.com/dms/image/v2/D4E10AQGZOKKGmQtHMA/image-shrink_1280/B4EZrAnP5UHoAM-/0/1764168106273?e=2147483647&amp;v=beta&amp;t=grHQoHDjJKw22kl2-16aRGwr_ZPkairqy_DVNoPUgoA","Open Creative")</f>
        <v>Open Creative</v>
      </c>
      <c r="L426" s="4" t="s">
        <v>3498</v>
      </c>
      <c r="M426" s="4" t="s">
        <v>63</v>
      </c>
      <c r="N426" s="4" t="s">
        <v>5231</v>
      </c>
      <c r="O426" s="2" t="s">
        <v>132</v>
      </c>
      <c r="P426" s="2">
        <v>9.27091254E8</v>
      </c>
      <c r="Q426" s="2" t="s">
        <v>68</v>
      </c>
      <c r="R426" s="4" t="s">
        <v>5384</v>
      </c>
    </row>
    <row r="427">
      <c r="A427" s="4" t="s">
        <v>44</v>
      </c>
      <c r="B427" s="4" t="s">
        <v>44</v>
      </c>
      <c r="C427" s="4">
        <v>426.0</v>
      </c>
      <c r="D427" s="13" t="str">
        <f>HYPERLINK("https://www.linkedin.com/ad-library/detail/926893144","Open Ad")</f>
        <v>Open Ad</v>
      </c>
      <c r="E427" s="4" t="s">
        <v>91</v>
      </c>
      <c r="F427" s="4" t="s">
        <v>5289</v>
      </c>
      <c r="G427" s="4" t="s">
        <v>5290</v>
      </c>
      <c r="H427" s="4" t="s">
        <v>55</v>
      </c>
      <c r="I427" s="4" t="s">
        <v>653</v>
      </c>
      <c r="J427" s="4" t="s">
        <v>91</v>
      </c>
      <c r="K427" s="13" t="str">
        <f>HYPERLINK("https://media.licdn.com/dms/image/v2/D4E10AQFk8sLOFZeWBg/image-shrink_1280/B4EZrAnbvAKMAM-/0/1764168155117?e=2147483647&amp;v=beta&amp;t=0ibjS3YfJU225E7CFbbj7EnI5T_IJnTK0i4cSplpba0","Open Creative")</f>
        <v>Open Creative</v>
      </c>
      <c r="L427" s="4" t="s">
        <v>3498</v>
      </c>
      <c r="M427" s="4" t="s">
        <v>63</v>
      </c>
      <c r="N427" s="4" t="s">
        <v>5231</v>
      </c>
      <c r="O427" s="2" t="s">
        <v>132</v>
      </c>
      <c r="P427" s="2">
        <v>9.26893144E8</v>
      </c>
      <c r="Q427" s="2" t="s">
        <v>68</v>
      </c>
      <c r="R427" s="4" t="s">
        <v>5387</v>
      </c>
    </row>
    <row r="428">
      <c r="A428" s="4" t="s">
        <v>44</v>
      </c>
      <c r="B428" s="4" t="s">
        <v>44</v>
      </c>
      <c r="C428" s="4">
        <v>427.0</v>
      </c>
      <c r="D428" s="13" t="str">
        <f>HYPERLINK("https://www.linkedin.com/ad-library/detail/927041894","Open Ad")</f>
        <v>Open Ad</v>
      </c>
      <c r="E428" s="4" t="s">
        <v>91</v>
      </c>
      <c r="F428" s="4" t="s">
        <v>5289</v>
      </c>
      <c r="G428" s="4" t="s">
        <v>5290</v>
      </c>
      <c r="H428" s="4" t="s">
        <v>55</v>
      </c>
      <c r="I428" s="4" t="s">
        <v>653</v>
      </c>
      <c r="J428" s="4" t="s">
        <v>91</v>
      </c>
      <c r="K428" s="13" t="str">
        <f>HYPERLINK("https://media.licdn.com/dms/image/v2/D4E10AQGzOfiWBZDxew/image-shrink_1280/B4EZrAnWALHoAc-/0/1764168131165?e=2147483647&amp;v=beta&amp;t=0KAtprwTRn7L7VSkeQmf9mVGd1HE_MI6gDSIXiuZpy0","Open Creative")</f>
        <v>Open Creative</v>
      </c>
      <c r="L428" s="4" t="s">
        <v>3498</v>
      </c>
      <c r="M428" s="4" t="s">
        <v>63</v>
      </c>
      <c r="N428" s="4" t="s">
        <v>5231</v>
      </c>
      <c r="O428" s="2" t="s">
        <v>132</v>
      </c>
      <c r="P428" s="2">
        <v>9.27041894E8</v>
      </c>
      <c r="Q428" s="2" t="s">
        <v>68</v>
      </c>
      <c r="R428" s="4" t="s">
        <v>5391</v>
      </c>
    </row>
    <row r="429">
      <c r="A429" s="4" t="s">
        <v>44</v>
      </c>
      <c r="B429" s="4" t="s">
        <v>44</v>
      </c>
      <c r="C429" s="4">
        <v>428.0</v>
      </c>
      <c r="D429" s="13" t="str">
        <f>HYPERLINK("https://www.linkedin.com/ad-library/detail/926962154","Open Ad")</f>
        <v>Open Ad</v>
      </c>
      <c r="E429" s="4" t="s">
        <v>91</v>
      </c>
      <c r="F429" s="4" t="s">
        <v>5225</v>
      </c>
      <c r="G429" s="4" t="s">
        <v>5226</v>
      </c>
      <c r="H429" s="4" t="s">
        <v>55</v>
      </c>
      <c r="I429" s="4" t="s">
        <v>1377</v>
      </c>
      <c r="J429" s="4" t="s">
        <v>91</v>
      </c>
      <c r="K429" s="13" t="str">
        <f>HYPERLINK("https://media.licdn.com/dms/image/v2/D4E10AQEavgB0Ub4kBw/image-shrink_1280/B4EZrAnb5PJgAM-/0/1764168155411?e=2147483647&amp;v=beta&amp;t=gKguuWbZO2uTdEvEzuO7XD_o4lJ4Ats-_LrHe5rCZY0","Open Creative")</f>
        <v>Open Creative</v>
      </c>
      <c r="L429" s="4" t="s">
        <v>3498</v>
      </c>
      <c r="M429" s="4" t="s">
        <v>63</v>
      </c>
      <c r="N429" s="4" t="s">
        <v>5231</v>
      </c>
      <c r="O429" s="2" t="s">
        <v>132</v>
      </c>
      <c r="P429" s="2">
        <v>9.26962154E8</v>
      </c>
      <c r="Q429" s="2" t="s">
        <v>68</v>
      </c>
      <c r="R429" s="4" t="s">
        <v>5395</v>
      </c>
    </row>
    <row r="430">
      <c r="A430" s="4" t="s">
        <v>44</v>
      </c>
      <c r="B430" s="4" t="s">
        <v>44</v>
      </c>
      <c r="C430" s="4">
        <v>429.0</v>
      </c>
      <c r="D430" s="13" t="str">
        <f>HYPERLINK("https://www.linkedin.com/ad-library/detail/927041874","Open Ad")</f>
        <v>Open Ad</v>
      </c>
      <c r="E430" s="4" t="s">
        <v>91</v>
      </c>
      <c r="F430" s="4" t="s">
        <v>5225</v>
      </c>
      <c r="G430" s="4" t="s">
        <v>5226</v>
      </c>
      <c r="H430" s="4" t="s">
        <v>55</v>
      </c>
      <c r="I430" s="4" t="s">
        <v>1377</v>
      </c>
      <c r="J430" s="4" t="s">
        <v>91</v>
      </c>
      <c r="K430" s="13" t="str">
        <f>HYPERLINK("https://media.licdn.com/dms/image/v2/D4E10AQENzSPIhHxzOg/image-shrink_1280/B4EZrAnQoMHMAM-/0/1764168109253?e=2147483647&amp;v=beta&amp;t=fB2_0oo7KDqowdtydjsrbhS00WkrmAXU8zvPxP4fMZQ","Open Creative")</f>
        <v>Open Creative</v>
      </c>
      <c r="L430" s="4" t="s">
        <v>3498</v>
      </c>
      <c r="M430" s="4" t="s">
        <v>63</v>
      </c>
      <c r="N430" s="4" t="s">
        <v>5231</v>
      </c>
      <c r="O430" s="2" t="s">
        <v>132</v>
      </c>
      <c r="P430" s="2">
        <v>9.27041874E8</v>
      </c>
      <c r="Q430" s="2" t="s">
        <v>68</v>
      </c>
      <c r="R430" s="4" t="s">
        <v>5398</v>
      </c>
    </row>
    <row r="431">
      <c r="A431" s="4" t="s">
        <v>44</v>
      </c>
      <c r="B431" s="4" t="s">
        <v>44</v>
      </c>
      <c r="C431" s="4">
        <v>430.0</v>
      </c>
      <c r="D431" s="13" t="str">
        <f>HYPERLINK("https://www.linkedin.com/ad-library/detail/926982024","Open Ad")</f>
        <v>Open Ad</v>
      </c>
      <c r="E431" s="4" t="s">
        <v>91</v>
      </c>
      <c r="F431" s="4" t="s">
        <v>5225</v>
      </c>
      <c r="G431" s="4" t="s">
        <v>5226</v>
      </c>
      <c r="H431" s="4" t="s">
        <v>55</v>
      </c>
      <c r="I431" s="4" t="s">
        <v>1377</v>
      </c>
      <c r="J431" s="4" t="s">
        <v>91</v>
      </c>
      <c r="K431" s="13" t="str">
        <f>HYPERLINK("https://media.licdn.com/dms/image/v2/D4E10AQGhuN1QMiQzhg/image-shrink_1280/B4EZrAnQCuIwAQ-/0/1764168106740?e=2147483647&amp;v=beta&amp;t=U0gd717aHqpOK5F1rB8vD7DNdIhNDUsxLsVEkWWNHPo","Open Creative")</f>
        <v>Open Creative</v>
      </c>
      <c r="L431" s="4" t="s">
        <v>3498</v>
      </c>
      <c r="M431" s="4" t="s">
        <v>63</v>
      </c>
      <c r="N431" s="4" t="s">
        <v>5231</v>
      </c>
      <c r="O431" s="2" t="s">
        <v>132</v>
      </c>
      <c r="P431" s="2">
        <v>9.26982024E8</v>
      </c>
      <c r="Q431" s="2" t="s">
        <v>68</v>
      </c>
      <c r="R431" s="4" t="s">
        <v>5402</v>
      </c>
    </row>
    <row r="432">
      <c r="A432" s="4" t="s">
        <v>44</v>
      </c>
      <c r="B432" s="4" t="s">
        <v>44</v>
      </c>
      <c r="C432" s="4">
        <v>431.0</v>
      </c>
      <c r="D432" s="13" t="str">
        <f>HYPERLINK("https://www.linkedin.com/ad-library/detail/927041884","Open Ad")</f>
        <v>Open Ad</v>
      </c>
      <c r="E432" s="4" t="s">
        <v>91</v>
      </c>
      <c r="F432" s="4" t="s">
        <v>5289</v>
      </c>
      <c r="G432" s="4" t="s">
        <v>5290</v>
      </c>
      <c r="H432" s="4" t="s">
        <v>55</v>
      </c>
      <c r="I432" s="4" t="s">
        <v>653</v>
      </c>
      <c r="J432" s="4" t="s">
        <v>91</v>
      </c>
      <c r="K432" s="13" t="str">
        <f>HYPERLINK("https://media.licdn.com/dms/image/v2/D4E10AQEnpQW1bs-vAw/image-shrink_1280/B4EZrAnQ2DIUAM-/0/1764168110781?e=2147483647&amp;v=beta&amp;t=HGyoIVo3NgyvtUMC5yXPMYNINIhHSXLpot4SfX9BCdQ","Open Creative")</f>
        <v>Open Creative</v>
      </c>
      <c r="L432" s="4" t="s">
        <v>3498</v>
      </c>
      <c r="M432" s="4" t="s">
        <v>63</v>
      </c>
      <c r="N432" s="4" t="s">
        <v>5231</v>
      </c>
      <c r="O432" s="2" t="s">
        <v>132</v>
      </c>
      <c r="P432" s="2">
        <v>9.27041884E8</v>
      </c>
      <c r="Q432" s="2" t="s">
        <v>68</v>
      </c>
      <c r="R432" s="4" t="s">
        <v>5405</v>
      </c>
    </row>
    <row r="433">
      <c r="A433" s="4" t="s">
        <v>44</v>
      </c>
      <c r="B433" s="4" t="s">
        <v>44</v>
      </c>
      <c r="C433" s="4">
        <v>432.0</v>
      </c>
      <c r="D433" s="13" t="str">
        <f>HYPERLINK("https://www.linkedin.com/ad-library/detail/927041854","Open Ad")</f>
        <v>Open Ad</v>
      </c>
      <c r="E433" s="4" t="s">
        <v>91</v>
      </c>
      <c r="F433" s="4" t="s">
        <v>5225</v>
      </c>
      <c r="G433" s="4" t="s">
        <v>5226</v>
      </c>
      <c r="H433" s="4" t="s">
        <v>55</v>
      </c>
      <c r="I433" s="4" t="s">
        <v>1377</v>
      </c>
      <c r="J433" s="4" t="s">
        <v>91</v>
      </c>
      <c r="K433" s="13" t="str">
        <f>HYPERLINK("https://media.licdn.com/dms/image/v2/D4E10AQFL4eS0NOzJxw/image-shrink_1280/B4EZrAnQWhKkAQ-/0/1764168108707?e=2147483647&amp;v=beta&amp;t=4pahA9zKTNXE0Kq8DrC4rHLi7bogxVU75eXvPzYoGCM","Open Creative")</f>
        <v>Open Creative</v>
      </c>
      <c r="L433" s="4" t="s">
        <v>3498</v>
      </c>
      <c r="M433" s="4" t="s">
        <v>63</v>
      </c>
      <c r="N433" s="4" t="s">
        <v>5231</v>
      </c>
      <c r="O433" s="2" t="s">
        <v>132</v>
      </c>
      <c r="P433" s="2">
        <v>9.27041854E8</v>
      </c>
      <c r="Q433" s="2" t="s">
        <v>68</v>
      </c>
      <c r="R433" s="4" t="s">
        <v>5409</v>
      </c>
    </row>
    <row r="434">
      <c r="A434" s="4" t="s">
        <v>44</v>
      </c>
      <c r="B434" s="4" t="s">
        <v>44</v>
      </c>
      <c r="C434" s="4">
        <v>433.0</v>
      </c>
      <c r="D434" s="13" t="str">
        <f>HYPERLINK("https://www.linkedin.com/ad-library/detail/927011794","Open Ad")</f>
        <v>Open Ad</v>
      </c>
      <c r="E434" s="4" t="s">
        <v>91</v>
      </c>
      <c r="F434" s="4" t="s">
        <v>5225</v>
      </c>
      <c r="G434" s="4" t="s">
        <v>5226</v>
      </c>
      <c r="H434" s="4" t="s">
        <v>55</v>
      </c>
      <c r="I434" s="4" t="s">
        <v>1377</v>
      </c>
      <c r="J434" s="4" t="s">
        <v>91</v>
      </c>
      <c r="K434" s="13" t="str">
        <f>HYPERLINK("https://media.licdn.com/dms/image/v2/D4E10AQEQze-RNZiOJA/image-shrink_1280/B4EZrAnK2UIQAM-/0/1764168085575?e=2147483647&amp;v=beta&amp;t=R3A3AO3iVt-LSRbO2jrt1TGa5DiQ3UqzGJuMzluUkbQ","Open Creative")</f>
        <v>Open Creative</v>
      </c>
      <c r="L434" s="4" t="s">
        <v>3498</v>
      </c>
      <c r="M434" s="4" t="s">
        <v>63</v>
      </c>
      <c r="N434" s="4" t="s">
        <v>5231</v>
      </c>
      <c r="O434" s="2" t="s">
        <v>132</v>
      </c>
      <c r="P434" s="2">
        <v>9.27011794E8</v>
      </c>
      <c r="Q434" s="2" t="s">
        <v>68</v>
      </c>
      <c r="R434" s="4" t="s">
        <v>5412</v>
      </c>
    </row>
    <row r="435">
      <c r="A435" s="4" t="s">
        <v>44</v>
      </c>
      <c r="B435" s="4" t="s">
        <v>44</v>
      </c>
      <c r="C435" s="4">
        <v>434.0</v>
      </c>
      <c r="D435" s="13" t="str">
        <f>HYPERLINK("https://www.linkedin.com/ad-library/detail/926962144","Open Ad")</f>
        <v>Open Ad</v>
      </c>
      <c r="E435" s="4" t="s">
        <v>91</v>
      </c>
      <c r="F435" s="4" t="s">
        <v>5225</v>
      </c>
      <c r="G435" s="4" t="s">
        <v>5226</v>
      </c>
      <c r="H435" s="4" t="s">
        <v>55</v>
      </c>
      <c r="I435" s="4" t="s">
        <v>1377</v>
      </c>
      <c r="J435" s="4" t="s">
        <v>91</v>
      </c>
      <c r="K435" s="13" t="str">
        <f>HYPERLINK("https://media.licdn.com/dms/image/v2/D4E10AQEAWUBahRqIYw/image-shrink_1280/B4EZrAnLBFHMAQ-/0/1764168086319?e=2147483647&amp;v=beta&amp;t=hkeAvsGFTS6J0dyOeQBdswmcAb3dH5jCLpTkaP8hlGY","Open Creative")</f>
        <v>Open Creative</v>
      </c>
      <c r="L435" s="4" t="s">
        <v>3498</v>
      </c>
      <c r="M435" s="4" t="s">
        <v>63</v>
      </c>
      <c r="N435" s="4" t="s">
        <v>5325</v>
      </c>
      <c r="O435" s="2" t="s">
        <v>132</v>
      </c>
      <c r="P435" s="2">
        <v>9.26962144E8</v>
      </c>
      <c r="Q435" s="2" t="s">
        <v>68</v>
      </c>
      <c r="R435" s="4" t="s">
        <v>5416</v>
      </c>
    </row>
    <row r="436">
      <c r="A436" s="4" t="s">
        <v>44</v>
      </c>
      <c r="B436" s="4" t="s">
        <v>44</v>
      </c>
      <c r="C436" s="4">
        <v>435.0</v>
      </c>
      <c r="D436" s="13" t="str">
        <f>HYPERLINK("https://www.linkedin.com/ad-library/detail/927061774","Open Ad")</f>
        <v>Open Ad</v>
      </c>
      <c r="E436" s="4" t="s">
        <v>91</v>
      </c>
      <c r="F436" s="4" t="s">
        <v>5225</v>
      </c>
      <c r="G436" s="4" t="s">
        <v>5226</v>
      </c>
      <c r="H436" s="4" t="s">
        <v>55</v>
      </c>
      <c r="I436" s="4" t="s">
        <v>1377</v>
      </c>
      <c r="J436" s="4" t="s">
        <v>91</v>
      </c>
      <c r="K436" s="13" t="str">
        <f>HYPERLINK("https://media.licdn.com/dms/image/v2/D4E10AQFriW-6uRmg9g/image-shrink_1280/B4EZrAm_.gHEAM-/0/1764168041070?e=2147483647&amp;v=beta&amp;t=r9379F62V1FvXZmaScgQ_5Y3e4-Ap1I9uUUKnkjTBbA","Open Creative")</f>
        <v>Open Creative</v>
      </c>
      <c r="L436" s="4" t="s">
        <v>3498</v>
      </c>
      <c r="M436" s="4" t="s">
        <v>63</v>
      </c>
      <c r="N436" s="4" t="s">
        <v>5316</v>
      </c>
      <c r="O436" s="2" t="s">
        <v>132</v>
      </c>
      <c r="P436" s="2">
        <v>9.27061774E8</v>
      </c>
      <c r="Q436" s="2" t="s">
        <v>68</v>
      </c>
      <c r="R436" s="4" t="s">
        <v>5420</v>
      </c>
    </row>
    <row r="437">
      <c r="A437" s="4" t="s">
        <v>44</v>
      </c>
      <c r="B437" s="4" t="s">
        <v>44</v>
      </c>
      <c r="C437" s="4">
        <v>436.0</v>
      </c>
      <c r="D437" s="13" t="str">
        <f>HYPERLINK("https://www.linkedin.com/ad-library/detail/927101234","Open Ad")</f>
        <v>Open Ad</v>
      </c>
      <c r="E437" s="4" t="s">
        <v>91</v>
      </c>
      <c r="F437" s="4" t="s">
        <v>5225</v>
      </c>
      <c r="G437" s="4" t="s">
        <v>5226</v>
      </c>
      <c r="H437" s="4" t="s">
        <v>55</v>
      </c>
      <c r="I437" s="4" t="s">
        <v>1377</v>
      </c>
      <c r="J437" s="4" t="s">
        <v>91</v>
      </c>
      <c r="K437" s="13" t="str">
        <f>HYPERLINK("https://media.licdn.com/dms/image/v2/D4E10AQGuhB1Z0ICmtg/image-shrink_1280/B4EZrAnFtUHgAM-/0/1764168064718?e=2147483647&amp;v=beta&amp;t=0pGGwPOCX1-St9Z3QFJJEtkTXO7WBmmq3nhL3LXEeVQ","Open Creative")</f>
        <v>Open Creative</v>
      </c>
      <c r="L437" s="4" t="s">
        <v>3498</v>
      </c>
      <c r="M437" s="4" t="s">
        <v>63</v>
      </c>
      <c r="N437" s="4" t="s">
        <v>5231</v>
      </c>
      <c r="O437" s="2" t="s">
        <v>132</v>
      </c>
      <c r="P437" s="2">
        <v>9.27101234E8</v>
      </c>
      <c r="Q437" s="2" t="s">
        <v>68</v>
      </c>
      <c r="R437" s="4" t="s">
        <v>5423</v>
      </c>
    </row>
    <row r="438">
      <c r="A438" s="4" t="s">
        <v>44</v>
      </c>
      <c r="B438" s="4" t="s">
        <v>44</v>
      </c>
      <c r="C438" s="4">
        <v>437.0</v>
      </c>
      <c r="D438" s="13" t="str">
        <f>HYPERLINK("https://www.linkedin.com/ad-library/detail/927091234","Open Ad")</f>
        <v>Open Ad</v>
      </c>
      <c r="E438" s="4" t="s">
        <v>91</v>
      </c>
      <c r="F438" s="4" t="s">
        <v>5225</v>
      </c>
      <c r="G438" s="4" t="s">
        <v>5226</v>
      </c>
      <c r="H438" s="4" t="s">
        <v>55</v>
      </c>
      <c r="I438" s="4" t="s">
        <v>1377</v>
      </c>
      <c r="J438" s="4" t="s">
        <v>91</v>
      </c>
      <c r="K438" s="13" t="str">
        <f>HYPERLINK("https://media.licdn.com/dms/image/v2/D4E10AQFGTNHRH3XhQg/image-shrink_1280/B4EZrAnFnlGoAM-/0/1764168064035?e=2147483647&amp;v=beta&amp;t=9HTxKOpHLPieHzERr7dNPvBscSNh36rgmpwy6K-RP0g","Open Creative")</f>
        <v>Open Creative</v>
      </c>
      <c r="L438" s="4" t="s">
        <v>3498</v>
      </c>
      <c r="M438" s="4" t="s">
        <v>63</v>
      </c>
      <c r="N438" s="4" t="s">
        <v>5231</v>
      </c>
      <c r="O438" s="2" t="s">
        <v>132</v>
      </c>
      <c r="P438" s="2">
        <v>9.27091234E8</v>
      </c>
      <c r="Q438" s="2" t="s">
        <v>68</v>
      </c>
      <c r="R438" s="4" t="s">
        <v>5428</v>
      </c>
    </row>
    <row r="439">
      <c r="A439" s="4" t="s">
        <v>44</v>
      </c>
      <c r="B439" s="4" t="s">
        <v>44</v>
      </c>
      <c r="C439" s="4">
        <v>438.0</v>
      </c>
      <c r="D439" s="13" t="str">
        <f>HYPERLINK("https://www.linkedin.com/ad-library/detail/926883134","Open Ad")</f>
        <v>Open Ad</v>
      </c>
      <c r="E439" s="4" t="s">
        <v>91</v>
      </c>
      <c r="F439" s="4" t="s">
        <v>5225</v>
      </c>
      <c r="G439" s="4" t="s">
        <v>5226</v>
      </c>
      <c r="H439" s="4" t="s">
        <v>55</v>
      </c>
      <c r="I439" s="4" t="s">
        <v>1377</v>
      </c>
      <c r="J439" s="4" t="s">
        <v>91</v>
      </c>
      <c r="K439" s="13" t="str">
        <f>HYPERLINK("https://media.licdn.com/dms/image/v2/D4E10AQFs8oZX9k6dLw/image-shrink_1280/B4EZrAm_uWKMAM-/0/1764168040251?e=2147483647&amp;v=beta&amp;t=kyxEDGo25J1F-FztwDWMH-PizaNeAVeOg-CKe-c-tfg","Open Creative")</f>
        <v>Open Creative</v>
      </c>
      <c r="L439" s="4" t="s">
        <v>3498</v>
      </c>
      <c r="M439" s="4" t="s">
        <v>63</v>
      </c>
      <c r="N439" s="4" t="s">
        <v>5231</v>
      </c>
      <c r="O439" s="2" t="s">
        <v>1713</v>
      </c>
      <c r="P439" s="2">
        <v>9.26883134E8</v>
      </c>
      <c r="Q439" s="2" t="s">
        <v>68</v>
      </c>
      <c r="R439" s="4" t="s">
        <v>5431</v>
      </c>
    </row>
    <row r="440">
      <c r="A440" s="4" t="s">
        <v>44</v>
      </c>
      <c r="B440" s="4" t="s">
        <v>44</v>
      </c>
      <c r="C440" s="4">
        <v>439.0</v>
      </c>
      <c r="D440" s="13" t="str">
        <f>HYPERLINK("https://www.linkedin.com/ad-library/detail/926992214","Open Ad")</f>
        <v>Open Ad</v>
      </c>
      <c r="E440" s="4" t="s">
        <v>91</v>
      </c>
      <c r="F440" s="4" t="s">
        <v>5225</v>
      </c>
      <c r="G440" s="4" t="s">
        <v>5226</v>
      </c>
      <c r="H440" s="4" t="s">
        <v>55</v>
      </c>
      <c r="I440" s="4" t="s">
        <v>1377</v>
      </c>
      <c r="J440" s="4" t="s">
        <v>91</v>
      </c>
      <c r="K440" s="13" t="str">
        <f>HYPERLINK("https://media.licdn.com/dms/image/v2/D4E10AQGkF0f1fJWUMQ/image-shrink_1280/B4EZrAnKw9HEAM-/0/1764168085605?e=2147483647&amp;v=beta&amp;t=RYSyVA9-QOA0BhZvVvNWmfV_sHh4zcnkZK0cVbU1544","Open Creative")</f>
        <v>Open Creative</v>
      </c>
      <c r="L440" s="4" t="s">
        <v>3498</v>
      </c>
      <c r="M440" s="4" t="s">
        <v>63</v>
      </c>
      <c r="N440" s="4" t="s">
        <v>5231</v>
      </c>
      <c r="O440" s="2" t="s">
        <v>132</v>
      </c>
      <c r="P440" s="2">
        <v>9.26992214E8</v>
      </c>
      <c r="Q440" s="2" t="s">
        <v>68</v>
      </c>
      <c r="R440" s="4" t="s">
        <v>5434</v>
      </c>
    </row>
    <row r="441">
      <c r="A441" s="4" t="s">
        <v>44</v>
      </c>
      <c r="B441" s="4" t="s">
        <v>44</v>
      </c>
      <c r="C441" s="4">
        <v>440.0</v>
      </c>
      <c r="D441" s="13" t="str">
        <f>HYPERLINK("https://www.linkedin.com/ad-library/detail/927091214","Open Ad")</f>
        <v>Open Ad</v>
      </c>
      <c r="E441" s="4" t="s">
        <v>91</v>
      </c>
      <c r="F441" s="4" t="s">
        <v>5225</v>
      </c>
      <c r="G441" s="4" t="s">
        <v>5226</v>
      </c>
      <c r="H441" s="4" t="s">
        <v>55</v>
      </c>
      <c r="I441" s="4" t="s">
        <v>1377</v>
      </c>
      <c r="J441" s="4" t="s">
        <v>91</v>
      </c>
      <c r="K441" s="13" t="str">
        <f>HYPERLINK("https://media.licdn.com/dms/image/v2/D4E10AQHmzQ4X1gA48g/image-shrink_1280/B4EZrAm6rTJ0AQ-/0/1764168019698?e=2147483647&amp;v=beta&amp;t=5J0SFrBnMMTaZQoSG1UO6Rk_WnG9grjFM2Fr-fuwO4M","Open Creative")</f>
        <v>Open Creative</v>
      </c>
      <c r="L441" s="4" t="s">
        <v>3498</v>
      </c>
      <c r="M441" s="4" t="s">
        <v>63</v>
      </c>
      <c r="N441" s="4" t="s">
        <v>5231</v>
      </c>
      <c r="O441" s="2" t="s">
        <v>132</v>
      </c>
      <c r="P441" s="2">
        <v>9.27091214E8</v>
      </c>
      <c r="Q441" s="2" t="s">
        <v>68</v>
      </c>
      <c r="R441" s="4" t="s">
        <v>5439</v>
      </c>
    </row>
    <row r="442">
      <c r="A442" s="4" t="s">
        <v>44</v>
      </c>
      <c r="B442" s="4" t="s">
        <v>44</v>
      </c>
      <c r="C442" s="4">
        <v>441.0</v>
      </c>
      <c r="D442" s="13" t="str">
        <f>HYPERLINK("https://www.linkedin.com/ad-library/detail/926922814","Open Ad")</f>
        <v>Open Ad</v>
      </c>
      <c r="E442" s="4" t="s">
        <v>91</v>
      </c>
      <c r="F442" s="4" t="s">
        <v>5225</v>
      </c>
      <c r="G442" s="4" t="s">
        <v>5226</v>
      </c>
      <c r="H442" s="4" t="s">
        <v>55</v>
      </c>
      <c r="I442" s="4" t="s">
        <v>1377</v>
      </c>
      <c r="J442" s="4" t="s">
        <v>91</v>
      </c>
      <c r="K442" s="13" t="str">
        <f>HYPERLINK("https://media.licdn.com/dms/image/v2/D4E10AQEQiR2f3_osBg/image-shrink_1280/B4EZrAnFoQJgAM-/0/1764168064502?e=2147483647&amp;v=beta&amp;t=mcTw4Z9qQ0H8nPiE490A9eW7zfh3_D8jsA0sQX418Nc","Open Creative")</f>
        <v>Open Creative</v>
      </c>
      <c r="L442" s="4" t="s">
        <v>3498</v>
      </c>
      <c r="M442" s="4" t="s">
        <v>63</v>
      </c>
      <c r="N442" s="4" t="s">
        <v>5231</v>
      </c>
      <c r="O442" s="2" t="s">
        <v>132</v>
      </c>
      <c r="P442" s="2">
        <v>9.26922814E8</v>
      </c>
      <c r="Q442" s="2" t="s">
        <v>68</v>
      </c>
      <c r="R442" s="4" t="s">
        <v>5442</v>
      </c>
    </row>
    <row r="443">
      <c r="A443" s="4" t="s">
        <v>44</v>
      </c>
      <c r="B443" s="4" t="s">
        <v>44</v>
      </c>
      <c r="C443" s="4">
        <v>442.0</v>
      </c>
      <c r="D443" s="13" t="str">
        <f>HYPERLINK("https://www.linkedin.com/ad-library/detail/927051624","Open Ad")</f>
        <v>Open Ad</v>
      </c>
      <c r="E443" s="4" t="s">
        <v>91</v>
      </c>
      <c r="F443" s="4" t="s">
        <v>5289</v>
      </c>
      <c r="G443" s="4" t="s">
        <v>5290</v>
      </c>
      <c r="H443" s="4" t="s">
        <v>55</v>
      </c>
      <c r="I443" s="4" t="s">
        <v>653</v>
      </c>
      <c r="J443" s="4" t="s">
        <v>91</v>
      </c>
      <c r="K443" s="13" t="str">
        <f>HYPERLINK("https://media.licdn.com/dms/image/v2/D4E10AQFzaZOsM-PriA/image-shrink_1280/B4EZrAnFqxHgAQ-/0/1764168065122?e=2147483647&amp;v=beta&amp;t=55D03tgJG_MIQ0o_fXeJqejr7iYP3CBf_7NXgzqHYlc","Open Creative")</f>
        <v>Open Creative</v>
      </c>
      <c r="L443" s="4" t="s">
        <v>3498</v>
      </c>
      <c r="M443" s="4" t="s">
        <v>63</v>
      </c>
      <c r="N443" s="4" t="s">
        <v>5231</v>
      </c>
      <c r="O443" s="2" t="s">
        <v>132</v>
      </c>
      <c r="P443" s="2">
        <v>9.27051624E8</v>
      </c>
      <c r="Q443" s="2" t="s">
        <v>68</v>
      </c>
      <c r="R443" s="4" t="s">
        <v>5447</v>
      </c>
    </row>
    <row r="444">
      <c r="A444" s="4" t="s">
        <v>44</v>
      </c>
      <c r="B444" s="4" t="s">
        <v>44</v>
      </c>
      <c r="C444" s="4">
        <v>443.0</v>
      </c>
      <c r="D444" s="13" t="str">
        <f>HYPERLINK("https://www.linkedin.com/ad-library/detail/927051634","Open Ad")</f>
        <v>Open Ad</v>
      </c>
      <c r="E444" s="4" t="s">
        <v>91</v>
      </c>
      <c r="F444" s="4" t="s">
        <v>5225</v>
      </c>
      <c r="G444" s="4" t="s">
        <v>5226</v>
      </c>
      <c r="H444" s="4" t="s">
        <v>55</v>
      </c>
      <c r="I444" s="4" t="s">
        <v>1377</v>
      </c>
      <c r="J444" s="4" t="s">
        <v>91</v>
      </c>
      <c r="K444" s="13" t="str">
        <f>HYPERLINK("https://media.licdn.com/dms/image/v2/D4E10AQFjyjvK2vAQuA/image-shrink_1280/B4EZrAnF6iKUAM-/0/1764168065630?e=2147483647&amp;v=beta&amp;t=V7h-yVe3TpVWK4pSQW2vfFfoGGSa1VaITrUkYwnaE-g","Open Creative")</f>
        <v>Open Creative</v>
      </c>
      <c r="L444" s="4" t="s">
        <v>3498</v>
      </c>
      <c r="M444" s="4" t="s">
        <v>63</v>
      </c>
      <c r="N444" s="4" t="s">
        <v>5231</v>
      </c>
      <c r="O444" s="2" t="s">
        <v>132</v>
      </c>
      <c r="P444" s="2">
        <v>9.27051634E8</v>
      </c>
      <c r="Q444" s="2" t="s">
        <v>68</v>
      </c>
      <c r="R444" s="4" t="s">
        <v>5451</v>
      </c>
    </row>
    <row r="445">
      <c r="A445" s="4" t="s">
        <v>44</v>
      </c>
      <c r="B445" s="4" t="s">
        <v>44</v>
      </c>
      <c r="C445" s="4">
        <v>444.0</v>
      </c>
      <c r="D445" s="13" t="str">
        <f>HYPERLINK("https://www.linkedin.com/ad-library/detail/927051644","Open Ad")</f>
        <v>Open Ad</v>
      </c>
      <c r="E445" s="4" t="s">
        <v>91</v>
      </c>
      <c r="F445" s="4" t="s">
        <v>5289</v>
      </c>
      <c r="G445" s="4" t="s">
        <v>5290</v>
      </c>
      <c r="H445" s="4" t="s">
        <v>55</v>
      </c>
      <c r="I445" s="4" t="s">
        <v>653</v>
      </c>
      <c r="J445" s="4" t="s">
        <v>91</v>
      </c>
      <c r="K445" s="13" t="str">
        <f>HYPERLINK("https://media.licdn.com/dms/image/v2/D4E10AQFrDzLZnoSVIA/image-shrink_1280/B4EZrAnKw.KYAQ-/0/1764168085484?e=2147483647&amp;v=beta&amp;t=t0fjGlOkhS8G318aO-pxY4Qxc2G2Eb3NJm2TZdlDbYw","Open Creative")</f>
        <v>Open Creative</v>
      </c>
      <c r="L445" s="4" t="s">
        <v>3498</v>
      </c>
      <c r="M445" s="4" t="s">
        <v>63</v>
      </c>
      <c r="N445" s="4" t="s">
        <v>5231</v>
      </c>
      <c r="O445" s="2" t="s">
        <v>132</v>
      </c>
      <c r="P445" s="2">
        <v>9.27051644E8</v>
      </c>
      <c r="Q445" s="2" t="s">
        <v>68</v>
      </c>
      <c r="R445" s="4" t="s">
        <v>5455</v>
      </c>
    </row>
    <row r="446">
      <c r="A446" s="4" t="s">
        <v>44</v>
      </c>
      <c r="B446" s="4" t="s">
        <v>44</v>
      </c>
      <c r="C446" s="4">
        <v>445.0</v>
      </c>
      <c r="D446" s="13" t="str">
        <f>HYPERLINK("https://www.linkedin.com/ad-library/detail/926972254","Open Ad")</f>
        <v>Open Ad</v>
      </c>
      <c r="E446" s="4" t="s">
        <v>91</v>
      </c>
      <c r="F446" s="4" t="s">
        <v>5289</v>
      </c>
      <c r="G446" s="4" t="s">
        <v>5290</v>
      </c>
      <c r="H446" s="4" t="s">
        <v>55</v>
      </c>
      <c r="I446" s="4" t="s">
        <v>653</v>
      </c>
      <c r="J446" s="4" t="s">
        <v>91</v>
      </c>
      <c r="K446" s="13" t="str">
        <f>HYPERLINK("https://media.licdn.com/dms/image/v2/D4E10AQF_fPGKaFzb8Q/image-shrink_1280/B4EZrAnAQ6HEAM-/0/1764168042880?e=2147483647&amp;v=beta&amp;t=GdrRbeNYeGMRrr6drf1OhLlnAXtfNCTLuI03SxxUbg8","Open Creative")</f>
        <v>Open Creative</v>
      </c>
      <c r="L446" s="4" t="s">
        <v>3498</v>
      </c>
      <c r="M446" s="4" t="s">
        <v>63</v>
      </c>
      <c r="N446" s="4" t="s">
        <v>5231</v>
      </c>
      <c r="O446" s="2" t="s">
        <v>132</v>
      </c>
      <c r="P446" s="2">
        <v>9.26972254E8</v>
      </c>
      <c r="Q446" s="2" t="s">
        <v>68</v>
      </c>
      <c r="R446" s="4" t="s">
        <v>5458</v>
      </c>
    </row>
    <row r="447">
      <c r="A447" s="4" t="s">
        <v>44</v>
      </c>
      <c r="B447" s="4" t="s">
        <v>44</v>
      </c>
      <c r="C447" s="4">
        <v>446.0</v>
      </c>
      <c r="D447" s="13" t="str">
        <f>HYPERLINK("https://www.linkedin.com/ad-library/detail/927051654","Open Ad")</f>
        <v>Open Ad</v>
      </c>
      <c r="E447" s="4" t="s">
        <v>91</v>
      </c>
      <c r="F447" s="4" t="s">
        <v>5225</v>
      </c>
      <c r="G447" s="4" t="s">
        <v>5226</v>
      </c>
      <c r="H447" s="4" t="s">
        <v>55</v>
      </c>
      <c r="I447" s="4" t="s">
        <v>1377</v>
      </c>
      <c r="J447" s="4" t="s">
        <v>91</v>
      </c>
      <c r="K447" s="13" t="str">
        <f>HYPERLINK("https://media.licdn.com/dms/image/v2/D4E10AQHD5Vp_tec-5A/image-shrink_1280/B4EZrAnLIuGUAQ-/0/1764168087013?e=2147483647&amp;v=beta&amp;t=0rnAUH4P_ItBQMCPQwRHMYS85KUonYXWwaoq0QVTzOE","Open Creative")</f>
        <v>Open Creative</v>
      </c>
      <c r="L447" s="4" t="s">
        <v>3498</v>
      </c>
      <c r="M447" s="4" t="s">
        <v>63</v>
      </c>
      <c r="N447" s="4" t="s">
        <v>5231</v>
      </c>
      <c r="O447" s="2" t="s">
        <v>132</v>
      </c>
      <c r="P447" s="2">
        <v>9.27051654E8</v>
      </c>
      <c r="Q447" s="2" t="s">
        <v>68</v>
      </c>
      <c r="R447" s="4" t="s">
        <v>5463</v>
      </c>
    </row>
    <row r="448">
      <c r="A448" s="4" t="s">
        <v>44</v>
      </c>
      <c r="B448" s="4" t="s">
        <v>44</v>
      </c>
      <c r="C448" s="4">
        <v>447.0</v>
      </c>
      <c r="D448" s="13" t="str">
        <f>HYPERLINK("https://www.linkedin.com/ad-library/detail/927031944","Open Ad")</f>
        <v>Open Ad</v>
      </c>
      <c r="E448" s="4" t="s">
        <v>91</v>
      </c>
      <c r="F448" s="4" t="s">
        <v>5289</v>
      </c>
      <c r="G448" s="4" t="s">
        <v>5290</v>
      </c>
      <c r="H448" s="4" t="s">
        <v>55</v>
      </c>
      <c r="I448" s="4" t="s">
        <v>653</v>
      </c>
      <c r="J448" s="4" t="s">
        <v>91</v>
      </c>
      <c r="K448" s="13" t="str">
        <f>HYPERLINK("https://media.licdn.com/dms/image/v2/D4E10AQH_JSjJXUGqow/image-shrink_1280/B4EZrAnAEtHoAM-/0/1764168041299?e=2147483647&amp;v=beta&amp;t=kNI0nI63mwlY5ISa7LJK2Ouav0zVRTjAyqL8kGolYBM","Open Creative")</f>
        <v>Open Creative</v>
      </c>
      <c r="L448" s="4" t="s">
        <v>3498</v>
      </c>
      <c r="M448" s="4" t="s">
        <v>63</v>
      </c>
      <c r="N448" s="4" t="s">
        <v>5231</v>
      </c>
      <c r="O448" s="2" t="s">
        <v>132</v>
      </c>
      <c r="P448" s="2">
        <v>9.27031944E8</v>
      </c>
      <c r="Q448" s="2" t="s">
        <v>68</v>
      </c>
      <c r="R448" s="4" t="s">
        <v>5466</v>
      </c>
    </row>
    <row r="449">
      <c r="A449" s="4" t="s">
        <v>44</v>
      </c>
      <c r="B449" s="4" t="s">
        <v>44</v>
      </c>
      <c r="C449" s="4">
        <v>448.0</v>
      </c>
      <c r="D449" s="13" t="str">
        <f>HYPERLINK("https://www.linkedin.com/ad-library/detail/926972244","Open Ad")</f>
        <v>Open Ad</v>
      </c>
      <c r="E449" s="4" t="s">
        <v>91</v>
      </c>
      <c r="F449" s="4" t="s">
        <v>5225</v>
      </c>
      <c r="G449" s="4" t="s">
        <v>5226</v>
      </c>
      <c r="H449" s="4" t="s">
        <v>55</v>
      </c>
      <c r="I449" s="4" t="s">
        <v>1377</v>
      </c>
      <c r="J449" s="4" t="s">
        <v>91</v>
      </c>
      <c r="K449" s="13" t="str">
        <f>HYPERLINK("https://media.licdn.com/dms/image/v2/D4E10AQFb5_ImcZ62Iw/image-shrink_1280/B4EZrAm_1_HUAM-/0/1764168040822?e=2147483647&amp;v=beta&amp;t=2b2VzHTLdAMPW1p6gcGIsYdpmMt5hkVusPFGpOztxJA","Open Creative")</f>
        <v>Open Creative</v>
      </c>
      <c r="L449" s="4" t="s">
        <v>3498</v>
      </c>
      <c r="M449" s="4" t="s">
        <v>63</v>
      </c>
      <c r="N449" s="4" t="s">
        <v>5231</v>
      </c>
      <c r="O449" s="2" t="s">
        <v>132</v>
      </c>
      <c r="P449" s="2">
        <v>9.26972244E8</v>
      </c>
      <c r="Q449" s="2" t="s">
        <v>68</v>
      </c>
      <c r="R449" s="4" t="s">
        <v>5470</v>
      </c>
    </row>
    <row r="450">
      <c r="A450" s="4" t="s">
        <v>44</v>
      </c>
      <c r="B450" s="4" t="s">
        <v>44</v>
      </c>
      <c r="C450" s="4">
        <v>449.0</v>
      </c>
      <c r="D450" s="13" t="str">
        <f>HYPERLINK("https://www.linkedin.com/ad-library/detail/926952454","Open Ad")</f>
        <v>Open Ad</v>
      </c>
      <c r="E450" s="4" t="s">
        <v>91</v>
      </c>
      <c r="F450" s="4" t="s">
        <v>5289</v>
      </c>
      <c r="G450" s="4" t="s">
        <v>5290</v>
      </c>
      <c r="H450" s="4" t="s">
        <v>55</v>
      </c>
      <c r="I450" s="4" t="s">
        <v>653</v>
      </c>
      <c r="J450" s="4" t="s">
        <v>91</v>
      </c>
      <c r="K450" s="13" t="str">
        <f>HYPERLINK("https://media.licdn.com/dms/image/v2/D4E10AQFP-7pROP9oEg/image-shrink_1280/B4EZrAnK_IIIAM-/0/1764168085986?e=2147483647&amp;v=beta&amp;t=38HToRi4V0bocd3lA1tzOoQ6Lvx2ckfwZ8M0NU8sgJk","Open Creative")</f>
        <v>Open Creative</v>
      </c>
      <c r="L450" s="4" t="s">
        <v>3498</v>
      </c>
      <c r="M450" s="4" t="s">
        <v>63</v>
      </c>
      <c r="N450" s="4" t="s">
        <v>5231</v>
      </c>
      <c r="O450" s="2" t="s">
        <v>132</v>
      </c>
      <c r="P450" s="2">
        <v>9.26952454E8</v>
      </c>
      <c r="Q450" s="2" t="s">
        <v>68</v>
      </c>
      <c r="R450" s="4" t="s">
        <v>5474</v>
      </c>
    </row>
    <row r="451">
      <c r="A451" s="4" t="s">
        <v>44</v>
      </c>
      <c r="B451" s="4" t="s">
        <v>44</v>
      </c>
      <c r="C451" s="4">
        <v>450.0</v>
      </c>
      <c r="D451" s="13" t="str">
        <f>HYPERLINK("https://www.linkedin.com/ad-library/detail/926972224","Open Ad")</f>
        <v>Open Ad</v>
      </c>
      <c r="E451" s="4" t="s">
        <v>91</v>
      </c>
      <c r="F451" s="4" t="s">
        <v>5289</v>
      </c>
      <c r="G451" s="4" t="s">
        <v>5290</v>
      </c>
      <c r="H451" s="4" t="s">
        <v>55</v>
      </c>
      <c r="I451" s="4" t="s">
        <v>653</v>
      </c>
      <c r="J451" s="4" t="s">
        <v>91</v>
      </c>
      <c r="K451" s="13" t="str">
        <f>HYPERLINK("https://media.licdn.com/dms/image/v2/D4E10AQHRCbVkNE0ijg/image-shrink_1280/B4EZrAm6oWHcAM-/0/1764168019472?e=2147483647&amp;v=beta&amp;t=RaWiiXYz10Ecy31RrBppCDVkGRcEhypWw2yNmkZS2B0","Open Creative")</f>
        <v>Open Creative</v>
      </c>
      <c r="L451" s="4" t="s">
        <v>3498</v>
      </c>
      <c r="M451" s="4" t="s">
        <v>63</v>
      </c>
      <c r="N451" s="4" t="s">
        <v>5231</v>
      </c>
      <c r="O451" s="2" t="s">
        <v>132</v>
      </c>
      <c r="P451" s="2">
        <v>9.26972224E8</v>
      </c>
      <c r="Q451" s="2" t="s">
        <v>68</v>
      </c>
      <c r="R451" s="4" t="s">
        <v>5478</v>
      </c>
    </row>
    <row r="452">
      <c r="A452" s="4" t="s">
        <v>44</v>
      </c>
      <c r="B452" s="4" t="s">
        <v>44</v>
      </c>
      <c r="C452" s="4">
        <v>451.0</v>
      </c>
      <c r="D452" s="13" t="str">
        <f>HYPERLINK("https://www.linkedin.com/ad-library/detail/927071474","Open Ad")</f>
        <v>Open Ad</v>
      </c>
      <c r="E452" s="4" t="s">
        <v>91</v>
      </c>
      <c r="F452" s="4" t="s">
        <v>5225</v>
      </c>
      <c r="G452" s="4" t="s">
        <v>5226</v>
      </c>
      <c r="H452" s="4" t="s">
        <v>55</v>
      </c>
      <c r="I452" s="4" t="s">
        <v>1377</v>
      </c>
      <c r="J452" s="4" t="s">
        <v>91</v>
      </c>
      <c r="K452" s="13" t="str">
        <f>HYPERLINK("https://media.licdn.com/dms/image/v2/D4E10AQFwIpGgIPx4Zg/image-shrink_1280/B4EZrAnLPGKMAM-/0/1764168087093?e=2147483647&amp;v=beta&amp;t=vVX7Cs5t_ze_UikGrJbaCCjkSa-HxFfxlxtJCJQePyI","Open Creative")</f>
        <v>Open Creative</v>
      </c>
      <c r="L452" s="4" t="s">
        <v>3498</v>
      </c>
      <c r="M452" s="4" t="s">
        <v>63</v>
      </c>
      <c r="N452" s="4" t="s">
        <v>5231</v>
      </c>
      <c r="O452" s="2" t="s">
        <v>132</v>
      </c>
      <c r="P452" s="2">
        <v>9.27071474E8</v>
      </c>
      <c r="Q452" s="2" t="s">
        <v>68</v>
      </c>
      <c r="R452" s="4" t="s">
        <v>5482</v>
      </c>
    </row>
    <row r="453">
      <c r="A453" s="4" t="s">
        <v>44</v>
      </c>
      <c r="B453" s="4" t="s">
        <v>44</v>
      </c>
      <c r="C453" s="4">
        <v>452.0</v>
      </c>
      <c r="D453" s="13" t="str">
        <f>HYPERLINK("https://www.linkedin.com/ad-library/detail/926942474","Open Ad")</f>
        <v>Open Ad</v>
      </c>
      <c r="E453" s="4" t="s">
        <v>91</v>
      </c>
      <c r="F453" s="4" t="s">
        <v>5289</v>
      </c>
      <c r="G453" s="4" t="s">
        <v>5290</v>
      </c>
      <c r="H453" s="4" t="s">
        <v>55</v>
      </c>
      <c r="I453" s="4" t="s">
        <v>653</v>
      </c>
      <c r="J453" s="4" t="s">
        <v>91</v>
      </c>
      <c r="K453" s="13" t="str">
        <f>HYPERLINK("https://media.licdn.com/dms/image/v2/D4E10AQEkXP_l0wzAAg/image-shrink_1280/B4EZrAm_ucHgAM-/0/1764168040074?e=2147483647&amp;v=beta&amp;t=2BziPRjptU3qOwxdS7VkIWL_QsGZuVOj7kf0pnwezqQ","Open Creative")</f>
        <v>Open Creative</v>
      </c>
      <c r="L453" s="4" t="s">
        <v>3498</v>
      </c>
      <c r="M453" s="4" t="s">
        <v>63</v>
      </c>
      <c r="N453" s="4" t="s">
        <v>5231</v>
      </c>
      <c r="O453" s="2" t="s">
        <v>132</v>
      </c>
      <c r="P453" s="2">
        <v>9.26942474E8</v>
      </c>
      <c r="Q453" s="2" t="s">
        <v>68</v>
      </c>
      <c r="R453" s="4" t="s">
        <v>5487</v>
      </c>
    </row>
    <row r="454">
      <c r="A454" s="4" t="s">
        <v>44</v>
      </c>
      <c r="B454" s="4" t="s">
        <v>44</v>
      </c>
      <c r="C454" s="4">
        <v>453.0</v>
      </c>
      <c r="D454" s="13" t="str">
        <f>HYPERLINK("https://www.linkedin.com/ad-library/detail/926942484","Open Ad")</f>
        <v>Open Ad</v>
      </c>
      <c r="E454" s="4" t="s">
        <v>91</v>
      </c>
      <c r="F454" s="4" t="s">
        <v>5289</v>
      </c>
      <c r="G454" s="4" t="s">
        <v>5290</v>
      </c>
      <c r="H454" s="4" t="s">
        <v>55</v>
      </c>
      <c r="I454" s="4" t="s">
        <v>653</v>
      </c>
      <c r="J454" s="4" t="s">
        <v>91</v>
      </c>
      <c r="K454" s="13" t="str">
        <f>HYPERLINK("https://media.licdn.com/dms/image/v2/D4E10AQFF_YBN6_r_qA/image-shrink_1280/B4EZrAnF34HoAM-/0/1764168065251?e=2147483647&amp;v=beta&amp;t=apyeqqrJTub10x8snt4j8fkFTxfO0KEOiuu3NEF83os","Open Creative")</f>
        <v>Open Creative</v>
      </c>
      <c r="L454" s="4" t="s">
        <v>3498</v>
      </c>
      <c r="M454" s="4" t="s">
        <v>63</v>
      </c>
      <c r="N454" s="4" t="s">
        <v>5231</v>
      </c>
      <c r="O454" s="2" t="s">
        <v>132</v>
      </c>
      <c r="P454" s="2">
        <v>9.26942484E8</v>
      </c>
      <c r="Q454" s="2" t="s">
        <v>68</v>
      </c>
      <c r="R454" s="4" t="s">
        <v>5490</v>
      </c>
    </row>
    <row r="455">
      <c r="A455" s="4" t="s">
        <v>44</v>
      </c>
      <c r="B455" s="4" t="s">
        <v>44</v>
      </c>
      <c r="C455" s="4">
        <v>454.0</v>
      </c>
      <c r="D455" s="13" t="str">
        <f>HYPERLINK("https://www.linkedin.com/ad-library/detail/927081724","Open Ad")</f>
        <v>Open Ad</v>
      </c>
      <c r="E455" s="4" t="s">
        <v>91</v>
      </c>
      <c r="F455" s="4" t="s">
        <v>5225</v>
      </c>
      <c r="G455" s="4" t="s">
        <v>5226</v>
      </c>
      <c r="H455" s="4" t="s">
        <v>55</v>
      </c>
      <c r="I455" s="4" t="s">
        <v>1377</v>
      </c>
      <c r="J455" s="4" t="s">
        <v>91</v>
      </c>
      <c r="K455" s="13" t="str">
        <f>HYPERLINK("https://media.licdn.com/dms/image/v2/D4E10AQEmLZ_v86-TDg/image-shrink_1280/B4EZrAnLAHHEAQ-/0/1764168086239?e=2147483647&amp;v=beta&amp;t=7EFWWr091pFY4D5tHWqR4_dxZdQZbroO91idkrJZ5EU","Open Creative")</f>
        <v>Open Creative</v>
      </c>
      <c r="L455" s="4" t="s">
        <v>3498</v>
      </c>
      <c r="M455" s="4" t="s">
        <v>63</v>
      </c>
      <c r="N455" s="4" t="s">
        <v>5231</v>
      </c>
      <c r="O455" s="2" t="s">
        <v>132</v>
      </c>
      <c r="P455" s="2">
        <v>9.27081724E8</v>
      </c>
      <c r="Q455" s="2" t="s">
        <v>68</v>
      </c>
      <c r="R455" s="4" t="s">
        <v>5495</v>
      </c>
    </row>
    <row r="456">
      <c r="A456" s="4" t="s">
        <v>44</v>
      </c>
      <c r="B456" s="4" t="s">
        <v>44</v>
      </c>
      <c r="C456" s="4">
        <v>455.0</v>
      </c>
      <c r="D456" s="13" t="str">
        <f>HYPERLINK("https://www.linkedin.com/ad-library/detail/927021884","Open Ad")</f>
        <v>Open Ad</v>
      </c>
      <c r="E456" s="4" t="s">
        <v>91</v>
      </c>
      <c r="F456" s="4" t="s">
        <v>5225</v>
      </c>
      <c r="G456" s="4" t="s">
        <v>5226</v>
      </c>
      <c r="H456" s="4" t="s">
        <v>55</v>
      </c>
      <c r="I456" s="4" t="s">
        <v>1377</v>
      </c>
      <c r="J456" s="4" t="s">
        <v>91</v>
      </c>
      <c r="K456" s="13" t="str">
        <f>HYPERLINK("https://media.licdn.com/dms/image/v2/D4E10AQG0X9IMX8rxtQ/image-shrink_1280/B4EZrAnFoVKYAQ-/0/1764168064439?e=2147483647&amp;v=beta&amp;t=0M-A8i64pN-MSIiAVbjo9vbicHwEVtk0briRpv5SjeQ","Open Creative")</f>
        <v>Open Creative</v>
      </c>
      <c r="L456" s="4" t="s">
        <v>3498</v>
      </c>
      <c r="M456" s="4" t="s">
        <v>63</v>
      </c>
      <c r="N456" s="4" t="s">
        <v>5231</v>
      </c>
      <c r="O456" s="2" t="s">
        <v>132</v>
      </c>
      <c r="P456" s="2">
        <v>9.27021884E8</v>
      </c>
      <c r="Q456" s="2" t="s">
        <v>68</v>
      </c>
      <c r="R456" s="4" t="s">
        <v>5500</v>
      </c>
    </row>
    <row r="457">
      <c r="A457" s="4" t="s">
        <v>44</v>
      </c>
      <c r="B457" s="4" t="s">
        <v>44</v>
      </c>
      <c r="C457" s="4">
        <v>456.0</v>
      </c>
      <c r="D457" s="13" t="str">
        <f>HYPERLINK("https://www.linkedin.com/ad-library/detail/926893114","Open Ad")</f>
        <v>Open Ad</v>
      </c>
      <c r="E457" s="4" t="s">
        <v>91</v>
      </c>
      <c r="F457" s="4" t="s">
        <v>5225</v>
      </c>
      <c r="G457" s="4" t="s">
        <v>5226</v>
      </c>
      <c r="H457" s="4" t="s">
        <v>55</v>
      </c>
      <c r="I457" s="4" t="s">
        <v>1377</v>
      </c>
      <c r="J457" s="4" t="s">
        <v>91</v>
      </c>
      <c r="K457" s="13" t="str">
        <f>HYPERLINK("https://media.licdn.com/dms/image/v2/D4E10AQEdZ968auMZEg/image-shrink_1280/B4EZrAnABFIIAQ-/0/1764168041102?e=2147483647&amp;v=beta&amp;t=XO-52rxUIieOSvsuZv_ot0c2XAH5QUTz4Nj4t7RaRvU","Open Creative")</f>
        <v>Open Creative</v>
      </c>
      <c r="L457" s="4" t="s">
        <v>3498</v>
      </c>
      <c r="M457" s="4" t="s">
        <v>63</v>
      </c>
      <c r="N457" s="4" t="s">
        <v>5231</v>
      </c>
      <c r="O457" s="2" t="s">
        <v>132</v>
      </c>
      <c r="P457" s="2">
        <v>9.26893114E8</v>
      </c>
      <c r="Q457" s="2" t="s">
        <v>68</v>
      </c>
      <c r="R457" s="4" t="s">
        <v>5503</v>
      </c>
    </row>
    <row r="458">
      <c r="A458" s="4" t="s">
        <v>44</v>
      </c>
      <c r="B458" s="4" t="s">
        <v>44</v>
      </c>
      <c r="C458" s="4">
        <v>457.0</v>
      </c>
      <c r="D458" s="13" t="str">
        <f>HYPERLINK("https://www.linkedin.com/ad-library/detail/926962134","Open Ad")</f>
        <v>Open Ad</v>
      </c>
      <c r="E458" s="4" t="s">
        <v>91</v>
      </c>
      <c r="F458" s="4" t="s">
        <v>5225</v>
      </c>
      <c r="G458" s="4" t="s">
        <v>5226</v>
      </c>
      <c r="H458" s="4" t="s">
        <v>55</v>
      </c>
      <c r="I458" s="4" t="s">
        <v>1377</v>
      </c>
      <c r="J458" s="4" t="s">
        <v>91</v>
      </c>
      <c r="K458" s="13" t="str">
        <f>HYPERLINK("https://media.licdn.com/dms/image/v2/D4E10AQEQxpfrOcneTA/image-shrink_1280/B4EZrAm6cPJgAU-/0/1764168018358?e=2147483647&amp;v=beta&amp;t=PIBy13em1fm7-Pai9wEzfZXolY2sWDYWGWBzn5UEWfQ","Open Creative")</f>
        <v>Open Creative</v>
      </c>
      <c r="L458" s="4" t="s">
        <v>3498</v>
      </c>
      <c r="M458" s="4" t="s">
        <v>63</v>
      </c>
      <c r="N458" s="4" t="s">
        <v>5231</v>
      </c>
      <c r="O458" s="2" t="s">
        <v>132</v>
      </c>
      <c r="P458" s="2">
        <v>9.26962134E8</v>
      </c>
      <c r="Q458" s="2" t="s">
        <v>68</v>
      </c>
      <c r="R458" s="4" t="s">
        <v>5508</v>
      </c>
    </row>
    <row r="459">
      <c r="A459" s="4" t="s">
        <v>44</v>
      </c>
      <c r="B459" s="4" t="s">
        <v>44</v>
      </c>
      <c r="C459" s="4">
        <v>458.0</v>
      </c>
      <c r="D459" s="13" t="str">
        <f>HYPERLINK("https://www.linkedin.com/ad-library/detail/926932254","Open Ad")</f>
        <v>Open Ad</v>
      </c>
      <c r="E459" s="4" t="s">
        <v>91</v>
      </c>
      <c r="F459" s="4" t="s">
        <v>5289</v>
      </c>
      <c r="G459" s="4" t="s">
        <v>5290</v>
      </c>
      <c r="H459" s="4" t="s">
        <v>55</v>
      </c>
      <c r="I459" s="4" t="s">
        <v>653</v>
      </c>
      <c r="J459" s="4" t="s">
        <v>91</v>
      </c>
      <c r="K459" s="13" t="str">
        <f>HYPERLINK("https://media.licdn.com/dms/image/v2/D4E10AQEbft0wS5qdww/image-shrink_1280/B4EZrAm1HzIwAM-/0/1764167996399?e=2147483647&amp;v=beta&amp;t=aiRDxWg8ns9ej7EWUm3M-DA8oabM7nUe3C-4MyMj_Lg","Open Creative")</f>
        <v>Open Creative</v>
      </c>
      <c r="L459" s="4" t="s">
        <v>3498</v>
      </c>
      <c r="M459" s="4" t="s">
        <v>63</v>
      </c>
      <c r="N459" s="4" t="s">
        <v>5231</v>
      </c>
      <c r="O459" s="2" t="s">
        <v>132</v>
      </c>
      <c r="P459" s="2">
        <v>9.26932254E8</v>
      </c>
      <c r="Q459" s="2" t="s">
        <v>68</v>
      </c>
      <c r="R459" s="4" t="s">
        <v>5513</v>
      </c>
    </row>
    <row r="460">
      <c r="A460" s="4" t="s">
        <v>44</v>
      </c>
      <c r="B460" s="4" t="s">
        <v>44</v>
      </c>
      <c r="C460" s="4">
        <v>459.0</v>
      </c>
      <c r="D460" s="13" t="str">
        <f>HYPERLINK("https://www.linkedin.com/ad-library/detail/926932264","Open Ad")</f>
        <v>Open Ad</v>
      </c>
      <c r="E460" s="4" t="s">
        <v>91</v>
      </c>
      <c r="F460" s="4" t="s">
        <v>5225</v>
      </c>
      <c r="G460" s="4" t="s">
        <v>5226</v>
      </c>
      <c r="H460" s="4" t="s">
        <v>55</v>
      </c>
      <c r="I460" s="4" t="s">
        <v>1377</v>
      </c>
      <c r="J460" s="4" t="s">
        <v>91</v>
      </c>
      <c r="K460" s="13" t="str">
        <f>HYPERLINK("https://media.licdn.com/dms/image/v2/D4E10AQF4GJGgHnqZqQ/image-shrink_1280/B4EZrAm6PlKUAM-/0/1764168017642?e=2147483647&amp;v=beta&amp;t=vwTi3zQKdOnqK5Q8uiWg-TgwTXrThWoyf0Xk2JF5dxw","Open Creative")</f>
        <v>Open Creative</v>
      </c>
      <c r="L460" s="4" t="s">
        <v>3498</v>
      </c>
      <c r="M460" s="4" t="s">
        <v>63</v>
      </c>
      <c r="N460" s="4" t="s">
        <v>5231</v>
      </c>
      <c r="O460" s="2" t="s">
        <v>132</v>
      </c>
      <c r="P460" s="2">
        <v>9.26932264E8</v>
      </c>
      <c r="Q460" s="2" t="s">
        <v>68</v>
      </c>
      <c r="R460" s="4" t="s">
        <v>5518</v>
      </c>
    </row>
    <row r="461">
      <c r="A461" s="4" t="s">
        <v>44</v>
      </c>
      <c r="B461" s="4" t="s">
        <v>44</v>
      </c>
      <c r="C461" s="4">
        <v>460.0</v>
      </c>
      <c r="D461" s="13" t="str">
        <f>HYPERLINK("https://www.linkedin.com/ad-library/detail/926912364","Open Ad")</f>
        <v>Open Ad</v>
      </c>
      <c r="E461" s="4" t="s">
        <v>91</v>
      </c>
      <c r="F461" s="4" t="s">
        <v>5225</v>
      </c>
      <c r="G461" s="4" t="s">
        <v>5226</v>
      </c>
      <c r="H461" s="4" t="s">
        <v>55</v>
      </c>
      <c r="I461" s="4" t="s">
        <v>1377</v>
      </c>
      <c r="J461" s="4" t="s">
        <v>91</v>
      </c>
      <c r="K461" s="13" t="str">
        <f>HYPERLINK("https://media.licdn.com/dms/image/v2/D4E10AQHkGAAFEoXd9Q/image-shrink_1280/B4EZrAm6jcHoAM-/0/1764168018736?e=2147483647&amp;v=beta&amp;t=JJ_Vz4wAUvmfzI6CYPbEYXIX-CWaPn7QrBTtVx5A7gM","Open Creative")</f>
        <v>Open Creative</v>
      </c>
      <c r="L461" s="4" t="s">
        <v>3498</v>
      </c>
      <c r="M461" s="4" t="s">
        <v>63</v>
      </c>
      <c r="N461" s="4" t="s">
        <v>5231</v>
      </c>
      <c r="O461" s="2" t="s">
        <v>132</v>
      </c>
      <c r="P461" s="2">
        <v>9.26912364E8</v>
      </c>
      <c r="Q461" s="2" t="s">
        <v>68</v>
      </c>
      <c r="R461" s="4" t="s">
        <v>5521</v>
      </c>
    </row>
    <row r="462">
      <c r="A462" s="4" t="s">
        <v>44</v>
      </c>
      <c r="B462" s="4" t="s">
        <v>44</v>
      </c>
      <c r="C462" s="4">
        <v>461.0</v>
      </c>
      <c r="D462" s="13" t="str">
        <f>HYPERLINK("https://www.linkedin.com/ad-library/detail/927071434","Open Ad")</f>
        <v>Open Ad</v>
      </c>
      <c r="E462" s="4" t="s">
        <v>91</v>
      </c>
      <c r="F462" s="4" t="s">
        <v>5225</v>
      </c>
      <c r="G462" s="4" t="s">
        <v>5226</v>
      </c>
      <c r="H462" s="4" t="s">
        <v>55</v>
      </c>
      <c r="I462" s="4" t="s">
        <v>1377</v>
      </c>
      <c r="J462" s="4" t="s">
        <v>91</v>
      </c>
      <c r="K462" s="13" t="str">
        <f>HYPERLINK("https://media.licdn.com/dms/image/v2/D4E10AQE01ZVID3-x2A/image-shrink_1280/B4EZrAm01oKcAM-/0/1764167995554?e=2147483647&amp;v=beta&amp;t=wmbujmPkg2AXTEMJTXSYz3uAf-rOydIYvrZ5g9rX9NQ","Open Creative")</f>
        <v>Open Creative</v>
      </c>
      <c r="L462" s="4" t="s">
        <v>3498</v>
      </c>
      <c r="M462" s="4" t="s">
        <v>63</v>
      </c>
      <c r="N462" s="4" t="s">
        <v>5231</v>
      </c>
      <c r="O462" s="2" t="s">
        <v>132</v>
      </c>
      <c r="P462" s="2">
        <v>9.27071434E8</v>
      </c>
      <c r="Q462" s="2" t="s">
        <v>68</v>
      </c>
      <c r="R462" s="4" t="s">
        <v>5526</v>
      </c>
    </row>
    <row r="463">
      <c r="A463" s="4" t="s">
        <v>44</v>
      </c>
      <c r="B463" s="4" t="s">
        <v>44</v>
      </c>
      <c r="C463" s="4">
        <v>462.0</v>
      </c>
      <c r="D463" s="13" t="str">
        <f>HYPERLINK("https://www.linkedin.com/ad-library/detail/927011744","Open Ad")</f>
        <v>Open Ad</v>
      </c>
      <c r="E463" s="4" t="s">
        <v>91</v>
      </c>
      <c r="F463" s="4" t="s">
        <v>5225</v>
      </c>
      <c r="G463" s="4" t="s">
        <v>5226</v>
      </c>
      <c r="H463" s="4" t="s">
        <v>55</v>
      </c>
      <c r="I463" s="4" t="s">
        <v>1377</v>
      </c>
      <c r="J463" s="4" t="s">
        <v>91</v>
      </c>
      <c r="K463" s="13" t="str">
        <f>HYPERLINK("https://media.licdn.com/dms/image/v2/D4E10AQGc47dHgP4-4g/image-shrink_1280/B4EZrAmpldHgAM-/0/1764167949519?e=2147483647&amp;v=beta&amp;t=YoFC1i4YvKywbRD0lfNy5exZzqoe-P3oG1tUuCmXXj0","Open Creative")</f>
        <v>Open Creative</v>
      </c>
      <c r="L463" s="4" t="s">
        <v>3498</v>
      </c>
      <c r="M463" s="4" t="s">
        <v>63</v>
      </c>
      <c r="N463" s="4" t="s">
        <v>5529</v>
      </c>
      <c r="O463" s="2" t="s">
        <v>132</v>
      </c>
      <c r="P463" s="2">
        <v>9.27011744E8</v>
      </c>
      <c r="Q463" s="2" t="s">
        <v>68</v>
      </c>
      <c r="R463" s="4" t="s">
        <v>5530</v>
      </c>
    </row>
    <row r="464">
      <c r="A464" s="4" t="s">
        <v>44</v>
      </c>
      <c r="B464" s="4" t="s">
        <v>44</v>
      </c>
      <c r="C464" s="4">
        <v>463.0</v>
      </c>
      <c r="D464" s="13" t="str">
        <f>HYPERLINK("https://www.linkedin.com/ad-library/detail/926972184","Open Ad")</f>
        <v>Open Ad</v>
      </c>
      <c r="E464" s="4" t="s">
        <v>91</v>
      </c>
      <c r="F464" s="4" t="s">
        <v>5225</v>
      </c>
      <c r="G464" s="4" t="s">
        <v>5226</v>
      </c>
      <c r="H464" s="4" t="s">
        <v>55</v>
      </c>
      <c r="I464" s="4" t="s">
        <v>1377</v>
      </c>
      <c r="J464" s="4" t="s">
        <v>91</v>
      </c>
      <c r="K464" s="13" t="str">
        <f>HYPERLINK("https://media.licdn.com/dms/image/v2/D4E10AQHMCGSYzdqd5A/image-shrink_1280/B4EZrAmvMWHcAQ-/0/1764167972514?e=2147483647&amp;v=beta&amp;t=hm1-WztGNeXQhmpRpoIo320JrUlr8dIDZn3UjjqbjzU","Open Creative")</f>
        <v>Open Creative</v>
      </c>
      <c r="L464" s="4" t="s">
        <v>3498</v>
      </c>
      <c r="M464" s="4" t="s">
        <v>63</v>
      </c>
      <c r="N464" s="4" t="s">
        <v>5231</v>
      </c>
      <c r="O464" s="2" t="s">
        <v>132</v>
      </c>
      <c r="P464" s="2">
        <v>9.26972184E8</v>
      </c>
      <c r="Q464" s="2" t="s">
        <v>68</v>
      </c>
      <c r="R464" s="4" t="s">
        <v>5533</v>
      </c>
    </row>
    <row r="465">
      <c r="A465" s="4" t="s">
        <v>44</v>
      </c>
      <c r="B465" s="4" t="s">
        <v>44</v>
      </c>
      <c r="C465" s="4">
        <v>464.0</v>
      </c>
      <c r="D465" s="13" t="str">
        <f>HYPERLINK("https://www.linkedin.com/ad-library/detail/926922804","Open Ad")</f>
        <v>Open Ad</v>
      </c>
      <c r="E465" s="4" t="s">
        <v>91</v>
      </c>
      <c r="F465" s="4" t="s">
        <v>5225</v>
      </c>
      <c r="G465" s="4" t="s">
        <v>5226</v>
      </c>
      <c r="H465" s="4" t="s">
        <v>55</v>
      </c>
      <c r="I465" s="4" t="s">
        <v>1377</v>
      </c>
      <c r="J465" s="4" t="s">
        <v>91</v>
      </c>
      <c r="K465" s="13" t="str">
        <f>HYPERLINK("https://media.licdn.com/dms/image/v2/D4E10AQH-At4IE8G-iw/image-shrink_1280/B4EZrAmu6VKkAM-/0/1764167971133?e=2147483647&amp;v=beta&amp;t=2Y65-Zt3H1OELkukHWFBJPgcfPzPkoxQ0unZnGUEZgc","Open Creative")</f>
        <v>Open Creative</v>
      </c>
      <c r="L465" s="4" t="s">
        <v>3498</v>
      </c>
      <c r="M465" s="4" t="s">
        <v>63</v>
      </c>
      <c r="N465" s="4" t="s">
        <v>5231</v>
      </c>
      <c r="O465" s="2" t="s">
        <v>132</v>
      </c>
      <c r="P465" s="2">
        <v>9.26922804E8</v>
      </c>
      <c r="Q465" s="2" t="s">
        <v>68</v>
      </c>
      <c r="R465" s="4" t="s">
        <v>5538</v>
      </c>
    </row>
    <row r="466">
      <c r="A466" s="4" t="s">
        <v>44</v>
      </c>
      <c r="B466" s="4" t="s">
        <v>44</v>
      </c>
      <c r="C466" s="4">
        <v>465.0</v>
      </c>
      <c r="D466" s="13" t="str">
        <f>HYPERLINK("https://www.linkedin.com/ad-library/detail/927051614","Open Ad")</f>
        <v>Open Ad</v>
      </c>
      <c r="E466" s="4" t="s">
        <v>91</v>
      </c>
      <c r="F466" s="4" t="s">
        <v>5225</v>
      </c>
      <c r="G466" s="4" t="s">
        <v>5226</v>
      </c>
      <c r="H466" s="4" t="s">
        <v>55</v>
      </c>
      <c r="I466" s="4" t="s">
        <v>1377</v>
      </c>
      <c r="J466" s="4" t="s">
        <v>91</v>
      </c>
      <c r="K466" s="13" t="str">
        <f>HYPERLINK("https://media.licdn.com/dms/image/v2/D4E10AQE2H42vysYg6Q/image-shrink_1280/B4EZrAm6ZsIQAU-/0/1764168018239?e=2147483647&amp;v=beta&amp;t=jQUTBXwW40WJpOgBelXt6jqNFgychRjacVWtXTLpSLA","Open Creative")</f>
        <v>Open Creative</v>
      </c>
      <c r="L466" s="4" t="s">
        <v>3498</v>
      </c>
      <c r="M466" s="4" t="s">
        <v>63</v>
      </c>
      <c r="N466" s="4" t="s">
        <v>5231</v>
      </c>
      <c r="O466" s="2" t="s">
        <v>132</v>
      </c>
      <c r="P466" s="2">
        <v>9.27051614E8</v>
      </c>
      <c r="Q466" s="2" t="s">
        <v>68</v>
      </c>
      <c r="R466" s="4" t="s">
        <v>5541</v>
      </c>
    </row>
    <row r="467">
      <c r="A467" s="4" t="s">
        <v>44</v>
      </c>
      <c r="B467" s="4" t="s">
        <v>44</v>
      </c>
      <c r="C467" s="4">
        <v>466.0</v>
      </c>
      <c r="D467" s="13" t="str">
        <f>HYPERLINK("https://www.linkedin.com/ad-library/detail/927011764","Open Ad")</f>
        <v>Open Ad</v>
      </c>
      <c r="E467" s="4" t="s">
        <v>91</v>
      </c>
      <c r="F467" s="4" t="s">
        <v>5289</v>
      </c>
      <c r="G467" s="4" t="s">
        <v>5290</v>
      </c>
      <c r="H467" s="4" t="s">
        <v>55</v>
      </c>
      <c r="I467" s="4" t="s">
        <v>653</v>
      </c>
      <c r="J467" s="4" t="s">
        <v>91</v>
      </c>
      <c r="K467" s="13" t="str">
        <f>HYPERLINK("https://media.licdn.com/dms/image/v2/D4E10AQFl2f5MP4wRTg/image-shrink_1280/B4EZrAmvKqHUAM-/0/1764167972938?e=2147483647&amp;v=beta&amp;t=ijHgPizxv6ct7-NN5U3Z7D0KImxm9bqCmNC2kQO3VmY","Open Creative")</f>
        <v>Open Creative</v>
      </c>
      <c r="L467" s="4" t="s">
        <v>3498</v>
      </c>
      <c r="M467" s="4" t="s">
        <v>63</v>
      </c>
      <c r="N467" s="4" t="s">
        <v>5231</v>
      </c>
      <c r="O467" s="2" t="s">
        <v>132</v>
      </c>
      <c r="P467" s="2">
        <v>9.27011764E8</v>
      </c>
      <c r="Q467" s="2" t="s">
        <v>68</v>
      </c>
      <c r="R467" s="4" t="s">
        <v>5544</v>
      </c>
    </row>
    <row r="468">
      <c r="A468" s="4" t="s">
        <v>44</v>
      </c>
      <c r="B468" s="4" t="s">
        <v>44</v>
      </c>
      <c r="C468" s="4">
        <v>467.0</v>
      </c>
      <c r="D468" s="13" t="str">
        <f>HYPERLINK("https://www.linkedin.com/ad-library/detail/927101184","Open Ad")</f>
        <v>Open Ad</v>
      </c>
      <c r="E468" s="4" t="s">
        <v>91</v>
      </c>
      <c r="F468" s="4" t="s">
        <v>5225</v>
      </c>
      <c r="G468" s="4" t="s">
        <v>5226</v>
      </c>
      <c r="H468" s="4" t="s">
        <v>55</v>
      </c>
      <c r="I468" s="4" t="s">
        <v>1377</v>
      </c>
      <c r="J468" s="4" t="s">
        <v>91</v>
      </c>
      <c r="K468" s="13" t="str">
        <f>HYPERLINK("https://media.licdn.com/dms/image/v2/D4E10AQEkseu4uV9JLQ/image-shrink_1280/B4EZrAmp2FKYAM-/0/1764167950620?e=2147483647&amp;v=beta&amp;t=3U2wS8RZTfKy-AQZs10KewT0kYqhRaiwOVhM8R1UtnI","Open Creative")</f>
        <v>Open Creative</v>
      </c>
      <c r="L468" s="4" t="s">
        <v>3498</v>
      </c>
      <c r="M468" s="4" t="s">
        <v>63</v>
      </c>
      <c r="N468" s="4" t="s">
        <v>5325</v>
      </c>
      <c r="O468" s="2" t="s">
        <v>132</v>
      </c>
      <c r="P468" s="2">
        <v>9.27101184E8</v>
      </c>
      <c r="Q468" s="2" t="s">
        <v>68</v>
      </c>
      <c r="R468" s="4" t="s">
        <v>5548</v>
      </c>
    </row>
    <row r="469">
      <c r="A469" s="4" t="s">
        <v>44</v>
      </c>
      <c r="B469" s="4" t="s">
        <v>44</v>
      </c>
      <c r="C469" s="4">
        <v>468.0</v>
      </c>
      <c r="D469" s="13" t="str">
        <f>HYPERLINK("https://www.linkedin.com/ad-library/detail/926883124","Open Ad")</f>
        <v>Open Ad</v>
      </c>
      <c r="E469" s="4" t="s">
        <v>91</v>
      </c>
      <c r="F469" s="4" t="s">
        <v>5225</v>
      </c>
      <c r="G469" s="4" t="s">
        <v>5226</v>
      </c>
      <c r="H469" s="4" t="s">
        <v>55</v>
      </c>
      <c r="I469" s="4" t="s">
        <v>1377</v>
      </c>
      <c r="J469" s="4" t="s">
        <v>91</v>
      </c>
      <c r="K469" s="13" t="str">
        <f>HYPERLINK("https://media.licdn.com/dms/image/v2/D4E10AQEU9nTMC8sZ5A/image-shrink_1280/B4EZrAm51QKUAM-/0/1764168015833?e=2147483647&amp;v=beta&amp;t=9RcwAgpDrpa8UaEzMhcEGi8Sia4u_jxpa7UEa6C533U","Open Creative")</f>
        <v>Open Creative</v>
      </c>
      <c r="L469" s="4" t="s">
        <v>3498</v>
      </c>
      <c r="M469" s="4" t="s">
        <v>63</v>
      </c>
      <c r="N469" s="4" t="s">
        <v>5231</v>
      </c>
      <c r="O469" s="2" t="s">
        <v>132</v>
      </c>
      <c r="P469" s="2">
        <v>9.26883124E8</v>
      </c>
      <c r="Q469" s="2" t="s">
        <v>68</v>
      </c>
      <c r="R469" s="4" t="s">
        <v>5552</v>
      </c>
    </row>
    <row r="470">
      <c r="A470" s="4" t="s">
        <v>44</v>
      </c>
      <c r="B470" s="4" t="s">
        <v>44</v>
      </c>
      <c r="C470" s="4">
        <v>469.0</v>
      </c>
      <c r="D470" s="13" t="str">
        <f>HYPERLINK("https://www.linkedin.com/ad-library/detail/927031914","Open Ad")</f>
        <v>Open Ad</v>
      </c>
      <c r="E470" s="4" t="s">
        <v>91</v>
      </c>
      <c r="F470" s="4" t="s">
        <v>5225</v>
      </c>
      <c r="G470" s="4" t="s">
        <v>5226</v>
      </c>
      <c r="H470" s="4" t="s">
        <v>55</v>
      </c>
      <c r="I470" s="4" t="s">
        <v>1377</v>
      </c>
      <c r="J470" s="4" t="s">
        <v>91</v>
      </c>
      <c r="K470" s="13" t="str">
        <f>HYPERLINK("https://media.licdn.com/dms/image/v2/D4E10AQEENFGuk-BA4Q/image-shrink_1280/B4EZrAm01DKUAQ-/0/1764167996121?e=2147483647&amp;v=beta&amp;t=Jq0-usyUNNtA2kTLXCw4JioKPSGI8pZdACgQuh6P-5c","Open Creative")</f>
        <v>Open Creative</v>
      </c>
      <c r="L470" s="4" t="s">
        <v>3498</v>
      </c>
      <c r="M470" s="4" t="s">
        <v>63</v>
      </c>
      <c r="N470" s="4" t="s">
        <v>5231</v>
      </c>
      <c r="O470" s="2" t="s">
        <v>132</v>
      </c>
      <c r="P470" s="2">
        <v>9.27031914E8</v>
      </c>
      <c r="Q470" s="2" t="s">
        <v>68</v>
      </c>
      <c r="R470" s="4" t="s">
        <v>5555</v>
      </c>
    </row>
    <row r="471">
      <c r="A471" s="4" t="s">
        <v>44</v>
      </c>
      <c r="B471" s="4" t="s">
        <v>44</v>
      </c>
      <c r="C471" s="4">
        <v>470.0</v>
      </c>
      <c r="D471" s="13" t="str">
        <f>HYPERLINK("https://www.linkedin.com/ad-library/detail/927031924","Open Ad")</f>
        <v>Open Ad</v>
      </c>
      <c r="E471" s="4" t="s">
        <v>91</v>
      </c>
      <c r="F471" s="4" t="s">
        <v>5289</v>
      </c>
      <c r="G471" s="4" t="s">
        <v>5290</v>
      </c>
      <c r="H471" s="4" t="s">
        <v>55</v>
      </c>
      <c r="I471" s="4" t="s">
        <v>653</v>
      </c>
      <c r="J471" s="4" t="s">
        <v>91</v>
      </c>
      <c r="K471" s="13" t="str">
        <f>HYPERLINK("https://media.licdn.com/dms/image/v2/D4E10AQEi3k7GlOBSRg/image-shrink_1280/B4EZrAm1FAJgAM-/0/1764167996658?e=2147483647&amp;v=beta&amp;t=tMP3ioCM0DkXtsoGP_AVSfNroiIab8TxmSp9a9ZOBZU","Open Creative")</f>
        <v>Open Creative</v>
      </c>
      <c r="L471" s="4" t="s">
        <v>3498</v>
      </c>
      <c r="M471" s="4" t="s">
        <v>63</v>
      </c>
      <c r="N471" s="4" t="s">
        <v>5231</v>
      </c>
      <c r="O471" s="2" t="s">
        <v>132</v>
      </c>
      <c r="P471" s="2">
        <v>9.27031924E8</v>
      </c>
      <c r="Q471" s="2" t="s">
        <v>68</v>
      </c>
      <c r="R471" s="4" t="s">
        <v>5558</v>
      </c>
    </row>
    <row r="472">
      <c r="A472" s="4" t="s">
        <v>44</v>
      </c>
      <c r="B472" s="4" t="s">
        <v>44</v>
      </c>
      <c r="C472" s="4">
        <v>471.0</v>
      </c>
      <c r="D472" s="13" t="str">
        <f>HYPERLINK("https://www.linkedin.com/ad-library/detail/926952424","Open Ad")</f>
        <v>Open Ad</v>
      </c>
      <c r="E472" s="4" t="s">
        <v>91</v>
      </c>
      <c r="F472" s="4" t="s">
        <v>5225</v>
      </c>
      <c r="G472" s="4" t="s">
        <v>5226</v>
      </c>
      <c r="H472" s="4" t="s">
        <v>55</v>
      </c>
      <c r="I472" s="4" t="s">
        <v>1377</v>
      </c>
      <c r="J472" s="4" t="s">
        <v>91</v>
      </c>
      <c r="K472" s="13" t="str">
        <f>HYPERLINK("https://media.licdn.com/dms/image/v2/D4E10AQE0l0SByRd3fw/image-shrink_1280/B4EZrAm0yrIIAQ-/0/1764167995490?e=2147483647&amp;v=beta&amp;t=HW_YiNjK_BXevYrek4dYNs1JVnNLWPlS3MIMhRyT_ak","Open Creative")</f>
        <v>Open Creative</v>
      </c>
      <c r="L472" s="4" t="s">
        <v>3498</v>
      </c>
      <c r="M472" s="4" t="s">
        <v>63</v>
      </c>
      <c r="N472" s="4" t="s">
        <v>5231</v>
      </c>
      <c r="O472" s="2" t="s">
        <v>132</v>
      </c>
      <c r="P472" s="2">
        <v>9.26952424E8</v>
      </c>
      <c r="Q472" s="2" t="s">
        <v>68</v>
      </c>
      <c r="R472" s="4" t="s">
        <v>5561</v>
      </c>
    </row>
    <row r="473">
      <c r="A473" s="4" t="s">
        <v>44</v>
      </c>
      <c r="B473" s="4" t="s">
        <v>44</v>
      </c>
      <c r="C473" s="4">
        <v>472.0</v>
      </c>
      <c r="D473" s="13" t="str">
        <f>HYPERLINK("https://www.linkedin.com/ad-library/detail/926902794","Open Ad")</f>
        <v>Open Ad</v>
      </c>
      <c r="E473" s="4" t="s">
        <v>91</v>
      </c>
      <c r="F473" s="4" t="s">
        <v>5225</v>
      </c>
      <c r="G473" s="4" t="s">
        <v>5226</v>
      </c>
      <c r="H473" s="4" t="s">
        <v>55</v>
      </c>
      <c r="I473" s="4" t="s">
        <v>1377</v>
      </c>
      <c r="J473" s="4" t="s">
        <v>91</v>
      </c>
      <c r="K473" s="13" t="str">
        <f>HYPERLINK("https://media.licdn.com/dms/image/v2/D4E10AQEIDNb214kTJw/image-shrink_1280/B4EZrAmvbXHMAM-/0/1764167973494?e=2147483647&amp;v=beta&amp;t=I7-cxpQrFVfbCBVcK8hFSnJJpCOe-XI4N51Z00Kx91Y","Open Creative")</f>
        <v>Open Creative</v>
      </c>
      <c r="L473" s="4" t="s">
        <v>3498</v>
      </c>
      <c r="M473" s="4" t="s">
        <v>63</v>
      </c>
      <c r="N473" s="4" t="s">
        <v>5231</v>
      </c>
      <c r="O473" s="2" t="s">
        <v>132</v>
      </c>
      <c r="P473" s="2">
        <v>9.26902794E8</v>
      </c>
      <c r="Q473" s="2" t="s">
        <v>68</v>
      </c>
      <c r="R473" s="4" t="s">
        <v>5564</v>
      </c>
    </row>
    <row r="474">
      <c r="A474" s="4" t="s">
        <v>44</v>
      </c>
      <c r="B474" s="4" t="s">
        <v>44</v>
      </c>
      <c r="C474" s="4">
        <v>473.0</v>
      </c>
      <c r="D474" s="13" t="str">
        <f>HYPERLINK("https://www.linkedin.com/ad-library/detail/927071454","Open Ad")</f>
        <v>Open Ad</v>
      </c>
      <c r="E474" s="4" t="s">
        <v>91</v>
      </c>
      <c r="F474" s="4" t="s">
        <v>5289</v>
      </c>
      <c r="G474" s="4" t="s">
        <v>5290</v>
      </c>
      <c r="H474" s="4" t="s">
        <v>55</v>
      </c>
      <c r="I474" s="4" t="s">
        <v>653</v>
      </c>
      <c r="J474" s="4" t="s">
        <v>91</v>
      </c>
      <c r="K474" s="13" t="str">
        <f>HYPERLINK("https://media.licdn.com/dms/image/v2/D4E10AQFTPMLVPULJlw/image-shrink_1280/B4EZrAm6n6KYAM-/0/1764168019141?e=2147483647&amp;v=beta&amp;t=YeN0bzaS1kam1K_sNMklvQOXGvIvnuhBI2Whn2k41aE","Open Creative")</f>
        <v>Open Creative</v>
      </c>
      <c r="L474" s="4" t="s">
        <v>3498</v>
      </c>
      <c r="M474" s="4" t="s">
        <v>63</v>
      </c>
      <c r="N474" s="4" t="s">
        <v>5231</v>
      </c>
      <c r="O474" s="2" t="s">
        <v>132</v>
      </c>
      <c r="P474" s="2">
        <v>9.27071454E8</v>
      </c>
      <c r="Q474" s="2" t="s">
        <v>68</v>
      </c>
      <c r="R474" s="4" t="s">
        <v>5568</v>
      </c>
    </row>
    <row r="475">
      <c r="A475" s="4" t="s">
        <v>44</v>
      </c>
      <c r="B475" s="4" t="s">
        <v>44</v>
      </c>
      <c r="C475" s="4">
        <v>474.0</v>
      </c>
      <c r="D475" s="13" t="str">
        <f>HYPERLINK("https://www.linkedin.com/ad-library/detail/927081644","Open Ad")</f>
        <v>Open Ad</v>
      </c>
      <c r="E475" s="4" t="s">
        <v>91</v>
      </c>
      <c r="F475" s="4" t="s">
        <v>5225</v>
      </c>
      <c r="G475" s="4" t="s">
        <v>5226</v>
      </c>
      <c r="H475" s="4" t="s">
        <v>55</v>
      </c>
      <c r="I475" s="4" t="s">
        <v>1377</v>
      </c>
      <c r="J475" s="4" t="s">
        <v>91</v>
      </c>
      <c r="K475" s="13" t="str">
        <f>HYPERLINK("https://media.licdn.com/dms/image/v2/D4E10AQFCW0jgVw0Crw/image-shrink_1280/B4EZrAm00YKgAM-/0/1764167995355?e=2147483647&amp;v=beta&amp;t=kFB0BJJ-P3d6WUmby168CdWFIh8G_VHsCKCClkPdMLc","Open Creative")</f>
        <v>Open Creative</v>
      </c>
      <c r="L475" s="4" t="s">
        <v>3498</v>
      </c>
      <c r="M475" s="4" t="s">
        <v>63</v>
      </c>
      <c r="N475" s="4" t="s">
        <v>5231</v>
      </c>
      <c r="O475" s="2" t="s">
        <v>132</v>
      </c>
      <c r="P475" s="2">
        <v>9.27081644E8</v>
      </c>
      <c r="Q475" s="2" t="s">
        <v>68</v>
      </c>
      <c r="R475" s="4" t="s">
        <v>5572</v>
      </c>
    </row>
    <row r="476">
      <c r="A476" s="4" t="s">
        <v>44</v>
      </c>
      <c r="B476" s="4" t="s">
        <v>44</v>
      </c>
      <c r="C476" s="4">
        <v>475.0</v>
      </c>
      <c r="D476" s="13" t="str">
        <f>HYPERLINK("https://www.linkedin.com/ad-library/detail/927021864","Open Ad")</f>
        <v>Open Ad</v>
      </c>
      <c r="E476" s="4" t="s">
        <v>91</v>
      </c>
      <c r="F476" s="4" t="s">
        <v>5289</v>
      </c>
      <c r="G476" s="4" t="s">
        <v>5290</v>
      </c>
      <c r="H476" s="4" t="s">
        <v>55</v>
      </c>
      <c r="I476" s="4" t="s">
        <v>653</v>
      </c>
      <c r="J476" s="4" t="s">
        <v>91</v>
      </c>
      <c r="K476" s="13" t="str">
        <f>HYPERLINK("https://media.licdn.com/dms/image/v2/D4E10AQGXhjOkxV2RZg/image-shrink_1280/B4EZrAm0ycIwAU-/0/1764167995443?e=2147483647&amp;v=beta&amp;t=iLMfCFkN28aAhTVmsUsWcNY8Y1NnJWN57R0KlPmZS0k","Open Creative")</f>
        <v>Open Creative</v>
      </c>
      <c r="L476" s="4" t="s">
        <v>3498</v>
      </c>
      <c r="M476" s="4" t="s">
        <v>63</v>
      </c>
      <c r="N476" s="4" t="s">
        <v>5231</v>
      </c>
      <c r="O476" s="2" t="s">
        <v>132</v>
      </c>
      <c r="P476" s="2">
        <v>9.27021864E8</v>
      </c>
      <c r="Q476" s="2" t="s">
        <v>68</v>
      </c>
      <c r="R476" s="4" t="s">
        <v>5575</v>
      </c>
    </row>
    <row r="477">
      <c r="A477" s="4" t="s">
        <v>44</v>
      </c>
      <c r="B477" s="4" t="s">
        <v>44</v>
      </c>
      <c r="C477" s="4">
        <v>476.0</v>
      </c>
      <c r="D477" s="13" t="str">
        <f>HYPERLINK("https://www.linkedin.com/ad-library/detail/927081634","Open Ad")</f>
        <v>Open Ad</v>
      </c>
      <c r="E477" s="4" t="s">
        <v>91</v>
      </c>
      <c r="F477" s="4" t="s">
        <v>5289</v>
      </c>
      <c r="G477" s="4" t="s">
        <v>5290</v>
      </c>
      <c r="H477" s="4" t="s">
        <v>55</v>
      </c>
      <c r="I477" s="4" t="s">
        <v>653</v>
      </c>
      <c r="J477" s="4" t="s">
        <v>91</v>
      </c>
      <c r="K477" s="13" t="str">
        <f>HYPERLINK("https://media.licdn.com/dms/image/v2/D4E10AQEGthMTqgPvhg/image-shrink_1280/B4EZrAmvctHoAM-/0/1764167973276?e=2147483647&amp;v=beta&amp;t=x0ZwHH4zt0f5V6YtfE1bhuNcGS2sjZU6mnsg1_Tm9U4","Open Creative")</f>
        <v>Open Creative</v>
      </c>
      <c r="L477" s="4" t="s">
        <v>3498</v>
      </c>
      <c r="M477" s="4" t="s">
        <v>63</v>
      </c>
      <c r="N477" s="4" t="s">
        <v>5231</v>
      </c>
      <c r="O477" s="2" t="s">
        <v>132</v>
      </c>
      <c r="P477" s="2">
        <v>9.27081634E8</v>
      </c>
      <c r="Q477" s="2" t="s">
        <v>68</v>
      </c>
      <c r="R477" s="4" t="s">
        <v>5578</v>
      </c>
    </row>
    <row r="478">
      <c r="A478" s="4" t="s">
        <v>44</v>
      </c>
      <c r="B478" s="4" t="s">
        <v>44</v>
      </c>
      <c r="C478" s="4">
        <v>477.0</v>
      </c>
      <c r="D478" s="13" t="str">
        <f>HYPERLINK("https://www.linkedin.com/ad-library/detail/927081654","Open Ad")</f>
        <v>Open Ad</v>
      </c>
      <c r="E478" s="4" t="s">
        <v>91</v>
      </c>
      <c r="F478" s="4" t="s">
        <v>5225</v>
      </c>
      <c r="G478" s="4" t="s">
        <v>5226</v>
      </c>
      <c r="H478" s="4" t="s">
        <v>55</v>
      </c>
      <c r="I478" s="4" t="s">
        <v>1377</v>
      </c>
      <c r="J478" s="4" t="s">
        <v>91</v>
      </c>
      <c r="K478" s="13" t="str">
        <f>HYPERLINK("https://media.licdn.com/dms/image/v2/D4E10AQEEsKoBjFhngQ/image-shrink_1280/B4EZrAm1IMKoAM-/0/1764167996622?e=2147483647&amp;v=beta&amp;t=ZZwZiD5z8z2MO3uG91M0MtMLtVNuDId2d0UQuO-2YWs","Open Creative")</f>
        <v>Open Creative</v>
      </c>
      <c r="L478" s="4" t="s">
        <v>3498</v>
      </c>
      <c r="M478" s="4" t="s">
        <v>63</v>
      </c>
      <c r="N478" s="4" t="s">
        <v>5231</v>
      </c>
      <c r="O478" s="2" t="s">
        <v>132</v>
      </c>
      <c r="P478" s="2">
        <v>9.27081654E8</v>
      </c>
      <c r="Q478" s="2" t="s">
        <v>68</v>
      </c>
      <c r="R478" s="4" t="s">
        <v>5581</v>
      </c>
    </row>
    <row r="479">
      <c r="A479" s="4" t="s">
        <v>44</v>
      </c>
      <c r="B479" s="4" t="s">
        <v>44</v>
      </c>
      <c r="C479" s="4">
        <v>478.0</v>
      </c>
      <c r="D479" s="13" t="str">
        <f>HYPERLINK("https://www.linkedin.com/ad-library/detail/927041794","Open Ad")</f>
        <v>Open Ad</v>
      </c>
      <c r="E479" s="4" t="s">
        <v>91</v>
      </c>
      <c r="F479" s="4" t="s">
        <v>5289</v>
      </c>
      <c r="G479" s="4" t="s">
        <v>5290</v>
      </c>
      <c r="H479" s="4" t="s">
        <v>55</v>
      </c>
      <c r="I479" s="4" t="s">
        <v>653</v>
      </c>
      <c r="J479" s="4" t="s">
        <v>91</v>
      </c>
      <c r="K479" s="13" t="str">
        <f>HYPERLINK("https://media.licdn.com/dms/image/v2/D4E10AQHg6liTIrVbVQ/image-shrink_1280/B4EZrAmvP2IoAM-/0/1764167972758?e=2147483647&amp;v=beta&amp;t=VjnnsuaTpr0MNeUaVhO2uR-Rw6_mUhoH4jB44NdNYlg","Open Creative")</f>
        <v>Open Creative</v>
      </c>
      <c r="L479" s="4" t="s">
        <v>3498</v>
      </c>
      <c r="M479" s="4" t="s">
        <v>63</v>
      </c>
      <c r="N479" s="4" t="s">
        <v>5231</v>
      </c>
      <c r="O479" s="2" t="s">
        <v>132</v>
      </c>
      <c r="P479" s="2">
        <v>9.27041794E8</v>
      </c>
      <c r="Q479" s="2" t="s">
        <v>68</v>
      </c>
      <c r="R479" s="4" t="s">
        <v>5584</v>
      </c>
    </row>
    <row r="480">
      <c r="A480" s="4" t="s">
        <v>44</v>
      </c>
      <c r="B480" s="4" t="s">
        <v>44</v>
      </c>
      <c r="C480" s="4">
        <v>479.0</v>
      </c>
      <c r="D480" s="13" t="str">
        <f>HYPERLINK("https://www.linkedin.com/ad-library/detail/927081624","Open Ad")</f>
        <v>Open Ad</v>
      </c>
      <c r="E480" s="4" t="s">
        <v>91</v>
      </c>
      <c r="F480" s="4" t="s">
        <v>5225</v>
      </c>
      <c r="G480" s="4" t="s">
        <v>5226</v>
      </c>
      <c r="H480" s="4" t="s">
        <v>55</v>
      </c>
      <c r="I480" s="4" t="s">
        <v>1377</v>
      </c>
      <c r="J480" s="4" t="s">
        <v>91</v>
      </c>
      <c r="K480" s="13" t="str">
        <f>HYPERLINK("https://media.licdn.com/dms/image/v2/D4E10AQHu-NgzKXapmg/image-shrink_1280/B4EZrAmvQ_GYAM-/0/1764167973314?e=2147483647&amp;v=beta&amp;t=ngzFlOUVhWzbF1xQw7mJ6_oZAmEik1MnSBDU6Pro7do","Open Creative")</f>
        <v>Open Creative</v>
      </c>
      <c r="L480" s="4" t="s">
        <v>3498</v>
      </c>
      <c r="M480" s="4" t="s">
        <v>63</v>
      </c>
      <c r="N480" s="4" t="s">
        <v>5231</v>
      </c>
      <c r="O480" s="2" t="s">
        <v>132</v>
      </c>
      <c r="P480" s="2">
        <v>9.27081624E8</v>
      </c>
      <c r="Q480" s="2" t="s">
        <v>68</v>
      </c>
      <c r="R480" s="4" t="s">
        <v>5587</v>
      </c>
    </row>
    <row r="481">
      <c r="A481" s="4" t="s">
        <v>44</v>
      </c>
      <c r="B481" s="4" t="s">
        <v>44</v>
      </c>
      <c r="C481" s="4">
        <v>480.0</v>
      </c>
      <c r="D481" s="13" t="str">
        <f>HYPERLINK("https://www.linkedin.com/ad-library/detail/927081614","Open Ad")</f>
        <v>Open Ad</v>
      </c>
      <c r="E481" s="4" t="s">
        <v>91</v>
      </c>
      <c r="F481" s="4" t="s">
        <v>5225</v>
      </c>
      <c r="G481" s="4" t="s">
        <v>5226</v>
      </c>
      <c r="H481" s="4" t="s">
        <v>55</v>
      </c>
      <c r="I481" s="4" t="s">
        <v>1377</v>
      </c>
      <c r="J481" s="4" t="s">
        <v>91</v>
      </c>
      <c r="K481" s="13" t="str">
        <f>HYPERLINK("https://media.licdn.com/dms/image/v2/D4E10AQFoC0cpfR0z-Q/image-shrink_1280/B4EZrAmvJFIIAM-/0/1764167972598?e=2147483647&amp;v=beta&amp;t=v6oao_MTKbpRSCuZBKJ45Q6ynUstSjuHoyE7EfM4smM","Open Creative")</f>
        <v>Open Creative</v>
      </c>
      <c r="L481" s="4" t="s">
        <v>3498</v>
      </c>
      <c r="M481" s="4" t="s">
        <v>63</v>
      </c>
      <c r="N481" s="4" t="s">
        <v>5231</v>
      </c>
      <c r="O481" s="2" t="s">
        <v>132</v>
      </c>
      <c r="P481" s="2">
        <v>9.27081614E8</v>
      </c>
      <c r="Q481" s="2" t="s">
        <v>68</v>
      </c>
      <c r="R481" s="4" t="s">
        <v>5591</v>
      </c>
    </row>
    <row r="482">
      <c r="A482" s="4" t="s">
        <v>44</v>
      </c>
      <c r="B482" s="4" t="s">
        <v>44</v>
      </c>
      <c r="C482" s="4">
        <v>481.0</v>
      </c>
      <c r="D482" s="13" t="str">
        <f>HYPERLINK("https://www.linkedin.com/ad-library/detail/926912354","Open Ad")</f>
        <v>Open Ad</v>
      </c>
      <c r="E482" s="4" t="s">
        <v>91</v>
      </c>
      <c r="F482" s="4" t="s">
        <v>5225</v>
      </c>
      <c r="G482" s="4" t="s">
        <v>5226</v>
      </c>
      <c r="H482" s="4" t="s">
        <v>55</v>
      </c>
      <c r="I482" s="4" t="s">
        <v>1377</v>
      </c>
      <c r="J482" s="4" t="s">
        <v>91</v>
      </c>
      <c r="K482" s="13" t="str">
        <f>HYPERLINK("https://media.licdn.com/dms/image/v2/D4E10AQE3fOHyEiynKQ/image-shrink_1280/B4EZrAmetRKYAM-/0/1764167904987?e=2147483647&amp;v=beta&amp;t=QwF43nWaIG3nogaZKecKcId3jIxILNfZt09Ikkkw8M4","Open Creative")</f>
        <v>Open Creative</v>
      </c>
      <c r="L482" s="4" t="s">
        <v>3498</v>
      </c>
      <c r="M482" s="4" t="s">
        <v>63</v>
      </c>
      <c r="N482" s="4" t="s">
        <v>5231</v>
      </c>
      <c r="O482" s="2" t="s">
        <v>132</v>
      </c>
      <c r="P482" s="2">
        <v>9.26912354E8</v>
      </c>
      <c r="Q482" s="2" t="s">
        <v>68</v>
      </c>
      <c r="R482" s="4" t="s">
        <v>5594</v>
      </c>
    </row>
    <row r="483">
      <c r="A483" s="4" t="s">
        <v>44</v>
      </c>
      <c r="B483" s="4" t="s">
        <v>44</v>
      </c>
      <c r="C483" s="4">
        <v>482.0</v>
      </c>
      <c r="D483" s="13" t="str">
        <f>HYPERLINK("https://www.linkedin.com/ad-library/detail/927081574","Open Ad")</f>
        <v>Open Ad</v>
      </c>
      <c r="E483" s="4" t="s">
        <v>91</v>
      </c>
      <c r="F483" s="4" t="s">
        <v>5289</v>
      </c>
      <c r="G483" s="4" t="s">
        <v>5290</v>
      </c>
      <c r="H483" s="4" t="s">
        <v>55</v>
      </c>
      <c r="I483" s="4" t="s">
        <v>653</v>
      </c>
      <c r="J483" s="4" t="s">
        <v>91</v>
      </c>
      <c r="K483" s="13" t="str">
        <f>HYPERLINK("https://media.licdn.com/dms/image/v2/D4E10AQGr49K5s9X9mQ/image-shrink_1280/B4EZrAmZCuIQAQ-/0/1764167881794?e=2147483647&amp;v=beta&amp;t=pl34xPR5bdLVRQx_7_xkXovFTwr6F6VyMEL5l2sVlWE","Open Creative")</f>
        <v>Open Creative</v>
      </c>
      <c r="L483" s="4" t="s">
        <v>3498</v>
      </c>
      <c r="M483" s="4" t="s">
        <v>63</v>
      </c>
      <c r="N483" s="4" t="s">
        <v>5231</v>
      </c>
      <c r="O483" s="2" t="s">
        <v>132</v>
      </c>
      <c r="P483" s="2">
        <v>9.27081574E8</v>
      </c>
      <c r="Q483" s="2" t="s">
        <v>68</v>
      </c>
      <c r="R483" s="4" t="s">
        <v>5598</v>
      </c>
    </row>
    <row r="484">
      <c r="A484" s="4" t="s">
        <v>44</v>
      </c>
      <c r="B484" s="4" t="s">
        <v>44</v>
      </c>
      <c r="C484" s="4">
        <v>483.0</v>
      </c>
      <c r="D484" s="13" t="str">
        <f>HYPERLINK("https://www.linkedin.com/ad-library/detail/926932234","Open Ad")</f>
        <v>Open Ad</v>
      </c>
      <c r="E484" s="4" t="s">
        <v>91</v>
      </c>
      <c r="F484" s="4" t="s">
        <v>5289</v>
      </c>
      <c r="G484" s="4" t="s">
        <v>5290</v>
      </c>
      <c r="H484" s="4" t="s">
        <v>55</v>
      </c>
      <c r="I484" s="4" t="s">
        <v>653</v>
      </c>
      <c r="J484" s="4" t="s">
        <v>91</v>
      </c>
      <c r="K484" s="13" t="str">
        <f>HYPERLINK("https://media.licdn.com/dms/image/v2/D4E10AQG9huxWqkXLsQ/image-shrink_1280/B4EZrAmpjgKgAM-/0/1764167949311?e=2147483647&amp;v=beta&amp;t=LUvdzPgKviZROozqgYsVDP94KNIxnQzf9aFXo64fJP8","Open Creative")</f>
        <v>Open Creative</v>
      </c>
      <c r="L484" s="4" t="s">
        <v>3498</v>
      </c>
      <c r="M484" s="4" t="s">
        <v>63</v>
      </c>
      <c r="N484" s="4" t="s">
        <v>5601</v>
      </c>
      <c r="O484" s="2" t="s">
        <v>132</v>
      </c>
      <c r="P484" s="2">
        <v>9.26932234E8</v>
      </c>
      <c r="Q484" s="2" t="s">
        <v>68</v>
      </c>
      <c r="R484" s="4" t="s">
        <v>5602</v>
      </c>
    </row>
    <row r="485">
      <c r="A485" s="4" t="s">
        <v>44</v>
      </c>
      <c r="B485" s="4" t="s">
        <v>44</v>
      </c>
      <c r="C485" s="4">
        <v>484.0</v>
      </c>
      <c r="D485" s="13" t="str">
        <f>HYPERLINK("https://www.linkedin.com/ad-library/detail/927081584","Open Ad")</f>
        <v>Open Ad</v>
      </c>
      <c r="E485" s="4" t="s">
        <v>91</v>
      </c>
      <c r="F485" s="4" t="s">
        <v>5289</v>
      </c>
      <c r="G485" s="4" t="s">
        <v>5290</v>
      </c>
      <c r="H485" s="4" t="s">
        <v>55</v>
      </c>
      <c r="I485" s="4" t="s">
        <v>653</v>
      </c>
      <c r="J485" s="4" t="s">
        <v>91</v>
      </c>
      <c r="K485" s="13" t="str">
        <f>HYPERLINK("https://media.licdn.com/dms/image/v2/D4E10AQFgStZ2JTlW-Q/image-shrink_1280/B4EZrAmkIXHEAU-/0/1764167927139?e=2147483647&amp;v=beta&amp;t=_-ZJt3VSYgupxajTLgOCJiYruAL9ivsRcla8q6sUZoY","Open Creative")</f>
        <v>Open Creative</v>
      </c>
      <c r="L485" s="4" t="s">
        <v>3498</v>
      </c>
      <c r="M485" s="4" t="s">
        <v>63</v>
      </c>
      <c r="N485" s="4" t="s">
        <v>5325</v>
      </c>
      <c r="O485" s="2" t="s">
        <v>132</v>
      </c>
      <c r="P485" s="2">
        <v>9.27081584E8</v>
      </c>
      <c r="Q485" s="2" t="s">
        <v>68</v>
      </c>
      <c r="R485" s="4" t="s">
        <v>5606</v>
      </c>
    </row>
    <row r="486">
      <c r="A486" s="4" t="s">
        <v>44</v>
      </c>
      <c r="B486" s="4" t="s">
        <v>44</v>
      </c>
      <c r="C486" s="4">
        <v>485.0</v>
      </c>
      <c r="D486" s="13" t="str">
        <f>HYPERLINK("https://www.linkedin.com/ad-library/detail/926942454","Open Ad")</f>
        <v>Open Ad</v>
      </c>
      <c r="E486" s="4" t="s">
        <v>91</v>
      </c>
      <c r="F486" s="4" t="s">
        <v>5289</v>
      </c>
      <c r="G486" s="4" t="s">
        <v>5290</v>
      </c>
      <c r="H486" s="4" t="s">
        <v>55</v>
      </c>
      <c r="I486" s="4" t="s">
        <v>653</v>
      </c>
      <c r="J486" s="4" t="s">
        <v>91</v>
      </c>
      <c r="K486" s="13" t="str">
        <f>HYPERLINK("https://media.licdn.com/dms/image/v2/D4E10AQEUl5_3Q0dFbw/image-shrink_1280/B4EZrAme.sKMAM-/0/1764167906092?e=2147483647&amp;v=beta&amp;t=NTyVBprKckZdi_iKNdQsAGcR-9sbxPeaeoJbJtz4yTw","Open Creative")</f>
        <v>Open Creative</v>
      </c>
      <c r="L486" s="4" t="s">
        <v>3498</v>
      </c>
      <c r="M486" s="4" t="s">
        <v>63</v>
      </c>
      <c r="N486" s="4" t="s">
        <v>5325</v>
      </c>
      <c r="O486" s="2" t="s">
        <v>132</v>
      </c>
      <c r="P486" s="2">
        <v>9.26942454E8</v>
      </c>
      <c r="Q486" s="2" t="s">
        <v>68</v>
      </c>
      <c r="R486" s="4" t="s">
        <v>5610</v>
      </c>
    </row>
    <row r="487">
      <c r="A487" s="4" t="s">
        <v>44</v>
      </c>
      <c r="B487" s="4" t="s">
        <v>44</v>
      </c>
      <c r="C487" s="4">
        <v>486.0</v>
      </c>
      <c r="D487" s="13" t="str">
        <f>HYPERLINK("https://www.linkedin.com/ad-library/detail/927031894","Open Ad")</f>
        <v>Open Ad</v>
      </c>
      <c r="E487" s="4" t="s">
        <v>91</v>
      </c>
      <c r="F487" s="4" t="s">
        <v>5225</v>
      </c>
      <c r="G487" s="4" t="s">
        <v>5226</v>
      </c>
      <c r="H487" s="4" t="s">
        <v>55</v>
      </c>
      <c r="I487" s="4" t="s">
        <v>1377</v>
      </c>
      <c r="J487" s="4" t="s">
        <v>91</v>
      </c>
      <c r="K487" s="13" t="str">
        <f>HYPERLINK("https://media.licdn.com/dms/image/v2/D4E10AQEXEleyZoHvzw/image-shrink_1280/B4EZrAmpOYKYAM-/0/1764167948316?e=2147483647&amp;v=beta&amp;t=HSxiCZTwm-NRyE7x60rchzK_Y2cjlVG9k3n7qedIrRA","Open Creative")</f>
        <v>Open Creative</v>
      </c>
      <c r="L487" s="4" t="s">
        <v>3498</v>
      </c>
      <c r="M487" s="4" t="s">
        <v>63</v>
      </c>
      <c r="N487" s="4" t="s">
        <v>5231</v>
      </c>
      <c r="O487" s="2" t="s">
        <v>132</v>
      </c>
      <c r="P487" s="2">
        <v>9.27031894E8</v>
      </c>
      <c r="Q487" s="2" t="s">
        <v>68</v>
      </c>
      <c r="R487" s="4" t="s">
        <v>5615</v>
      </c>
    </row>
    <row r="488">
      <c r="A488" s="4" t="s">
        <v>44</v>
      </c>
      <c r="B488" s="4" t="s">
        <v>44</v>
      </c>
      <c r="C488" s="4">
        <v>487.0</v>
      </c>
      <c r="D488" s="13" t="str">
        <f>HYPERLINK("https://www.linkedin.com/ad-library/detail/927101164","Open Ad")</f>
        <v>Open Ad</v>
      </c>
      <c r="E488" s="4" t="s">
        <v>91</v>
      </c>
      <c r="F488" s="4" t="s">
        <v>5289</v>
      </c>
      <c r="G488" s="4" t="s">
        <v>5290</v>
      </c>
      <c r="H488" s="4" t="s">
        <v>55</v>
      </c>
      <c r="I488" s="4" t="s">
        <v>653</v>
      </c>
      <c r="J488" s="4" t="s">
        <v>91</v>
      </c>
      <c r="K488" s="13" t="str">
        <f>HYPERLINK("https://media.licdn.com/dms/image/v2/D4E10AQFpaLRvqeHKVA/image-shrink_1280/B4EZrAmkJwGUAM-/0/1764167927216?e=2147483647&amp;v=beta&amp;t=YPJLge474qoBpdSkk832ZHSFYWWfG3Gw-2kXKS-ndAg","Open Creative")</f>
        <v>Open Creative</v>
      </c>
      <c r="L488" s="4" t="s">
        <v>3498</v>
      </c>
      <c r="M488" s="4" t="s">
        <v>63</v>
      </c>
      <c r="N488" s="4" t="s">
        <v>5231</v>
      </c>
      <c r="O488" s="2" t="s">
        <v>132</v>
      </c>
      <c r="P488" s="2">
        <v>9.27101164E8</v>
      </c>
      <c r="Q488" s="2" t="s">
        <v>68</v>
      </c>
      <c r="R488" s="4" t="s">
        <v>5618</v>
      </c>
    </row>
    <row r="489">
      <c r="A489" s="4" t="s">
        <v>44</v>
      </c>
      <c r="B489" s="4" t="s">
        <v>44</v>
      </c>
      <c r="C489" s="4">
        <v>488.0</v>
      </c>
      <c r="D489" s="13" t="str">
        <f>HYPERLINK("https://www.linkedin.com/ad-library/detail/926883104","Open Ad")</f>
        <v>Open Ad</v>
      </c>
      <c r="E489" s="4" t="s">
        <v>91</v>
      </c>
      <c r="F489" s="4" t="s">
        <v>5225</v>
      </c>
      <c r="G489" s="4" t="s">
        <v>5226</v>
      </c>
      <c r="H489" s="4" t="s">
        <v>55</v>
      </c>
      <c r="I489" s="4" t="s">
        <v>1377</v>
      </c>
      <c r="J489" s="4" t="s">
        <v>91</v>
      </c>
      <c r="K489" s="13" t="str">
        <f>HYPERLINK("https://media.licdn.com/dms/image/v2/D4E10AQFJaM_acX9nnA/image-shrink_1280/B4EZrAmpjcKMAQ-/0/1764167949185?e=2147483647&amp;v=beta&amp;t=hTpkKW6_KKjUiuGYYzcoIt2IwZZI-f9Uq_l6VYWdVLU","Open Creative")</f>
        <v>Open Creative</v>
      </c>
      <c r="L489" s="4" t="s">
        <v>3498</v>
      </c>
      <c r="M489" s="4" t="s">
        <v>63</v>
      </c>
      <c r="N489" s="4" t="s">
        <v>5231</v>
      </c>
      <c r="O489" s="2" t="s">
        <v>132</v>
      </c>
      <c r="P489" s="2">
        <v>9.26883104E8</v>
      </c>
      <c r="Q489" s="2" t="s">
        <v>68</v>
      </c>
      <c r="R489" s="4" t="s">
        <v>5622</v>
      </c>
    </row>
    <row r="490">
      <c r="A490" s="4" t="s">
        <v>44</v>
      </c>
      <c r="B490" s="4" t="s">
        <v>44</v>
      </c>
      <c r="C490" s="4">
        <v>489.0</v>
      </c>
      <c r="D490" s="13" t="str">
        <f>HYPERLINK("https://www.linkedin.com/ad-library/detail/927101174","Open Ad")</f>
        <v>Open Ad</v>
      </c>
      <c r="E490" s="4" t="s">
        <v>91</v>
      </c>
      <c r="F490" s="4" t="s">
        <v>5225</v>
      </c>
      <c r="G490" s="4" t="s">
        <v>5226</v>
      </c>
      <c r="H490" s="4" t="s">
        <v>55</v>
      </c>
      <c r="I490" s="4" t="s">
        <v>1377</v>
      </c>
      <c r="J490" s="4" t="s">
        <v>91</v>
      </c>
      <c r="K490" s="13" t="str">
        <f>HYPERLINK("https://media.licdn.com/dms/image/v2/D4E10AQHSpX0x4iRXww/image-shrink_1280/B4EZrAmpo7IwAQ-/0/1764167949418?e=2147483647&amp;v=beta&amp;t=YGjMCEaAzTQmb7hIaWI32-ksB2dcmEou-svfftjXQJc","Open Creative")</f>
        <v>Open Creative</v>
      </c>
      <c r="L490" s="4" t="s">
        <v>3498</v>
      </c>
      <c r="M490" s="4" t="s">
        <v>63</v>
      </c>
      <c r="N490" s="4" t="s">
        <v>5231</v>
      </c>
      <c r="O490" s="2" t="s">
        <v>132</v>
      </c>
      <c r="P490" s="2">
        <v>9.27101174E8</v>
      </c>
      <c r="Q490" s="2" t="s">
        <v>68</v>
      </c>
      <c r="R490" s="4" t="s">
        <v>5624</v>
      </c>
    </row>
    <row r="491">
      <c r="A491" s="4" t="s">
        <v>44</v>
      </c>
      <c r="B491" s="4" t="s">
        <v>44</v>
      </c>
      <c r="C491" s="4">
        <v>490.0</v>
      </c>
      <c r="D491" s="13" t="str">
        <f>HYPERLINK("https://www.linkedin.com/ad-library/detail/926992184","Open Ad")</f>
        <v>Open Ad</v>
      </c>
      <c r="E491" s="4" t="s">
        <v>91</v>
      </c>
      <c r="F491" s="4" t="s">
        <v>5225</v>
      </c>
      <c r="G491" s="4" t="s">
        <v>5226</v>
      </c>
      <c r="H491" s="4" t="s">
        <v>55</v>
      </c>
      <c r="I491" s="4" t="s">
        <v>1377</v>
      </c>
      <c r="J491" s="4" t="s">
        <v>91</v>
      </c>
      <c r="K491" s="13" t="str">
        <f>HYPERLINK("https://media.licdn.com/dms/image/v2/D4E10AQF6G1rnRfB2QA/image-shrink_1280/B4EZrAme5OKUAM-/0/1764167905443?e=2147483647&amp;v=beta&amp;t=QCKwh0aw8JqoCTYC6gph4a_DbFzGw5e88VH-wfs_QMs","Open Creative")</f>
        <v>Open Creative</v>
      </c>
      <c r="L491" s="4" t="s">
        <v>3498</v>
      </c>
      <c r="M491" s="4" t="s">
        <v>63</v>
      </c>
      <c r="N491" s="4" t="s">
        <v>5231</v>
      </c>
      <c r="O491" s="2" t="s">
        <v>132</v>
      </c>
      <c r="P491" s="2">
        <v>9.26992184E8</v>
      </c>
      <c r="Q491" s="2" t="s">
        <v>68</v>
      </c>
      <c r="R491" s="4" t="s">
        <v>5628</v>
      </c>
    </row>
    <row r="492">
      <c r="A492" s="4" t="s">
        <v>44</v>
      </c>
      <c r="B492" s="4" t="s">
        <v>44</v>
      </c>
      <c r="C492" s="4">
        <v>491.0</v>
      </c>
      <c r="D492" s="13" t="str">
        <f>HYPERLINK("https://www.linkedin.com/ad-library/detail/926922774","Open Ad")</f>
        <v>Open Ad</v>
      </c>
      <c r="E492" s="4" t="s">
        <v>91</v>
      </c>
      <c r="F492" s="4" t="s">
        <v>5225</v>
      </c>
      <c r="G492" s="4" t="s">
        <v>5226</v>
      </c>
      <c r="H492" s="4" t="s">
        <v>55</v>
      </c>
      <c r="I492" s="4" t="s">
        <v>1377</v>
      </c>
      <c r="J492" s="4" t="s">
        <v>91</v>
      </c>
      <c r="K492" s="13" t="str">
        <f>HYPERLINK("https://media.licdn.com/dms/image/v2/D4E10AQF0bS5JhL3Yng/image-shrink_1280/B4EZrAme.vIIAY-/0/1764167906132?e=2147483647&amp;v=beta&amp;t=15yPYOEcGM7IaBv-WXAXeLDKkn6qMFUmwb_Nm13eBv0","Open Creative")</f>
        <v>Open Creative</v>
      </c>
      <c r="L492" s="4" t="s">
        <v>3498</v>
      </c>
      <c r="M492" s="4" t="s">
        <v>63</v>
      </c>
      <c r="N492" s="4" t="s">
        <v>5231</v>
      </c>
      <c r="O492" s="2" t="s">
        <v>132</v>
      </c>
      <c r="P492" s="2">
        <v>9.26922774E8</v>
      </c>
      <c r="Q492" s="2" t="s">
        <v>68</v>
      </c>
      <c r="R492" s="4" t="s">
        <v>5633</v>
      </c>
    </row>
    <row r="493">
      <c r="A493" s="4" t="s">
        <v>44</v>
      </c>
      <c r="B493" s="4" t="s">
        <v>44</v>
      </c>
      <c r="C493" s="4">
        <v>492.0</v>
      </c>
      <c r="D493" s="13" t="str">
        <f>HYPERLINK("https://www.linkedin.com/ad-library/detail/926922794","Open Ad")</f>
        <v>Open Ad</v>
      </c>
      <c r="E493" s="4" t="s">
        <v>91</v>
      </c>
      <c r="F493" s="4" t="s">
        <v>5225</v>
      </c>
      <c r="G493" s="4" t="s">
        <v>5226</v>
      </c>
      <c r="H493" s="4" t="s">
        <v>55</v>
      </c>
      <c r="I493" s="4" t="s">
        <v>1377</v>
      </c>
      <c r="J493" s="4" t="s">
        <v>91</v>
      </c>
      <c r="K493" s="13" t="str">
        <f>HYPERLINK("https://media.licdn.com/dms/image/v2/D4E10AQFclMTioBI60A/image-shrink_1280/B4EZrAmj5eKYAM-/0/1764167925904?e=2147483647&amp;v=beta&amp;t=HVfQOBuWmXR6ymV4pcMOCNeJ7XFPG39V-Eu6kkIPIQ8","Open Creative")</f>
        <v>Open Creative</v>
      </c>
      <c r="L493" s="4" t="s">
        <v>3498</v>
      </c>
      <c r="M493" s="4" t="s">
        <v>63</v>
      </c>
      <c r="N493" s="4" t="s">
        <v>5231</v>
      </c>
      <c r="O493" s="2" t="s">
        <v>132</v>
      </c>
      <c r="P493" s="2">
        <v>9.26922794E8</v>
      </c>
      <c r="Q493" s="2" t="s">
        <v>68</v>
      </c>
      <c r="R493" s="4" t="s">
        <v>5638</v>
      </c>
    </row>
    <row r="494">
      <c r="A494" s="4" t="s">
        <v>44</v>
      </c>
      <c r="B494" s="4" t="s">
        <v>44</v>
      </c>
      <c r="C494" s="4">
        <v>493.0</v>
      </c>
      <c r="D494" s="13" t="str">
        <f>HYPERLINK("https://www.linkedin.com/ad-library/detail/927051594","Open Ad")</f>
        <v>Open Ad</v>
      </c>
      <c r="E494" s="4" t="s">
        <v>91</v>
      </c>
      <c r="F494" s="4" t="s">
        <v>5289</v>
      </c>
      <c r="G494" s="4" t="s">
        <v>5290</v>
      </c>
      <c r="H494" s="4" t="s">
        <v>55</v>
      </c>
      <c r="I494" s="4" t="s">
        <v>653</v>
      </c>
      <c r="J494" s="4" t="s">
        <v>91</v>
      </c>
      <c r="K494" s="13" t="str">
        <f>HYPERLINK("https://media.licdn.com/dms/image/v2/D4E10AQHEaYgeI1D-aQ/image-shrink_1280/B4EZrAmejIKYAM-/0/1764167904099?e=2147483647&amp;v=beta&amp;t=QgKu-d6f8I1Pf3U5T9ypr8F-ES3tFUVuje55KwSXPOg","Open Creative")</f>
        <v>Open Creative</v>
      </c>
      <c r="L494" s="4" t="s">
        <v>3498</v>
      </c>
      <c r="M494" s="4" t="s">
        <v>63</v>
      </c>
      <c r="N494" s="4" t="s">
        <v>5231</v>
      </c>
      <c r="O494" s="2" t="s">
        <v>132</v>
      </c>
      <c r="P494" s="2">
        <v>9.27051594E8</v>
      </c>
      <c r="Q494" s="2" t="s">
        <v>68</v>
      </c>
      <c r="R494" s="4" t="s">
        <v>5642</v>
      </c>
    </row>
    <row r="495">
      <c r="A495" s="4" t="s">
        <v>44</v>
      </c>
      <c r="B495" s="4" t="s">
        <v>44</v>
      </c>
      <c r="C495" s="4">
        <v>494.0</v>
      </c>
      <c r="D495" s="13" t="str">
        <f>HYPERLINK("https://www.linkedin.com/ad-library/detail/926872824","Open Ad")</f>
        <v>Open Ad</v>
      </c>
      <c r="E495" s="4" t="s">
        <v>91</v>
      </c>
      <c r="F495" s="4" t="s">
        <v>5225</v>
      </c>
      <c r="G495" s="4" t="s">
        <v>5226</v>
      </c>
      <c r="H495" s="4" t="s">
        <v>55</v>
      </c>
      <c r="I495" s="4" t="s">
        <v>1377</v>
      </c>
      <c r="J495" s="4" t="s">
        <v>91</v>
      </c>
      <c r="K495" s="13" t="str">
        <f>HYPERLINK("https://media.licdn.com/dms/image/v2/D4E10AQFMKuGPlyhFoQ/image-shrink_1280/B4EZrAmka2HEAQ-/0/1764167928135?e=2147483647&amp;v=beta&amp;t=I94-kQmdlrEW-BsBnVdnXFFcR1AO3e0mn4X97isqYWY","Open Creative")</f>
        <v>Open Creative</v>
      </c>
      <c r="L495" s="4" t="s">
        <v>3498</v>
      </c>
      <c r="M495" s="4" t="s">
        <v>63</v>
      </c>
      <c r="N495" s="4" t="s">
        <v>5231</v>
      </c>
      <c r="O495" s="2" t="s">
        <v>132</v>
      </c>
      <c r="P495" s="2">
        <v>9.26872824E8</v>
      </c>
      <c r="Q495" s="2" t="s">
        <v>68</v>
      </c>
      <c r="R495" s="4" t="s">
        <v>5647</v>
      </c>
    </row>
    <row r="496">
      <c r="A496" s="4" t="s">
        <v>44</v>
      </c>
      <c r="B496" s="4" t="s">
        <v>44</v>
      </c>
      <c r="C496" s="4">
        <v>495.0</v>
      </c>
      <c r="D496" s="13" t="str">
        <f>HYPERLINK("https://www.linkedin.com/ad-library/detail/926883094","Open Ad")</f>
        <v>Open Ad</v>
      </c>
      <c r="E496" s="4" t="s">
        <v>91</v>
      </c>
      <c r="F496" s="4" t="s">
        <v>5289</v>
      </c>
      <c r="G496" s="4" t="s">
        <v>5290</v>
      </c>
      <c r="H496" s="4" t="s">
        <v>55</v>
      </c>
      <c r="I496" s="4" t="s">
        <v>653</v>
      </c>
      <c r="J496" s="4" t="s">
        <v>91</v>
      </c>
      <c r="K496" s="13" t="str">
        <f>HYPERLINK("https://media.licdn.com/dms/image/v2/D4E10AQESVuQQJptOdQ/image-shrink_1280/B4EZrAmkKJIUAU-/0/1764167927197?e=2147483647&amp;v=beta&amp;t=fr7G9dOvH08olqilyBwuLnGg4LviyH-o6G1X5Q9Pk_A","Open Creative")</f>
        <v>Open Creative</v>
      </c>
      <c r="L496" s="4" t="s">
        <v>3498</v>
      </c>
      <c r="M496" s="4" t="s">
        <v>63</v>
      </c>
      <c r="N496" s="4" t="s">
        <v>5231</v>
      </c>
      <c r="O496" s="2" t="s">
        <v>132</v>
      </c>
      <c r="P496" s="2">
        <v>9.26883094E8</v>
      </c>
      <c r="Q496" s="2" t="s">
        <v>68</v>
      </c>
      <c r="R496" s="4" t="s">
        <v>5652</v>
      </c>
    </row>
    <row r="497">
      <c r="A497" s="4" t="s">
        <v>44</v>
      </c>
      <c r="B497" s="4" t="s">
        <v>44</v>
      </c>
      <c r="C497" s="4">
        <v>496.0</v>
      </c>
      <c r="D497" s="13" t="str">
        <f>HYPERLINK("https://www.linkedin.com/ad-library/detail/926893064","Open Ad")</f>
        <v>Open Ad</v>
      </c>
      <c r="E497" s="4" t="s">
        <v>91</v>
      </c>
      <c r="F497" s="4" t="s">
        <v>5225</v>
      </c>
      <c r="G497" s="4" t="s">
        <v>5226</v>
      </c>
      <c r="H497" s="4" t="s">
        <v>55</v>
      </c>
      <c r="I497" s="4" t="s">
        <v>1377</v>
      </c>
      <c r="J497" s="4" t="s">
        <v>91</v>
      </c>
      <c r="K497" s="13" t="str">
        <f>HYPERLINK("https://media.licdn.com/dms/image/v2/D4E10AQFU72HvjQSnlg/image-shrink_1280/B4EZrAmkOcKoAM-/0/1764167927332?e=2147483647&amp;v=beta&amp;t=pX5Fuvy9QBEuzLpcqsIq6WH49j40ZMKNL2wzz6ZN-kw","Open Creative")</f>
        <v>Open Creative</v>
      </c>
      <c r="L497" s="4" t="s">
        <v>3498</v>
      </c>
      <c r="M497" s="4" t="s">
        <v>63</v>
      </c>
      <c r="N497" s="4" t="s">
        <v>5325</v>
      </c>
      <c r="O497" s="2" t="s">
        <v>132</v>
      </c>
      <c r="P497" s="2">
        <v>9.26893064E8</v>
      </c>
      <c r="Q497" s="2" t="s">
        <v>68</v>
      </c>
      <c r="R497" s="4" t="s">
        <v>5659</v>
      </c>
    </row>
    <row r="498">
      <c r="A498" s="4" t="s">
        <v>44</v>
      </c>
      <c r="B498" s="4" t="s">
        <v>44</v>
      </c>
      <c r="C498" s="4">
        <v>497.0</v>
      </c>
      <c r="D498" s="13" t="str">
        <f>HYPERLINK("https://www.linkedin.com/ad-library/detail/926932224","Open Ad")</f>
        <v>Open Ad</v>
      </c>
      <c r="E498" s="4" t="s">
        <v>91</v>
      </c>
      <c r="F498" s="4" t="s">
        <v>5225</v>
      </c>
      <c r="G498" s="4" t="s">
        <v>5226</v>
      </c>
      <c r="H498" s="4" t="s">
        <v>55</v>
      </c>
      <c r="I498" s="4" t="s">
        <v>1377</v>
      </c>
      <c r="J498" s="4" t="s">
        <v>91</v>
      </c>
      <c r="K498" s="13" t="str">
        <f>HYPERLINK("https://media.licdn.com/dms/image/v2/D4E10AQGopuhQKkeO2A/image-shrink_1280/B4EZrAmj4ZGYAM-/0/1764167925883?e=2147483647&amp;v=beta&amp;t=tJ5cLRsudT6jaxubgf_Y_R_S72Ji9kH_LRNfy12yU3Y","Open Creative")</f>
        <v>Open Creative</v>
      </c>
      <c r="L498" s="4" t="s">
        <v>3498</v>
      </c>
      <c r="M498" s="4" t="s">
        <v>63</v>
      </c>
      <c r="N498" s="4" t="s">
        <v>5325</v>
      </c>
      <c r="O498" s="2" t="s">
        <v>132</v>
      </c>
      <c r="P498" s="2">
        <v>9.26932224E8</v>
      </c>
      <c r="Q498" s="2" t="s">
        <v>68</v>
      </c>
      <c r="R498" s="4" t="s">
        <v>5666</v>
      </c>
    </row>
    <row r="499">
      <c r="A499" s="4" t="s">
        <v>44</v>
      </c>
      <c r="B499" s="4" t="s">
        <v>44</v>
      </c>
      <c r="C499" s="4">
        <v>498.0</v>
      </c>
      <c r="D499" s="13" t="str">
        <f>HYPERLINK("https://www.linkedin.com/ad-library/detail/927021834","Open Ad")</f>
        <v>Open Ad</v>
      </c>
      <c r="E499" s="4" t="s">
        <v>91</v>
      </c>
      <c r="F499" s="4" t="s">
        <v>5225</v>
      </c>
      <c r="G499" s="4" t="s">
        <v>5226</v>
      </c>
      <c r="H499" s="4" t="s">
        <v>55</v>
      </c>
      <c r="I499" s="4" t="s">
        <v>1377</v>
      </c>
      <c r="J499" s="4" t="s">
        <v>91</v>
      </c>
      <c r="K499" s="13" t="str">
        <f>HYPERLINK("https://media.licdn.com/dms/image/v2/D4E10AQFlnA1dgAGkBw/image-shrink_1280/B4EZrAmedKIUAM-/0/1764167903624?e=2147483647&amp;v=beta&amp;t=EY-umPspi1lp5i9XY5yJSMJQ6Yq3y33EEpztYDau_WE","Open Creative")</f>
        <v>Open Creative</v>
      </c>
      <c r="L499" s="4" t="s">
        <v>3498</v>
      </c>
      <c r="M499" s="4" t="s">
        <v>63</v>
      </c>
      <c r="N499" s="4" t="s">
        <v>5231</v>
      </c>
      <c r="O499" s="2" t="s">
        <v>67</v>
      </c>
      <c r="P499" s="2">
        <v>9.27021834E8</v>
      </c>
      <c r="Q499" s="2" t="s">
        <v>68</v>
      </c>
      <c r="R499" s="4" t="s">
        <v>5668</v>
      </c>
    </row>
    <row r="500">
      <c r="A500" s="4" t="s">
        <v>44</v>
      </c>
      <c r="B500" s="4" t="s">
        <v>44</v>
      </c>
      <c r="C500" s="4">
        <v>499.0</v>
      </c>
      <c r="D500" s="13" t="str">
        <f>HYPERLINK("https://www.linkedin.com/ad-library/detail/927021844","Open Ad")</f>
        <v>Open Ad</v>
      </c>
      <c r="E500" s="4" t="s">
        <v>91</v>
      </c>
      <c r="F500" s="4" t="s">
        <v>5225</v>
      </c>
      <c r="G500" s="4" t="s">
        <v>5226</v>
      </c>
      <c r="H500" s="4" t="s">
        <v>55</v>
      </c>
      <c r="I500" s="4" t="s">
        <v>1377</v>
      </c>
      <c r="J500" s="4" t="s">
        <v>91</v>
      </c>
      <c r="K500" s="13" t="str">
        <f>HYPERLINK("https://media.licdn.com/dms/image/v2/D4E10AQFaM8QXRnbEiQ/image-shrink_1280/B4EZrAmkg4IIAU-/0/1764167928428?e=2147483647&amp;v=beta&amp;t=ZzO9I1y-gYFqcqn0L6ETEi0CTHarjD2ifFWXAys2YO0","Open Creative")</f>
        <v>Open Creative</v>
      </c>
      <c r="L500" s="4" t="s">
        <v>3498</v>
      </c>
      <c r="M500" s="4" t="s">
        <v>63</v>
      </c>
      <c r="N500" s="4" t="s">
        <v>5231</v>
      </c>
      <c r="O500" s="2" t="s">
        <v>132</v>
      </c>
      <c r="P500" s="2">
        <v>9.27021844E8</v>
      </c>
      <c r="Q500" s="2" t="s">
        <v>68</v>
      </c>
      <c r="R500" s="4" t="s">
        <v>5673</v>
      </c>
    </row>
    <row r="501">
      <c r="A501" s="4" t="s">
        <v>44</v>
      </c>
      <c r="B501" s="4" t="s">
        <v>44</v>
      </c>
      <c r="C501" s="4">
        <v>500.0</v>
      </c>
      <c r="D501" s="13" t="str">
        <f>HYPERLINK("https://www.linkedin.com/ad-library/detail/927061744","Open Ad")</f>
        <v>Open Ad</v>
      </c>
      <c r="E501" s="4" t="s">
        <v>91</v>
      </c>
      <c r="F501" s="4" t="s">
        <v>5289</v>
      </c>
      <c r="G501" s="4" t="s">
        <v>5290</v>
      </c>
      <c r="H501" s="4" t="s">
        <v>55</v>
      </c>
      <c r="I501" s="4" t="s">
        <v>653</v>
      </c>
      <c r="J501" s="4" t="s">
        <v>91</v>
      </c>
      <c r="K501" s="13" t="str">
        <f>HYPERLINK("https://media.licdn.com/dms/image/v2/D4E10AQHICgg33AqErw/image-shrink_1280/B4EZrAmpTRJgAM-/0/1764167948454?e=2147483647&amp;v=beta&amp;t=uXtf_x47-lOG2PVrC_pmvhFro42GTSpiYzNyV8hAmPU","Open Creative")</f>
        <v>Open Creative</v>
      </c>
      <c r="L501" s="4" t="s">
        <v>3498</v>
      </c>
      <c r="M501" s="4" t="s">
        <v>63</v>
      </c>
      <c r="N501" s="4" t="s">
        <v>5231</v>
      </c>
      <c r="O501" s="2" t="s">
        <v>132</v>
      </c>
      <c r="P501" s="2">
        <v>9.27061744E8</v>
      </c>
      <c r="Q501" s="2" t="s">
        <v>68</v>
      </c>
      <c r="R501" s="4" t="s">
        <v>5679</v>
      </c>
    </row>
    <row r="502">
      <c r="A502" s="4" t="s">
        <v>44</v>
      </c>
      <c r="B502" s="4" t="s">
        <v>44</v>
      </c>
      <c r="C502" s="4">
        <v>501.0</v>
      </c>
      <c r="D502" s="13" t="str">
        <f>HYPERLINK("https://www.linkedin.com/ad-library/detail/927041764","Open Ad")</f>
        <v>Open Ad</v>
      </c>
      <c r="E502" s="4" t="s">
        <v>91</v>
      </c>
      <c r="F502" s="4" t="s">
        <v>5289</v>
      </c>
      <c r="G502" s="4" t="s">
        <v>5290</v>
      </c>
      <c r="H502" s="4" t="s">
        <v>55</v>
      </c>
      <c r="I502" s="4" t="s">
        <v>653</v>
      </c>
      <c r="J502" s="4" t="s">
        <v>91</v>
      </c>
      <c r="K502" s="13" t="str">
        <f>HYPERLINK("https://media.licdn.com/dms/image/v2/D4E10AQH5q_t451RxHg/image-shrink_1280/B4EZrAmerZJgAM-/0/1764167904936?e=2147483647&amp;v=beta&amp;t=jxziEArzia4BYNrnyoQ3uLUjj92FHKZKqMoC6kG-j5o","Open Creative")</f>
        <v>Open Creative</v>
      </c>
      <c r="L502" s="4" t="s">
        <v>3498</v>
      </c>
      <c r="M502" s="4" t="s">
        <v>63</v>
      </c>
      <c r="N502" s="4" t="s">
        <v>5231</v>
      </c>
      <c r="O502" s="2" t="s">
        <v>132</v>
      </c>
      <c r="P502" s="2">
        <v>9.27041764E8</v>
      </c>
      <c r="Q502" s="2" t="s">
        <v>68</v>
      </c>
      <c r="R502" s="4" t="s">
        <v>5685</v>
      </c>
    </row>
    <row r="503">
      <c r="A503" s="4" t="s">
        <v>44</v>
      </c>
      <c r="B503" s="4" t="s">
        <v>44</v>
      </c>
      <c r="C503" s="4">
        <v>502.0</v>
      </c>
      <c r="D503" s="13" t="str">
        <f>HYPERLINK("https://www.linkedin.com/ad-library/detail/927061754","Open Ad")</f>
        <v>Open Ad</v>
      </c>
      <c r="E503" s="4" t="s">
        <v>91</v>
      </c>
      <c r="F503" s="4" t="s">
        <v>5289</v>
      </c>
      <c r="G503" s="4" t="s">
        <v>5290</v>
      </c>
      <c r="H503" s="4" t="s">
        <v>55</v>
      </c>
      <c r="I503" s="4" t="s">
        <v>653</v>
      </c>
      <c r="J503" s="4" t="s">
        <v>91</v>
      </c>
      <c r="K503" s="13" t="str">
        <f>HYPERLINK("https://media.licdn.com/dms/image/v2/D4E10AQEqK_m0Bsseng/image-shrink_1280/B4EZrAmplJGYAM-/0/1764167949349?e=2147483647&amp;v=beta&amp;t=C3dGLFDZ9QKKng0Hj_1_nK62-NfS8HDtAuPvDTVJJBs","Open Creative")</f>
        <v>Open Creative</v>
      </c>
      <c r="L503" s="4" t="s">
        <v>3498</v>
      </c>
      <c r="M503" s="4" t="s">
        <v>63</v>
      </c>
      <c r="N503" s="4" t="s">
        <v>5231</v>
      </c>
      <c r="O503" s="2" t="s">
        <v>132</v>
      </c>
      <c r="P503" s="2">
        <v>9.27061754E8</v>
      </c>
      <c r="Q503" s="2" t="s">
        <v>68</v>
      </c>
      <c r="R503" s="4" t="s">
        <v>5691</v>
      </c>
    </row>
    <row r="504">
      <c r="A504" s="4" t="s">
        <v>44</v>
      </c>
      <c r="B504" s="4" t="s">
        <v>44</v>
      </c>
      <c r="C504" s="4">
        <v>503.0</v>
      </c>
      <c r="D504" s="13" t="str">
        <f>HYPERLINK("https://www.linkedin.com/ad-library/detail/927041774","Open Ad")</f>
        <v>Open Ad</v>
      </c>
      <c r="E504" s="4" t="s">
        <v>91</v>
      </c>
      <c r="F504" s="4" t="s">
        <v>5225</v>
      </c>
      <c r="G504" s="4" t="s">
        <v>5226</v>
      </c>
      <c r="H504" s="4" t="s">
        <v>55</v>
      </c>
      <c r="I504" s="4" t="s">
        <v>1377</v>
      </c>
      <c r="J504" s="4" t="s">
        <v>91</v>
      </c>
      <c r="K504" s="13" t="str">
        <f>HYPERLINK("https://media.licdn.com/dms/image/v2/D4E10AQFtMj7DDWYv9Q/image-shrink_1280/B4EZrAmkenIwAM-/0/1764167928256?e=2147483647&amp;v=beta&amp;t=18rUoZugcaasc9xGzqsn_lOa_6lVFV-GTpcjKspDK5o","Open Creative")</f>
        <v>Open Creative</v>
      </c>
      <c r="L504" s="4" t="s">
        <v>3498</v>
      </c>
      <c r="M504" s="4" t="s">
        <v>63</v>
      </c>
      <c r="N504" s="4" t="s">
        <v>5231</v>
      </c>
      <c r="O504" s="2" t="s">
        <v>132</v>
      </c>
      <c r="P504" s="2">
        <v>9.27041774E8</v>
      </c>
      <c r="Q504" s="2" t="s">
        <v>68</v>
      </c>
      <c r="R504" s="4" t="s">
        <v>5696</v>
      </c>
    </row>
    <row r="505">
      <c r="A505" s="4" t="s">
        <v>44</v>
      </c>
      <c r="B505" s="4" t="s">
        <v>44</v>
      </c>
      <c r="C505" s="4">
        <v>504.0</v>
      </c>
      <c r="D505" s="13" t="str">
        <f>HYPERLINK("https://www.linkedin.com/ad-library/detail/927041754","Open Ad")</f>
        <v>Open Ad</v>
      </c>
      <c r="E505" s="4" t="s">
        <v>91</v>
      </c>
      <c r="F505" s="4" t="s">
        <v>5225</v>
      </c>
      <c r="G505" s="4" t="s">
        <v>5226</v>
      </c>
      <c r="H505" s="4" t="s">
        <v>55</v>
      </c>
      <c r="I505" s="4" t="s">
        <v>1377</v>
      </c>
      <c r="J505" s="4" t="s">
        <v>91</v>
      </c>
      <c r="K505" s="13" t="str">
        <f>HYPERLINK("https://media.licdn.com/dms/image/v2/D4E10AQFsevLWMn8QcQ/image-shrink_1280/B4EZrAmeepKoAM-/0/1764167904059?e=2147483647&amp;v=beta&amp;t=eVW-Ek0dGszorIhTKxn_JJh3XM0UoFyNAGix3se4gHQ","Open Creative")</f>
        <v>Open Creative</v>
      </c>
      <c r="L505" s="4" t="s">
        <v>3498</v>
      </c>
      <c r="M505" s="4" t="s">
        <v>63</v>
      </c>
      <c r="N505" s="4" t="s">
        <v>5231</v>
      </c>
      <c r="O505" s="2" t="s">
        <v>132</v>
      </c>
      <c r="P505" s="2">
        <v>9.27041754E8</v>
      </c>
      <c r="Q505" s="2" t="s">
        <v>68</v>
      </c>
      <c r="R505" s="4" t="s">
        <v>5700</v>
      </c>
    </row>
    <row r="506">
      <c r="A506" s="4" t="s">
        <v>44</v>
      </c>
      <c r="B506" s="4" t="s">
        <v>44</v>
      </c>
      <c r="C506" s="4">
        <v>505.0</v>
      </c>
      <c r="D506" s="13" t="str">
        <f>HYPERLINK("https://www.linkedin.com/ad-library/detail/926912344","Open Ad")</f>
        <v>Open Ad</v>
      </c>
      <c r="E506" s="4" t="s">
        <v>91</v>
      </c>
      <c r="F506" s="4" t="s">
        <v>5225</v>
      </c>
      <c r="G506" s="4" t="s">
        <v>5226</v>
      </c>
      <c r="H506" s="4" t="s">
        <v>55</v>
      </c>
      <c r="I506" s="4" t="s">
        <v>1377</v>
      </c>
      <c r="J506" s="4" t="s">
        <v>91</v>
      </c>
      <c r="K506" s="13" t="str">
        <f>HYPERLINK("https://media.licdn.com/dms/image/v2/D4E10AQGSsSvmHBXNNA/image-shrink_1280/B4EZrAmOdJJgAM-/0/1764167838470?e=2147483647&amp;v=beta&amp;t=7uuCqVSn2MKAsEMqjBFeHpOL2M9zRkmQPurLvHSzIfY","Open Creative")</f>
        <v>Open Creative</v>
      </c>
      <c r="L506" s="4" t="s">
        <v>3498</v>
      </c>
      <c r="M506" s="4" t="s">
        <v>63</v>
      </c>
      <c r="N506" s="4" t="s">
        <v>5231</v>
      </c>
      <c r="O506" s="2" t="s">
        <v>132</v>
      </c>
      <c r="P506" s="2">
        <v>9.26912344E8</v>
      </c>
      <c r="Q506" s="2" t="s">
        <v>68</v>
      </c>
      <c r="R506" s="4" t="s">
        <v>5704</v>
      </c>
    </row>
    <row r="507">
      <c r="A507" s="4" t="s">
        <v>44</v>
      </c>
      <c r="B507" s="4" t="s">
        <v>44</v>
      </c>
      <c r="C507" s="4">
        <v>506.0</v>
      </c>
      <c r="D507" s="13" t="str">
        <f>HYPERLINK("https://www.linkedin.com/ad-library/detail/926932194","Open Ad")</f>
        <v>Open Ad</v>
      </c>
      <c r="E507" s="4" t="s">
        <v>91</v>
      </c>
      <c r="F507" s="4" t="s">
        <v>5225</v>
      </c>
      <c r="G507" s="4" t="s">
        <v>5226</v>
      </c>
      <c r="H507" s="4" t="s">
        <v>55</v>
      </c>
      <c r="I507" s="4" t="s">
        <v>1377</v>
      </c>
      <c r="J507" s="4" t="s">
        <v>91</v>
      </c>
      <c r="K507" s="13" t="str">
        <f>HYPERLINK("https://media.licdn.com/dms/image/v2/D4E10AQFJj_0iqihuow/image-shrink_1280/B4EZrAmTfoIIAM-/0/1764167859592?e=2147483647&amp;v=beta&amp;t=egAshlSZ9x5y62Jg-M4oaIMBErX9smPtcNvychTc4o8","Open Creative")</f>
        <v>Open Creative</v>
      </c>
      <c r="L507" s="4" t="s">
        <v>3498</v>
      </c>
      <c r="M507" s="4" t="s">
        <v>63</v>
      </c>
      <c r="N507" s="4" t="s">
        <v>5231</v>
      </c>
      <c r="O507" s="2" t="s">
        <v>132</v>
      </c>
      <c r="P507" s="2">
        <v>9.26932194E8</v>
      </c>
      <c r="Q507" s="2" t="s">
        <v>68</v>
      </c>
      <c r="R507" s="4" t="s">
        <v>5711</v>
      </c>
    </row>
    <row r="508">
      <c r="A508" s="4" t="s">
        <v>44</v>
      </c>
      <c r="B508" s="4" t="s">
        <v>44</v>
      </c>
      <c r="C508" s="4">
        <v>507.0</v>
      </c>
      <c r="D508" s="13" t="str">
        <f>HYPERLINK("https://www.linkedin.com/ad-library/detail/926942424","Open Ad")</f>
        <v>Open Ad</v>
      </c>
      <c r="E508" s="4" t="s">
        <v>91</v>
      </c>
      <c r="F508" s="4" t="s">
        <v>5225</v>
      </c>
      <c r="G508" s="4" t="s">
        <v>5226</v>
      </c>
      <c r="H508" s="4" t="s">
        <v>55</v>
      </c>
      <c r="I508" s="4" t="s">
        <v>1377</v>
      </c>
      <c r="J508" s="4" t="s">
        <v>91</v>
      </c>
      <c r="K508" s="13" t="str">
        <f>HYPERLINK("https://media.licdn.com/dms/image/v2/D4E10AQFJtHXnrcSWiw/image-shrink_1280/B4EZrAmTkYIQAM-/0/1764167859443?e=2147483647&amp;v=beta&amp;t=HDZg7qlyO8mHcXSpxkgsFQZ8z8PNrgUymQOznzyPMrg","Open Creative")</f>
        <v>Open Creative</v>
      </c>
      <c r="L508" s="4" t="s">
        <v>3498</v>
      </c>
      <c r="M508" s="4" t="s">
        <v>63</v>
      </c>
      <c r="N508" s="4" t="s">
        <v>5231</v>
      </c>
      <c r="O508" s="2" t="s">
        <v>132</v>
      </c>
      <c r="P508" s="2">
        <v>9.26942424E8</v>
      </c>
      <c r="Q508" s="2" t="s">
        <v>68</v>
      </c>
      <c r="R508" s="4" t="s">
        <v>5715</v>
      </c>
    </row>
    <row r="509">
      <c r="A509" s="4" t="s">
        <v>44</v>
      </c>
      <c r="B509" s="4" t="s">
        <v>44</v>
      </c>
      <c r="C509" s="4">
        <v>508.0</v>
      </c>
      <c r="D509" s="13" t="str">
        <f>HYPERLINK("https://www.linkedin.com/ad-library/detail/927021814","Open Ad")</f>
        <v>Open Ad</v>
      </c>
      <c r="E509" s="4" t="s">
        <v>91</v>
      </c>
      <c r="F509" s="4" t="s">
        <v>5289</v>
      </c>
      <c r="G509" s="4" t="s">
        <v>5290</v>
      </c>
      <c r="H509" s="4" t="s">
        <v>55</v>
      </c>
      <c r="I509" s="4" t="s">
        <v>653</v>
      </c>
      <c r="J509" s="4" t="s">
        <v>91</v>
      </c>
      <c r="K509" s="13" t="str">
        <f>HYPERLINK("https://media.licdn.com/dms/image/v2/D4E10AQFj5VzXNudv5w/image-shrink_1280/B4EZrAmTfmKkAM-/0/1764167858980?e=2147483647&amp;v=beta&amp;t=5dKxJP82nyhEEhq2kElgtMWVI0WPfPQms98DrvdSJCk","Open Creative")</f>
        <v>Open Creative</v>
      </c>
      <c r="L509" s="4" t="s">
        <v>3498</v>
      </c>
      <c r="M509" s="4" t="s">
        <v>63</v>
      </c>
      <c r="N509" s="4" t="s">
        <v>5231</v>
      </c>
      <c r="O509" s="2" t="s">
        <v>132</v>
      </c>
      <c r="P509" s="2">
        <v>9.27021814E8</v>
      </c>
      <c r="Q509" s="2" t="s">
        <v>68</v>
      </c>
      <c r="R509" s="4" t="s">
        <v>5722</v>
      </c>
    </row>
    <row r="510">
      <c r="A510" s="4" t="s">
        <v>44</v>
      </c>
      <c r="B510" s="4" t="s">
        <v>44</v>
      </c>
      <c r="C510" s="4">
        <v>509.0</v>
      </c>
      <c r="D510" s="13" t="str">
        <f>HYPERLINK("https://www.linkedin.com/ad-library/detail/927021804","Open Ad")</f>
        <v>Open Ad</v>
      </c>
      <c r="E510" s="4" t="s">
        <v>91</v>
      </c>
      <c r="F510" s="4" t="s">
        <v>5225</v>
      </c>
      <c r="G510" s="4" t="s">
        <v>5226</v>
      </c>
      <c r="H510" s="4" t="s">
        <v>55</v>
      </c>
      <c r="I510" s="4" t="s">
        <v>1377</v>
      </c>
      <c r="J510" s="4" t="s">
        <v>91</v>
      </c>
      <c r="K510" s="13" t="str">
        <f>HYPERLINK("https://media.licdn.com/dms/image/v2/D4E10AQE1v9jCUbih9Q/image-shrink_1280/B4EZrAmOdHKMAM-/0/1764167838230?e=2147483647&amp;v=beta&amp;t=YTvVH2EdrRnHmv2IPuhaFAEPhus3CPBKWQjzHgjgv4E","Open Creative")</f>
        <v>Open Creative</v>
      </c>
      <c r="L510" s="4" t="s">
        <v>3498</v>
      </c>
      <c r="M510" s="4" t="s">
        <v>63</v>
      </c>
      <c r="N510" s="4" t="s">
        <v>5231</v>
      </c>
      <c r="O510" s="2" t="s">
        <v>132</v>
      </c>
      <c r="P510" s="2">
        <v>9.27021804E8</v>
      </c>
      <c r="Q510" s="2" t="s">
        <v>68</v>
      </c>
      <c r="R510" s="4" t="s">
        <v>5728</v>
      </c>
    </row>
    <row r="511">
      <c r="A511" s="4" t="s">
        <v>44</v>
      </c>
      <c r="B511" s="4" t="s">
        <v>44</v>
      </c>
      <c r="C511" s="4">
        <v>510.0</v>
      </c>
      <c r="D511" s="13" t="str">
        <f>HYPERLINK("https://www.linkedin.com/ad-library/detail/926952384","Open Ad")</f>
        <v>Open Ad</v>
      </c>
      <c r="E511" s="4" t="s">
        <v>91</v>
      </c>
      <c r="F511" s="4" t="s">
        <v>5225</v>
      </c>
      <c r="G511" s="4" t="s">
        <v>5226</v>
      </c>
      <c r="H511" s="4" t="s">
        <v>55</v>
      </c>
      <c r="I511" s="4" t="s">
        <v>1377</v>
      </c>
      <c r="J511" s="4" t="s">
        <v>91</v>
      </c>
      <c r="K511" s="13" t="str">
        <f>HYPERLINK("https://media.licdn.com/dms/image/v2/D4E10AQExS4uf9rOLUQ/image-shrink_1280/B4EZrAmTkjKUAM-/0/1764167859083?e=2147483647&amp;v=beta&amp;t=2Ba6_h0vUGrkFntGtwZ0OyomBuhVh7WwavuoDjpQYc4","Open Creative")</f>
        <v>Open Creative</v>
      </c>
      <c r="L511" s="4" t="s">
        <v>3498</v>
      </c>
      <c r="M511" s="4" t="s">
        <v>63</v>
      </c>
      <c r="N511" s="4" t="s">
        <v>5231</v>
      </c>
      <c r="O511" s="2" t="s">
        <v>132</v>
      </c>
      <c r="P511" s="2">
        <v>9.26952384E8</v>
      </c>
      <c r="Q511" s="2" t="s">
        <v>68</v>
      </c>
      <c r="R511" s="4" t="s">
        <v>5734</v>
      </c>
    </row>
    <row r="512">
      <c r="A512" s="4" t="s">
        <v>44</v>
      </c>
      <c r="B512" s="4" t="s">
        <v>44</v>
      </c>
      <c r="C512" s="4">
        <v>511.0</v>
      </c>
      <c r="D512" s="13" t="str">
        <f>HYPERLINK("https://www.linkedin.com/ad-library/detail/926952394","Open Ad")</f>
        <v>Open Ad</v>
      </c>
      <c r="E512" s="4" t="s">
        <v>91</v>
      </c>
      <c r="F512" s="4" t="s">
        <v>5225</v>
      </c>
      <c r="G512" s="4" t="s">
        <v>5226</v>
      </c>
      <c r="H512" s="4" t="s">
        <v>55</v>
      </c>
      <c r="I512" s="4" t="s">
        <v>1377</v>
      </c>
      <c r="J512" s="4" t="s">
        <v>91</v>
      </c>
      <c r="K512" s="13" t="str">
        <f>HYPERLINK("https://media.licdn.com/dms/image/v2/D4E10AQEenu7UE4xHCg/image-shrink_1280/B4EZrAmT0PKkAM-/0/1764167860244?e=2147483647&amp;v=beta&amp;t=ZkGnZPvqdrwNMMl4kFOOMovMXJE4ggEL3Tz7-Jwg-ZM","Open Creative")</f>
        <v>Open Creative</v>
      </c>
      <c r="L512" s="4" t="s">
        <v>3498</v>
      </c>
      <c r="M512" s="4" t="s">
        <v>63</v>
      </c>
      <c r="N512" s="4" t="s">
        <v>5231</v>
      </c>
      <c r="O512" s="2" t="s">
        <v>132</v>
      </c>
      <c r="P512" s="2">
        <v>9.26952394E8</v>
      </c>
      <c r="Q512" s="2" t="s">
        <v>68</v>
      </c>
      <c r="R512" s="4" t="s">
        <v>5736</v>
      </c>
    </row>
    <row r="513">
      <c r="A513" s="4" t="s">
        <v>44</v>
      </c>
      <c r="B513" s="4" t="s">
        <v>44</v>
      </c>
      <c r="C513" s="4">
        <v>512.0</v>
      </c>
      <c r="D513" s="13" t="str">
        <f>HYPERLINK("https://www.linkedin.com/ad-library/detail/926922744","Open Ad")</f>
        <v>Open Ad</v>
      </c>
      <c r="E513" s="4" t="s">
        <v>91</v>
      </c>
      <c r="F513" s="4" t="s">
        <v>5289</v>
      </c>
      <c r="G513" s="4" t="s">
        <v>5290</v>
      </c>
      <c r="H513" s="4" t="s">
        <v>55</v>
      </c>
      <c r="I513" s="4" t="s">
        <v>653</v>
      </c>
      <c r="J513" s="4" t="s">
        <v>91</v>
      </c>
      <c r="K513" s="13" t="str">
        <f>HYPERLINK("https://media.licdn.com/dms/image/v2/D4E10AQHGlGDxyPEe2w/image-shrink_1280/B4EZrAmOLYJ0AM-/0/1764167837069?e=2147483647&amp;v=beta&amp;t=pLqFMXO4zmaGkfDmttA3Dqa86G0HLfXN_o3Cc9Bkbc0","Open Creative")</f>
        <v>Open Creative</v>
      </c>
      <c r="L513" s="4" t="s">
        <v>3498</v>
      </c>
      <c r="M513" s="4" t="s">
        <v>63</v>
      </c>
      <c r="N513" s="4" t="s">
        <v>5231</v>
      </c>
      <c r="O513" s="2" t="s">
        <v>132</v>
      </c>
      <c r="P513" s="2">
        <v>9.26922744E8</v>
      </c>
      <c r="Q513" s="2" t="s">
        <v>68</v>
      </c>
      <c r="R513" s="4" t="s">
        <v>5740</v>
      </c>
    </row>
    <row r="514">
      <c r="A514" s="4" t="s">
        <v>44</v>
      </c>
      <c r="B514" s="4" t="s">
        <v>44</v>
      </c>
      <c r="C514" s="4">
        <v>513.0</v>
      </c>
      <c r="D514" s="13" t="str">
        <f>HYPERLINK("https://www.linkedin.com/ad-library/detail/927011734","Open Ad")</f>
        <v>Open Ad</v>
      </c>
      <c r="E514" s="4" t="s">
        <v>91</v>
      </c>
      <c r="F514" s="4" t="s">
        <v>5289</v>
      </c>
      <c r="G514" s="4" t="s">
        <v>5290</v>
      </c>
      <c r="H514" s="4" t="s">
        <v>55</v>
      </c>
      <c r="I514" s="4" t="s">
        <v>653</v>
      </c>
      <c r="J514" s="4" t="s">
        <v>91</v>
      </c>
      <c r="K514" s="13" t="str">
        <f>HYPERLINK("https://media.licdn.com/dms/image/v2/D4E10AQF0NsJF9oFaHQ/image-shrink_1280/B4EZrAmODiIQAM-/0/1764167836973?e=2147483647&amp;v=beta&amp;t=ztBm10R_pswZHEgt_3cxlPprIIrcfrHsip7r2MtivOY","Open Creative")</f>
        <v>Open Creative</v>
      </c>
      <c r="L514" s="4" t="s">
        <v>3498</v>
      </c>
      <c r="M514" s="4" t="s">
        <v>63</v>
      </c>
      <c r="N514" s="4" t="s">
        <v>5231</v>
      </c>
      <c r="O514" s="2" t="s">
        <v>132</v>
      </c>
      <c r="P514" s="2">
        <v>9.27011734E8</v>
      </c>
      <c r="Q514" s="2" t="s">
        <v>68</v>
      </c>
      <c r="R514" s="4" t="s">
        <v>5745</v>
      </c>
    </row>
    <row r="515">
      <c r="A515" s="4" t="s">
        <v>44</v>
      </c>
      <c r="B515" s="4" t="s">
        <v>44</v>
      </c>
      <c r="C515" s="4">
        <v>514.0</v>
      </c>
      <c r="D515" s="13" t="str">
        <f>HYPERLINK("https://www.linkedin.com/ad-library/detail/926992174","Open Ad")</f>
        <v>Open Ad</v>
      </c>
      <c r="E515" s="4" t="s">
        <v>91</v>
      </c>
      <c r="F515" s="4" t="s">
        <v>5225</v>
      </c>
      <c r="G515" s="4" t="s">
        <v>5226</v>
      </c>
      <c r="H515" s="4" t="s">
        <v>55</v>
      </c>
      <c r="I515" s="4" t="s">
        <v>1377</v>
      </c>
      <c r="J515" s="4" t="s">
        <v>91</v>
      </c>
      <c r="K515" s="13" t="str">
        <f>HYPERLINK("https://media.licdn.com/dms/image/v2/D4E10AQEIaypP6NEq4g/image-shrink_1280/B4EZrAmYuTHoAM-/0/1764167880310?e=2147483647&amp;v=beta&amp;t=LEy5pGNt9vWBZ_kdzlHrwEmW-462eOfOsvDjPCT0HD4","Open Creative")</f>
        <v>Open Creative</v>
      </c>
      <c r="L515" s="4" t="s">
        <v>3498</v>
      </c>
      <c r="M515" s="4" t="s">
        <v>63</v>
      </c>
      <c r="N515" s="4" t="s">
        <v>5325</v>
      </c>
      <c r="O515" s="2" t="s">
        <v>132</v>
      </c>
      <c r="P515" s="2">
        <v>9.26992174E8</v>
      </c>
      <c r="Q515" s="2" t="s">
        <v>68</v>
      </c>
      <c r="R515" s="4" t="s">
        <v>5752</v>
      </c>
    </row>
    <row r="516">
      <c r="A516" s="4" t="s">
        <v>44</v>
      </c>
      <c r="B516" s="4" t="s">
        <v>44</v>
      </c>
      <c r="C516" s="4">
        <v>515.0</v>
      </c>
      <c r="D516" s="13" t="str">
        <f>HYPERLINK("https://www.linkedin.com/ad-library/detail/926972164","Open Ad")</f>
        <v>Open Ad</v>
      </c>
      <c r="E516" s="4" t="s">
        <v>91</v>
      </c>
      <c r="F516" s="4" t="s">
        <v>5289</v>
      </c>
      <c r="G516" s="4" t="s">
        <v>5290</v>
      </c>
      <c r="H516" s="4" t="s">
        <v>55</v>
      </c>
      <c r="I516" s="4" t="s">
        <v>653</v>
      </c>
      <c r="J516" s="4" t="s">
        <v>91</v>
      </c>
      <c r="K516" s="13" t="str">
        <f>HYPERLINK("https://media.licdn.com/dms/image/v2/D4E10AQFWuzJDIDSKOg/image-shrink_1280/B4EZrAmYteHMAM-/0/1764167880206?e=2147483647&amp;v=beta&amp;t=KXM4p6_IOH3xwBczTk52d2oLOP6hv1-N1RoJnAx6UcI","Open Creative")</f>
        <v>Open Creative</v>
      </c>
      <c r="L516" s="4" t="s">
        <v>3498</v>
      </c>
      <c r="M516" s="4" t="s">
        <v>63</v>
      </c>
      <c r="N516" s="4" t="s">
        <v>5231</v>
      </c>
      <c r="O516" s="2" t="s">
        <v>132</v>
      </c>
      <c r="P516" s="2">
        <v>9.26972164E8</v>
      </c>
      <c r="Q516" s="2" t="s">
        <v>68</v>
      </c>
      <c r="R516" s="4" t="s">
        <v>5757</v>
      </c>
    </row>
    <row r="517">
      <c r="A517" s="4" t="s">
        <v>44</v>
      </c>
      <c r="B517" s="4" t="s">
        <v>44</v>
      </c>
      <c r="C517" s="4">
        <v>516.0</v>
      </c>
      <c r="D517" s="13" t="str">
        <f>HYPERLINK("https://www.linkedin.com/ad-library/detail/926972174","Open Ad")</f>
        <v>Open Ad</v>
      </c>
      <c r="E517" s="4" t="s">
        <v>91</v>
      </c>
      <c r="F517" s="4" t="s">
        <v>5225</v>
      </c>
      <c r="G517" s="4" t="s">
        <v>5226</v>
      </c>
      <c r="H517" s="4" t="s">
        <v>55</v>
      </c>
      <c r="I517" s="4" t="s">
        <v>1377</v>
      </c>
      <c r="J517" s="4" t="s">
        <v>91</v>
      </c>
      <c r="K517" s="13" t="str">
        <f>HYPERLINK("https://media.licdn.com/dms/image/v2/D4E10AQESo3AGvuNNEA/image-shrink_1280/B4EZrAmZAUIQAQ-/0/1764167881475?e=2147483647&amp;v=beta&amp;t=TdEaKNNihlKtWlJl3UbE2aeyV5Y-pFJNxc2slC82Ja4","Open Creative")</f>
        <v>Open Creative</v>
      </c>
      <c r="L517" s="4" t="s">
        <v>3498</v>
      </c>
      <c r="M517" s="4" t="s">
        <v>63</v>
      </c>
      <c r="N517" s="4" t="s">
        <v>5231</v>
      </c>
      <c r="O517" s="2" t="s">
        <v>132</v>
      </c>
      <c r="P517" s="2">
        <v>9.26972174E8</v>
      </c>
      <c r="Q517" s="2" t="s">
        <v>68</v>
      </c>
      <c r="R517" s="4" t="s">
        <v>5762</v>
      </c>
    </row>
    <row r="518">
      <c r="A518" s="4" t="s">
        <v>44</v>
      </c>
      <c r="B518" s="4" t="s">
        <v>44</v>
      </c>
      <c r="C518" s="4">
        <v>517.0</v>
      </c>
      <c r="D518" s="13" t="str">
        <f>HYPERLINK("https://www.linkedin.com/ad-library/detail/926992154","Open Ad")</f>
        <v>Open Ad</v>
      </c>
      <c r="E518" s="4" t="s">
        <v>91</v>
      </c>
      <c r="F518" s="4" t="s">
        <v>5225</v>
      </c>
      <c r="G518" s="4" t="s">
        <v>5226</v>
      </c>
      <c r="H518" s="4" t="s">
        <v>55</v>
      </c>
      <c r="I518" s="4" t="s">
        <v>1377</v>
      </c>
      <c r="J518" s="4" t="s">
        <v>91</v>
      </c>
      <c r="K518" s="13" t="str">
        <f>HYPERLINK("https://media.licdn.com/dms/image/v2/D4E10AQF0Dqv73H6I6A/image-shrink_1280/B4EZrAmOOqHoAM-/0/1764167837278?e=2147483647&amp;v=beta&amp;t=glFDwwyUeKEe8MVgVLO8KhM1Mcfaa2d3DjJ34LxjSNo","Open Creative")</f>
        <v>Open Creative</v>
      </c>
      <c r="L518" s="4" t="s">
        <v>3498</v>
      </c>
      <c r="M518" s="4" t="s">
        <v>63</v>
      </c>
      <c r="N518" s="4" t="s">
        <v>5231</v>
      </c>
      <c r="O518" s="2" t="s">
        <v>132</v>
      </c>
      <c r="P518" s="2">
        <v>9.26992154E8</v>
      </c>
      <c r="Q518" s="2" t="s">
        <v>68</v>
      </c>
      <c r="R518" s="4" t="s">
        <v>5767</v>
      </c>
    </row>
    <row r="519">
      <c r="A519" s="4" t="s">
        <v>44</v>
      </c>
      <c r="B519" s="4" t="s">
        <v>44</v>
      </c>
      <c r="C519" s="4">
        <v>518.0</v>
      </c>
      <c r="D519" s="13" t="str">
        <f>HYPERLINK("https://www.linkedin.com/ad-library/detail/926872814","Open Ad")</f>
        <v>Open Ad</v>
      </c>
      <c r="E519" s="4" t="s">
        <v>91</v>
      </c>
      <c r="F519" s="4" t="s">
        <v>5225</v>
      </c>
      <c r="G519" s="4" t="s">
        <v>5226</v>
      </c>
      <c r="H519" s="4" t="s">
        <v>55</v>
      </c>
      <c r="I519" s="4" t="s">
        <v>1377</v>
      </c>
      <c r="J519" s="4" t="s">
        <v>91</v>
      </c>
      <c r="K519" s="13" t="str">
        <f>HYPERLINK("https://media.licdn.com/dms/image/v2/D4E10AQEOnzfAwpas7w/image-shrink_1280/B4EZrAmY7VKYAM-/0/1764167881252?e=2147483647&amp;v=beta&amp;t=mRlJ8sH7NQHGV6dNkPNYbIQ7vqjZ-sNfrMfDGXA6mIU","Open Creative")</f>
        <v>Open Creative</v>
      </c>
      <c r="L519" s="4" t="s">
        <v>3498</v>
      </c>
      <c r="M519" s="4" t="s">
        <v>63</v>
      </c>
      <c r="N519" s="4" t="s">
        <v>5231</v>
      </c>
      <c r="O519" s="2" t="s">
        <v>132</v>
      </c>
      <c r="P519" s="2">
        <v>9.26872814E8</v>
      </c>
      <c r="Q519" s="2" t="s">
        <v>68</v>
      </c>
      <c r="R519" s="4" t="s">
        <v>5772</v>
      </c>
    </row>
    <row r="520">
      <c r="A520" s="4" t="s">
        <v>44</v>
      </c>
      <c r="B520" s="4" t="s">
        <v>44</v>
      </c>
      <c r="C520" s="4">
        <v>519.0</v>
      </c>
      <c r="D520" s="13" t="str">
        <f>HYPERLINK("https://www.linkedin.com/ad-library/detail/927071384","Open Ad")</f>
        <v>Open Ad</v>
      </c>
      <c r="E520" s="4" t="s">
        <v>91</v>
      </c>
      <c r="F520" s="4" t="s">
        <v>5225</v>
      </c>
      <c r="G520" s="4" t="s">
        <v>5226</v>
      </c>
      <c r="H520" s="4" t="s">
        <v>55</v>
      </c>
      <c r="I520" s="4" t="s">
        <v>1377</v>
      </c>
      <c r="J520" s="4" t="s">
        <v>91</v>
      </c>
      <c r="K520" s="13" t="str">
        <f>HYPERLINK("https://media.licdn.com/dms/image/v2/D4E10AQFkLhoGLsoW8Q/image-shrink_1280/B4EZrAmZDaHoAM-/0/1764167881524?e=2147483647&amp;v=beta&amp;t=CVqGLqCEcaqP8qUY2x37U17YQFULW8iYYqKllHn3YRw","Open Creative")</f>
        <v>Open Creative</v>
      </c>
      <c r="L520" s="4" t="s">
        <v>3498</v>
      </c>
      <c r="M520" s="4" t="s">
        <v>63</v>
      </c>
      <c r="N520" s="4" t="s">
        <v>5231</v>
      </c>
      <c r="O520" s="2" t="s">
        <v>132</v>
      </c>
      <c r="P520" s="2">
        <v>9.27071384E8</v>
      </c>
      <c r="Q520" s="2" t="s">
        <v>68</v>
      </c>
      <c r="R520" s="4" t="s">
        <v>5776</v>
      </c>
    </row>
    <row r="521">
      <c r="A521" s="4" t="s">
        <v>44</v>
      </c>
      <c r="B521" s="4" t="s">
        <v>44</v>
      </c>
      <c r="C521" s="4">
        <v>520.0</v>
      </c>
      <c r="D521" s="13" t="str">
        <f>HYPERLINK("https://www.linkedin.com/ad-library/detail/926902774","Open Ad")</f>
        <v>Open Ad</v>
      </c>
      <c r="E521" s="4" t="s">
        <v>91</v>
      </c>
      <c r="F521" s="4" t="s">
        <v>5225</v>
      </c>
      <c r="G521" s="4" t="s">
        <v>5226</v>
      </c>
      <c r="H521" s="4" t="s">
        <v>55</v>
      </c>
      <c r="I521" s="4" t="s">
        <v>1377</v>
      </c>
      <c r="J521" s="4" t="s">
        <v>91</v>
      </c>
      <c r="K521" s="13" t="str">
        <f>HYPERLINK("https://media.licdn.com/dms/image/v2/D4E10AQEpKHUUP8jN1w/image-shrink_1280/B4EZrAmOaCGYAQ-/0/1764167837890?e=2147483647&amp;v=beta&amp;t=vZzPxZHkm6R7HlT1abNlE2PvsFlUl44h4e0J7JL1mdE","Open Creative")</f>
        <v>Open Creative</v>
      </c>
      <c r="L521" s="4" t="s">
        <v>3498</v>
      </c>
      <c r="M521" s="4" t="s">
        <v>63</v>
      </c>
      <c r="N521" s="4" t="s">
        <v>5231</v>
      </c>
      <c r="O521" s="2" t="s">
        <v>132</v>
      </c>
      <c r="P521" s="2">
        <v>9.26902774E8</v>
      </c>
      <c r="Q521" s="2" t="s">
        <v>68</v>
      </c>
      <c r="R521" s="4" t="s">
        <v>5781</v>
      </c>
    </row>
    <row r="522">
      <c r="A522" s="4" t="s">
        <v>44</v>
      </c>
      <c r="B522" s="4" t="s">
        <v>44</v>
      </c>
      <c r="C522" s="4">
        <v>521.0</v>
      </c>
      <c r="D522" s="13" t="str">
        <f>HYPERLINK("https://www.linkedin.com/ad-library/detail/927091174","Open Ad")</f>
        <v>Open Ad</v>
      </c>
      <c r="E522" s="4" t="s">
        <v>91</v>
      </c>
      <c r="F522" s="4" t="s">
        <v>5225</v>
      </c>
      <c r="G522" s="4" t="s">
        <v>5226</v>
      </c>
      <c r="H522" s="4" t="s">
        <v>55</v>
      </c>
      <c r="I522" s="4" t="s">
        <v>1377</v>
      </c>
      <c r="J522" s="4" t="s">
        <v>91</v>
      </c>
      <c r="K522" s="13" t="str">
        <f>HYPERLINK("https://media.licdn.com/dms/image/v2/D4E10AQFDM3y5QN-gHQ/image-shrink_1280/B4EZrAmOeNIwAM-/0/1764167838149?e=2147483647&amp;v=beta&amp;t=xbnEx0XI0M3zbd_Anw6hB84vLvhQERxyoqMxnAItIHQ","Open Creative")</f>
        <v>Open Creative</v>
      </c>
      <c r="L522" s="4" t="s">
        <v>3498</v>
      </c>
      <c r="M522" s="4" t="s">
        <v>63</v>
      </c>
      <c r="N522" s="4" t="s">
        <v>5231</v>
      </c>
      <c r="O522" s="2" t="s">
        <v>132</v>
      </c>
      <c r="P522" s="2">
        <v>9.27091174E8</v>
      </c>
      <c r="Q522" s="2" t="s">
        <v>68</v>
      </c>
      <c r="R522" s="4" t="s">
        <v>5787</v>
      </c>
    </row>
    <row r="523">
      <c r="A523" s="4" t="s">
        <v>44</v>
      </c>
      <c r="B523" s="4" t="s">
        <v>44</v>
      </c>
      <c r="C523" s="4">
        <v>522.0</v>
      </c>
      <c r="D523" s="13" t="str">
        <f>HYPERLINK("https://www.linkedin.com/ad-library/detail/927051584","Open Ad")</f>
        <v>Open Ad</v>
      </c>
      <c r="E523" s="4" t="s">
        <v>91</v>
      </c>
      <c r="F523" s="4" t="s">
        <v>5225</v>
      </c>
      <c r="G523" s="4" t="s">
        <v>5226</v>
      </c>
      <c r="H523" s="4" t="s">
        <v>55</v>
      </c>
      <c r="I523" s="4" t="s">
        <v>1377</v>
      </c>
      <c r="J523" s="4" t="s">
        <v>91</v>
      </c>
      <c r="K523" s="13" t="str">
        <f>HYPERLINK("https://media.licdn.com/dms/image/v2/D4E10AQHY-hoJF_qLaw/image-shrink_1280/B4EZrAmY.XHUAM-/0/1764167881588?e=2147483647&amp;v=beta&amp;t=L_cQhNUpIvkW5P0ubv-2WS-AUStA4OyKBMy5ancn6kw","Open Creative")</f>
        <v>Open Creative</v>
      </c>
      <c r="L523" s="4" t="s">
        <v>3498</v>
      </c>
      <c r="M523" s="4" t="s">
        <v>63</v>
      </c>
      <c r="N523" s="4" t="s">
        <v>5231</v>
      </c>
      <c r="O523" s="2" t="s">
        <v>132</v>
      </c>
      <c r="P523" s="2">
        <v>9.27051584E8</v>
      </c>
      <c r="Q523" s="2" t="s">
        <v>68</v>
      </c>
      <c r="R523" s="4" t="s">
        <v>5791</v>
      </c>
    </row>
    <row r="524">
      <c r="A524" s="4" t="s">
        <v>44</v>
      </c>
      <c r="B524" s="4" t="s">
        <v>44</v>
      </c>
      <c r="C524" s="4">
        <v>523.0</v>
      </c>
      <c r="D524" s="13" t="str">
        <f>HYPERLINK("https://www.linkedin.com/ad-library/detail/927071364","Open Ad")</f>
        <v>Open Ad</v>
      </c>
      <c r="E524" s="4" t="s">
        <v>91</v>
      </c>
      <c r="F524" s="4" t="s">
        <v>5289</v>
      </c>
      <c r="G524" s="4" t="s">
        <v>5290</v>
      </c>
      <c r="H524" s="4" t="s">
        <v>55</v>
      </c>
      <c r="I524" s="4" t="s">
        <v>653</v>
      </c>
      <c r="J524" s="4" t="s">
        <v>91</v>
      </c>
      <c r="K524" s="13" t="str">
        <f>HYPERLINK("https://media.licdn.com/dms/image/v2/D4E10AQGtqtsGB8ruqw/image-shrink_1280/B4EZrAmOg8HcAM-/0/1764167838568?e=2147483647&amp;v=beta&amp;t=zVFAkLMVeKlGwBJNWccmUSlnvBc44x05ALmF2_rAEXw","Open Creative")</f>
        <v>Open Creative</v>
      </c>
      <c r="L524" s="4" t="s">
        <v>3498</v>
      </c>
      <c r="M524" s="4" t="s">
        <v>63</v>
      </c>
      <c r="N524" s="4" t="s">
        <v>5231</v>
      </c>
      <c r="O524" s="2" t="s">
        <v>132</v>
      </c>
      <c r="P524" s="2">
        <v>9.27071364E8</v>
      </c>
      <c r="Q524" s="2" t="s">
        <v>68</v>
      </c>
      <c r="R524" s="4" t="s">
        <v>5798</v>
      </c>
    </row>
    <row r="525">
      <c r="A525" s="4" t="s">
        <v>44</v>
      </c>
      <c r="B525" s="4" t="s">
        <v>44</v>
      </c>
      <c r="C525" s="4">
        <v>524.0</v>
      </c>
      <c r="D525" s="13" t="str">
        <f>HYPERLINK("https://www.linkedin.com/ad-library/detail/926893054","Open Ad")</f>
        <v>Open Ad</v>
      </c>
      <c r="E525" s="4" t="s">
        <v>91</v>
      </c>
      <c r="F525" s="4" t="s">
        <v>5225</v>
      </c>
      <c r="G525" s="4" t="s">
        <v>5226</v>
      </c>
      <c r="H525" s="4" t="s">
        <v>55</v>
      </c>
      <c r="I525" s="4" t="s">
        <v>1377</v>
      </c>
      <c r="J525" s="4" t="s">
        <v>91</v>
      </c>
      <c r="K525" s="13" t="str">
        <f>HYPERLINK("https://media.licdn.com/dms/image/v2/D4E10AQHo31_2unIkiw/image-shrink_1280/B4EZrAmY_IIwAM-/0/1764167881821?e=2147483647&amp;v=beta&amp;t=9eqLurYyd6w53qMZyPbwThetmMcGsjj9epoOEyeDAAw","Open Creative")</f>
        <v>Open Creative</v>
      </c>
      <c r="L525" s="4" t="s">
        <v>3498</v>
      </c>
      <c r="M525" s="4" t="s">
        <v>63</v>
      </c>
      <c r="N525" s="4" t="s">
        <v>5231</v>
      </c>
      <c r="O525" s="2" t="s">
        <v>132</v>
      </c>
      <c r="P525" s="2">
        <v>9.26893054E8</v>
      </c>
      <c r="Q525" s="2" t="s">
        <v>68</v>
      </c>
      <c r="R525" s="4" t="s">
        <v>5802</v>
      </c>
    </row>
    <row r="526">
      <c r="A526" s="4" t="s">
        <v>44</v>
      </c>
      <c r="B526" s="4" t="s">
        <v>44</v>
      </c>
      <c r="C526" s="4">
        <v>525.0</v>
      </c>
      <c r="D526" s="13" t="str">
        <f>HYPERLINK("https://www.linkedin.com/ad-library/detail/927061704","Open Ad")</f>
        <v>Open Ad</v>
      </c>
      <c r="E526" s="4" t="s">
        <v>91</v>
      </c>
      <c r="F526" s="4" t="s">
        <v>5225</v>
      </c>
      <c r="G526" s="4" t="s">
        <v>5226</v>
      </c>
      <c r="H526" s="4" t="s">
        <v>55</v>
      </c>
      <c r="I526" s="4" t="s">
        <v>1377</v>
      </c>
      <c r="J526" s="4" t="s">
        <v>91</v>
      </c>
      <c r="K526" s="13" t="str">
        <f>HYPERLINK("https://media.licdn.com/dms/image/v2/D4E10AQFJ5KjUdXSRJQ/image-shrink_1280/B4EZrAmON5GoAM-/0/1764167837506?e=2147483647&amp;v=beta&amp;t=PszQMIYIgZawijjeBOpJLLQvlTyP6TEJfEJFuE09mMA","Open Creative")</f>
        <v>Open Creative</v>
      </c>
      <c r="L526" s="4" t="s">
        <v>3498</v>
      </c>
      <c r="M526" s="4" t="s">
        <v>63</v>
      </c>
      <c r="N526" s="4" t="s">
        <v>5231</v>
      </c>
      <c r="O526" s="2" t="s">
        <v>132</v>
      </c>
      <c r="P526" s="2">
        <v>9.27061704E8</v>
      </c>
      <c r="Q526" s="2" t="s">
        <v>68</v>
      </c>
      <c r="R526" s="4" t="s">
        <v>5805</v>
      </c>
    </row>
    <row r="527">
      <c r="A527" s="4" t="s">
        <v>44</v>
      </c>
      <c r="B527" s="4" t="s">
        <v>44</v>
      </c>
      <c r="C527" s="4">
        <v>526.0</v>
      </c>
      <c r="D527" s="13" t="str">
        <f>HYPERLINK("https://www.linkedin.com/ad-library/detail/927061714","Open Ad")</f>
        <v>Open Ad</v>
      </c>
      <c r="E527" s="4" t="s">
        <v>91</v>
      </c>
      <c r="F527" s="4" t="s">
        <v>5225</v>
      </c>
      <c r="G527" s="4" t="s">
        <v>5226</v>
      </c>
      <c r="H527" s="4" t="s">
        <v>55</v>
      </c>
      <c r="I527" s="4" t="s">
        <v>1377</v>
      </c>
      <c r="J527" s="4" t="s">
        <v>91</v>
      </c>
      <c r="K527" s="13" t="str">
        <f>HYPERLINK("https://media.licdn.com/dms/image/v2/D4E10AQFhFnwM-VTYVQ/image-shrink_1280/B4EZrAmTi8KYAQ-/0/1764167859135?e=2147483647&amp;v=beta&amp;t=1nsnaVcJqkF5mmr76_OXQdyI-WAOlzJ-Xwcloo4O0DY","Open Creative")</f>
        <v>Open Creative</v>
      </c>
      <c r="L527" s="4" t="s">
        <v>3498</v>
      </c>
      <c r="M527" s="4" t="s">
        <v>63</v>
      </c>
      <c r="N527" s="4" t="s">
        <v>5231</v>
      </c>
      <c r="O527" s="2" t="s">
        <v>132</v>
      </c>
      <c r="P527" s="2">
        <v>9.27061714E8</v>
      </c>
      <c r="Q527" s="2" t="s">
        <v>68</v>
      </c>
      <c r="R527" s="4" t="s">
        <v>5808</v>
      </c>
    </row>
    <row r="528">
      <c r="A528" s="4" t="s">
        <v>44</v>
      </c>
      <c r="B528" s="4" t="s">
        <v>44</v>
      </c>
      <c r="C528" s="4">
        <v>527.0</v>
      </c>
      <c r="D528" s="13" t="str">
        <f>HYPERLINK("https://www.linkedin.com/ad-library/detail/927061724","Open Ad")</f>
        <v>Open Ad</v>
      </c>
      <c r="E528" s="4" t="s">
        <v>91</v>
      </c>
      <c r="F528" s="4" t="s">
        <v>5225</v>
      </c>
      <c r="G528" s="4" t="s">
        <v>5226</v>
      </c>
      <c r="H528" s="4" t="s">
        <v>55</v>
      </c>
      <c r="I528" s="4" t="s">
        <v>1377</v>
      </c>
      <c r="J528" s="4" t="s">
        <v>91</v>
      </c>
      <c r="K528" s="13" t="str">
        <f>HYPERLINK("https://media.licdn.com/dms/image/v2/D4E10AQHTdUS28RS7Bg/image-shrink_1280/B4EZrAmTuuIQAQ-/0/1764167859657?e=2147483647&amp;v=beta&amp;t=SQwlOlYuax7A4XjpacBQ6vV4NSk0fgeFFZoLBmaL2nc","Open Creative")</f>
        <v>Open Creative</v>
      </c>
      <c r="L528" s="4" t="s">
        <v>3498</v>
      </c>
      <c r="M528" s="4" t="s">
        <v>63</v>
      </c>
      <c r="N528" s="4" t="s">
        <v>5231</v>
      </c>
      <c r="O528" s="2" t="s">
        <v>132</v>
      </c>
      <c r="P528" s="2">
        <v>9.27061724E8</v>
      </c>
      <c r="Q528" s="2" t="s">
        <v>68</v>
      </c>
      <c r="R528" s="4" t="s">
        <v>5811</v>
      </c>
    </row>
    <row r="529">
      <c r="A529" s="4" t="s">
        <v>44</v>
      </c>
      <c r="B529" s="4" t="s">
        <v>44</v>
      </c>
      <c r="C529" s="4">
        <v>528.0</v>
      </c>
      <c r="D529" s="13" t="str">
        <f>HYPERLINK("https://www.linkedin.com/ad-library/detail/927041744","Open Ad")</f>
        <v>Open Ad</v>
      </c>
      <c r="E529" s="4" t="s">
        <v>91</v>
      </c>
      <c r="F529" s="4" t="s">
        <v>5289</v>
      </c>
      <c r="G529" s="4" t="s">
        <v>5290</v>
      </c>
      <c r="H529" s="4" t="s">
        <v>55</v>
      </c>
      <c r="I529" s="4" t="s">
        <v>653</v>
      </c>
      <c r="J529" s="4" t="s">
        <v>91</v>
      </c>
      <c r="K529" s="13" t="str">
        <f>HYPERLINK("https://media.licdn.com/dms/image/v2/D4E10AQGSPl-BWF3-nQ/image-shrink_1280/B4EZrAmTiQKYAM-/0/1764167859310?e=2147483647&amp;v=beta&amp;t=zZejYbKGCLYdDoXSqxwLV7P0nQsqciX2-naAlm-2iVM","Open Creative")</f>
        <v>Open Creative</v>
      </c>
      <c r="L529" s="4" t="s">
        <v>3498</v>
      </c>
      <c r="M529" s="4" t="s">
        <v>63</v>
      </c>
      <c r="N529" s="4" t="s">
        <v>5231</v>
      </c>
      <c r="O529" s="2" t="s">
        <v>132</v>
      </c>
      <c r="P529" s="2">
        <v>9.27041744E8</v>
      </c>
      <c r="Q529" s="2" t="s">
        <v>68</v>
      </c>
      <c r="R529" s="4" t="s">
        <v>5813</v>
      </c>
    </row>
    <row r="530">
      <c r="A530" s="4" t="s">
        <v>44</v>
      </c>
      <c r="B530" s="4" t="s">
        <v>44</v>
      </c>
      <c r="C530" s="4">
        <v>529.0</v>
      </c>
      <c r="D530" s="13" t="str">
        <f>HYPERLINK("https://www.linkedin.com/ad-library/detail/926692504","Open Ad")</f>
        <v>Open Ad</v>
      </c>
      <c r="E530" s="4" t="s">
        <v>91</v>
      </c>
      <c r="F530" s="4" t="s">
        <v>53</v>
      </c>
      <c r="G530" s="4" t="s">
        <v>5816</v>
      </c>
      <c r="H530" s="4" t="s">
        <v>5817</v>
      </c>
      <c r="I530" s="4" t="s">
        <v>272</v>
      </c>
      <c r="J530" s="4" t="s">
        <v>91</v>
      </c>
      <c r="K530" s="13" t="str">
        <f>HYPERLINK("https://media.licdn.com/dms/image/v2/D5622AQH3y53bBSorTQ/feedshare-shrink_1280/B56ZnyfETDIYAw-/0/1760709855322?e=2147483647&amp;v=beta&amp;t=6TscsTd92i0Ni-cwqgFWqh4kRPyFahHf21lTrhKwMac","Open Creative")</f>
        <v>Open Creative</v>
      </c>
      <c r="L530" s="4" t="s">
        <v>62</v>
      </c>
      <c r="M530" s="4" t="s">
        <v>63</v>
      </c>
      <c r="N530" s="4" t="s">
        <v>5818</v>
      </c>
      <c r="O530" s="2" t="s">
        <v>132</v>
      </c>
      <c r="P530" s="2">
        <v>9.26692504E8</v>
      </c>
      <c r="Q530" s="2" t="s">
        <v>68</v>
      </c>
      <c r="R530" s="4" t="s">
        <v>5820</v>
      </c>
    </row>
    <row r="531">
      <c r="A531" s="4" t="s">
        <v>44</v>
      </c>
      <c r="B531" s="4" t="s">
        <v>44</v>
      </c>
      <c r="C531" s="4">
        <v>530.0</v>
      </c>
      <c r="D531" s="13" t="str">
        <f>HYPERLINK("https://www.linkedin.com/ad-library/detail/919626554","Open Ad")</f>
        <v>Open Ad</v>
      </c>
      <c r="E531" s="4" t="s">
        <v>91</v>
      </c>
      <c r="F531" s="4" t="s">
        <v>5822</v>
      </c>
      <c r="G531" s="4" t="s">
        <v>5823</v>
      </c>
      <c r="H531" s="4" t="s">
        <v>55</v>
      </c>
      <c r="I531" s="4" t="s">
        <v>5824</v>
      </c>
      <c r="J531" s="4" t="s">
        <v>91</v>
      </c>
      <c r="K531" s="13" t="str">
        <f>HYPERLINK("https://media.licdn.com/dms/image/v2/D4E10AQEN0cgot0y5YQ/image-shrink_1280/B4EZqX4ei1HEAM-/0/1763484758415/1080x1920SocialPostLinkedInCampaignSEO-1png?e=2147483647&amp;v=beta&amp;t=_omOD6KvJgTcCTYPLWNFYFFNEVo1cXO6uuEHM2WQ3hw","Open Creative")</f>
        <v>Open Creative</v>
      </c>
      <c r="L531" s="4" t="s">
        <v>62</v>
      </c>
      <c r="M531" s="4" t="s">
        <v>63</v>
      </c>
      <c r="N531" s="4" t="s">
        <v>5825</v>
      </c>
      <c r="O531" s="2" t="s">
        <v>132</v>
      </c>
      <c r="P531" s="2">
        <v>9.19626554E8</v>
      </c>
      <c r="Q531" s="2" t="s">
        <v>68</v>
      </c>
      <c r="R531" s="4" t="s">
        <v>5826</v>
      </c>
    </row>
    <row r="532">
      <c r="A532" s="4" t="s">
        <v>44</v>
      </c>
      <c r="B532" s="4" t="s">
        <v>44</v>
      </c>
      <c r="C532" s="4">
        <v>531.0</v>
      </c>
      <c r="D532" s="13" t="str">
        <f>HYPERLINK("https://www.linkedin.com/ad-library/detail/916932384","Open Ad")</f>
        <v>Open Ad</v>
      </c>
      <c r="E532" s="4" t="s">
        <v>91</v>
      </c>
      <c r="F532" s="4" t="s">
        <v>5822</v>
      </c>
      <c r="G532" s="4" t="s">
        <v>5823</v>
      </c>
      <c r="H532" s="4" t="s">
        <v>55</v>
      </c>
      <c r="I532" s="4" t="s">
        <v>5824</v>
      </c>
      <c r="J532" s="4" t="s">
        <v>91</v>
      </c>
      <c r="K532" s="13" t="str">
        <f>HYPERLINK("https://media.licdn.com/dms/image/v2/D4E10AQFsB71aV6k2AQ/image_627_1200/B4DZqX53ZgIkAY-/0/1763485120380/1200x630SocialPostLinkedInCampaignSEO-png?e=2147483647&amp;v=beta&amp;t=mgBQ0xMQqHluR0zzaXAe9U1HbHzlZ7nveZvnhoTHHwM","Open Creative")</f>
        <v>Open Creative</v>
      </c>
      <c r="L532" s="4" t="s">
        <v>62</v>
      </c>
      <c r="M532" s="4" t="s">
        <v>63</v>
      </c>
      <c r="N532" s="4" t="s">
        <v>5829</v>
      </c>
      <c r="O532" s="2" t="s">
        <v>132</v>
      </c>
      <c r="P532" s="2">
        <v>9.16932384E8</v>
      </c>
      <c r="Q532" s="2" t="s">
        <v>68</v>
      </c>
      <c r="R532" s="4" t="s">
        <v>5830</v>
      </c>
    </row>
    <row r="533">
      <c r="A533" s="4" t="s">
        <v>44</v>
      </c>
      <c r="B533" s="4" t="s">
        <v>44</v>
      </c>
      <c r="C533" s="4">
        <v>532.0</v>
      </c>
      <c r="D533" s="13" t="str">
        <f>HYPERLINK("https://www.linkedin.com/ad-library/detail/916723744","Open Ad")</f>
        <v>Open Ad</v>
      </c>
      <c r="E533" s="4" t="s">
        <v>91</v>
      </c>
      <c r="F533" s="4" t="s">
        <v>5822</v>
      </c>
      <c r="G533" s="4" t="s">
        <v>5823</v>
      </c>
      <c r="H533" s="4" t="s">
        <v>55</v>
      </c>
      <c r="I533" s="4" t="s">
        <v>5824</v>
      </c>
      <c r="J533" s="4" t="s">
        <v>91</v>
      </c>
      <c r="K533" s="13" t="str">
        <f>HYPERLINK("https://media.licdn.com/dms/image/v2/D4E10AQEN0cgot0y5YQ/image-shrink_1280/B4EZqX4ei1HEAM-/0/1763484758415/1080x1920SocialPostLinkedInCampaignSEO-1png?e=2147483647&amp;v=beta&amp;t=_omOD6KvJgTcCTYPLWNFYFFNEVo1cXO6uuEHM2WQ3hw","Open Creative")</f>
        <v>Open Creative</v>
      </c>
      <c r="L533" s="4" t="s">
        <v>62</v>
      </c>
      <c r="M533" s="4" t="s">
        <v>63</v>
      </c>
      <c r="N533" s="4" t="s">
        <v>5829</v>
      </c>
      <c r="O533" s="2" t="s">
        <v>132</v>
      </c>
      <c r="P533" s="2">
        <v>9.16723744E8</v>
      </c>
      <c r="Q533" s="2" t="s">
        <v>68</v>
      </c>
      <c r="R533" s="4" t="s">
        <v>5833</v>
      </c>
    </row>
    <row r="534">
      <c r="A534" s="4" t="s">
        <v>44</v>
      </c>
      <c r="B534" s="4" t="s">
        <v>44</v>
      </c>
      <c r="C534" s="4">
        <v>533.0</v>
      </c>
      <c r="D534" s="13" t="str">
        <f>HYPERLINK("https://www.linkedin.com/ad-library/detail/916932374","Open Ad")</f>
        <v>Open Ad</v>
      </c>
      <c r="E534" s="4" t="s">
        <v>91</v>
      </c>
      <c r="F534" s="4" t="s">
        <v>5822</v>
      </c>
      <c r="G534" s="4" t="s">
        <v>5823</v>
      </c>
      <c r="H534" s="4" t="s">
        <v>55</v>
      </c>
      <c r="I534" s="4" t="s">
        <v>5824</v>
      </c>
      <c r="J534" s="4" t="s">
        <v>91</v>
      </c>
      <c r="K534" s="13" t="str">
        <f>HYPERLINK("https://media.licdn.com/dms/image/v2/D4E10AQE3wPe599wZtA/image_627_1200/B56ZqX5360G0AY-/0/1763485122442/1080x565SocialPostLinkedInCampaignSEOpng?e=2147483647&amp;v=beta&amp;t=Rs8t1iur0rDYBPTml_NqUvsR791cex6mIzr8WeV1iHU","Open Creative")</f>
        <v>Open Creative</v>
      </c>
      <c r="L534" s="4" t="s">
        <v>62</v>
      </c>
      <c r="M534" s="4" t="s">
        <v>63</v>
      </c>
      <c r="N534" s="4" t="s">
        <v>5829</v>
      </c>
      <c r="O534" s="2" t="s">
        <v>132</v>
      </c>
      <c r="P534" s="2">
        <v>9.16932374E8</v>
      </c>
      <c r="Q534" s="2" t="s">
        <v>68</v>
      </c>
      <c r="R534" s="4" t="s">
        <v>5836</v>
      </c>
    </row>
    <row r="535">
      <c r="A535" s="4" t="s">
        <v>44</v>
      </c>
      <c r="B535" s="4" t="s">
        <v>44</v>
      </c>
      <c r="C535" s="4">
        <v>534.0</v>
      </c>
      <c r="D535" s="13" t="str">
        <f>HYPERLINK("https://www.linkedin.com/ad-library/detail/916803134","Open Ad")</f>
        <v>Open Ad</v>
      </c>
      <c r="E535" s="4" t="s">
        <v>91</v>
      </c>
      <c r="F535" s="4" t="s">
        <v>5822</v>
      </c>
      <c r="G535" s="4" t="s">
        <v>5823</v>
      </c>
      <c r="H535" s="4" t="s">
        <v>55</v>
      </c>
      <c r="I535" s="4" t="s">
        <v>5824</v>
      </c>
      <c r="J535" s="4" t="s">
        <v>91</v>
      </c>
      <c r="K535" s="13" t="str">
        <f>HYPERLINK("https://media.licdn.com/dms/image/v2/D4E10AQFsB71aV6k2AQ/image_627_1200/B4DZqX53ZgIkAY-/0/1763485120380/1200x630SocialPostLinkedInCampaignSEO-png?e=2147483647&amp;v=beta&amp;t=mgBQ0xMQqHluR0zzaXAe9U1HbHzlZ7nveZvnhoTHHwM","Open Creative")</f>
        <v>Open Creative</v>
      </c>
      <c r="L535" s="4" t="s">
        <v>62</v>
      </c>
      <c r="M535" s="4" t="s">
        <v>63</v>
      </c>
      <c r="N535" s="4" t="s">
        <v>5839</v>
      </c>
      <c r="O535" s="2" t="s">
        <v>132</v>
      </c>
      <c r="P535" s="2">
        <v>9.16803134E8</v>
      </c>
      <c r="Q535" s="2" t="s">
        <v>68</v>
      </c>
      <c r="R535" s="4" t="s">
        <v>5840</v>
      </c>
    </row>
    <row r="536">
      <c r="A536" s="4" t="s">
        <v>44</v>
      </c>
      <c r="B536" s="4" t="s">
        <v>44</v>
      </c>
      <c r="C536" s="4">
        <v>535.0</v>
      </c>
      <c r="D536" s="13" t="str">
        <f>HYPERLINK("https://www.linkedin.com/ad-library/detail/916862824","Open Ad")</f>
        <v>Open Ad</v>
      </c>
      <c r="E536" s="4" t="s">
        <v>91</v>
      </c>
      <c r="F536" s="4" t="s">
        <v>5822</v>
      </c>
      <c r="G536" s="4" t="s">
        <v>5823</v>
      </c>
      <c r="H536" s="4" t="s">
        <v>55</v>
      </c>
      <c r="I536" s="4" t="s">
        <v>5824</v>
      </c>
      <c r="J536" s="4" t="s">
        <v>91</v>
      </c>
      <c r="K536" s="13" t="str">
        <f>HYPERLINK("https://media.licdn.com/dms/image/v2/D4E10AQFOCGJ56bxb4Q/image-shrink_1280/B4EZqX4eieKcAM-/0/1763484757883/1080x1080SocialPostLinkedInCampaignSEO-2png?e=2147483647&amp;v=beta&amp;t=59du5Ln2AEyUfXH_HH0zZsdlV-5LCs3vD59snyV3W2c","Open Creative")</f>
        <v>Open Creative</v>
      </c>
      <c r="L536" s="4" t="s">
        <v>62</v>
      </c>
      <c r="M536" s="4" t="s">
        <v>63</v>
      </c>
      <c r="N536" s="4" t="s">
        <v>5829</v>
      </c>
      <c r="O536" s="2" t="s">
        <v>67</v>
      </c>
      <c r="P536" s="2">
        <v>9.16862824E8</v>
      </c>
      <c r="Q536" s="2" t="s">
        <v>68</v>
      </c>
      <c r="R536" s="4" t="s">
        <v>5843</v>
      </c>
    </row>
    <row r="537">
      <c r="A537" s="4" t="s">
        <v>44</v>
      </c>
      <c r="B537" s="4" t="s">
        <v>44</v>
      </c>
      <c r="C537" s="4">
        <v>536.0</v>
      </c>
      <c r="D537" s="13" t="str">
        <f>HYPERLINK("https://www.linkedin.com/ad-library/detail/916773384","Open Ad")</f>
        <v>Open Ad</v>
      </c>
      <c r="E537" s="4" t="s">
        <v>91</v>
      </c>
      <c r="F537" s="4" t="s">
        <v>5822</v>
      </c>
      <c r="G537" s="4" t="s">
        <v>5823</v>
      </c>
      <c r="H537" s="4" t="s">
        <v>55</v>
      </c>
      <c r="I537" s="4" t="s">
        <v>5824</v>
      </c>
      <c r="J537" s="4" t="s">
        <v>91</v>
      </c>
      <c r="K537" s="13" t="str">
        <f>HYPERLINK("https://media.licdn.com/dms/image/v2/D4E10AQEN0cgot0y5YQ/image-shrink_1280/B4EZqX4ei1HEAM-/0/1763484758415/1080x1920SocialPostLinkedInCampaignSEO-1png?e=2147483647&amp;v=beta&amp;t=_omOD6KvJgTcCTYPLWNFYFFNEVo1cXO6uuEHM2WQ3hw","Open Creative")</f>
        <v>Open Creative</v>
      </c>
      <c r="L537" s="4" t="s">
        <v>62</v>
      </c>
      <c r="M537" s="4" t="s">
        <v>63</v>
      </c>
      <c r="N537" s="4" t="s">
        <v>5839</v>
      </c>
      <c r="O537" s="2" t="s">
        <v>132</v>
      </c>
      <c r="P537" s="2">
        <v>9.16773384E8</v>
      </c>
      <c r="Q537" s="2" t="s">
        <v>68</v>
      </c>
      <c r="R537" s="4" t="s">
        <v>5846</v>
      </c>
    </row>
    <row r="538">
      <c r="A538" s="4" t="s">
        <v>44</v>
      </c>
      <c r="B538" s="4" t="s">
        <v>44</v>
      </c>
      <c r="C538" s="4">
        <v>537.0</v>
      </c>
      <c r="D538" s="13" t="str">
        <f>HYPERLINK("https://www.linkedin.com/ad-library/detail/916773394","Open Ad")</f>
        <v>Open Ad</v>
      </c>
      <c r="E538" s="4" t="s">
        <v>91</v>
      </c>
      <c r="F538" s="4" t="s">
        <v>5822</v>
      </c>
      <c r="G538" s="4" t="s">
        <v>5823</v>
      </c>
      <c r="H538" s="4" t="s">
        <v>55</v>
      </c>
      <c r="I538" s="4" t="s">
        <v>5824</v>
      </c>
      <c r="J538" s="4" t="s">
        <v>91</v>
      </c>
      <c r="K538" s="13" t="str">
        <f>HYPERLINK("https://media.licdn.com/dms/image/v2/D4E10AQE3wPe599wZtA/image_627_1200/B56ZqX5360G0AY-/0/1763485122442/1080x565SocialPostLinkedInCampaignSEOpng?e=2147483647&amp;v=beta&amp;t=Rs8t1iur0rDYBPTml_NqUvsR791cex6mIzr8WeV1iHU","Open Creative")</f>
        <v>Open Creative</v>
      </c>
      <c r="L538" s="4" t="s">
        <v>62</v>
      </c>
      <c r="M538" s="4" t="s">
        <v>63</v>
      </c>
      <c r="N538" s="4" t="s">
        <v>5839</v>
      </c>
      <c r="O538" s="2" t="s">
        <v>132</v>
      </c>
      <c r="P538" s="2">
        <v>9.16773394E8</v>
      </c>
      <c r="Q538" s="2" t="s">
        <v>68</v>
      </c>
      <c r="R538" s="4" t="s">
        <v>5850</v>
      </c>
    </row>
    <row r="539">
      <c r="A539" s="4" t="s">
        <v>44</v>
      </c>
      <c r="B539" s="4" t="s">
        <v>44</v>
      </c>
      <c r="C539" s="4">
        <v>538.0</v>
      </c>
      <c r="D539" s="13" t="str">
        <f>HYPERLINK("https://www.linkedin.com/ad-library/detail/926952254","Open Ad")</f>
        <v>Open Ad</v>
      </c>
      <c r="E539" s="4" t="s">
        <v>91</v>
      </c>
      <c r="F539" s="4" t="s">
        <v>4343</v>
      </c>
      <c r="G539" s="4" t="s">
        <v>4344</v>
      </c>
      <c r="H539" s="4" t="s">
        <v>55</v>
      </c>
      <c r="I539" s="4" t="s">
        <v>4345</v>
      </c>
      <c r="J539" s="4" t="s">
        <v>91</v>
      </c>
      <c r="K539" s="13" t="str">
        <f>HYPERLINK("https://media.licdn.com/dms/image/v2/D4E10AQFrvZlk7xzYGA/image-shrink_1280/B4EZpJH38cGUAM-/0/1762163393376/Analyzeseo_v3png?e=2147483647&amp;v=beta&amp;t=CATIMuw66HtFFmiECmnv7JsWS6ghLh6qWFZVFsLoJFQ","Open Creative")</f>
        <v>Open Creative</v>
      </c>
      <c r="L539" s="4" t="s">
        <v>62</v>
      </c>
      <c r="M539" s="4" t="s">
        <v>63</v>
      </c>
      <c r="N539" s="4" t="s">
        <v>5854</v>
      </c>
      <c r="O539" s="2" t="s">
        <v>132</v>
      </c>
      <c r="P539" s="2">
        <v>9.26952254E8</v>
      </c>
      <c r="Q539" s="2" t="s">
        <v>68</v>
      </c>
      <c r="R539" s="4" t="s">
        <v>5855</v>
      </c>
    </row>
    <row r="540">
      <c r="A540" s="4" t="s">
        <v>44</v>
      </c>
      <c r="B540" s="4" t="s">
        <v>44</v>
      </c>
      <c r="C540" s="4">
        <v>539.0</v>
      </c>
      <c r="D540" s="13" t="str">
        <f>HYPERLINK("https://www.linkedin.com/ad-library/detail/927071204","Open Ad")</f>
        <v>Open Ad</v>
      </c>
      <c r="E540" s="4" t="s">
        <v>91</v>
      </c>
      <c r="F540" s="4" t="s">
        <v>4343</v>
      </c>
      <c r="G540" s="4" t="s">
        <v>4344</v>
      </c>
      <c r="H540" s="4" t="s">
        <v>55</v>
      </c>
      <c r="I540" s="4" t="s">
        <v>4345</v>
      </c>
      <c r="J540" s="4" t="s">
        <v>91</v>
      </c>
      <c r="K540" s="13" t="str">
        <f>HYPERLINK("https://media.licdn.com/dms/image/v2/D4E10AQFiderjHNEmfA/image-shrink_1280/B4EZpJFlyjKMAU-/0/1762162795050/everytoolv1png?e=2147483647&amp;v=beta&amp;t=bKwBE2ciiGznP3B9BVejtsHNaVeRohDadTESyyUQ1fI","Open Creative")</f>
        <v>Open Creative</v>
      </c>
      <c r="L540" s="4" t="s">
        <v>62</v>
      </c>
      <c r="M540" s="4" t="s">
        <v>63</v>
      </c>
      <c r="N540" s="4" t="s">
        <v>5854</v>
      </c>
      <c r="O540" s="2" t="s">
        <v>132</v>
      </c>
      <c r="P540" s="2">
        <v>9.27071204E8</v>
      </c>
      <c r="Q540" s="2" t="s">
        <v>68</v>
      </c>
      <c r="R540" s="4" t="s">
        <v>5858</v>
      </c>
    </row>
    <row r="541">
      <c r="A541" s="4" t="s">
        <v>44</v>
      </c>
      <c r="B541" s="4" t="s">
        <v>44</v>
      </c>
      <c r="C541" s="4">
        <v>540.0</v>
      </c>
      <c r="D541" s="13" t="str">
        <f>HYPERLINK("https://www.linkedin.com/ad-library/detail/926643004","Open Ad")</f>
        <v>Open Ad</v>
      </c>
      <c r="E541" s="4" t="s">
        <v>91</v>
      </c>
      <c r="F541" s="4" t="s">
        <v>53</v>
      </c>
      <c r="G541" s="4" t="s">
        <v>5861</v>
      </c>
      <c r="H541" s="4" t="s">
        <v>55</v>
      </c>
      <c r="I541" s="4" t="s">
        <v>5862</v>
      </c>
      <c r="J541" s="4" t="s">
        <v>91</v>
      </c>
      <c r="K541" s="13" t="str">
        <f>HYPERLINK("https://media.licdn.com/dms/image/v2/D5622AQEMWgZPiLf1gw/feedshare-shrink_1280/B56ZoLeCpkJkAs-/0/1761129029744?e=2147483647&amp;v=beta&amp;t=PBi2w_CraraWstX2lMqUzfRFr22cnK64GBEFMBTzL38","Open Creative")</f>
        <v>Open Creative</v>
      </c>
      <c r="L541" s="4" t="s">
        <v>62</v>
      </c>
      <c r="M541" s="4" t="s">
        <v>63</v>
      </c>
      <c r="N541" s="4" t="s">
        <v>5818</v>
      </c>
      <c r="O541" s="2" t="s">
        <v>132</v>
      </c>
      <c r="P541" s="2">
        <v>9.26643004E8</v>
      </c>
      <c r="Q541" s="2" t="s">
        <v>68</v>
      </c>
      <c r="R541" s="4" t="s">
        <v>5865</v>
      </c>
    </row>
    <row r="542">
      <c r="A542" s="4" t="s">
        <v>44</v>
      </c>
      <c r="B542" s="4" t="s">
        <v>44</v>
      </c>
      <c r="C542" s="4">
        <v>541.0</v>
      </c>
      <c r="D542" s="13" t="str">
        <f>HYPERLINK("https://www.linkedin.com/ad-library/detail/926771934","Open Ad")</f>
        <v>Open Ad</v>
      </c>
      <c r="E542" s="4" t="s">
        <v>91</v>
      </c>
      <c r="F542" s="4" t="s">
        <v>53</v>
      </c>
      <c r="G542" s="4" t="s">
        <v>5867</v>
      </c>
      <c r="H542" s="4" t="s">
        <v>182</v>
      </c>
      <c r="I542" s="4" t="s">
        <v>5868</v>
      </c>
      <c r="J542" s="4" t="s">
        <v>91</v>
      </c>
      <c r="K542" s="13" t="str">
        <f>HYPERLINK("https://media.licdn.com/dms/image/v2/D5622AQH9z1uPArjPTg/feedshare-shrink_1280/B56Zm0ypLwIAAs-/0/1759674800317?e=2147483647&amp;v=beta&amp;t=H_r5dCMJgavZk8cYJQP1WyURb6LOI1o08TDrsPHR0bA","Open Creative")</f>
        <v>Open Creative</v>
      </c>
      <c r="L542" s="4" t="s">
        <v>62</v>
      </c>
      <c r="M542" s="4" t="s">
        <v>63</v>
      </c>
      <c r="N542" s="4" t="s">
        <v>5818</v>
      </c>
      <c r="O542" s="2" t="s">
        <v>132</v>
      </c>
      <c r="P542" s="2">
        <v>9.26771934E8</v>
      </c>
      <c r="Q542" s="2" t="s">
        <v>68</v>
      </c>
      <c r="R542" s="4" t="s">
        <v>5871</v>
      </c>
    </row>
    <row r="543">
      <c r="A543" s="4" t="s">
        <v>44</v>
      </c>
      <c r="B543" s="4" t="s">
        <v>44</v>
      </c>
      <c r="C543" s="4">
        <v>542.0</v>
      </c>
      <c r="D543" s="13" t="str">
        <f>HYPERLINK("https://www.linkedin.com/ad-library/detail/926820264","Open Ad")</f>
        <v>Open Ad</v>
      </c>
      <c r="E543" s="4" t="s">
        <v>91</v>
      </c>
      <c r="F543" s="4" t="s">
        <v>5873</v>
      </c>
      <c r="G543" s="4" t="s">
        <v>5874</v>
      </c>
      <c r="H543" s="4" t="s">
        <v>55</v>
      </c>
      <c r="I543" s="4" t="s">
        <v>5875</v>
      </c>
      <c r="J543" s="4" t="s">
        <v>91</v>
      </c>
      <c r="K543" s="13" t="str">
        <f>HYPERLINK("https://media.licdn.com/dms/image/sync/v2/D4D27AQGaKGz7QqsVpw/articleshare-shrink_1280_800/B4DZql8CilJ4AQ-/0/1763720572553?e=2147483647&amp;v=beta&amp;t=C5JCZkUEZYsSbUzMvnxN9tONIh-Fc1X8vDsuWSRY528","Open Creative")</f>
        <v>Open Creative</v>
      </c>
      <c r="L543" s="4" t="s">
        <v>62</v>
      </c>
      <c r="M543" s="4" t="s">
        <v>63</v>
      </c>
      <c r="N543" s="4" t="s">
        <v>5876</v>
      </c>
      <c r="O543" s="2" t="s">
        <v>132</v>
      </c>
      <c r="P543" s="2">
        <v>9.26820264E8</v>
      </c>
      <c r="Q543" s="2" t="s">
        <v>68</v>
      </c>
      <c r="R543" s="4" t="s">
        <v>5878</v>
      </c>
    </row>
    <row r="544">
      <c r="A544" s="4" t="s">
        <v>44</v>
      </c>
      <c r="B544" s="4" t="s">
        <v>44</v>
      </c>
      <c r="C544" s="4">
        <v>543.0</v>
      </c>
      <c r="D544" s="13" t="str">
        <f>HYPERLINK("https://www.linkedin.com/ad-library/detail/916922624","Open Ad")</f>
        <v>Open Ad</v>
      </c>
      <c r="E544" s="4" t="s">
        <v>91</v>
      </c>
      <c r="F544" s="4" t="s">
        <v>5822</v>
      </c>
      <c r="G544" s="4" t="s">
        <v>5823</v>
      </c>
      <c r="H544" s="4" t="s">
        <v>55</v>
      </c>
      <c r="I544" s="4" t="s">
        <v>5824</v>
      </c>
      <c r="J544" s="4" t="s">
        <v>91</v>
      </c>
      <c r="K544" s="13" t="str">
        <f>HYPERLINK("https://media.licdn.com/dms/image/v2/D4E10AQFVcCHHbZXKVQ/image-shrink_1280/B4EZqX4eiuGcAM-/0/1763484757941/1080x1080SocialPostLinkedInCampaignSEOpng?e=2147483647&amp;v=beta&amp;t=jaJJ3t7h1jaUBHERZFJmEFm39CdCq4aLOU0SWLU79t0","Open Creative")</f>
        <v>Open Creative</v>
      </c>
      <c r="L544" s="4" t="s">
        <v>62</v>
      </c>
      <c r="M544" s="4" t="s">
        <v>63</v>
      </c>
      <c r="N544" s="4" t="s">
        <v>5839</v>
      </c>
      <c r="O544" s="2" t="s">
        <v>132</v>
      </c>
      <c r="P544" s="2">
        <v>9.16922624E8</v>
      </c>
      <c r="Q544" s="2" t="s">
        <v>68</v>
      </c>
      <c r="R544" s="4" t="s">
        <v>5882</v>
      </c>
    </row>
    <row r="545">
      <c r="A545" s="4" t="s">
        <v>44</v>
      </c>
      <c r="B545" s="4" t="s">
        <v>44</v>
      </c>
      <c r="C545" s="4">
        <v>544.0</v>
      </c>
      <c r="D545" s="13" t="str">
        <f>HYPERLINK("https://www.linkedin.com/ad-library/detail/919496254","Open Ad")</f>
        <v>Open Ad</v>
      </c>
      <c r="E545" s="4" t="s">
        <v>91</v>
      </c>
      <c r="F545" s="4" t="s">
        <v>5822</v>
      </c>
      <c r="G545" s="4" t="s">
        <v>5823</v>
      </c>
      <c r="H545" s="4" t="s">
        <v>55</v>
      </c>
      <c r="I545" s="4" t="s">
        <v>5824</v>
      </c>
      <c r="J545" s="4" t="s">
        <v>91</v>
      </c>
      <c r="K545" s="13" t="str">
        <f>HYPERLINK("https://media.licdn.com/dms/image/v2/D4E10AQFsB71aV6k2AQ/image_627_1200/B4DZqX53ZgIkAY-/0/1763485120380/1200x630SocialPostLinkedInCampaignSEO-png?e=2147483647&amp;v=beta&amp;t=mgBQ0xMQqHluR0zzaXAe9U1HbHzlZ7nveZvnhoTHHwM","Open Creative")</f>
        <v>Open Creative</v>
      </c>
      <c r="L545" s="4" t="s">
        <v>62</v>
      </c>
      <c r="M545" s="4" t="s">
        <v>63</v>
      </c>
      <c r="N545" s="4" t="s">
        <v>5885</v>
      </c>
      <c r="O545" s="2" t="s">
        <v>132</v>
      </c>
      <c r="P545" s="2">
        <v>9.19496254E8</v>
      </c>
      <c r="Q545" s="2" t="s">
        <v>68</v>
      </c>
      <c r="R545" s="4" t="s">
        <v>5886</v>
      </c>
    </row>
    <row r="546">
      <c r="A546" s="4" t="s">
        <v>44</v>
      </c>
      <c r="B546" s="4" t="s">
        <v>44</v>
      </c>
      <c r="C546" s="4">
        <v>545.0</v>
      </c>
      <c r="D546" s="13" t="str">
        <f>HYPERLINK("https://www.linkedin.com/ad-library/detail/926972034","Open Ad")</f>
        <v>Open Ad</v>
      </c>
      <c r="E546" s="4" t="s">
        <v>91</v>
      </c>
      <c r="F546" s="4" t="s">
        <v>4343</v>
      </c>
      <c r="G546" s="4" t="s">
        <v>4344</v>
      </c>
      <c r="H546" s="4" t="s">
        <v>55</v>
      </c>
      <c r="I546" s="4" t="s">
        <v>4345</v>
      </c>
      <c r="J546" s="4" t="s">
        <v>91</v>
      </c>
      <c r="K546" s="13" t="str">
        <f>HYPERLINK("https://media.licdn.com/dms/image/v2/D4E10AQGNmJRJ2AaL9Q/image-shrink_1280/B4EZpJHOAlHEAM-/0/1762163221668/Cutmanual_v2png?e=2147483647&amp;v=beta&amp;t=87pX_7WdH1CEMUq0dRJqOLWJH_BHpsYtrJK-SbFSvIA","Open Creative")</f>
        <v>Open Creative</v>
      </c>
      <c r="L546" s="4" t="s">
        <v>62</v>
      </c>
      <c r="M546" s="4" t="s">
        <v>63</v>
      </c>
      <c r="N546" s="4" t="s">
        <v>5854</v>
      </c>
      <c r="O546" s="2" t="s">
        <v>132</v>
      </c>
      <c r="P546" s="2">
        <v>9.26972034E8</v>
      </c>
      <c r="Q546" s="2" t="s">
        <v>68</v>
      </c>
      <c r="R546" s="4" t="s">
        <v>5889</v>
      </c>
    </row>
    <row r="547">
      <c r="A547" s="4" t="s">
        <v>44</v>
      </c>
      <c r="B547" s="4" t="s">
        <v>44</v>
      </c>
      <c r="C547" s="4">
        <v>546.0</v>
      </c>
      <c r="D547" s="13" t="str">
        <f>HYPERLINK("https://www.linkedin.com/ad-library/detail/919616234","Open Ad")</f>
        <v>Open Ad</v>
      </c>
      <c r="E547" s="4" t="s">
        <v>91</v>
      </c>
      <c r="F547" s="4" t="s">
        <v>5822</v>
      </c>
      <c r="G547" s="4" t="s">
        <v>5823</v>
      </c>
      <c r="H547" s="4" t="s">
        <v>55</v>
      </c>
      <c r="I547" s="4" t="s">
        <v>5824</v>
      </c>
      <c r="J547" s="4" t="s">
        <v>91</v>
      </c>
      <c r="K547" s="13" t="str">
        <f>HYPERLINK("https://media.licdn.com/dms/image/v2/D4E10AQFOCGJ56bxb4Q/image-shrink_1280/B4EZqX4eieKcAM-/0/1763484757883/1080x1080SocialPostLinkedInCampaignSEO-2png?e=2147483647&amp;v=beta&amp;t=59du5Ln2AEyUfXH_HH0zZsdlV-5LCs3vD59snyV3W2c","Open Creative")</f>
        <v>Open Creative</v>
      </c>
      <c r="L547" s="4" t="s">
        <v>62</v>
      </c>
      <c r="M547" s="4" t="s">
        <v>63</v>
      </c>
      <c r="N547" s="4" t="s">
        <v>5885</v>
      </c>
      <c r="O547" s="2" t="s">
        <v>132</v>
      </c>
      <c r="P547" s="2">
        <v>9.19616234E8</v>
      </c>
      <c r="Q547" s="2" t="s">
        <v>68</v>
      </c>
      <c r="R547" s="4" t="s">
        <v>5894</v>
      </c>
    </row>
    <row r="548">
      <c r="A548" s="4" t="s">
        <v>44</v>
      </c>
      <c r="B548" s="4" t="s">
        <v>44</v>
      </c>
      <c r="C548" s="4">
        <v>547.0</v>
      </c>
      <c r="D548" s="13" t="str">
        <f>HYPERLINK("https://www.linkedin.com/ad-library/detail/926892934","Open Ad")</f>
        <v>Open Ad</v>
      </c>
      <c r="E548" s="4" t="s">
        <v>91</v>
      </c>
      <c r="F548" s="4" t="s">
        <v>4343</v>
      </c>
      <c r="G548" s="4" t="s">
        <v>4344</v>
      </c>
      <c r="H548" s="4" t="s">
        <v>55</v>
      </c>
      <c r="I548" s="4" t="s">
        <v>4345</v>
      </c>
      <c r="J548" s="4" t="s">
        <v>91</v>
      </c>
      <c r="K548" s="13" t="str">
        <f>HYPERLINK("https://media.licdn.com/dms/image/v2/D4E10AQFALTRYA2PG2g/image-shrink_1280/B4EZpJHOAqIQAM-/0/1762163221643/Everytool_v2png?e=2147483647&amp;v=beta&amp;t=OdIyyNqQeBQAfaHOYFSuH72yURT95HgluqQnSEps6CM","Open Creative")</f>
        <v>Open Creative</v>
      </c>
      <c r="L548" s="4" t="s">
        <v>62</v>
      </c>
      <c r="M548" s="4" t="s">
        <v>63</v>
      </c>
      <c r="N548" s="4" t="s">
        <v>5854</v>
      </c>
      <c r="O548" s="2" t="s">
        <v>132</v>
      </c>
      <c r="P548" s="2">
        <v>9.26892934E8</v>
      </c>
      <c r="Q548" s="2" t="s">
        <v>68</v>
      </c>
      <c r="R548" s="4" t="s">
        <v>5897</v>
      </c>
    </row>
    <row r="549">
      <c r="A549" s="4" t="s">
        <v>44</v>
      </c>
      <c r="B549" s="4" t="s">
        <v>44</v>
      </c>
      <c r="C549" s="4">
        <v>548.0</v>
      </c>
      <c r="D549" s="13" t="str">
        <f>HYPERLINK("https://www.linkedin.com/ad-library/detail/916852824","Open Ad")</f>
        <v>Open Ad</v>
      </c>
      <c r="E549" s="4" t="s">
        <v>91</v>
      </c>
      <c r="F549" s="4" t="s">
        <v>5822</v>
      </c>
      <c r="G549" s="4" t="s">
        <v>5823</v>
      </c>
      <c r="H549" s="4" t="s">
        <v>55</v>
      </c>
      <c r="I549" s="4" t="s">
        <v>5824</v>
      </c>
      <c r="J549" s="4" t="s">
        <v>91</v>
      </c>
      <c r="K549" s="13" t="str">
        <f>HYPERLINK("https://media.licdn.com/dms/image/v2/D4E10AQFVcCHHbZXKVQ/image-shrink_1280/B4EZqX4eiuGcAM-/0/1763484757941/1080x1080SocialPostLinkedInCampaignSEOpng?e=2147483647&amp;v=beta&amp;t=jaJJ3t7h1jaUBHERZFJmEFm39CdCq4aLOU0SWLU79t0","Open Creative")</f>
        <v>Open Creative</v>
      </c>
      <c r="L549" s="4" t="s">
        <v>62</v>
      </c>
      <c r="M549" s="4" t="s">
        <v>63</v>
      </c>
      <c r="N549" s="4" t="s">
        <v>5829</v>
      </c>
      <c r="O549" s="2" t="s">
        <v>132</v>
      </c>
      <c r="P549" s="2">
        <v>9.16852824E8</v>
      </c>
      <c r="Q549" s="2" t="s">
        <v>68</v>
      </c>
      <c r="R549" s="4" t="s">
        <v>5898</v>
      </c>
    </row>
    <row r="550">
      <c r="A550" s="4" t="s">
        <v>44</v>
      </c>
      <c r="B550" s="4" t="s">
        <v>44</v>
      </c>
      <c r="C550" s="4">
        <v>549.0</v>
      </c>
      <c r="D550" s="13" t="str">
        <f>HYPERLINK("https://www.linkedin.com/ad-library/detail/926952244","Open Ad")</f>
        <v>Open Ad</v>
      </c>
      <c r="E550" s="4" t="s">
        <v>91</v>
      </c>
      <c r="F550" s="4" t="s">
        <v>4343</v>
      </c>
      <c r="G550" s="4" t="s">
        <v>4344</v>
      </c>
      <c r="H550" s="4" t="s">
        <v>55</v>
      </c>
      <c r="I550" s="4" t="s">
        <v>4345</v>
      </c>
      <c r="J550" s="4" t="s">
        <v>91</v>
      </c>
      <c r="K550" s="13" t="str">
        <f>HYPERLINK("https://media.licdn.com/dms/image/v2/D4E10AQG3mhPj4Jq23A/image-shrink_1280/B4EZpJFlyfHMAM-/0/1762162795167/analyzeseov1png?e=2147483647&amp;v=beta&amp;t=PMyvpJXJb7kPV-WN8Hin_f-lkjdHOg6FfkPXWnbLzqM","Open Creative")</f>
        <v>Open Creative</v>
      </c>
      <c r="L550" s="4" t="s">
        <v>62</v>
      </c>
      <c r="M550" s="4" t="s">
        <v>63</v>
      </c>
      <c r="N550" s="4" t="s">
        <v>5854</v>
      </c>
      <c r="O550" s="2" t="s">
        <v>132</v>
      </c>
      <c r="P550" s="2">
        <v>9.26952244E8</v>
      </c>
      <c r="Q550" s="2" t="s">
        <v>68</v>
      </c>
      <c r="R550" s="4" t="s">
        <v>5901</v>
      </c>
    </row>
    <row r="551">
      <c r="A551" s="4" t="s">
        <v>44</v>
      </c>
      <c r="B551" s="4" t="s">
        <v>44</v>
      </c>
      <c r="C551" s="4">
        <v>550.0</v>
      </c>
      <c r="D551" s="13" t="str">
        <f>HYPERLINK("https://www.linkedin.com/ad-library/detail/919476434","Open Ad")</f>
        <v>Open Ad</v>
      </c>
      <c r="E551" s="4" t="s">
        <v>91</v>
      </c>
      <c r="F551" s="4" t="s">
        <v>5822</v>
      </c>
      <c r="G551" s="4" t="s">
        <v>5823</v>
      </c>
      <c r="H551" s="4" t="s">
        <v>55</v>
      </c>
      <c r="I551" s="4" t="s">
        <v>5824</v>
      </c>
      <c r="J551" s="4" t="s">
        <v>91</v>
      </c>
      <c r="K551" s="13" t="str">
        <f>HYPERLINK("https://media.licdn.com/dms/image/v2/D4E10AQE3wPe599wZtA/image_627_1200/B56ZqX5360G0AY-/0/1763485122442/1080x565SocialPostLinkedInCampaignSEOpng?e=2147483647&amp;v=beta&amp;t=Rs8t1iur0rDYBPTml_NqUvsR791cex6mIzr8WeV1iHU","Open Creative")</f>
        <v>Open Creative</v>
      </c>
      <c r="L551" s="4" t="s">
        <v>62</v>
      </c>
      <c r="M551" s="4" t="s">
        <v>63</v>
      </c>
      <c r="N551" s="4" t="s">
        <v>5885</v>
      </c>
      <c r="O551" s="2" t="s">
        <v>132</v>
      </c>
      <c r="P551" s="2">
        <v>9.19476434E8</v>
      </c>
      <c r="Q551" s="2" t="s">
        <v>68</v>
      </c>
      <c r="R551" s="4" t="s">
        <v>5905</v>
      </c>
    </row>
    <row r="552">
      <c r="A552" s="4" t="s">
        <v>44</v>
      </c>
      <c r="B552" s="4" t="s">
        <v>44</v>
      </c>
      <c r="C552" s="4">
        <v>551.0</v>
      </c>
      <c r="D552" s="13" t="str">
        <f>HYPERLINK("https://www.linkedin.com/ad-library/detail/919666124","Open Ad")</f>
        <v>Open Ad</v>
      </c>
      <c r="E552" s="4" t="s">
        <v>91</v>
      </c>
      <c r="F552" s="4" t="s">
        <v>5822</v>
      </c>
      <c r="G552" s="4" t="s">
        <v>5823</v>
      </c>
      <c r="H552" s="4" t="s">
        <v>55</v>
      </c>
      <c r="I552" s="4" t="s">
        <v>5824</v>
      </c>
      <c r="J552" s="4" t="s">
        <v>91</v>
      </c>
      <c r="K552" s="13" t="str">
        <f>HYPERLINK("https://media.licdn.com/dms/image/v2/D4E10AQFVcCHHbZXKVQ/image-shrink_1280/B4EZqX4eiuGcAM-/0/1763484757941/1080x1080SocialPostLinkedInCampaignSEOpng?e=2147483647&amp;v=beta&amp;t=jaJJ3t7h1jaUBHERZFJmEFm39CdCq4aLOU0SWLU79t0","Open Creative")</f>
        <v>Open Creative</v>
      </c>
      <c r="L552" s="4" t="s">
        <v>62</v>
      </c>
      <c r="M552" s="4" t="s">
        <v>63</v>
      </c>
      <c r="N552" s="4" t="s">
        <v>5825</v>
      </c>
      <c r="O552" s="2" t="s">
        <v>132</v>
      </c>
      <c r="P552" s="2">
        <v>9.19666124E8</v>
      </c>
      <c r="Q552" s="2" t="s">
        <v>68</v>
      </c>
      <c r="R552" s="4" t="s">
        <v>5909</v>
      </c>
    </row>
    <row r="553">
      <c r="A553" s="4" t="s">
        <v>44</v>
      </c>
      <c r="B553" s="4" t="s">
        <v>44</v>
      </c>
      <c r="C553" s="4">
        <v>552.0</v>
      </c>
      <c r="D553" s="13" t="str">
        <f>HYPERLINK("https://www.linkedin.com/ad-library/detail/916872794","Open Ad")</f>
        <v>Open Ad</v>
      </c>
      <c r="E553" s="4" t="s">
        <v>91</v>
      </c>
      <c r="F553" s="4" t="s">
        <v>5822</v>
      </c>
      <c r="G553" s="4" t="s">
        <v>5823</v>
      </c>
      <c r="H553" s="4" t="s">
        <v>55</v>
      </c>
      <c r="I553" s="4" t="s">
        <v>5824</v>
      </c>
      <c r="J553" s="4" t="s">
        <v>91</v>
      </c>
      <c r="K553" s="13" t="str">
        <f>HYPERLINK("https://media.licdn.com/dms/image/v2/D4E10AQFOCGJ56bxb4Q/image-shrink_1280/B4EZqX4eieKcAM-/0/1763484757883/1080x1080SocialPostLinkedInCampaignSEO-2png?e=2147483647&amp;v=beta&amp;t=59du5Ln2AEyUfXH_HH0zZsdlV-5LCs3vD59snyV3W2c","Open Creative")</f>
        <v>Open Creative</v>
      </c>
      <c r="L553" s="4" t="s">
        <v>62</v>
      </c>
      <c r="M553" s="4" t="s">
        <v>63</v>
      </c>
      <c r="N553" s="4" t="s">
        <v>5911</v>
      </c>
      <c r="O553" s="2" t="s">
        <v>132</v>
      </c>
      <c r="P553" s="2">
        <v>9.16872794E8</v>
      </c>
      <c r="Q553" s="2" t="s">
        <v>68</v>
      </c>
      <c r="R553" s="4" t="s">
        <v>5913</v>
      </c>
    </row>
    <row r="554">
      <c r="A554" s="4" t="s">
        <v>44</v>
      </c>
      <c r="B554" s="4" t="s">
        <v>44</v>
      </c>
      <c r="C554" s="4">
        <v>553.0</v>
      </c>
      <c r="D554" s="13" t="str">
        <f>HYPERLINK("https://www.linkedin.com/ad-library/detail/896162584","Open Ad")</f>
        <v>Open Ad</v>
      </c>
      <c r="E554" s="4" t="s">
        <v>91</v>
      </c>
      <c r="F554" s="4" t="s">
        <v>5916</v>
      </c>
      <c r="G554" s="4" t="s">
        <v>5917</v>
      </c>
      <c r="H554" s="4" t="s">
        <v>55</v>
      </c>
      <c r="I554" s="4" t="s">
        <v>228</v>
      </c>
      <c r="J554" s="4" t="s">
        <v>91</v>
      </c>
      <c r="K554" s="13" t="str">
        <f>HYPERLINK("https://media.licdn.com/dms/image/v2/D4E10AQEcNu0i_bMVzQ/image-shrink_1280/B4EZpytXrpHEAQ-/0/1762861088619/PaidMediaAdditionalAsset2png?e=2147483647&amp;v=beta&amp;t=_8pE7nDX2HV34gCCx7cZ3h8YNe7KUn4VxV9rgXngfGg","Open Creative")</f>
        <v>Open Creative</v>
      </c>
      <c r="L554" s="4" t="s">
        <v>62</v>
      </c>
      <c r="M554" s="4" t="s">
        <v>63</v>
      </c>
      <c r="N554" s="4" t="s">
        <v>5918</v>
      </c>
      <c r="O554" s="2" t="s">
        <v>132</v>
      </c>
      <c r="P554" s="2">
        <v>8.96162584E8</v>
      </c>
      <c r="Q554" s="2" t="s">
        <v>68</v>
      </c>
      <c r="R554" s="4" t="s">
        <v>5920</v>
      </c>
    </row>
    <row r="555">
      <c r="A555" s="4" t="s">
        <v>44</v>
      </c>
      <c r="B555" s="4" t="s">
        <v>44</v>
      </c>
      <c r="C555" s="4">
        <v>554.0</v>
      </c>
      <c r="D555" s="13" t="str">
        <f>HYPERLINK("https://www.linkedin.com/ad-library/detail/906406704","Open Ad")</f>
        <v>Open Ad</v>
      </c>
      <c r="E555" s="4" t="s">
        <v>91</v>
      </c>
      <c r="F555" s="4" t="s">
        <v>5238</v>
      </c>
      <c r="G555" s="4" t="s">
        <v>5239</v>
      </c>
      <c r="H555" s="4" t="s">
        <v>55</v>
      </c>
      <c r="I555" s="4" t="s">
        <v>5240</v>
      </c>
      <c r="J555" s="4" t="s">
        <v>91</v>
      </c>
      <c r="K555" s="13" t="str">
        <f>HYPERLINK("https://media.licdn.com/dms/image/v2/D4E10AQHwN_0BBPz2PA/image-shrink_1280/B4EZp3c7r0KoAM-/0/1762940665717/1080x10803png?e=2147483647&amp;v=beta&amp;t=WsnMIAk6vds0IX_Ey5rc9dJUB4HqZTOZIvb3CLNIFOo","Open Creative")</f>
        <v>Open Creative</v>
      </c>
      <c r="L555" s="4" t="s">
        <v>62</v>
      </c>
      <c r="M555" s="4" t="s">
        <v>63</v>
      </c>
      <c r="N555" s="4" t="s">
        <v>5924</v>
      </c>
      <c r="O555" s="2" t="s">
        <v>132</v>
      </c>
      <c r="P555" s="2">
        <v>9.06406704E8</v>
      </c>
      <c r="Q555" s="2" t="s">
        <v>68</v>
      </c>
      <c r="R555" s="4" t="s">
        <v>5925</v>
      </c>
    </row>
    <row r="556">
      <c r="A556" s="4" t="s">
        <v>44</v>
      </c>
      <c r="B556" s="4" t="s">
        <v>44</v>
      </c>
      <c r="C556" s="4">
        <v>555.0</v>
      </c>
      <c r="D556" s="13" t="str">
        <f>HYPERLINK("https://www.linkedin.com/ad-library/detail/906536014","Open Ad")</f>
        <v>Open Ad</v>
      </c>
      <c r="E556" s="4" t="s">
        <v>91</v>
      </c>
      <c r="F556" s="4" t="s">
        <v>5238</v>
      </c>
      <c r="G556" s="4" t="s">
        <v>5239</v>
      </c>
      <c r="H556" s="4" t="s">
        <v>55</v>
      </c>
      <c r="I556" s="4" t="s">
        <v>5240</v>
      </c>
      <c r="J556" s="4" t="s">
        <v>91</v>
      </c>
      <c r="K556" s="13" t="str">
        <f>HYPERLINK("https://media.licdn.com/dms/image/v2/D4E10AQEbg0Bmp-0ByA/image-shrink_1280/B4EZp3cw0WGUAU-/0/1762940620977/1080x10801png?e=2147483647&amp;v=beta&amp;t=wXm6L7Z81sI9Y5Sxu8KYIZEVsNzBlRvwFSwR-pCzBLQ","Open Creative")</f>
        <v>Open Creative</v>
      </c>
      <c r="L556" s="4" t="s">
        <v>62</v>
      </c>
      <c r="M556" s="4" t="s">
        <v>63</v>
      </c>
      <c r="N556" s="4" t="s">
        <v>5924</v>
      </c>
      <c r="O556" s="2" t="s">
        <v>132</v>
      </c>
      <c r="P556" s="2">
        <v>9.06536014E8</v>
      </c>
      <c r="Q556" s="2" t="s">
        <v>68</v>
      </c>
      <c r="R556" s="4" t="s">
        <v>5928</v>
      </c>
    </row>
    <row r="557">
      <c r="A557" s="4" t="s">
        <v>44</v>
      </c>
      <c r="B557" s="4" t="s">
        <v>44</v>
      </c>
      <c r="C557" s="4">
        <v>556.0</v>
      </c>
      <c r="D557" s="13" t="str">
        <f>HYPERLINK("https://www.linkedin.com/ad-library/detail/906585924","Open Ad")</f>
        <v>Open Ad</v>
      </c>
      <c r="E557" s="4" t="s">
        <v>91</v>
      </c>
      <c r="F557" s="4" t="s">
        <v>5256</v>
      </c>
      <c r="G557" s="4" t="s">
        <v>5257</v>
      </c>
      <c r="H557" s="4" t="s">
        <v>55</v>
      </c>
      <c r="I557" s="4" t="s">
        <v>2767</v>
      </c>
      <c r="J557" s="4" t="s">
        <v>91</v>
      </c>
      <c r="K557" s="13" t="str">
        <f>HYPERLINK("https://media.licdn.com/dms/image/v2/D4E10AQEhl1xuexBSeQ/image-shrink_1280/B4EZp3cmUZHcAM-/0/1762940578000/1080x1080png?e=2147483647&amp;v=beta&amp;t=MCYE-UbJnIioDCbmlNbIXaXtPgvSQ15a7mHBuAzGymc","Open Creative")</f>
        <v>Open Creative</v>
      </c>
      <c r="L557" s="4" t="s">
        <v>62</v>
      </c>
      <c r="M557" s="4" t="s">
        <v>63</v>
      </c>
      <c r="N557" s="4" t="s">
        <v>5924</v>
      </c>
      <c r="O557" s="2" t="s">
        <v>132</v>
      </c>
      <c r="P557" s="2">
        <v>9.06585924E8</v>
      </c>
      <c r="Q557" s="2" t="s">
        <v>68</v>
      </c>
      <c r="R557" s="4" t="s">
        <v>5931</v>
      </c>
    </row>
    <row r="558">
      <c r="A558" s="4" t="s">
        <v>44</v>
      </c>
      <c r="B558" s="4" t="s">
        <v>44</v>
      </c>
      <c r="C558" s="4">
        <v>557.0</v>
      </c>
      <c r="D558" s="13" t="str">
        <f>HYPERLINK("https://www.linkedin.com/ad-library/detail/906536024","Open Ad")</f>
        <v>Open Ad</v>
      </c>
      <c r="E558" s="4" t="s">
        <v>91</v>
      </c>
      <c r="F558" s="4" t="s">
        <v>5256</v>
      </c>
      <c r="G558" s="4" t="s">
        <v>5257</v>
      </c>
      <c r="H558" s="4" t="s">
        <v>55</v>
      </c>
      <c r="I558" s="4" t="s">
        <v>2767</v>
      </c>
      <c r="J558" s="4" t="s">
        <v>91</v>
      </c>
      <c r="K558" s="13" t="str">
        <f>HYPERLINK("https://media.licdn.com/dms/image/v2/D4E10AQEbg0Bmp-0ByA/image-shrink_1280/B4EZp3cw0WGUAU-/0/1762940620977/1080x10801png?e=2147483647&amp;v=beta&amp;t=wXm6L7Z81sI9Y5Sxu8KYIZEVsNzBlRvwFSwR-pCzBLQ","Open Creative")</f>
        <v>Open Creative</v>
      </c>
      <c r="L558" s="4" t="s">
        <v>62</v>
      </c>
      <c r="M558" s="4" t="s">
        <v>63</v>
      </c>
      <c r="N558" s="4" t="s">
        <v>5924</v>
      </c>
      <c r="O558" s="2" t="s">
        <v>132</v>
      </c>
      <c r="P558" s="2">
        <v>9.06536024E8</v>
      </c>
      <c r="Q558" s="2" t="s">
        <v>68</v>
      </c>
      <c r="R558" s="4" t="s">
        <v>5934</v>
      </c>
    </row>
    <row r="559">
      <c r="A559" s="4" t="s">
        <v>44</v>
      </c>
      <c r="B559" s="4" t="s">
        <v>44</v>
      </c>
      <c r="C559" s="4">
        <v>558.0</v>
      </c>
      <c r="D559" s="13" t="str">
        <f>HYPERLINK("https://www.linkedin.com/ad-library/detail/906386214","Open Ad")</f>
        <v>Open Ad</v>
      </c>
      <c r="E559" s="4" t="s">
        <v>91</v>
      </c>
      <c r="F559" s="4" t="s">
        <v>5238</v>
      </c>
      <c r="G559" s="4" t="s">
        <v>5239</v>
      </c>
      <c r="H559" s="4" t="s">
        <v>55</v>
      </c>
      <c r="I559" s="4" t="s">
        <v>5240</v>
      </c>
      <c r="J559" s="4" t="s">
        <v>91</v>
      </c>
      <c r="K559" s="13" t="str">
        <f>HYPERLINK("https://media.licdn.com/dms/image/v2/D4E10AQEhl1xuexBSeQ/image-shrink_1280/B4EZp3cmUZHcAM-/0/1762940578000/1080x1080png?e=2147483647&amp;v=beta&amp;t=MCYE-UbJnIioDCbmlNbIXaXtPgvSQ15a7mHBuAzGymc","Open Creative")</f>
        <v>Open Creative</v>
      </c>
      <c r="L559" s="4" t="s">
        <v>62</v>
      </c>
      <c r="M559" s="4" t="s">
        <v>63</v>
      </c>
      <c r="N559" s="4" t="s">
        <v>5924</v>
      </c>
      <c r="O559" s="2" t="s">
        <v>132</v>
      </c>
      <c r="P559" s="2">
        <v>9.06386214E8</v>
      </c>
      <c r="Q559" s="2" t="s">
        <v>68</v>
      </c>
      <c r="R559" s="4" t="s">
        <v>5939</v>
      </c>
    </row>
    <row r="560">
      <c r="A560" s="4" t="s">
        <v>44</v>
      </c>
      <c r="B560" s="4" t="s">
        <v>44</v>
      </c>
      <c r="C560" s="4">
        <v>559.0</v>
      </c>
      <c r="D560" s="13" t="str">
        <f>HYPERLINK("https://www.linkedin.com/ad-library/detail/906232624","Open Ad")</f>
        <v>Open Ad</v>
      </c>
      <c r="E560" s="4" t="s">
        <v>91</v>
      </c>
      <c r="F560" s="4" t="s">
        <v>5941</v>
      </c>
      <c r="G560" s="4" t="s">
        <v>5942</v>
      </c>
      <c r="H560" s="4" t="s">
        <v>55</v>
      </c>
      <c r="I560" s="4" t="s">
        <v>272</v>
      </c>
      <c r="J560" s="4" t="s">
        <v>91</v>
      </c>
      <c r="K560" s="13" t="str">
        <f t="shared" ref="K560:K561" si="4">HYPERLINK("https://media.licdn.com/dms/image/v2/D4E10AQFbOlxL8OSWJg/image-shrink_1280/B4EZpytqMUKoAM-/0/1762861164416/PaidMediaAdditionalAsset1png?e=2147483647&amp;v=beta&amp;t=ViS8VOKSfPTUYnQbQHAzlbMWJvIAUFQVB5ckRIPIezs","Open Creative")</f>
        <v>Open Creative</v>
      </c>
      <c r="L560" s="4" t="s">
        <v>62</v>
      </c>
      <c r="M560" s="4" t="s">
        <v>63</v>
      </c>
      <c r="N560" s="4" t="s">
        <v>5918</v>
      </c>
      <c r="O560" s="2" t="s">
        <v>132</v>
      </c>
      <c r="P560" s="2">
        <v>9.06232624E8</v>
      </c>
      <c r="Q560" s="2" t="s">
        <v>68</v>
      </c>
      <c r="R560" s="4" t="s">
        <v>5944</v>
      </c>
    </row>
    <row r="561">
      <c r="A561" s="4" t="s">
        <v>44</v>
      </c>
      <c r="B561" s="4" t="s">
        <v>44</v>
      </c>
      <c r="C561" s="4">
        <v>560.0</v>
      </c>
      <c r="D561" s="13" t="str">
        <f>HYPERLINK("https://www.linkedin.com/ad-library/detail/906212174","Open Ad")</f>
        <v>Open Ad</v>
      </c>
      <c r="E561" s="4" t="s">
        <v>91</v>
      </c>
      <c r="F561" s="4" t="s">
        <v>5941</v>
      </c>
      <c r="G561" s="4" t="s">
        <v>5942</v>
      </c>
      <c r="H561" s="4" t="s">
        <v>55</v>
      </c>
      <c r="I561" s="4" t="s">
        <v>272</v>
      </c>
      <c r="J561" s="4" t="s">
        <v>91</v>
      </c>
      <c r="K561" s="13" t="str">
        <f t="shared" si="4"/>
        <v>Open Creative</v>
      </c>
      <c r="L561" s="4" t="s">
        <v>62</v>
      </c>
      <c r="M561" s="4" t="s">
        <v>63</v>
      </c>
      <c r="N561" s="4" t="s">
        <v>5947</v>
      </c>
      <c r="O561" s="2" t="s">
        <v>132</v>
      </c>
      <c r="P561" s="2">
        <v>9.06212174E8</v>
      </c>
      <c r="Q561" s="2" t="s">
        <v>68</v>
      </c>
      <c r="R561" s="4" t="s">
        <v>5949</v>
      </c>
    </row>
    <row r="562">
      <c r="A562" s="4" t="s">
        <v>44</v>
      </c>
      <c r="B562" s="4" t="s">
        <v>44</v>
      </c>
      <c r="C562" s="4">
        <v>561.0</v>
      </c>
      <c r="D562" s="13" t="str">
        <f>HYPERLINK("https://www.linkedin.com/ad-library/detail/906386224","Open Ad")</f>
        <v>Open Ad</v>
      </c>
      <c r="E562" s="4" t="s">
        <v>91</v>
      </c>
      <c r="F562" s="4" t="s">
        <v>5256</v>
      </c>
      <c r="G562" s="4" t="s">
        <v>5257</v>
      </c>
      <c r="H562" s="4" t="s">
        <v>55</v>
      </c>
      <c r="I562" s="4" t="s">
        <v>2767</v>
      </c>
      <c r="J562" s="4" t="s">
        <v>91</v>
      </c>
      <c r="K562" s="13" t="str">
        <f>HYPERLINK("https://media.licdn.com/dms/image/v2/D4E10AQHwN_0BBPz2PA/image-shrink_1280/B4EZp3c7r0KoAM-/0/1762940665717/1080x10803png?e=2147483647&amp;v=beta&amp;t=WsnMIAk6vds0IX_Ey5rc9dJUB4HqZTOZIvb3CLNIFOo","Open Creative")</f>
        <v>Open Creative</v>
      </c>
      <c r="L562" s="4" t="s">
        <v>62</v>
      </c>
      <c r="M562" s="4" t="s">
        <v>63</v>
      </c>
      <c r="N562" s="4" t="s">
        <v>5924</v>
      </c>
      <c r="O562" s="2" t="s">
        <v>132</v>
      </c>
      <c r="P562" s="2">
        <v>9.06386224E8</v>
      </c>
      <c r="Q562" s="2" t="s">
        <v>68</v>
      </c>
      <c r="R562" s="4" t="s">
        <v>5953</v>
      </c>
    </row>
    <row r="563">
      <c r="A563" s="4" t="s">
        <v>44</v>
      </c>
      <c r="B563" s="4" t="s">
        <v>44</v>
      </c>
      <c r="C563" s="4">
        <v>562.0</v>
      </c>
      <c r="D563" s="13" t="str">
        <f>HYPERLINK("https://www.linkedin.com/ad-library/detail/906496114","Open Ad")</f>
        <v>Open Ad</v>
      </c>
      <c r="E563" s="4" t="s">
        <v>91</v>
      </c>
      <c r="F563" s="4" t="s">
        <v>5256</v>
      </c>
      <c r="G563" s="4" t="s">
        <v>5257</v>
      </c>
      <c r="H563" s="4" t="s">
        <v>55</v>
      </c>
      <c r="I563" s="4" t="s">
        <v>2767</v>
      </c>
      <c r="J563" s="4" t="s">
        <v>91</v>
      </c>
      <c r="K563" s="13" t="str">
        <f>HYPERLINK("https://media.licdn.com/dms/image/v2/D4E10AQGZJMH_id5Hyw/image-shrink_1280/B4EZp3c15JKgAM-/0/1762940641730/1080x10802png?e=2147483647&amp;v=beta&amp;t=aNNnCOAvPWeSrMDB5gdZKogEniysqLK2z7jXwjWrk94","Open Creative")</f>
        <v>Open Creative</v>
      </c>
      <c r="L563" s="4" t="s">
        <v>62</v>
      </c>
      <c r="M563" s="4" t="s">
        <v>63</v>
      </c>
      <c r="N563" s="4" t="s">
        <v>5924</v>
      </c>
      <c r="O563" s="2" t="s">
        <v>132</v>
      </c>
      <c r="P563" s="2">
        <v>9.06496114E8</v>
      </c>
      <c r="Q563" s="2" t="s">
        <v>68</v>
      </c>
      <c r="R563" s="4" t="s">
        <v>5956</v>
      </c>
    </row>
    <row r="564">
      <c r="A564" s="4" t="s">
        <v>44</v>
      </c>
      <c r="B564" s="4" t="s">
        <v>44</v>
      </c>
      <c r="C564" s="4">
        <v>563.0</v>
      </c>
      <c r="D564" s="13" t="str">
        <f>HYPERLINK("https://www.linkedin.com/ad-library/detail/906251224","Open Ad")</f>
        <v>Open Ad</v>
      </c>
      <c r="E564" s="4" t="s">
        <v>91</v>
      </c>
      <c r="F564" s="4" t="s">
        <v>5958</v>
      </c>
      <c r="G564" s="4" t="s">
        <v>5959</v>
      </c>
      <c r="H564" s="4" t="s">
        <v>55</v>
      </c>
      <c r="I564" s="4" t="s">
        <v>57</v>
      </c>
      <c r="J564" s="4" t="s">
        <v>91</v>
      </c>
      <c r="K564" s="13" t="str">
        <f>HYPERLINK("https://media.licdn.com/dms/image/v2/D4E10AQFpcHeJ75oKBQ/image-shrink_1280/B4EZpyLzjlIUAM-/0/1762852289524?e=2147483647&amp;v=beta&amp;t=DAmwinJuZOxz0OsSDa_B_f9MJkSI5Mtu4lGEPzMZDgI","Open Creative")</f>
        <v>Open Creative</v>
      </c>
      <c r="L564" s="4" t="s">
        <v>62</v>
      </c>
      <c r="M564" s="4" t="s">
        <v>63</v>
      </c>
      <c r="N564" s="4" t="s">
        <v>5961</v>
      </c>
      <c r="O564" s="2" t="s">
        <v>132</v>
      </c>
      <c r="P564" s="2">
        <v>9.06251224E8</v>
      </c>
      <c r="Q564" s="2" t="s">
        <v>68</v>
      </c>
      <c r="R564" s="4" t="s">
        <v>5962</v>
      </c>
    </row>
    <row r="565">
      <c r="A565" s="4" t="s">
        <v>44</v>
      </c>
      <c r="B565" s="4" t="s">
        <v>44</v>
      </c>
      <c r="C565" s="4">
        <v>564.0</v>
      </c>
      <c r="D565" s="13" t="str">
        <f>HYPERLINK("https://www.linkedin.com/ad-library/detail/896113284","Open Ad")</f>
        <v>Open Ad</v>
      </c>
      <c r="E565" s="4" t="s">
        <v>91</v>
      </c>
      <c r="F565" s="4" t="s">
        <v>5941</v>
      </c>
      <c r="G565" s="4" t="s">
        <v>5942</v>
      </c>
      <c r="H565" s="4" t="s">
        <v>55</v>
      </c>
      <c r="I565" s="4" t="s">
        <v>272</v>
      </c>
      <c r="J565" s="4" t="s">
        <v>91</v>
      </c>
      <c r="K565" s="13" t="str">
        <f>HYPERLINK("https://media.licdn.com/dms/image/v2/D4E10AQFbOlxL8OSWJg/image-shrink_1280/B4EZpytqMUKoAM-/0/1762861164416/PaidMediaAdditionalAsset1png?e=2147483647&amp;v=beta&amp;t=ViS8VOKSfPTUYnQbQHAzlbMWJvIAUFQVB5ckRIPIezs","Open Creative")</f>
        <v>Open Creative</v>
      </c>
      <c r="L565" s="4" t="s">
        <v>62</v>
      </c>
      <c r="M565" s="4" t="s">
        <v>63</v>
      </c>
      <c r="N565" s="4" t="s">
        <v>5967</v>
      </c>
      <c r="O565" s="2" t="s">
        <v>132</v>
      </c>
      <c r="P565" s="2">
        <v>8.96113284E8</v>
      </c>
      <c r="Q565" s="2" t="s">
        <v>68</v>
      </c>
      <c r="R565" s="4" t="s">
        <v>5968</v>
      </c>
    </row>
    <row r="566">
      <c r="A566" s="4" t="s">
        <v>44</v>
      </c>
      <c r="B566" s="4" t="s">
        <v>44</v>
      </c>
      <c r="C566" s="4">
        <v>565.0</v>
      </c>
      <c r="D566" s="13" t="str">
        <f>HYPERLINK("https://www.linkedin.com/ad-library/detail/906232654","Open Ad")</f>
        <v>Open Ad</v>
      </c>
      <c r="E566" s="4" t="s">
        <v>91</v>
      </c>
      <c r="F566" s="4" t="s">
        <v>5916</v>
      </c>
      <c r="G566" s="4" t="s">
        <v>5917</v>
      </c>
      <c r="H566" s="4" t="s">
        <v>55</v>
      </c>
      <c r="I566" s="4" t="s">
        <v>228</v>
      </c>
      <c r="J566" s="4" t="s">
        <v>91</v>
      </c>
      <c r="K566" s="13" t="str">
        <f>HYPERLINK("https://media.licdn.com/dms/image/v2/D4E10AQEcNu0i_bMVzQ/image-shrink_1280/B4EZpytXrpHEAQ-/0/1762861088619/PaidMediaAdditionalAsset2png?e=2147483647&amp;v=beta&amp;t=_8pE7nDX2HV34gCCx7cZ3h8YNe7KUn4VxV9rgXngfGg","Open Creative")</f>
        <v>Open Creative</v>
      </c>
      <c r="L566" s="4" t="s">
        <v>62</v>
      </c>
      <c r="M566" s="4" t="s">
        <v>63</v>
      </c>
      <c r="N566" s="4" t="s">
        <v>5967</v>
      </c>
      <c r="O566" s="2" t="s">
        <v>132</v>
      </c>
      <c r="P566" s="2">
        <v>9.06232654E8</v>
      </c>
      <c r="Q566" s="2" t="s">
        <v>68</v>
      </c>
      <c r="R566" s="4" t="s">
        <v>5972</v>
      </c>
    </row>
    <row r="567">
      <c r="A567" s="4" t="s">
        <v>44</v>
      </c>
      <c r="B567" s="4" t="s">
        <v>44</v>
      </c>
      <c r="C567" s="4">
        <v>566.0</v>
      </c>
      <c r="D567" s="13" t="str">
        <f>HYPERLINK("https://www.linkedin.com/ad-library/detail/906231324","Open Ad")</f>
        <v>Open Ad</v>
      </c>
      <c r="E567" s="4" t="s">
        <v>91</v>
      </c>
      <c r="F567" s="4" t="s">
        <v>5974</v>
      </c>
      <c r="G567" s="4" t="s">
        <v>5975</v>
      </c>
      <c r="H567" s="4" t="s">
        <v>55</v>
      </c>
      <c r="I567" s="4" t="s">
        <v>5976</v>
      </c>
      <c r="J567" s="4" t="s">
        <v>91</v>
      </c>
      <c r="K567" s="13" t="str">
        <f>HYPERLINK("https://media.licdn.com/dms/image/v2/D4E10AQEBX9YUIiph1Q/image-shrink_1280/B4EZpyLzipGYAM-/0/1762852289415?e=2147483647&amp;v=beta&amp;t=EmxFX2wGzdcytraMcT1H1nj6j12gY70T-Ez9zAQvJFo","Open Creative")</f>
        <v>Open Creative</v>
      </c>
      <c r="L567" s="4" t="s">
        <v>62</v>
      </c>
      <c r="M567" s="4" t="s">
        <v>63</v>
      </c>
      <c r="N567" s="4" t="s">
        <v>5961</v>
      </c>
      <c r="O567" s="2" t="s">
        <v>132</v>
      </c>
      <c r="P567" s="2">
        <v>9.06231324E8</v>
      </c>
      <c r="Q567" s="2" t="s">
        <v>68</v>
      </c>
      <c r="R567" s="4" t="s">
        <v>5978</v>
      </c>
    </row>
    <row r="568">
      <c r="A568" s="4" t="s">
        <v>44</v>
      </c>
      <c r="B568" s="4" t="s">
        <v>44</v>
      </c>
      <c r="C568" s="4">
        <v>567.0</v>
      </c>
      <c r="D568" s="13" t="str">
        <f>HYPERLINK("https://www.linkedin.com/ad-library/detail/906291174","Open Ad")</f>
        <v>Open Ad</v>
      </c>
      <c r="E568" s="4" t="s">
        <v>91</v>
      </c>
      <c r="F568" s="4" t="s">
        <v>5958</v>
      </c>
      <c r="G568" s="4" t="s">
        <v>5959</v>
      </c>
      <c r="H568" s="4" t="s">
        <v>55</v>
      </c>
      <c r="I568" s="4" t="s">
        <v>57</v>
      </c>
      <c r="J568" s="4" t="s">
        <v>91</v>
      </c>
      <c r="K568" s="13" t="str">
        <f>HYPERLINK("https://media.licdn.com/dms/image/v2/D4E10AQF73e437IRBIQ/image-shrink_1280/B4EZpyLzlLIwAM-/0/1762852289559?e=2147483647&amp;v=beta&amp;t=QpvDDMMr-qZuJ8w4I7i8dvgOvDvrH7EQu7cjvNKmIH8","Open Creative")</f>
        <v>Open Creative</v>
      </c>
      <c r="L568" s="4" t="s">
        <v>62</v>
      </c>
      <c r="M568" s="4" t="s">
        <v>63</v>
      </c>
      <c r="N568" s="4" t="s">
        <v>5961</v>
      </c>
      <c r="O568" s="2" t="s">
        <v>132</v>
      </c>
      <c r="P568" s="2">
        <v>9.06291174E8</v>
      </c>
      <c r="Q568" s="2" t="s">
        <v>68</v>
      </c>
      <c r="R568" s="4" t="s">
        <v>5982</v>
      </c>
    </row>
    <row r="569">
      <c r="A569" s="4" t="s">
        <v>44</v>
      </c>
      <c r="B569" s="4" t="s">
        <v>44</v>
      </c>
      <c r="C569" s="4">
        <v>568.0</v>
      </c>
      <c r="D569" s="13" t="str">
        <f>HYPERLINK("https://www.linkedin.com/ad-library/detail/896151414","Open Ad")</f>
        <v>Open Ad</v>
      </c>
      <c r="E569" s="4" t="s">
        <v>91</v>
      </c>
      <c r="F569" s="4" t="s">
        <v>5974</v>
      </c>
      <c r="G569" s="4" t="s">
        <v>5975</v>
      </c>
      <c r="H569" s="4" t="s">
        <v>55</v>
      </c>
      <c r="I569" s="4" t="s">
        <v>5976</v>
      </c>
      <c r="J569" s="4" t="s">
        <v>91</v>
      </c>
      <c r="K569" s="13" t="str">
        <f>HYPERLINK("https://media.licdn.com/dms/image/v2/D4E10AQFu1dtVu5bP8w/image-shrink_1280/B4EZpyLzd.IoAM-/0/1762852289117?e=2147483647&amp;v=beta&amp;t=4qugEXMSj8KwUHOEL8FJ-G38xwY6wPKMSCDKms9CyWQ","Open Creative")</f>
        <v>Open Creative</v>
      </c>
      <c r="L569" s="4" t="s">
        <v>62</v>
      </c>
      <c r="M569" s="4" t="s">
        <v>63</v>
      </c>
      <c r="N569" s="4" t="s">
        <v>5961</v>
      </c>
      <c r="O569" s="2" t="s">
        <v>132</v>
      </c>
      <c r="P569" s="2">
        <v>8.96151414E8</v>
      </c>
      <c r="Q569" s="2" t="s">
        <v>68</v>
      </c>
      <c r="R569" s="4" t="s">
        <v>5985</v>
      </c>
    </row>
    <row r="570">
      <c r="A570" s="4" t="s">
        <v>44</v>
      </c>
      <c r="B570" s="4" t="s">
        <v>44</v>
      </c>
      <c r="C570" s="4">
        <v>569.0</v>
      </c>
      <c r="D570" s="13" t="str">
        <f>HYPERLINK("https://www.linkedin.com/ad-library/detail/906486084","Open Ad")</f>
        <v>Open Ad</v>
      </c>
      <c r="E570" s="4" t="s">
        <v>91</v>
      </c>
      <c r="F570" s="4" t="s">
        <v>4939</v>
      </c>
      <c r="G570" s="4" t="s">
        <v>4940</v>
      </c>
      <c r="H570" s="4" t="s">
        <v>55</v>
      </c>
      <c r="I570" s="4" t="s">
        <v>1377</v>
      </c>
      <c r="J570" s="4" t="s">
        <v>91</v>
      </c>
      <c r="K570" s="13" t="str">
        <f>HYPERLINK("https://media.licdn.com/dms/image/v2/D4E10AQEbg0Bmp-0ByA/image-shrink_1280/B4EZp3cw0WGUAU-/0/1762940620977/1080x10801png?e=2147483647&amp;v=beta&amp;t=wXm6L7Z81sI9Y5Sxu8KYIZEVsNzBlRvwFSwR-pCzBLQ","Open Creative")</f>
        <v>Open Creative</v>
      </c>
      <c r="L570" s="4" t="s">
        <v>62</v>
      </c>
      <c r="M570" s="4" t="s">
        <v>63</v>
      </c>
      <c r="N570" s="4" t="s">
        <v>5924</v>
      </c>
      <c r="O570" s="2" t="s">
        <v>132</v>
      </c>
      <c r="P570" s="2">
        <v>9.06486084E8</v>
      </c>
      <c r="Q570" s="2" t="s">
        <v>68</v>
      </c>
      <c r="R570" s="4" t="s">
        <v>5988</v>
      </c>
    </row>
    <row r="571">
      <c r="A571" s="4" t="s">
        <v>44</v>
      </c>
      <c r="B571" s="4" t="s">
        <v>44</v>
      </c>
      <c r="C571" s="4">
        <v>570.0</v>
      </c>
      <c r="D571" s="13" t="str">
        <f>HYPERLINK("https://www.linkedin.com/ad-library/detail/906406684","Open Ad")</f>
        <v>Open Ad</v>
      </c>
      <c r="E571" s="4" t="s">
        <v>91</v>
      </c>
      <c r="F571" s="4" t="s">
        <v>4939</v>
      </c>
      <c r="G571" s="4" t="s">
        <v>4940</v>
      </c>
      <c r="H571" s="4" t="s">
        <v>55</v>
      </c>
      <c r="I571" s="4" t="s">
        <v>1377</v>
      </c>
      <c r="J571" s="4" t="s">
        <v>91</v>
      </c>
      <c r="K571" s="13" t="str">
        <f>HYPERLINK("https://media.licdn.com/dms/image/v2/D4E10AQEhl1xuexBSeQ/image-shrink_1280/B4EZp3cmUZHcAM-/0/1762940578000/1080x1080png?e=2147483647&amp;v=beta&amp;t=MCYE-UbJnIioDCbmlNbIXaXtPgvSQ15a7mHBuAzGymc","Open Creative")</f>
        <v>Open Creative</v>
      </c>
      <c r="L571" s="4" t="s">
        <v>62</v>
      </c>
      <c r="M571" s="4" t="s">
        <v>63</v>
      </c>
      <c r="N571" s="4" t="s">
        <v>5924</v>
      </c>
      <c r="O571" s="2" t="s">
        <v>132</v>
      </c>
      <c r="P571" s="2">
        <v>9.06406684E8</v>
      </c>
      <c r="Q571" s="2" t="s">
        <v>68</v>
      </c>
      <c r="R571" s="4" t="s">
        <v>5993</v>
      </c>
    </row>
    <row r="572">
      <c r="A572" s="4" t="s">
        <v>44</v>
      </c>
      <c r="B572" s="4" t="s">
        <v>44</v>
      </c>
      <c r="C572" s="4">
        <v>571.0</v>
      </c>
      <c r="D572" s="13" t="str">
        <f>HYPERLINK("https://www.linkedin.com/ad-library/detail/896141274","Open Ad")</f>
        <v>Open Ad</v>
      </c>
      <c r="E572" s="4" t="s">
        <v>91</v>
      </c>
      <c r="F572" s="4" t="s">
        <v>5958</v>
      </c>
      <c r="G572" s="4" t="s">
        <v>5959</v>
      </c>
      <c r="H572" s="4" t="s">
        <v>55</v>
      </c>
      <c r="I572" s="4" t="s">
        <v>57</v>
      </c>
      <c r="J572" s="4" t="s">
        <v>91</v>
      </c>
      <c r="K572" s="13" t="str">
        <f>HYPERLINK("https://media.licdn.com/dms/image/v2/D4E10AQFUd_Op3dW7wQ/image-shrink_1280/B4EZpyLzc1KkAM-/0/1762852290548?e=2147483647&amp;v=beta&amp;t=sFjXOiLQa-J-awVGe8gZ4joad3KqGErvTB5Xi7n3bjw","Open Creative")</f>
        <v>Open Creative</v>
      </c>
      <c r="L572" s="4" t="s">
        <v>62</v>
      </c>
      <c r="M572" s="4" t="s">
        <v>63</v>
      </c>
      <c r="N572" s="4" t="s">
        <v>5961</v>
      </c>
      <c r="O572" s="2" t="s">
        <v>132</v>
      </c>
      <c r="P572" s="2">
        <v>8.96141274E8</v>
      </c>
      <c r="Q572" s="2" t="s">
        <v>68</v>
      </c>
      <c r="R572" s="4" t="s">
        <v>5997</v>
      </c>
    </row>
    <row r="573">
      <c r="A573" s="4" t="s">
        <v>44</v>
      </c>
      <c r="B573" s="4" t="s">
        <v>44</v>
      </c>
      <c r="C573" s="4">
        <v>572.0</v>
      </c>
      <c r="D573" s="13" t="str">
        <f>HYPERLINK("https://www.linkedin.com/ad-library/detail/906585914","Open Ad")</f>
        <v>Open Ad</v>
      </c>
      <c r="E573" s="4" t="s">
        <v>91</v>
      </c>
      <c r="F573" s="4" t="s">
        <v>4939</v>
      </c>
      <c r="G573" s="4" t="s">
        <v>4940</v>
      </c>
      <c r="H573" s="4" t="s">
        <v>55</v>
      </c>
      <c r="I573" s="4" t="s">
        <v>1377</v>
      </c>
      <c r="J573" s="4" t="s">
        <v>91</v>
      </c>
      <c r="K573" s="13" t="str">
        <f>HYPERLINK("https://media.licdn.com/dms/image/v2/D4E10AQHwN_0BBPz2PA/image-shrink_1280/B4EZp3c7r0KoAM-/0/1762940665717/1080x10803png?e=2147483647&amp;v=beta&amp;t=WsnMIAk6vds0IX_Ey5rc9dJUB4HqZTOZIvb3CLNIFOo","Open Creative")</f>
        <v>Open Creative</v>
      </c>
      <c r="L573" s="4" t="s">
        <v>62</v>
      </c>
      <c r="M573" s="4" t="s">
        <v>63</v>
      </c>
      <c r="N573" s="4" t="s">
        <v>5924</v>
      </c>
      <c r="O573" s="2" t="s">
        <v>132</v>
      </c>
      <c r="P573" s="2">
        <v>9.06585914E8</v>
      </c>
      <c r="Q573" s="2" t="s">
        <v>68</v>
      </c>
      <c r="R573" s="4" t="s">
        <v>6000</v>
      </c>
    </row>
    <row r="574">
      <c r="A574" s="4" t="s">
        <v>44</v>
      </c>
      <c r="B574" s="4" t="s">
        <v>44</v>
      </c>
      <c r="C574" s="4">
        <v>573.0</v>
      </c>
      <c r="D574" s="13" t="str">
        <f>HYPERLINK("https://www.linkedin.com/ad-library/detail/906396754","Open Ad")</f>
        <v>Open Ad</v>
      </c>
      <c r="E574" s="4" t="s">
        <v>91</v>
      </c>
      <c r="F574" s="4" t="s">
        <v>4939</v>
      </c>
      <c r="G574" s="4" t="s">
        <v>4940</v>
      </c>
      <c r="H574" s="4" t="s">
        <v>55</v>
      </c>
      <c r="I574" s="4" t="s">
        <v>1377</v>
      </c>
      <c r="J574" s="4" t="s">
        <v>91</v>
      </c>
      <c r="K574" s="13" t="str">
        <f>HYPERLINK("https://media.licdn.com/dms/image/v2/D4E10AQGZJMH_id5Hyw/image-shrink_1280/B4EZp3c15JKgAM-/0/1762940641730/1080x10802png?e=2147483647&amp;v=beta&amp;t=aNNnCOAvPWeSrMDB5gdZKogEniysqLK2z7jXwjWrk94","Open Creative")</f>
        <v>Open Creative</v>
      </c>
      <c r="L574" s="4" t="s">
        <v>62</v>
      </c>
      <c r="M574" s="4" t="s">
        <v>63</v>
      </c>
      <c r="N574" s="4" t="s">
        <v>5924</v>
      </c>
      <c r="O574" s="2" t="s">
        <v>132</v>
      </c>
      <c r="P574" s="2">
        <v>9.06396754E8</v>
      </c>
      <c r="Q574" s="2" t="s">
        <v>68</v>
      </c>
      <c r="R574" s="4" t="s">
        <v>6004</v>
      </c>
    </row>
    <row r="575">
      <c r="A575" s="4" t="s">
        <v>44</v>
      </c>
      <c r="B575" s="4" t="s">
        <v>44</v>
      </c>
      <c r="C575" s="4">
        <v>574.0</v>
      </c>
      <c r="D575" s="13" t="str">
        <f>HYPERLINK("https://www.linkedin.com/ad-library/detail/906332594","Open Ad")</f>
        <v>Open Ad</v>
      </c>
      <c r="E575" s="4" t="s">
        <v>91</v>
      </c>
      <c r="F575" s="4" t="s">
        <v>5916</v>
      </c>
      <c r="G575" s="4" t="s">
        <v>5917</v>
      </c>
      <c r="H575" s="4" t="s">
        <v>55</v>
      </c>
      <c r="I575" s="4" t="s">
        <v>228</v>
      </c>
      <c r="J575" s="4" t="s">
        <v>91</v>
      </c>
      <c r="K575" s="13" t="str">
        <f>HYPERLINK("https://media.licdn.com/dms/image/v2/D4E10AQEcNu0i_bMVzQ/image-shrink_1280/B4EZpytXrpHEAQ-/0/1762861088619/PaidMediaAdditionalAsset2png?e=2147483647&amp;v=beta&amp;t=_8pE7nDX2HV34gCCx7cZ3h8YNe7KUn4VxV9rgXngfGg","Open Creative")</f>
        <v>Open Creative</v>
      </c>
      <c r="L575" s="4" t="s">
        <v>62</v>
      </c>
      <c r="M575" s="4" t="s">
        <v>63</v>
      </c>
      <c r="N575" s="4" t="s">
        <v>5947</v>
      </c>
      <c r="O575" s="2" t="s">
        <v>132</v>
      </c>
      <c r="P575" s="2">
        <v>9.06332594E8</v>
      </c>
      <c r="Q575" s="2" t="s">
        <v>68</v>
      </c>
      <c r="R575" s="4" t="s">
        <v>6007</v>
      </c>
    </row>
    <row r="576">
      <c r="A576" s="4" t="s">
        <v>44</v>
      </c>
      <c r="B576" s="4" t="s">
        <v>44</v>
      </c>
      <c r="C576" s="4">
        <v>575.0</v>
      </c>
      <c r="D576" s="13" t="str">
        <f>HYPERLINK("https://www.linkedin.com/ad-library/detail/906376744","Open Ad")</f>
        <v>Open Ad</v>
      </c>
      <c r="E576" s="4" t="s">
        <v>91</v>
      </c>
      <c r="F576" s="4" t="s">
        <v>5238</v>
      </c>
      <c r="G576" s="4" t="s">
        <v>5239</v>
      </c>
      <c r="H576" s="4" t="s">
        <v>55</v>
      </c>
      <c r="I576" s="4" t="s">
        <v>5240</v>
      </c>
      <c r="J576" s="4" t="s">
        <v>91</v>
      </c>
      <c r="K576" s="13" t="str">
        <f>HYPERLINK("https://media.licdn.com/dms/image/v2/D4E10AQGZJMH_id5Hyw/image-shrink_1280/B4EZp3c15JKgAM-/0/1762940641730/1080x10802png?e=2147483647&amp;v=beta&amp;t=aNNnCOAvPWeSrMDB5gdZKogEniysqLK2z7jXwjWrk94","Open Creative")</f>
        <v>Open Creative</v>
      </c>
      <c r="L576" s="4" t="s">
        <v>62</v>
      </c>
      <c r="M576" s="4" t="s">
        <v>63</v>
      </c>
      <c r="N576" s="4" t="s">
        <v>5924</v>
      </c>
      <c r="O576" s="2" t="s">
        <v>132</v>
      </c>
      <c r="P576" s="2">
        <v>9.06376744E8</v>
      </c>
      <c r="Q576" s="2" t="s">
        <v>68</v>
      </c>
      <c r="R576" s="4" t="s">
        <v>6010</v>
      </c>
    </row>
    <row r="577">
      <c r="A577" s="4" t="s">
        <v>44</v>
      </c>
      <c r="B577" s="4" t="s">
        <v>44</v>
      </c>
      <c r="C577" s="4">
        <v>576.0</v>
      </c>
      <c r="D577" s="13" t="str">
        <f>HYPERLINK("https://www.linkedin.com/ad-library/detail/906260964","Open Ad")</f>
        <v>Open Ad</v>
      </c>
      <c r="E577" s="4" t="s">
        <v>91</v>
      </c>
      <c r="F577" s="4" t="s">
        <v>6013</v>
      </c>
      <c r="G577" s="4" t="s">
        <v>6014</v>
      </c>
      <c r="H577" s="4" t="s">
        <v>55</v>
      </c>
      <c r="I577" s="4" t="s">
        <v>5976</v>
      </c>
      <c r="J577" s="4" t="s">
        <v>91</v>
      </c>
      <c r="K577" s="13" t="str">
        <f>HYPERLINK("https://media.licdn.com/dms/image/v2/D4E10AQGodPXlvb46Cg/image-shrink_1280/B4EZpyLzg.IoAQ-/0/1762852289387?e=2147483647&amp;v=beta&amp;t=CQeaujd-298HjX-KYaO4kXEJd0cUgZJdDZZKO1CXlSA","Open Creative")</f>
        <v>Open Creative</v>
      </c>
      <c r="L577" s="4" t="s">
        <v>62</v>
      </c>
      <c r="M577" s="4" t="s">
        <v>63</v>
      </c>
      <c r="N577" s="4" t="s">
        <v>5961</v>
      </c>
      <c r="O577" s="2" t="s">
        <v>132</v>
      </c>
      <c r="P577" s="2">
        <v>9.06260964E8</v>
      </c>
      <c r="Q577" s="2" t="s">
        <v>68</v>
      </c>
      <c r="R577" s="4" t="s">
        <v>6017</v>
      </c>
    </row>
    <row r="578">
      <c r="A578" s="4" t="s">
        <v>44</v>
      </c>
      <c r="B578" s="4" t="s">
        <v>44</v>
      </c>
      <c r="C578" s="4">
        <v>577.0</v>
      </c>
      <c r="D578" s="13" t="str">
        <f>HYPERLINK("https://www.linkedin.com/ad-library/detail/906320864","Open Ad")</f>
        <v>Open Ad</v>
      </c>
      <c r="E578" s="4" t="s">
        <v>91</v>
      </c>
      <c r="F578" s="4" t="s">
        <v>6013</v>
      </c>
      <c r="G578" s="4" t="s">
        <v>6014</v>
      </c>
      <c r="H578" s="4" t="s">
        <v>55</v>
      </c>
      <c r="I578" s="4" t="s">
        <v>5976</v>
      </c>
      <c r="J578" s="4" t="s">
        <v>91</v>
      </c>
      <c r="K578" s="13" t="str">
        <f>HYPERLINK("https://media.licdn.com/dms/image/v2/D4E10AQGdkpUfQmyFGg/image-shrink_1280/B4EZpyKshYGoAQ-/0/1762851999082?e=2147483647&amp;v=beta&amp;t=0HTCI2XPe8kMSenURP3_Og8GYBb9ou89JkQ57yc_8eU","Open Creative")</f>
        <v>Open Creative</v>
      </c>
      <c r="L578" s="4" t="s">
        <v>62</v>
      </c>
      <c r="M578" s="4" t="s">
        <v>63</v>
      </c>
      <c r="N578" s="4" t="s">
        <v>5961</v>
      </c>
      <c r="O578" s="2" t="s">
        <v>132</v>
      </c>
      <c r="P578" s="2">
        <v>9.06320864E8</v>
      </c>
      <c r="Q578" s="2" t="s">
        <v>68</v>
      </c>
      <c r="R578" s="4" t="s">
        <v>6022</v>
      </c>
    </row>
    <row r="579">
      <c r="A579" s="4" t="s">
        <v>44</v>
      </c>
      <c r="B579" s="4" t="s">
        <v>44</v>
      </c>
      <c r="C579" s="4">
        <v>578.0</v>
      </c>
      <c r="D579" s="13" t="str">
        <f>HYPERLINK("https://www.linkedin.com/ad-library/detail/906231274","Open Ad")</f>
        <v>Open Ad</v>
      </c>
      <c r="E579" s="4" t="s">
        <v>91</v>
      </c>
      <c r="F579" s="4" t="s">
        <v>5974</v>
      </c>
      <c r="G579" s="4" t="s">
        <v>5975</v>
      </c>
      <c r="H579" s="4" t="s">
        <v>55</v>
      </c>
      <c r="I579" s="4" t="s">
        <v>5976</v>
      </c>
      <c r="J579" s="4" t="s">
        <v>91</v>
      </c>
      <c r="K579" s="13" t="str">
        <f>HYPERLINK("https://media.licdn.com/dms/image/v2/D4E10AQEQFxDsc_0HMg/image-shrink_1280/B4EZpyKsflGUAM-/0/1762851998394?e=2147483647&amp;v=beta&amp;t=7hf4QzYt2CI1RMSMHLNRoAtZwNwsclkaUtgzo3nft0A","Open Creative")</f>
        <v>Open Creative</v>
      </c>
      <c r="L579" s="4" t="s">
        <v>62</v>
      </c>
      <c r="M579" s="4" t="s">
        <v>63</v>
      </c>
      <c r="N579" s="4" t="s">
        <v>5961</v>
      </c>
      <c r="O579" s="2" t="s">
        <v>132</v>
      </c>
      <c r="P579" s="2">
        <v>9.06231274E8</v>
      </c>
      <c r="Q579" s="2" t="s">
        <v>68</v>
      </c>
      <c r="R579" s="4" t="s">
        <v>6025</v>
      </c>
    </row>
    <row r="580">
      <c r="A580" s="4" t="s">
        <v>44</v>
      </c>
      <c r="B580" s="4" t="s">
        <v>44</v>
      </c>
      <c r="C580" s="4">
        <v>579.0</v>
      </c>
      <c r="D580" s="13" t="str">
        <f>HYPERLINK("https://www.linkedin.com/ad-library/detail/896141234","Open Ad")</f>
        <v>Open Ad</v>
      </c>
      <c r="E580" s="4" t="s">
        <v>91</v>
      </c>
      <c r="F580" s="4" t="s">
        <v>5958</v>
      </c>
      <c r="G580" s="4" t="s">
        <v>5959</v>
      </c>
      <c r="H580" s="4" t="s">
        <v>55</v>
      </c>
      <c r="I580" s="4" t="s">
        <v>57</v>
      </c>
      <c r="J580" s="4" t="s">
        <v>91</v>
      </c>
      <c r="K580" s="13" t="str">
        <f>HYPERLINK("https://media.licdn.com/dms/image/v2/D4E10AQHQ7QigXqNsJg/image-shrink_1280/B4EZpyKskeHMAM-/0/1762851998715?e=2147483647&amp;v=beta&amp;t=a1O1ncyCxFuKK-dIY2yEofFMGYef17GO8VWkF5FHqb0","Open Creative")</f>
        <v>Open Creative</v>
      </c>
      <c r="L580" s="4" t="s">
        <v>62</v>
      </c>
      <c r="M580" s="4" t="s">
        <v>63</v>
      </c>
      <c r="N580" s="4" t="s">
        <v>5961</v>
      </c>
      <c r="O580" s="2" t="s">
        <v>132</v>
      </c>
      <c r="P580" s="2">
        <v>8.96141234E8</v>
      </c>
      <c r="Q580" s="2" t="s">
        <v>68</v>
      </c>
      <c r="R580" s="4" t="s">
        <v>6030</v>
      </c>
    </row>
    <row r="581">
      <c r="A581" s="4" t="s">
        <v>44</v>
      </c>
      <c r="B581" s="4" t="s">
        <v>44</v>
      </c>
      <c r="C581" s="4">
        <v>580.0</v>
      </c>
      <c r="D581" s="13" t="str">
        <f>HYPERLINK("https://www.linkedin.com/ad-library/detail/906231254","Open Ad")</f>
        <v>Open Ad</v>
      </c>
      <c r="E581" s="4" t="s">
        <v>91</v>
      </c>
      <c r="F581" s="4" t="s">
        <v>6013</v>
      </c>
      <c r="G581" s="4" t="s">
        <v>6014</v>
      </c>
      <c r="H581" s="4" t="s">
        <v>55</v>
      </c>
      <c r="I581" s="4" t="s">
        <v>5976</v>
      </c>
      <c r="J581" s="4" t="s">
        <v>91</v>
      </c>
      <c r="K581" s="13" t="str">
        <f>HYPERLINK("https://media.licdn.com/dms/image/v2/D4E10AQE2pRdVrPbjTw/image-shrink_1280/B4EZpyKNdRKcAM-/0/1762851872762?e=2147483647&amp;v=beta&amp;t=b0wdNQvNF-Ex75soL9zUcjYourLakd92esXyRPksZDI","Open Creative")</f>
        <v>Open Creative</v>
      </c>
      <c r="L581" s="4" t="s">
        <v>62</v>
      </c>
      <c r="M581" s="4" t="s">
        <v>63</v>
      </c>
      <c r="N581" s="4" t="s">
        <v>5961</v>
      </c>
      <c r="O581" s="2" t="s">
        <v>132</v>
      </c>
      <c r="P581" s="2">
        <v>9.06231254E8</v>
      </c>
      <c r="Q581" s="2" t="s">
        <v>68</v>
      </c>
      <c r="R581" s="4" t="s">
        <v>6035</v>
      </c>
    </row>
    <row r="582">
      <c r="A582" s="4" t="s">
        <v>44</v>
      </c>
      <c r="B582" s="4" t="s">
        <v>44</v>
      </c>
      <c r="C582" s="4">
        <v>581.0</v>
      </c>
      <c r="D582" s="13" t="str">
        <f>HYPERLINK("https://www.linkedin.com/ad-library/detail/906320854","Open Ad")</f>
        <v>Open Ad</v>
      </c>
      <c r="E582" s="4" t="s">
        <v>91</v>
      </c>
      <c r="F582" s="4" t="s">
        <v>6013</v>
      </c>
      <c r="G582" s="4" t="s">
        <v>6014</v>
      </c>
      <c r="H582" s="4" t="s">
        <v>55</v>
      </c>
      <c r="I582" s="4" t="s">
        <v>5976</v>
      </c>
      <c r="J582" s="4" t="s">
        <v>91</v>
      </c>
      <c r="K582" s="13" t="str">
        <f>HYPERLINK("https://media.licdn.com/dms/image/v2/D4E10AQFHcKdPRiOy1Q/image-shrink_1280/B4EZpyKimlKkAQ-/0/1762851960442?e=2147483647&amp;v=beta&amp;t=AX5WR9PRCmNlQyzmGSgkZq4BgBeloJuDmXRk4N3UA7o","Open Creative")</f>
        <v>Open Creative</v>
      </c>
      <c r="L582" s="4" t="s">
        <v>62</v>
      </c>
      <c r="M582" s="4" t="s">
        <v>63</v>
      </c>
      <c r="N582" s="4" t="s">
        <v>5961</v>
      </c>
      <c r="O582" s="2" t="s">
        <v>132</v>
      </c>
      <c r="P582" s="2">
        <v>9.06320854E8</v>
      </c>
      <c r="Q582" s="2" t="s">
        <v>68</v>
      </c>
      <c r="R582" s="4" t="s">
        <v>6038</v>
      </c>
    </row>
    <row r="583">
      <c r="A583" s="4" t="s">
        <v>44</v>
      </c>
      <c r="B583" s="4" t="s">
        <v>44</v>
      </c>
      <c r="C583" s="4">
        <v>582.0</v>
      </c>
      <c r="D583" s="13" t="str">
        <f>HYPERLINK("https://www.linkedin.com/ad-library/detail/896111784","Open Ad")</f>
        <v>Open Ad</v>
      </c>
      <c r="E583" s="4" t="s">
        <v>91</v>
      </c>
      <c r="F583" s="4" t="s">
        <v>5958</v>
      </c>
      <c r="G583" s="4" t="s">
        <v>5959</v>
      </c>
      <c r="H583" s="4" t="s">
        <v>55</v>
      </c>
      <c r="I583" s="4" t="s">
        <v>57</v>
      </c>
      <c r="J583" s="4" t="s">
        <v>91</v>
      </c>
      <c r="K583" s="13" t="str">
        <f>HYPERLINK("https://media.licdn.com/dms/image/v2/D4E10AQHNAniyqhyvfw/image-shrink_1280/B4EZpyKig6HcAQ-/0/1762851957501?e=2147483647&amp;v=beta&amp;t=dbpzveIrXCDwk5yL5YbnEiZinRIXrRcfa-mi-1Eqfgo","Open Creative")</f>
        <v>Open Creative</v>
      </c>
      <c r="L583" s="4" t="s">
        <v>62</v>
      </c>
      <c r="M583" s="4" t="s">
        <v>63</v>
      </c>
      <c r="N583" s="4" t="s">
        <v>5961</v>
      </c>
      <c r="O583" s="2" t="s">
        <v>132</v>
      </c>
      <c r="P583" s="2">
        <v>8.96111784E8</v>
      </c>
      <c r="Q583" s="2" t="s">
        <v>68</v>
      </c>
      <c r="R583" s="4" t="s">
        <v>6041</v>
      </c>
    </row>
    <row r="584">
      <c r="A584" s="4" t="s">
        <v>44</v>
      </c>
      <c r="B584" s="4" t="s">
        <v>44</v>
      </c>
      <c r="C584" s="4">
        <v>583.0</v>
      </c>
      <c r="D584" s="13" t="str">
        <f>HYPERLINK("https://www.linkedin.com/ad-library/detail/906320844","Open Ad")</f>
        <v>Open Ad</v>
      </c>
      <c r="E584" s="4" t="s">
        <v>91</v>
      </c>
      <c r="F584" s="4" t="s">
        <v>6013</v>
      </c>
      <c r="G584" s="4" t="s">
        <v>6014</v>
      </c>
      <c r="H584" s="4" t="s">
        <v>55</v>
      </c>
      <c r="I584" s="4" t="s">
        <v>5976</v>
      </c>
      <c r="J584" s="4" t="s">
        <v>91</v>
      </c>
      <c r="K584" s="13" t="str">
        <f>HYPERLINK("https://media.licdn.com/dms/image/v2/D4E10AQEzsnOH_UYjkQ/image-shrink_1280/B4EZpyKid2KcAM-/0/1762851957495?e=2147483647&amp;v=beta&amp;t=Nq6P06uKmRjgUR0o9xwio4azGpNgWVTVOkB4SpTMpBg","Open Creative")</f>
        <v>Open Creative</v>
      </c>
      <c r="L584" s="4" t="s">
        <v>62</v>
      </c>
      <c r="M584" s="4" t="s">
        <v>63</v>
      </c>
      <c r="N584" s="4" t="s">
        <v>5961</v>
      </c>
      <c r="O584" s="2" t="s">
        <v>132</v>
      </c>
      <c r="P584" s="2">
        <v>9.06320844E8</v>
      </c>
      <c r="Q584" s="2" t="s">
        <v>68</v>
      </c>
      <c r="R584" s="4" t="s">
        <v>6046</v>
      </c>
    </row>
    <row r="585">
      <c r="A585" s="4" t="s">
        <v>44</v>
      </c>
      <c r="B585" s="4" t="s">
        <v>44</v>
      </c>
      <c r="C585" s="4">
        <v>584.0</v>
      </c>
      <c r="D585" s="13" t="str">
        <f>HYPERLINK("https://www.linkedin.com/ad-library/detail/906291104","Open Ad")</f>
        <v>Open Ad</v>
      </c>
      <c r="E585" s="4" t="s">
        <v>91</v>
      </c>
      <c r="F585" s="4" t="s">
        <v>5974</v>
      </c>
      <c r="G585" s="4" t="s">
        <v>5975</v>
      </c>
      <c r="H585" s="4" t="s">
        <v>55</v>
      </c>
      <c r="I585" s="4" t="s">
        <v>5976</v>
      </c>
      <c r="J585" s="4" t="s">
        <v>91</v>
      </c>
      <c r="K585" s="13" t="str">
        <f>HYPERLINK("https://media.licdn.com/dms/image/v2/D4E10AQG-Pr0toAsw0A/image-shrink_1280/B4EZpyKsg3KsAM-/0/1762851998500?e=2147483647&amp;v=beta&amp;t=oABpSzU7BsdTykCIk_Ov6njmJBQtMlzLSyGSsAe8Lmk","Open Creative")</f>
        <v>Open Creative</v>
      </c>
      <c r="L585" s="4" t="s">
        <v>62</v>
      </c>
      <c r="M585" s="4" t="s">
        <v>63</v>
      </c>
      <c r="N585" s="4" t="s">
        <v>5961</v>
      </c>
      <c r="O585" s="2" t="s">
        <v>132</v>
      </c>
      <c r="P585" s="2">
        <v>9.06291104E8</v>
      </c>
      <c r="Q585" s="2" t="s">
        <v>68</v>
      </c>
      <c r="R585" s="4" t="s">
        <v>6050</v>
      </c>
    </row>
    <row r="586">
      <c r="A586" s="4" t="s">
        <v>44</v>
      </c>
      <c r="B586" s="4" t="s">
        <v>44</v>
      </c>
      <c r="C586" s="4">
        <v>585.0</v>
      </c>
      <c r="D586" s="13" t="str">
        <f>HYPERLINK("https://www.linkedin.com/ad-library/detail/906191134","Open Ad")</f>
        <v>Open Ad</v>
      </c>
      <c r="E586" s="4" t="s">
        <v>91</v>
      </c>
      <c r="F586" s="4" t="s">
        <v>5958</v>
      </c>
      <c r="G586" s="4" t="s">
        <v>5959</v>
      </c>
      <c r="H586" s="4" t="s">
        <v>55</v>
      </c>
      <c r="I586" s="4" t="s">
        <v>57</v>
      </c>
      <c r="J586" s="4" t="s">
        <v>91</v>
      </c>
      <c r="K586" s="13" t="str">
        <f>HYPERLINK("https://media.licdn.com/dms/image/v2/D4E10AQEwniBcIZAlJg/image-shrink_1280/B4EZpyKih_IwAM-/0/1762851959048?e=2147483647&amp;v=beta&amp;t=CGNZfyaiyQizJ5dPXpM2gHM8jzPSRZZYKwicfkzBq4Q","Open Creative")</f>
        <v>Open Creative</v>
      </c>
      <c r="L586" s="4" t="s">
        <v>62</v>
      </c>
      <c r="M586" s="4" t="s">
        <v>63</v>
      </c>
      <c r="N586" s="4" t="s">
        <v>5961</v>
      </c>
      <c r="O586" s="2" t="s">
        <v>132</v>
      </c>
      <c r="P586" s="2">
        <v>9.06191134E8</v>
      </c>
      <c r="Q586" s="2" t="s">
        <v>68</v>
      </c>
      <c r="R586" s="4" t="s">
        <v>6054</v>
      </c>
    </row>
    <row r="587">
      <c r="A587" s="4" t="s">
        <v>44</v>
      </c>
      <c r="B587" s="4" t="s">
        <v>44</v>
      </c>
      <c r="C587" s="4">
        <v>586.0</v>
      </c>
      <c r="D587" s="13" t="str">
        <f>HYPERLINK("https://www.linkedin.com/ad-library/detail/906270914","Open Ad")</f>
        <v>Open Ad</v>
      </c>
      <c r="E587" s="4" t="s">
        <v>91</v>
      </c>
      <c r="F587" s="4" t="s">
        <v>5974</v>
      </c>
      <c r="G587" s="4" t="s">
        <v>5975</v>
      </c>
      <c r="H587" s="4" t="s">
        <v>55</v>
      </c>
      <c r="I587" s="4" t="s">
        <v>5976</v>
      </c>
      <c r="J587" s="4" t="s">
        <v>91</v>
      </c>
      <c r="K587" s="13" t="str">
        <f>HYPERLINK("https://media.licdn.com/dms/image/v2/D4E10AQGBbLnhlMk0tA/image-shrink_1280/B4EZpyKNeEHgAM-/0/1762851872991?e=2147483647&amp;v=beta&amp;t=m-kOpdBU89t_Ma5EPbuN9Wa2B7_DgNig1j7fWZ6AJgU","Open Creative")</f>
        <v>Open Creative</v>
      </c>
      <c r="L587" s="4" t="s">
        <v>62</v>
      </c>
      <c r="M587" s="4" t="s">
        <v>63</v>
      </c>
      <c r="N587" s="4" t="s">
        <v>5961</v>
      </c>
      <c r="O587" s="2" t="s">
        <v>132</v>
      </c>
      <c r="P587" s="2">
        <v>9.06270914E8</v>
      </c>
      <c r="Q587" s="2" t="s">
        <v>68</v>
      </c>
      <c r="R587" s="4" t="s">
        <v>6057</v>
      </c>
    </row>
    <row r="588">
      <c r="A588" s="4" t="s">
        <v>44</v>
      </c>
      <c r="B588" s="4" t="s">
        <v>44</v>
      </c>
      <c r="C588" s="4">
        <v>587.0</v>
      </c>
      <c r="D588" s="13" t="str">
        <f>HYPERLINK("https://www.linkedin.com/ad-library/detail/896171274","Open Ad")</f>
        <v>Open Ad</v>
      </c>
      <c r="E588" s="4" t="s">
        <v>91</v>
      </c>
      <c r="F588" s="4" t="s">
        <v>5974</v>
      </c>
      <c r="G588" s="4" t="s">
        <v>5975</v>
      </c>
      <c r="H588" s="4" t="s">
        <v>55</v>
      </c>
      <c r="I588" s="4" t="s">
        <v>5976</v>
      </c>
      <c r="J588" s="4" t="s">
        <v>91</v>
      </c>
      <c r="K588" s="13" t="str">
        <f>HYPERLINK("https://media.licdn.com/dms/image/v2/D4E10AQFbhxy6--XI_A/image-shrink_1280/B4EZpyKNeLJ0AM-/0/1762851872021?e=2147483647&amp;v=beta&amp;t=kyXwHtVVZF-U8IfszQtFXNLA9dT52yvfdcFX3ZtCZFg","Open Creative")</f>
        <v>Open Creative</v>
      </c>
      <c r="L588" s="4" t="s">
        <v>62</v>
      </c>
      <c r="M588" s="4" t="s">
        <v>63</v>
      </c>
      <c r="N588" s="4" t="s">
        <v>5961</v>
      </c>
      <c r="O588" s="2" t="s">
        <v>132</v>
      </c>
      <c r="P588" s="2">
        <v>8.96171274E8</v>
      </c>
      <c r="Q588" s="2" t="s">
        <v>68</v>
      </c>
      <c r="R588" s="4" t="s">
        <v>6060</v>
      </c>
    </row>
    <row r="589">
      <c r="A589" s="4" t="s">
        <v>44</v>
      </c>
      <c r="B589" s="4" t="s">
        <v>44</v>
      </c>
      <c r="C589" s="4">
        <v>588.0</v>
      </c>
      <c r="D589" s="13" t="str">
        <f>HYPERLINK("https://www.linkedin.com/ad-library/detail/906211014","Open Ad")</f>
        <v>Open Ad</v>
      </c>
      <c r="E589" s="4" t="s">
        <v>91</v>
      </c>
      <c r="F589" s="4" t="s">
        <v>6013</v>
      </c>
      <c r="G589" s="4" t="s">
        <v>6014</v>
      </c>
      <c r="H589" s="4" t="s">
        <v>55</v>
      </c>
      <c r="I589" s="4" t="s">
        <v>5976</v>
      </c>
      <c r="J589" s="4" t="s">
        <v>91</v>
      </c>
      <c r="K589" s="13" t="str">
        <f>HYPERLINK("https://media.licdn.com/dms/image/v2/D4E10AQGYCaL-rITsnQ/image-shrink_1280/B4EZpyLzaOGcAM-/0/1762852289290?e=2147483647&amp;v=beta&amp;t=ygnAE4VrsAjo52h8JIfSVAQdbdqx5Ixh_rdQnMDo0pk","Open Creative")</f>
        <v>Open Creative</v>
      </c>
      <c r="L589" s="4" t="s">
        <v>62</v>
      </c>
      <c r="M589" s="4" t="s">
        <v>63</v>
      </c>
      <c r="N589" s="4" t="s">
        <v>5961</v>
      </c>
      <c r="O589" s="2" t="s">
        <v>132</v>
      </c>
      <c r="P589" s="2">
        <v>9.06211014E8</v>
      </c>
      <c r="Q589" s="2" t="s">
        <v>68</v>
      </c>
      <c r="R589" s="4" t="s">
        <v>6065</v>
      </c>
    </row>
    <row r="590">
      <c r="A590" s="4" t="s">
        <v>44</v>
      </c>
      <c r="B590" s="4" t="s">
        <v>44</v>
      </c>
      <c r="C590" s="4">
        <v>589.0</v>
      </c>
      <c r="D590" s="13" t="str">
        <f>HYPERLINK("https://www.linkedin.com/ad-library/detail/896171294","Open Ad")</f>
        <v>Open Ad</v>
      </c>
      <c r="E590" s="4" t="s">
        <v>91</v>
      </c>
      <c r="F590" s="4" t="s">
        <v>5974</v>
      </c>
      <c r="G590" s="4" t="s">
        <v>5975</v>
      </c>
      <c r="H590" s="4" t="s">
        <v>55</v>
      </c>
      <c r="I590" s="4" t="s">
        <v>5976</v>
      </c>
      <c r="J590" s="4" t="s">
        <v>91</v>
      </c>
      <c r="K590" s="13" t="str">
        <f>HYPERLINK("https://media.licdn.com/dms/image/v2/D4E10AQE0cRULpeLAhA/image-shrink_1280/B4EZpyKieoKcAM-/0/1762851957720?e=2147483647&amp;v=beta&amp;t=rjW5KbcStD__b-_DWRvYZuld8qpMMLf6nUkGuvxYnaE","Open Creative")</f>
        <v>Open Creative</v>
      </c>
      <c r="L590" s="4" t="s">
        <v>62</v>
      </c>
      <c r="M590" s="4" t="s">
        <v>63</v>
      </c>
      <c r="N590" s="4" t="s">
        <v>5961</v>
      </c>
      <c r="O590" s="2" t="s">
        <v>132</v>
      </c>
      <c r="P590" s="2">
        <v>8.96171294E8</v>
      </c>
      <c r="Q590" s="2" t="s">
        <v>68</v>
      </c>
      <c r="R590" s="4" t="s">
        <v>6069</v>
      </c>
    </row>
    <row r="591">
      <c r="A591" s="4" t="s">
        <v>44</v>
      </c>
      <c r="B591" s="4" t="s">
        <v>44</v>
      </c>
      <c r="C591" s="4">
        <v>590.0</v>
      </c>
      <c r="D591" s="13" t="str">
        <f>HYPERLINK("https://www.linkedin.com/ad-library/detail/896151334","Open Ad")</f>
        <v>Open Ad</v>
      </c>
      <c r="E591" s="4" t="s">
        <v>91</v>
      </c>
      <c r="F591" s="4" t="s">
        <v>5974</v>
      </c>
      <c r="G591" s="4" t="s">
        <v>5975</v>
      </c>
      <c r="H591" s="4" t="s">
        <v>55</v>
      </c>
      <c r="I591" s="4" t="s">
        <v>5976</v>
      </c>
      <c r="J591" s="4" t="s">
        <v>91</v>
      </c>
      <c r="K591" s="13" t="str">
        <f>HYPERLINK("https://media.licdn.com/dms/image/v2/D4E10AQGWR0XITr8nPg/image-shrink_1280/B4EZpyKsisKYAM-/0/1762852000104?e=2147483647&amp;v=beta&amp;t=Vx-KtHMcBye37Kc7TvZyi62y0gDV4W5YIhf2Tgs9OHI","Open Creative")</f>
        <v>Open Creative</v>
      </c>
      <c r="L591" s="4" t="s">
        <v>62</v>
      </c>
      <c r="M591" s="4" t="s">
        <v>63</v>
      </c>
      <c r="N591" s="4" t="s">
        <v>5961</v>
      </c>
      <c r="O591" s="2" t="s">
        <v>132</v>
      </c>
      <c r="P591" s="2">
        <v>8.96151334E8</v>
      </c>
      <c r="Q591" s="2" t="s">
        <v>68</v>
      </c>
      <c r="R591" s="4" t="s">
        <v>6072</v>
      </c>
    </row>
    <row r="592">
      <c r="A592" s="4" t="s">
        <v>44</v>
      </c>
      <c r="B592" s="4" t="s">
        <v>44</v>
      </c>
      <c r="C592" s="4">
        <v>591.0</v>
      </c>
      <c r="D592" s="13" t="str">
        <f>HYPERLINK("https://www.linkedin.com/ad-library/detail/896131344","Open Ad")</f>
        <v>Open Ad</v>
      </c>
      <c r="E592" s="4" t="s">
        <v>91</v>
      </c>
      <c r="F592" s="4" t="s">
        <v>6013</v>
      </c>
      <c r="G592" s="4" t="s">
        <v>6014</v>
      </c>
      <c r="H592" s="4" t="s">
        <v>55</v>
      </c>
      <c r="I592" s="4" t="s">
        <v>5976</v>
      </c>
      <c r="J592" s="4" t="s">
        <v>91</v>
      </c>
      <c r="K592" s="13" t="str">
        <f>HYPERLINK("https://media.licdn.com/dms/image/v2/D4E10AQGtghmcbENoRA/image-shrink_1280/B4EZpyKsenGUAM-/0/1762851998345?e=2147483647&amp;v=beta&amp;t=WYPZ3kUAds2ByyQlGqHRqNH_YPR_HsQm3DQpuEcfPC4","Open Creative")</f>
        <v>Open Creative</v>
      </c>
      <c r="L592" s="4" t="s">
        <v>62</v>
      </c>
      <c r="M592" s="4" t="s">
        <v>63</v>
      </c>
      <c r="N592" s="4" t="s">
        <v>5961</v>
      </c>
      <c r="O592" s="2" t="s">
        <v>132</v>
      </c>
      <c r="P592" s="2">
        <v>8.96131344E8</v>
      </c>
      <c r="Q592" s="2" t="s">
        <v>68</v>
      </c>
      <c r="R592" s="4" t="s">
        <v>6077</v>
      </c>
    </row>
    <row r="593">
      <c r="A593" s="4" t="s">
        <v>44</v>
      </c>
      <c r="B593" s="4" t="s">
        <v>44</v>
      </c>
      <c r="C593" s="4">
        <v>592.0</v>
      </c>
      <c r="D593" s="13" t="str">
        <f>HYPERLINK("https://www.linkedin.com/ad-library/detail/896151324","Open Ad")</f>
        <v>Open Ad</v>
      </c>
      <c r="E593" s="4" t="s">
        <v>91</v>
      </c>
      <c r="F593" s="4" t="s">
        <v>5958</v>
      </c>
      <c r="G593" s="4" t="s">
        <v>5959</v>
      </c>
      <c r="H593" s="4" t="s">
        <v>55</v>
      </c>
      <c r="I593" s="4" t="s">
        <v>57</v>
      </c>
      <c r="J593" s="4" t="s">
        <v>91</v>
      </c>
      <c r="K593" s="13" t="str">
        <f>HYPERLINK("https://media.licdn.com/dms/image/v2/D4E10AQEm1zmJw-XuMQ/image-shrink_1280/B4EZpyKNjhKYAM-/0/1762851871723?e=2147483647&amp;v=beta&amp;t=kAIzLspa3s3BalB_p49GiMdvRsFzqys5d0J5UMon8Go","Open Creative")</f>
        <v>Open Creative</v>
      </c>
      <c r="L593" s="4" t="s">
        <v>62</v>
      </c>
      <c r="M593" s="4" t="s">
        <v>63</v>
      </c>
      <c r="N593" s="4" t="s">
        <v>5961</v>
      </c>
      <c r="O593" s="2" t="s">
        <v>132</v>
      </c>
      <c r="P593" s="2">
        <v>8.96151324E8</v>
      </c>
      <c r="Q593" s="2" t="s">
        <v>68</v>
      </c>
      <c r="R593" s="4" t="s">
        <v>6081</v>
      </c>
    </row>
    <row r="594">
      <c r="A594" s="4" t="s">
        <v>44</v>
      </c>
      <c r="B594" s="4" t="s">
        <v>44</v>
      </c>
      <c r="C594" s="4">
        <v>593.0</v>
      </c>
      <c r="D594" s="13" t="str">
        <f>HYPERLINK("https://www.linkedin.com/ad-library/detail/906260914","Open Ad")</f>
        <v>Open Ad</v>
      </c>
      <c r="E594" s="4" t="s">
        <v>91</v>
      </c>
      <c r="F594" s="4" t="s">
        <v>5974</v>
      </c>
      <c r="G594" s="4" t="s">
        <v>5975</v>
      </c>
      <c r="H594" s="4" t="s">
        <v>55</v>
      </c>
      <c r="I594" s="4" t="s">
        <v>5976</v>
      </c>
      <c r="J594" s="4" t="s">
        <v>91</v>
      </c>
      <c r="K594" s="13" t="str">
        <f>HYPERLINK("https://media.licdn.com/dms/image/v2/D4E10AQHIUKrraF-SuA/image-shrink_1280/B4EZpyKikRHUAM-/0/1762851959397?e=2147483647&amp;v=beta&amp;t=vVccIxUuMHfE_UTv2P2hciB3hCdhl-wuBX3fxT_WFPA","Open Creative")</f>
        <v>Open Creative</v>
      </c>
      <c r="L594" s="4" t="s">
        <v>62</v>
      </c>
      <c r="M594" s="4" t="s">
        <v>63</v>
      </c>
      <c r="N594" s="4" t="s">
        <v>5961</v>
      </c>
      <c r="O594" s="2" t="s">
        <v>132</v>
      </c>
      <c r="P594" s="2">
        <v>9.06260914E8</v>
      </c>
      <c r="Q594" s="2" t="s">
        <v>68</v>
      </c>
      <c r="R594" s="4" t="s">
        <v>6084</v>
      </c>
    </row>
    <row r="595">
      <c r="A595" s="4" t="s">
        <v>44</v>
      </c>
      <c r="B595" s="4" t="s">
        <v>44</v>
      </c>
      <c r="C595" s="4">
        <v>594.0</v>
      </c>
      <c r="D595" s="13" t="str">
        <f>HYPERLINK("https://www.linkedin.com/ad-library/detail/906280994","Open Ad")</f>
        <v>Open Ad</v>
      </c>
      <c r="E595" s="4" t="s">
        <v>91</v>
      </c>
      <c r="F595" s="4" t="s">
        <v>5958</v>
      </c>
      <c r="G595" s="4" t="s">
        <v>5959</v>
      </c>
      <c r="H595" s="4" t="s">
        <v>55</v>
      </c>
      <c r="I595" s="4" t="s">
        <v>57</v>
      </c>
      <c r="J595" s="4" t="s">
        <v>91</v>
      </c>
      <c r="K595" s="13" t="str">
        <f>HYPERLINK("https://media.licdn.com/dms/image/v2/D4E10AQF8Be64VrwNjQ/image-shrink_1280/B4EZpyKscTGcAM-/0/1762851999772?e=2147483647&amp;v=beta&amp;t=vaJ5p_e4vh_z_cY5Ou0s0wDZ_rH3DPHjnSQ-UQ5vcxw","Open Creative")</f>
        <v>Open Creative</v>
      </c>
      <c r="L595" s="4" t="s">
        <v>62</v>
      </c>
      <c r="M595" s="4" t="s">
        <v>63</v>
      </c>
      <c r="N595" s="4" t="s">
        <v>5961</v>
      </c>
      <c r="O595" s="2" t="s">
        <v>132</v>
      </c>
      <c r="P595" s="2">
        <v>9.06280994E8</v>
      </c>
      <c r="Q595" s="2" t="s">
        <v>68</v>
      </c>
      <c r="R595" s="4" t="s">
        <v>6089</v>
      </c>
    </row>
    <row r="596">
      <c r="A596" s="4" t="s">
        <v>44</v>
      </c>
      <c r="B596" s="4" t="s">
        <v>44</v>
      </c>
      <c r="C596" s="4">
        <v>595.0</v>
      </c>
      <c r="D596" s="13" t="str">
        <f>HYPERLINK("https://www.linkedin.com/ad-library/detail/906201234","Open Ad")</f>
        <v>Open Ad</v>
      </c>
      <c r="E596" s="4" t="s">
        <v>91</v>
      </c>
      <c r="F596" s="4" t="s">
        <v>5958</v>
      </c>
      <c r="G596" s="4" t="s">
        <v>5959</v>
      </c>
      <c r="H596" s="4" t="s">
        <v>55</v>
      </c>
      <c r="I596" s="4" t="s">
        <v>57</v>
      </c>
      <c r="J596" s="4" t="s">
        <v>91</v>
      </c>
      <c r="K596" s="13" t="str">
        <f>HYPERLINK("https://media.licdn.com/dms/image/v2/D4E10AQHD0Wv5KPGuqQ/image-shrink_1280/B4EZpyKsv_HcAM-/0/1762851999785?e=2147483647&amp;v=beta&amp;t=fuKFzlAI0viz0aZE0q2EhKbNqN09TYCd4TdPf71OPDQ","Open Creative")</f>
        <v>Open Creative</v>
      </c>
      <c r="L596" s="4" t="s">
        <v>62</v>
      </c>
      <c r="M596" s="4" t="s">
        <v>63</v>
      </c>
      <c r="N596" s="4" t="s">
        <v>5961</v>
      </c>
      <c r="O596" s="2" t="s">
        <v>132</v>
      </c>
      <c r="P596" s="2">
        <v>9.06201234E8</v>
      </c>
      <c r="Q596" s="2" t="s">
        <v>68</v>
      </c>
      <c r="R596" s="4" t="s">
        <v>6093</v>
      </c>
    </row>
    <row r="597">
      <c r="A597" s="4" t="s">
        <v>44</v>
      </c>
      <c r="B597" s="4" t="s">
        <v>44</v>
      </c>
      <c r="C597" s="4">
        <v>596.0</v>
      </c>
      <c r="D597" s="13" t="str">
        <f>HYPERLINK("https://www.linkedin.com/ad-library/detail/906181064","Open Ad")</f>
        <v>Open Ad</v>
      </c>
      <c r="E597" s="4" t="s">
        <v>91</v>
      </c>
      <c r="F597" s="4" t="s">
        <v>5958</v>
      </c>
      <c r="G597" s="4" t="s">
        <v>5959</v>
      </c>
      <c r="H597" s="4" t="s">
        <v>55</v>
      </c>
      <c r="I597" s="4" t="s">
        <v>57</v>
      </c>
      <c r="J597" s="4" t="s">
        <v>91</v>
      </c>
      <c r="K597" s="13" t="str">
        <f>HYPERLINK("https://media.licdn.com/dms/image/v2/D4E10AQGMm4gBoc-woQ/image-shrink_1280/B4EZpyKiivKgAM-/0/1762851957647?e=2147483647&amp;v=beta&amp;t=gJfBADlFQ-t8AKelKaOsESCf4ua7D8tZFqVGJNCiMd4","Open Creative")</f>
        <v>Open Creative</v>
      </c>
      <c r="L597" s="4" t="s">
        <v>62</v>
      </c>
      <c r="M597" s="4" t="s">
        <v>63</v>
      </c>
      <c r="N597" s="4" t="s">
        <v>5961</v>
      </c>
      <c r="O597" s="2" t="s">
        <v>132</v>
      </c>
      <c r="P597" s="2">
        <v>9.06181064E8</v>
      </c>
      <c r="Q597" s="2" t="s">
        <v>68</v>
      </c>
      <c r="R597" s="4" t="s">
        <v>6097</v>
      </c>
    </row>
    <row r="598">
      <c r="A598" s="4" t="s">
        <v>44</v>
      </c>
      <c r="B598" s="4" t="s">
        <v>44</v>
      </c>
      <c r="C598" s="4">
        <v>597.0</v>
      </c>
      <c r="D598" s="13" t="str">
        <f>HYPERLINK("https://www.linkedin.com/ad-library/detail/906331274","Open Ad")</f>
        <v>Open Ad</v>
      </c>
      <c r="E598" s="4" t="s">
        <v>91</v>
      </c>
      <c r="F598" s="4" t="s">
        <v>5974</v>
      </c>
      <c r="G598" s="4" t="s">
        <v>5975</v>
      </c>
      <c r="H598" s="4" t="s">
        <v>55</v>
      </c>
      <c r="I598" s="4" t="s">
        <v>5976</v>
      </c>
      <c r="J598" s="4" t="s">
        <v>91</v>
      </c>
      <c r="K598" s="13" t="str">
        <f>HYPERLINK("https://media.licdn.com/dms/image/v2/D4E10AQHecja3OAU7gA/image-shrink_1280/B4EZpyLzb6GoAM-/0/1762852289127?e=2147483647&amp;v=beta&amp;t=SX1rGy0lsI-EnSh-WirSZWlMP4Y_5jeJOIcNcRccXxI","Open Creative")</f>
        <v>Open Creative</v>
      </c>
      <c r="L598" s="4" t="s">
        <v>62</v>
      </c>
      <c r="M598" s="4" t="s">
        <v>63</v>
      </c>
      <c r="N598" s="4" t="s">
        <v>5961</v>
      </c>
      <c r="O598" s="2" t="s">
        <v>132</v>
      </c>
      <c r="P598" s="2">
        <v>9.06331274E8</v>
      </c>
      <c r="Q598" s="2" t="s">
        <v>68</v>
      </c>
      <c r="R598" s="4" t="s">
        <v>6100</v>
      </c>
    </row>
    <row r="599">
      <c r="A599" s="4" t="s">
        <v>44</v>
      </c>
      <c r="B599" s="4" t="s">
        <v>44</v>
      </c>
      <c r="C599" s="4">
        <v>598.0</v>
      </c>
      <c r="D599" s="13" t="str">
        <f>HYPERLINK("https://www.linkedin.com/ad-library/detail/906201224","Open Ad")</f>
        <v>Open Ad</v>
      </c>
      <c r="E599" s="4" t="s">
        <v>91</v>
      </c>
      <c r="F599" s="4" t="s">
        <v>5974</v>
      </c>
      <c r="G599" s="4" t="s">
        <v>5975</v>
      </c>
      <c r="H599" s="4" t="s">
        <v>55</v>
      </c>
      <c r="I599" s="4" t="s">
        <v>5976</v>
      </c>
      <c r="J599" s="4" t="s">
        <v>91</v>
      </c>
      <c r="K599" s="13" t="str">
        <f>HYPERLINK("https://media.licdn.com/dms/image/v2/D4E10AQGIjXckNDo11w/image-shrink_1280/B4EZpyKiaKHEAQ-/0/1762851957367?e=2147483647&amp;v=beta&amp;t=WyqbkBT_OjPVHxOYKOHUSvy9NBuN9EPx0jSuKofdHRw","Open Creative")</f>
        <v>Open Creative</v>
      </c>
      <c r="L599" s="4" t="s">
        <v>62</v>
      </c>
      <c r="M599" s="4" t="s">
        <v>63</v>
      </c>
      <c r="N599" s="4" t="s">
        <v>5961</v>
      </c>
      <c r="O599" s="2" t="s">
        <v>132</v>
      </c>
      <c r="P599" s="2">
        <v>9.06201224E8</v>
      </c>
      <c r="Q599" s="2" t="s">
        <v>68</v>
      </c>
      <c r="R599" s="4" t="s">
        <v>6105</v>
      </c>
    </row>
    <row r="600">
      <c r="A600" s="4" t="s">
        <v>44</v>
      </c>
      <c r="B600" s="4" t="s">
        <v>44</v>
      </c>
      <c r="C600" s="4">
        <v>599.0</v>
      </c>
      <c r="D600" s="13" t="str">
        <f>HYPERLINK("https://www.linkedin.com/ad-library/detail/906311164","Open Ad")</f>
        <v>Open Ad</v>
      </c>
      <c r="E600" s="4" t="s">
        <v>91</v>
      </c>
      <c r="F600" s="4" t="s">
        <v>6013</v>
      </c>
      <c r="G600" s="4" t="s">
        <v>6014</v>
      </c>
      <c r="H600" s="4" t="s">
        <v>55</v>
      </c>
      <c r="I600" s="4" t="s">
        <v>5976</v>
      </c>
      <c r="J600" s="4" t="s">
        <v>91</v>
      </c>
      <c r="K600" s="13" t="str">
        <f>HYPERLINK("https://media.licdn.com/dms/image/v2/D4E10AQHh-n0MP4iESg/image-shrink_1280/B4EZpyKsdnGcAM-/0/1762851998298?e=2147483647&amp;v=beta&amp;t=8loD7L3Epu0yeQZ3Euir3AFDkidfvdjhAp9qikpr0P0","Open Creative")</f>
        <v>Open Creative</v>
      </c>
      <c r="L600" s="4" t="s">
        <v>62</v>
      </c>
      <c r="M600" s="4" t="s">
        <v>63</v>
      </c>
      <c r="N600" s="4" t="s">
        <v>5961</v>
      </c>
      <c r="O600" s="2" t="s">
        <v>132</v>
      </c>
      <c r="P600" s="2">
        <v>9.06311164E8</v>
      </c>
      <c r="Q600" s="2" t="s">
        <v>68</v>
      </c>
      <c r="R600" s="4" t="s">
        <v>6108</v>
      </c>
    </row>
    <row r="601">
      <c r="A601" s="4" t="s">
        <v>44</v>
      </c>
      <c r="B601" s="4" t="s">
        <v>44</v>
      </c>
      <c r="C601" s="4">
        <v>600.0</v>
      </c>
      <c r="D601" s="13" t="str">
        <f>HYPERLINK("https://www.linkedin.com/ad-library/detail/896161164","Open Ad")</f>
        <v>Open Ad</v>
      </c>
      <c r="E601" s="4" t="s">
        <v>91</v>
      </c>
      <c r="F601" s="4" t="s">
        <v>6013</v>
      </c>
      <c r="G601" s="4" t="s">
        <v>6014</v>
      </c>
      <c r="H601" s="4" t="s">
        <v>55</v>
      </c>
      <c r="I601" s="4" t="s">
        <v>5976</v>
      </c>
      <c r="J601" s="4" t="s">
        <v>91</v>
      </c>
      <c r="K601" s="13" t="str">
        <f>HYPERLINK("https://media.licdn.com/dms/image/v2/D4E10AQFQvci_60lW4w/image-shrink_1280/B4EZpyKihiGcAM-/0/1762851959051?e=2147483647&amp;v=beta&amp;t=EZXT0ZqlgRlZ9v30zl4rknG7FhYDjqAVQ0Wspar-GAU","Open Creative")</f>
        <v>Open Creative</v>
      </c>
      <c r="L601" s="4" t="s">
        <v>62</v>
      </c>
      <c r="M601" s="4" t="s">
        <v>63</v>
      </c>
      <c r="N601" s="4" t="s">
        <v>5961</v>
      </c>
      <c r="O601" s="2" t="s">
        <v>132</v>
      </c>
      <c r="P601" s="2">
        <v>8.96161164E8</v>
      </c>
      <c r="Q601" s="2" t="s">
        <v>68</v>
      </c>
      <c r="R601" s="4" t="s">
        <v>6111</v>
      </c>
    </row>
    <row r="602">
      <c r="A602" s="4" t="s">
        <v>44</v>
      </c>
      <c r="B602" s="4" t="s">
        <v>44</v>
      </c>
      <c r="C602" s="4">
        <v>601.0</v>
      </c>
      <c r="D602" s="13" t="str">
        <f>HYPERLINK("https://www.linkedin.com/ad-library/detail/896161144","Open Ad")</f>
        <v>Open Ad</v>
      </c>
      <c r="E602" s="4" t="s">
        <v>91</v>
      </c>
      <c r="F602" s="4" t="s">
        <v>5974</v>
      </c>
      <c r="G602" s="4" t="s">
        <v>5975</v>
      </c>
      <c r="H602" s="4" t="s">
        <v>55</v>
      </c>
      <c r="I602" s="4" t="s">
        <v>5976</v>
      </c>
      <c r="J602" s="4" t="s">
        <v>91</v>
      </c>
      <c r="K602" s="13" t="str">
        <f>HYPERLINK("https://media.licdn.com/dms/image/v2/D4E10AQHMmBC7b0ylEg/image-shrink_1280/B4EZpyKHddKcAM-/0/1762851847213?e=2147483647&amp;v=beta&amp;t=jKITdyYVqjOEtsdTT_7b0fG3IuTg3KbvN0SpSYpACb4","Open Creative")</f>
        <v>Open Creative</v>
      </c>
      <c r="L602" s="4" t="s">
        <v>62</v>
      </c>
      <c r="M602" s="4" t="s">
        <v>63</v>
      </c>
      <c r="N602" s="4" t="s">
        <v>5961</v>
      </c>
      <c r="O602" s="2" t="s">
        <v>132</v>
      </c>
      <c r="P602" s="2">
        <v>8.96161144E8</v>
      </c>
      <c r="Q602" s="2" t="s">
        <v>68</v>
      </c>
      <c r="R602" s="4" t="s">
        <v>6114</v>
      </c>
    </row>
    <row r="603">
      <c r="A603" s="4" t="s">
        <v>44</v>
      </c>
      <c r="B603" s="4" t="s">
        <v>44</v>
      </c>
      <c r="C603" s="4">
        <v>602.0</v>
      </c>
      <c r="D603" s="13" t="str">
        <f>HYPERLINK("https://www.linkedin.com/ad-library/detail/896161134","Open Ad")</f>
        <v>Open Ad</v>
      </c>
      <c r="E603" s="4" t="s">
        <v>91</v>
      </c>
      <c r="F603" s="4" t="s">
        <v>5958</v>
      </c>
      <c r="G603" s="4" t="s">
        <v>5959</v>
      </c>
      <c r="H603" s="4" t="s">
        <v>55</v>
      </c>
      <c r="I603" s="4" t="s">
        <v>57</v>
      </c>
      <c r="J603" s="4" t="s">
        <v>91</v>
      </c>
      <c r="K603" s="13" t="str">
        <f>HYPERLINK("https://media.licdn.com/dms/image/v2/D4E10AQEg_jtOX8WO1A/image-shrink_1280/B4EZpyKHW4KoAM-/0/1762851846755?e=2147483647&amp;v=beta&amp;t=rTvPuIZK-JiIHQNKTQLRkJnyHmrsgd6lH-Js1G5f-UA","Open Creative")</f>
        <v>Open Creative</v>
      </c>
      <c r="L603" s="4" t="s">
        <v>62</v>
      </c>
      <c r="M603" s="4" t="s">
        <v>63</v>
      </c>
      <c r="N603" s="4" t="s">
        <v>5961</v>
      </c>
      <c r="O603" s="2" t="s">
        <v>132</v>
      </c>
      <c r="P603" s="2">
        <v>8.96161134E8</v>
      </c>
      <c r="Q603" s="2" t="s">
        <v>68</v>
      </c>
      <c r="R603" s="4" t="s">
        <v>6117</v>
      </c>
    </row>
    <row r="604">
      <c r="A604" s="4" t="s">
        <v>44</v>
      </c>
      <c r="B604" s="4" t="s">
        <v>44</v>
      </c>
      <c r="C604" s="4">
        <v>603.0</v>
      </c>
      <c r="D604" s="13" t="str">
        <f>HYPERLINK("https://www.linkedin.com/ad-library/detail/906210964","Open Ad")</f>
        <v>Open Ad</v>
      </c>
      <c r="E604" s="4" t="s">
        <v>91</v>
      </c>
      <c r="F604" s="4" t="s">
        <v>6013</v>
      </c>
      <c r="G604" s="4" t="s">
        <v>6014</v>
      </c>
      <c r="H604" s="4" t="s">
        <v>55</v>
      </c>
      <c r="I604" s="4" t="s">
        <v>5976</v>
      </c>
      <c r="J604" s="4" t="s">
        <v>91</v>
      </c>
      <c r="K604" s="13" t="str">
        <f>HYPERLINK("https://media.licdn.com/dms/image/v2/D4E10AQEHquJEyLWtEA/image-shrink_1280/B4EZpyKNg2KoAM-/0/1762851871630?e=2147483647&amp;v=beta&amp;t=gyZC5vgkMr3WqECYYE6jWV9pThTEudYnmJ4GtymVeEU","Open Creative")</f>
        <v>Open Creative</v>
      </c>
      <c r="L604" s="4" t="s">
        <v>62</v>
      </c>
      <c r="M604" s="4" t="s">
        <v>63</v>
      </c>
      <c r="N604" s="4" t="s">
        <v>5961</v>
      </c>
      <c r="O604" s="2" t="s">
        <v>132</v>
      </c>
      <c r="P604" s="2">
        <v>9.06210964E8</v>
      </c>
      <c r="Q604" s="2" t="s">
        <v>68</v>
      </c>
      <c r="R604" s="4" t="s">
        <v>6120</v>
      </c>
    </row>
    <row r="605">
      <c r="A605" s="4" t="s">
        <v>44</v>
      </c>
      <c r="B605" s="4" t="s">
        <v>44</v>
      </c>
      <c r="C605" s="4">
        <v>604.0</v>
      </c>
      <c r="D605" s="13" t="str">
        <f>HYPERLINK("https://www.linkedin.com/ad-library/detail/906210944","Open Ad")</f>
        <v>Open Ad</v>
      </c>
      <c r="E605" s="4" t="s">
        <v>91</v>
      </c>
      <c r="F605" s="4" t="s">
        <v>5974</v>
      </c>
      <c r="G605" s="4" t="s">
        <v>5975</v>
      </c>
      <c r="H605" s="4" t="s">
        <v>55</v>
      </c>
      <c r="I605" s="4" t="s">
        <v>5976</v>
      </c>
      <c r="J605" s="4" t="s">
        <v>91</v>
      </c>
      <c r="K605" s="13" t="str">
        <f>HYPERLINK("https://media.licdn.com/dms/image/v2/D4E10AQFXiJgXxeh7xg/image-shrink_1280/B4EZpyKBkTGUAM-/0/1762851822610?e=2147483647&amp;v=beta&amp;t=61OOOWVEfeHGEFZKx_yy1qh7naarCUnU0E6aHanUvpM","Open Creative")</f>
        <v>Open Creative</v>
      </c>
      <c r="L605" s="4" t="s">
        <v>62</v>
      </c>
      <c r="M605" s="4" t="s">
        <v>63</v>
      </c>
      <c r="N605" s="4" t="s">
        <v>5961</v>
      </c>
      <c r="O605" s="2" t="s">
        <v>132</v>
      </c>
      <c r="P605" s="2">
        <v>9.06210944E8</v>
      </c>
      <c r="Q605" s="2" t="s">
        <v>68</v>
      </c>
      <c r="R605" s="4" t="s">
        <v>6123</v>
      </c>
    </row>
    <row r="606">
      <c r="A606" s="4" t="s">
        <v>44</v>
      </c>
      <c r="B606" s="4" t="s">
        <v>44</v>
      </c>
      <c r="C606" s="4">
        <v>605.0</v>
      </c>
      <c r="D606" s="13" t="str">
        <f>HYPERLINK("https://www.linkedin.com/ad-library/detail/906301014","Open Ad")</f>
        <v>Open Ad</v>
      </c>
      <c r="E606" s="4" t="s">
        <v>91</v>
      </c>
      <c r="F606" s="4" t="s">
        <v>5974</v>
      </c>
      <c r="G606" s="4" t="s">
        <v>5975</v>
      </c>
      <c r="H606" s="4" t="s">
        <v>55</v>
      </c>
      <c r="I606" s="4" t="s">
        <v>5976</v>
      </c>
      <c r="J606" s="4" t="s">
        <v>91</v>
      </c>
      <c r="K606" s="13" t="str">
        <f>HYPERLINK("https://media.licdn.com/dms/image/v2/D4E10AQH1QywCfU-WoA/image-shrink_1280/B4EZpyKHZ.HUAQ-/0/1762851847941?e=2147483647&amp;v=beta&amp;t=5dS0ZC9neXKVfmMOoftonbapIhEJWd2Rz95TPRjYtJ0","Open Creative")</f>
        <v>Open Creative</v>
      </c>
      <c r="L606" s="4" t="s">
        <v>62</v>
      </c>
      <c r="M606" s="4" t="s">
        <v>63</v>
      </c>
      <c r="N606" s="4" t="s">
        <v>5961</v>
      </c>
      <c r="O606" s="2" t="s">
        <v>132</v>
      </c>
      <c r="P606" s="2">
        <v>9.06301014E8</v>
      </c>
      <c r="Q606" s="2" t="s">
        <v>68</v>
      </c>
      <c r="R606" s="4" t="s">
        <v>6126</v>
      </c>
    </row>
    <row r="607">
      <c r="A607" s="4" t="s">
        <v>44</v>
      </c>
      <c r="B607" s="4" t="s">
        <v>44</v>
      </c>
      <c r="C607" s="4">
        <v>606.0</v>
      </c>
      <c r="D607" s="13" t="str">
        <f>HYPERLINK("https://www.linkedin.com/ad-library/detail/906251124","Open Ad")</f>
        <v>Open Ad</v>
      </c>
      <c r="E607" s="4" t="s">
        <v>91</v>
      </c>
      <c r="F607" s="4" t="s">
        <v>5958</v>
      </c>
      <c r="G607" s="4" t="s">
        <v>5959</v>
      </c>
      <c r="H607" s="4" t="s">
        <v>55</v>
      </c>
      <c r="I607" s="4" t="s">
        <v>57</v>
      </c>
      <c r="J607" s="4" t="s">
        <v>91</v>
      </c>
      <c r="K607" s="13" t="str">
        <f>HYPERLINK("https://media.licdn.com/dms/image/v2/D4E10AQEZ-vQ93cuBjA/image-shrink_1280/B4EZpyKNdyIoAM-/0/1762851871498?e=2147483647&amp;v=beta&amp;t=hIC-tRN-BjS3RcwPJA2IWlTmitMocpQ-c2JCZp7oNX4","Open Creative")</f>
        <v>Open Creative</v>
      </c>
      <c r="L607" s="4" t="s">
        <v>62</v>
      </c>
      <c r="M607" s="4" t="s">
        <v>63</v>
      </c>
      <c r="N607" s="4" t="s">
        <v>5961</v>
      </c>
      <c r="O607" s="2" t="s">
        <v>132</v>
      </c>
      <c r="P607" s="2">
        <v>9.06251124E8</v>
      </c>
      <c r="Q607" s="2" t="s">
        <v>68</v>
      </c>
      <c r="R607" s="4" t="s">
        <v>6129</v>
      </c>
    </row>
    <row r="608">
      <c r="A608" s="4" t="s">
        <v>44</v>
      </c>
      <c r="B608" s="4" t="s">
        <v>44</v>
      </c>
      <c r="C608" s="4">
        <v>607.0</v>
      </c>
      <c r="D608" s="13" t="str">
        <f>HYPERLINK("https://www.linkedin.com/ad-library/detail/896171254","Open Ad")</f>
        <v>Open Ad</v>
      </c>
      <c r="E608" s="4" t="s">
        <v>91</v>
      </c>
      <c r="F608" s="4" t="s">
        <v>5974</v>
      </c>
      <c r="G608" s="4" t="s">
        <v>5975</v>
      </c>
      <c r="H608" s="4" t="s">
        <v>55</v>
      </c>
      <c r="I608" s="4" t="s">
        <v>5976</v>
      </c>
      <c r="J608" s="4" t="s">
        <v>91</v>
      </c>
      <c r="K608" s="13" t="str">
        <f>HYPERLINK("https://media.licdn.com/dms/image/v2/D4E10AQFWmSDbDctyiQ/image-shrink_1280/B4EZpyKHVwGoAM-/0/1762851846209?e=2147483647&amp;v=beta&amp;t=lOb0vj9CdJXXROIcRN9wIzU3T_E8iagcx0pz3_DH1EU","Open Creative")</f>
        <v>Open Creative</v>
      </c>
      <c r="L608" s="4" t="s">
        <v>62</v>
      </c>
      <c r="M608" s="4" t="s">
        <v>63</v>
      </c>
      <c r="N608" s="4" t="s">
        <v>5961</v>
      </c>
      <c r="O608" s="2" t="s">
        <v>132</v>
      </c>
      <c r="P608" s="2">
        <v>8.96171254E8</v>
      </c>
      <c r="Q608" s="2" t="s">
        <v>68</v>
      </c>
      <c r="R608" s="4" t="s">
        <v>6132</v>
      </c>
    </row>
    <row r="609">
      <c r="A609" s="4" t="s">
        <v>44</v>
      </c>
      <c r="B609" s="4" t="s">
        <v>44</v>
      </c>
      <c r="C609" s="4">
        <v>608.0</v>
      </c>
      <c r="D609" s="13" t="str">
        <f>HYPERLINK("https://www.linkedin.com/ad-library/detail/906231234","Open Ad")</f>
        <v>Open Ad</v>
      </c>
      <c r="E609" s="4" t="s">
        <v>91</v>
      </c>
      <c r="F609" s="4" t="s">
        <v>5958</v>
      </c>
      <c r="G609" s="4" t="s">
        <v>5959</v>
      </c>
      <c r="H609" s="4" t="s">
        <v>55</v>
      </c>
      <c r="I609" s="4" t="s">
        <v>57</v>
      </c>
      <c r="J609" s="4" t="s">
        <v>91</v>
      </c>
      <c r="K609" s="13" t="str">
        <f>HYPERLINK("https://media.licdn.com/dms/image/v2/D4E10AQH1Gs--1a2njg/image-shrink_1280/B4EZpyKBlxHoAM-/0/1762851823032?e=2147483647&amp;v=beta&amp;t=WvjPK_T9NTKf_FOMvRMeevYNiDPwuliVH50CZSoQeIk","Open Creative")</f>
        <v>Open Creative</v>
      </c>
      <c r="L609" s="4" t="s">
        <v>62</v>
      </c>
      <c r="M609" s="4" t="s">
        <v>63</v>
      </c>
      <c r="N609" s="4" t="s">
        <v>5961</v>
      </c>
      <c r="O609" s="2" t="s">
        <v>132</v>
      </c>
      <c r="P609" s="2">
        <v>9.06231234E8</v>
      </c>
      <c r="Q609" s="2" t="s">
        <v>68</v>
      </c>
      <c r="R609" s="4" t="s">
        <v>6135</v>
      </c>
    </row>
    <row r="610">
      <c r="A610" s="4" t="s">
        <v>44</v>
      </c>
      <c r="B610" s="4" t="s">
        <v>44</v>
      </c>
      <c r="C610" s="4">
        <v>609.0</v>
      </c>
      <c r="D610" s="13" t="str">
        <f>HYPERLINK("https://www.linkedin.com/ad-library/detail/906221244","Open Ad")</f>
        <v>Open Ad</v>
      </c>
      <c r="E610" s="4" t="s">
        <v>91</v>
      </c>
      <c r="F610" s="4" t="s">
        <v>6013</v>
      </c>
      <c r="G610" s="4" t="s">
        <v>6014</v>
      </c>
      <c r="H610" s="4" t="s">
        <v>55</v>
      </c>
      <c r="I610" s="4" t="s">
        <v>5976</v>
      </c>
      <c r="J610" s="4" t="s">
        <v>91</v>
      </c>
      <c r="K610" s="13" t="str">
        <f>HYPERLINK("https://media.licdn.com/dms/image/v2/D4E10AQH7N7-OjokUYg/image-shrink_1280/B4EZpyKNdVKgAM-/0/1762851871495?e=2147483647&amp;v=beta&amp;t=LTQevQmrgHMY6A2qKFMob_EZZLyloS5Ftxna_DZzzxU","Open Creative")</f>
        <v>Open Creative</v>
      </c>
      <c r="L610" s="4" t="s">
        <v>62</v>
      </c>
      <c r="M610" s="4" t="s">
        <v>63</v>
      </c>
      <c r="N610" s="4" t="s">
        <v>5961</v>
      </c>
      <c r="O610" s="2" t="s">
        <v>132</v>
      </c>
      <c r="P610" s="2">
        <v>9.06221244E8</v>
      </c>
      <c r="Q610" s="2" t="s">
        <v>68</v>
      </c>
      <c r="R610" s="4" t="s">
        <v>6138</v>
      </c>
    </row>
    <row r="611">
      <c r="A611" s="4" t="s">
        <v>44</v>
      </c>
      <c r="B611" s="4" t="s">
        <v>44</v>
      </c>
      <c r="C611" s="4">
        <v>610.0</v>
      </c>
      <c r="D611" s="13" t="str">
        <f>HYPERLINK("https://www.linkedin.com/ad-library/detail/906241194","Open Ad")</f>
        <v>Open Ad</v>
      </c>
      <c r="E611" s="4" t="s">
        <v>91</v>
      </c>
      <c r="F611" s="4" t="s">
        <v>6013</v>
      </c>
      <c r="G611" s="4" t="s">
        <v>6014</v>
      </c>
      <c r="H611" s="4" t="s">
        <v>55</v>
      </c>
      <c r="I611" s="4" t="s">
        <v>5976</v>
      </c>
      <c r="J611" s="4" t="s">
        <v>91</v>
      </c>
      <c r="K611" s="13" t="str">
        <f>HYPERLINK("https://media.licdn.com/dms/image/v2/D4E10AQEBZAZWm4qUhA/image-shrink_1280/B4EZpyKHTFHoAM-/0/1762851846071?e=2147483647&amp;v=beta&amp;t=jJv8-L9Q8qRvF4r82W33BF0InYrdb709rOZWmtG_QDo","Open Creative")</f>
        <v>Open Creative</v>
      </c>
      <c r="L611" s="4" t="s">
        <v>62</v>
      </c>
      <c r="M611" s="4" t="s">
        <v>63</v>
      </c>
      <c r="N611" s="4" t="s">
        <v>5961</v>
      </c>
      <c r="O611" s="2" t="s">
        <v>132</v>
      </c>
      <c r="P611" s="2">
        <v>9.06241194E8</v>
      </c>
      <c r="Q611" s="2" t="s">
        <v>68</v>
      </c>
      <c r="R611" s="4" t="s">
        <v>6141</v>
      </c>
    </row>
    <row r="612">
      <c r="A612" s="4" t="s">
        <v>44</v>
      </c>
      <c r="B612" s="4" t="s">
        <v>44</v>
      </c>
      <c r="C612" s="4">
        <v>611.0</v>
      </c>
      <c r="D612" s="13" t="str">
        <f>HYPERLINK("https://www.linkedin.com/ad-library/detail/906201214","Open Ad")</f>
        <v>Open Ad</v>
      </c>
      <c r="E612" s="4" t="s">
        <v>91</v>
      </c>
      <c r="F612" s="4" t="s">
        <v>5958</v>
      </c>
      <c r="G612" s="4" t="s">
        <v>5959</v>
      </c>
      <c r="H612" s="4" t="s">
        <v>55</v>
      </c>
      <c r="I612" s="4" t="s">
        <v>57</v>
      </c>
      <c r="J612" s="4" t="s">
        <v>91</v>
      </c>
      <c r="K612" s="13" t="str">
        <f>HYPERLINK("https://media.licdn.com/dms/image/v2/D4E10AQEi7MN_VbnwLQ/image-shrink_1280/B4EZpyKHVkIoAM-/0/1762851846245?e=2147483647&amp;v=beta&amp;t=4PzpnaPR4f0Eg3TiCDHHENFa8V8x_fZYb66yF60BLrY","Open Creative")</f>
        <v>Open Creative</v>
      </c>
      <c r="L612" s="4" t="s">
        <v>62</v>
      </c>
      <c r="M612" s="4" t="s">
        <v>63</v>
      </c>
      <c r="N612" s="4" t="s">
        <v>5961</v>
      </c>
      <c r="O612" s="2" t="s">
        <v>132</v>
      </c>
      <c r="P612" s="2">
        <v>9.06201214E8</v>
      </c>
      <c r="Q612" s="2" t="s">
        <v>68</v>
      </c>
      <c r="R612" s="4" t="s">
        <v>6146</v>
      </c>
    </row>
    <row r="613">
      <c r="A613" s="4" t="s">
        <v>44</v>
      </c>
      <c r="B613" s="4" t="s">
        <v>44</v>
      </c>
      <c r="C613" s="4">
        <v>612.0</v>
      </c>
      <c r="D613" s="13" t="str">
        <f>HYPERLINK("https://www.linkedin.com/ad-library/detail/906270894","Open Ad")</f>
        <v>Open Ad</v>
      </c>
      <c r="E613" s="4" t="s">
        <v>91</v>
      </c>
      <c r="F613" s="4" t="s">
        <v>6013</v>
      </c>
      <c r="G613" s="4" t="s">
        <v>6014</v>
      </c>
      <c r="H613" s="4" t="s">
        <v>55</v>
      </c>
      <c r="I613" s="4" t="s">
        <v>5976</v>
      </c>
      <c r="J613" s="4" t="s">
        <v>91</v>
      </c>
      <c r="K613" s="13" t="str">
        <f>HYPERLINK("https://media.licdn.com/dms/image/v2/D4E10AQFRfWcy3uobjg/image-shrink_1280/B4EZpyKBmRKMAM-/0/1762851823132?e=2147483647&amp;v=beta&amp;t=WY5a9Bl037hW3fcmbjEqhLFZ9Uk-Ds0dMSJF3TRAPck","Open Creative")</f>
        <v>Open Creative</v>
      </c>
      <c r="L613" s="4" t="s">
        <v>62</v>
      </c>
      <c r="M613" s="4" t="s">
        <v>63</v>
      </c>
      <c r="N613" s="4" t="s">
        <v>5961</v>
      </c>
      <c r="O613" s="2" t="s">
        <v>132</v>
      </c>
      <c r="P613" s="2">
        <v>9.06270894E8</v>
      </c>
      <c r="Q613" s="2" t="s">
        <v>68</v>
      </c>
      <c r="R613" s="4" t="s">
        <v>6151</v>
      </c>
    </row>
    <row r="614">
      <c r="A614" s="4" t="s">
        <v>44</v>
      </c>
      <c r="B614" s="4" t="s">
        <v>44</v>
      </c>
      <c r="C614" s="4">
        <v>613.0</v>
      </c>
      <c r="D614" s="13" t="str">
        <f>HYPERLINK("https://www.linkedin.com/ad-library/detail/906291064","Open Ad")</f>
        <v>Open Ad</v>
      </c>
      <c r="E614" s="4" t="s">
        <v>91</v>
      </c>
      <c r="F614" s="4" t="s">
        <v>6013</v>
      </c>
      <c r="G614" s="4" t="s">
        <v>6014</v>
      </c>
      <c r="H614" s="4" t="s">
        <v>55</v>
      </c>
      <c r="I614" s="4" t="s">
        <v>5976</v>
      </c>
      <c r="J614" s="4" t="s">
        <v>91</v>
      </c>
      <c r="K614" s="13" t="str">
        <f>HYPERLINK("https://media.licdn.com/dms/image/v2/D4E10AQExsUQKJKsqXQ/image-shrink_1280/B4EZpyKHXDKkAM-/0/1762851846891?e=2147483647&amp;v=beta&amp;t=QnrMsJCkCeI2e-peAeAgP9RgRGoAmWCfxVGfLV7QQ0M","Open Creative")</f>
        <v>Open Creative</v>
      </c>
      <c r="L614" s="4" t="s">
        <v>62</v>
      </c>
      <c r="M614" s="4" t="s">
        <v>63</v>
      </c>
      <c r="N614" s="4" t="s">
        <v>5961</v>
      </c>
      <c r="O614" s="2" t="s">
        <v>132</v>
      </c>
      <c r="P614" s="2">
        <v>9.06291064E8</v>
      </c>
      <c r="Q614" s="2" t="s">
        <v>68</v>
      </c>
      <c r="R614" s="4" t="s">
        <v>6152</v>
      </c>
    </row>
    <row r="615">
      <c r="A615" s="4" t="s">
        <v>44</v>
      </c>
      <c r="B615" s="4" t="s">
        <v>44</v>
      </c>
      <c r="C615" s="4">
        <v>614.0</v>
      </c>
      <c r="D615" s="13" t="str">
        <f>HYPERLINK("https://www.linkedin.com/ad-library/detail/906270884","Open Ad")</f>
        <v>Open Ad</v>
      </c>
      <c r="E615" s="4" t="s">
        <v>91</v>
      </c>
      <c r="F615" s="4" t="s">
        <v>5974</v>
      </c>
      <c r="G615" s="4" t="s">
        <v>5975</v>
      </c>
      <c r="H615" s="4" t="s">
        <v>55</v>
      </c>
      <c r="I615" s="4" t="s">
        <v>5976</v>
      </c>
      <c r="J615" s="4" t="s">
        <v>91</v>
      </c>
      <c r="K615" s="13" t="str">
        <f>HYPERLINK("https://media.licdn.com/dms/image/v2/D4E10AQEhpirMu_jwZg/image-shrink_1280/B4EZpyKBkIJ0AU-/0/1762851822527?e=2147483647&amp;v=beta&amp;t=ScP7qBvrnmG6-1MndzepSBbHH6S1cepzaxbvHvtfQa4","Open Creative")</f>
        <v>Open Creative</v>
      </c>
      <c r="L615" s="4" t="s">
        <v>62</v>
      </c>
      <c r="M615" s="4" t="s">
        <v>63</v>
      </c>
      <c r="N615" s="4" t="s">
        <v>5961</v>
      </c>
      <c r="O615" s="2" t="s">
        <v>132</v>
      </c>
      <c r="P615" s="2">
        <v>9.06270884E8</v>
      </c>
      <c r="Q615" s="2" t="s">
        <v>68</v>
      </c>
      <c r="R615" s="4" t="s">
        <v>6153</v>
      </c>
    </row>
    <row r="616">
      <c r="A616" s="4" t="s">
        <v>44</v>
      </c>
      <c r="B616" s="4" t="s">
        <v>44</v>
      </c>
      <c r="C616" s="4">
        <v>615.0</v>
      </c>
      <c r="D616" s="13" t="str">
        <f>HYPERLINK("https://www.linkedin.com/ad-library/detail/896151304","Open Ad")</f>
        <v>Open Ad</v>
      </c>
      <c r="E616" s="4" t="s">
        <v>91</v>
      </c>
      <c r="F616" s="4" t="s">
        <v>6013</v>
      </c>
      <c r="G616" s="4" t="s">
        <v>6014</v>
      </c>
      <c r="H616" s="4" t="s">
        <v>55</v>
      </c>
      <c r="I616" s="4" t="s">
        <v>5976</v>
      </c>
      <c r="J616" s="4" t="s">
        <v>91</v>
      </c>
      <c r="K616" s="13" t="str">
        <f>HYPERLINK("https://media.licdn.com/dms/image/v2/D4E10AQFIxZYwQNgAAQ/image-shrink_1280/B4EZpyKHWdKsAM-/0/1762851846420?e=2147483647&amp;v=beta&amp;t=ckzwQ-vOIQUDYNMDWMI42wL72edmr4_8O6qSib7OkcU","Open Creative")</f>
        <v>Open Creative</v>
      </c>
      <c r="L616" s="4" t="s">
        <v>62</v>
      </c>
      <c r="M616" s="4" t="s">
        <v>63</v>
      </c>
      <c r="N616" s="4" t="s">
        <v>5961</v>
      </c>
      <c r="O616" s="2" t="s">
        <v>132</v>
      </c>
      <c r="P616" s="2">
        <v>8.96151304E8</v>
      </c>
      <c r="Q616" s="2" t="s">
        <v>68</v>
      </c>
      <c r="R616" s="4" t="s">
        <v>6156</v>
      </c>
    </row>
    <row r="617">
      <c r="A617" s="4" t="s">
        <v>44</v>
      </c>
      <c r="B617" s="4" t="s">
        <v>44</v>
      </c>
      <c r="C617" s="4">
        <v>616.0</v>
      </c>
      <c r="D617" s="13" t="str">
        <f>HYPERLINK("https://www.linkedin.com/ad-library/detail/896151314","Open Ad")</f>
        <v>Open Ad</v>
      </c>
      <c r="E617" s="4" t="s">
        <v>91</v>
      </c>
      <c r="F617" s="4" t="s">
        <v>5974</v>
      </c>
      <c r="G617" s="4" t="s">
        <v>5975</v>
      </c>
      <c r="H617" s="4" t="s">
        <v>55</v>
      </c>
      <c r="I617" s="4" t="s">
        <v>5976</v>
      </c>
      <c r="J617" s="4" t="s">
        <v>91</v>
      </c>
      <c r="K617" s="13" t="str">
        <f>HYPERLINK("https://media.licdn.com/dms/image/v2/D4E10AQHwu0tVYkzVWA/image-shrink_1280/B4EZpyKNdcHUAM-/0/1762851871662?e=2147483647&amp;v=beta&amp;t=GCMWjPmjZlKcN2DDgJzVQ1pypcZOZZXld286CwlRy50","Open Creative")</f>
        <v>Open Creative</v>
      </c>
      <c r="L617" s="4" t="s">
        <v>62</v>
      </c>
      <c r="M617" s="4" t="s">
        <v>63</v>
      </c>
      <c r="N617" s="4" t="s">
        <v>5961</v>
      </c>
      <c r="O617" s="2" t="s">
        <v>132</v>
      </c>
      <c r="P617" s="2">
        <v>8.96151314E8</v>
      </c>
      <c r="Q617" s="2" t="s">
        <v>68</v>
      </c>
      <c r="R617" s="4" t="s">
        <v>6159</v>
      </c>
    </row>
    <row r="618">
      <c r="A618" s="4" t="s">
        <v>44</v>
      </c>
      <c r="B618" s="4" t="s">
        <v>44</v>
      </c>
      <c r="C618" s="4">
        <v>617.0</v>
      </c>
      <c r="D618" s="13" t="str">
        <f>HYPERLINK("https://www.linkedin.com/ad-library/detail/906311134","Open Ad")</f>
        <v>Open Ad</v>
      </c>
      <c r="E618" s="4" t="s">
        <v>91</v>
      </c>
      <c r="F618" s="4" t="s">
        <v>5958</v>
      </c>
      <c r="G618" s="4" t="s">
        <v>5959</v>
      </c>
      <c r="H618" s="4" t="s">
        <v>55</v>
      </c>
      <c r="I618" s="4" t="s">
        <v>57</v>
      </c>
      <c r="J618" s="4" t="s">
        <v>91</v>
      </c>
      <c r="K618" s="13" t="str">
        <f>HYPERLINK("https://media.licdn.com/dms/image/v2/D4E10AQEnGOtPyMbhGg/image-shrink_1280/B4EZpyKHZqKsAQ-/0/1762851848141?e=2147483647&amp;v=beta&amp;t=kJgUvJfWicVC0k3cTKKFKPJGS7x6nfjz_nnoxMaazro","Open Creative")</f>
        <v>Open Creative</v>
      </c>
      <c r="L618" s="4" t="s">
        <v>62</v>
      </c>
      <c r="M618" s="4" t="s">
        <v>63</v>
      </c>
      <c r="N618" s="4" t="s">
        <v>5961</v>
      </c>
      <c r="O618" s="2" t="s">
        <v>132</v>
      </c>
      <c r="P618" s="2">
        <v>9.06311134E8</v>
      </c>
      <c r="Q618" s="2" t="s">
        <v>68</v>
      </c>
      <c r="R618" s="4" t="s">
        <v>6162</v>
      </c>
    </row>
    <row r="619">
      <c r="A619" s="4" t="s">
        <v>44</v>
      </c>
      <c r="B619" s="4" t="s">
        <v>44</v>
      </c>
      <c r="C619" s="4">
        <v>618.0</v>
      </c>
      <c r="D619" s="13" t="str">
        <f>HYPERLINK("https://www.linkedin.com/ad-library/detail/896111764","Open Ad")</f>
        <v>Open Ad</v>
      </c>
      <c r="E619" s="4" t="s">
        <v>91</v>
      </c>
      <c r="F619" s="4" t="s">
        <v>5958</v>
      </c>
      <c r="G619" s="4" t="s">
        <v>5959</v>
      </c>
      <c r="H619" s="4" t="s">
        <v>55</v>
      </c>
      <c r="I619" s="4" t="s">
        <v>57</v>
      </c>
      <c r="J619" s="4" t="s">
        <v>91</v>
      </c>
      <c r="K619" s="13" t="str">
        <f>HYPERLINK("https://media.licdn.com/dms/image/v2/D4E10AQHfynDR4_oRsQ/image-shrink_1280/B4EZpyKNddHcAM-/0/1762851871416?e=2147483647&amp;v=beta&amp;t=cIFCAs64wddRO394YUiCfjnW5OTstuqm0E8vWaP5K64","Open Creative")</f>
        <v>Open Creative</v>
      </c>
      <c r="L619" s="4" t="s">
        <v>62</v>
      </c>
      <c r="M619" s="4" t="s">
        <v>63</v>
      </c>
      <c r="N619" s="4" t="s">
        <v>5961</v>
      </c>
      <c r="O619" s="2" t="s">
        <v>132</v>
      </c>
      <c r="P619" s="2">
        <v>8.96111764E8</v>
      </c>
      <c r="Q619" s="2" t="s">
        <v>68</v>
      </c>
      <c r="R619" s="4" t="s">
        <v>6163</v>
      </c>
    </row>
    <row r="620">
      <c r="A620" s="4" t="s">
        <v>44</v>
      </c>
      <c r="B620" s="4" t="s">
        <v>44</v>
      </c>
      <c r="C620" s="4">
        <v>619.0</v>
      </c>
      <c r="D620" s="13" t="str">
        <f>HYPERLINK("https://www.linkedin.com/ad-library/detail/895559424","Open Ad")</f>
        <v>Open Ad</v>
      </c>
      <c r="E620" s="4" t="s">
        <v>154</v>
      </c>
      <c r="F620" s="4" t="s">
        <v>53</v>
      </c>
      <c r="G620" s="4" t="s">
        <v>6166</v>
      </c>
      <c r="H620" s="4" t="s">
        <v>55</v>
      </c>
      <c r="I620" s="4" t="s">
        <v>6167</v>
      </c>
      <c r="J620" s="4" t="s">
        <v>154</v>
      </c>
      <c r="K620" s="13" t="str">
        <f>HYPERLINK("https://dms.licdn.com/playlist/vid/v2/D4D05AQF5JV5n3VJBTA/mp4-720p-30fp-crf28/B4DZpaXTnwJEBw-/0/1762452690473?e=2147483647&amp;v=beta&amp;t=4EzIsUjyujMe7cqUH5scJ53bgxlGCkYL-uK5adYitR4","Open Creative")</f>
        <v>Open Creative</v>
      </c>
      <c r="L620" s="4" t="s">
        <v>62</v>
      </c>
      <c r="M620" s="4" t="s">
        <v>63</v>
      </c>
      <c r="N620" s="4" t="s">
        <v>6168</v>
      </c>
      <c r="O620" s="2" t="s">
        <v>132</v>
      </c>
      <c r="P620" s="2">
        <v>8.95559424E8</v>
      </c>
      <c r="Q620" s="2" t="s">
        <v>68</v>
      </c>
      <c r="R620" s="4" t="s">
        <v>6169</v>
      </c>
    </row>
    <row r="621">
      <c r="A621" s="4" t="s">
        <v>44</v>
      </c>
      <c r="B621" s="4" t="s">
        <v>44</v>
      </c>
      <c r="C621" s="4">
        <v>620.0</v>
      </c>
      <c r="D621" s="13" t="str">
        <f>HYPERLINK("https://www.linkedin.com/ad-library/detail/906311124","Open Ad")</f>
        <v>Open Ad</v>
      </c>
      <c r="E621" s="4" t="s">
        <v>91</v>
      </c>
      <c r="F621" s="4" t="s">
        <v>6013</v>
      </c>
      <c r="G621" s="4" t="s">
        <v>6014</v>
      </c>
      <c r="H621" s="4" t="s">
        <v>55</v>
      </c>
      <c r="I621" s="4" t="s">
        <v>5976</v>
      </c>
      <c r="J621" s="4" t="s">
        <v>91</v>
      </c>
      <c r="K621" s="13" t="str">
        <f>HYPERLINK("https://media.licdn.com/dms/image/v2/D4E10AQFJOA8lHRzTqQ/image-shrink_1280/B4EZpyKBn1HoAM-/0/1762851822839?e=2147483647&amp;v=beta&amp;t=67iHdDbMQVQFUZyQsgLNVaw1TC6aNRY7k_ctIkJ7Xcc","Open Creative")</f>
        <v>Open Creative</v>
      </c>
      <c r="L621" s="4" t="s">
        <v>62</v>
      </c>
      <c r="M621" s="4" t="s">
        <v>63</v>
      </c>
      <c r="N621" s="4" t="s">
        <v>5961</v>
      </c>
      <c r="O621" s="2" t="s">
        <v>132</v>
      </c>
      <c r="P621" s="2">
        <v>9.06311124E8</v>
      </c>
      <c r="Q621" s="2" t="s">
        <v>68</v>
      </c>
      <c r="R621" s="4" t="s">
        <v>6172</v>
      </c>
    </row>
    <row r="622">
      <c r="A622" s="4" t="s">
        <v>44</v>
      </c>
      <c r="B622" s="4" t="s">
        <v>44</v>
      </c>
      <c r="C622" s="4">
        <v>621.0</v>
      </c>
      <c r="D622" s="13" t="str">
        <f>HYPERLINK("https://www.linkedin.com/ad-library/detail/906320804","Open Ad")</f>
        <v>Open Ad</v>
      </c>
      <c r="E622" s="4" t="s">
        <v>91</v>
      </c>
      <c r="F622" s="4" t="s">
        <v>6013</v>
      </c>
      <c r="G622" s="4" t="s">
        <v>6014</v>
      </c>
      <c r="H622" s="4" t="s">
        <v>55</v>
      </c>
      <c r="I622" s="4" t="s">
        <v>5976</v>
      </c>
      <c r="J622" s="4" t="s">
        <v>91</v>
      </c>
      <c r="K622" s="13" t="str">
        <f>HYPERLINK("https://media.licdn.com/dms/image/v2/D4E10AQHON_p64kqbxg/image-shrink_1280/B4EZpyKBmOHoAM-/0/1762851822705?e=2147483647&amp;v=beta&amp;t=uKRL4e13JFzlPFGkZaMtM-i5TfBoP28rWMPsEjyllp8","Open Creative")</f>
        <v>Open Creative</v>
      </c>
      <c r="L622" s="4" t="s">
        <v>62</v>
      </c>
      <c r="M622" s="4" t="s">
        <v>63</v>
      </c>
      <c r="N622" s="4" t="s">
        <v>5961</v>
      </c>
      <c r="O622" s="2" t="s">
        <v>132</v>
      </c>
      <c r="P622" s="2">
        <v>9.06320804E8</v>
      </c>
      <c r="Q622" s="2" t="s">
        <v>68</v>
      </c>
      <c r="R622" s="4" t="s">
        <v>6175</v>
      </c>
    </row>
    <row r="623">
      <c r="A623" s="4" t="s">
        <v>44</v>
      </c>
      <c r="B623" s="4" t="s">
        <v>44</v>
      </c>
      <c r="C623" s="4">
        <v>622.0</v>
      </c>
      <c r="D623" s="13" t="str">
        <f>HYPERLINK("https://www.linkedin.com/ad-library/detail/906331154","Open Ad")</f>
        <v>Open Ad</v>
      </c>
      <c r="E623" s="4" t="s">
        <v>91</v>
      </c>
      <c r="F623" s="4" t="s">
        <v>5958</v>
      </c>
      <c r="G623" s="4" t="s">
        <v>5959</v>
      </c>
      <c r="H623" s="4" t="s">
        <v>55</v>
      </c>
      <c r="I623" s="4" t="s">
        <v>57</v>
      </c>
      <c r="J623" s="4" t="s">
        <v>91</v>
      </c>
      <c r="K623" s="13" t="str">
        <f>HYPERLINK("https://media.licdn.com/dms/image/v2/D4E10AQE3w4gqvs_CBQ/image-shrink_1280/B4EZpyKBkIHgAQ-/0/1762851823159?e=2147483647&amp;v=beta&amp;t=XJC_tWSEtQez_fks7skZYPJpmSvcSXUwwslGcR4G97M","Open Creative")</f>
        <v>Open Creative</v>
      </c>
      <c r="L623" s="4" t="s">
        <v>62</v>
      </c>
      <c r="M623" s="4" t="s">
        <v>63</v>
      </c>
      <c r="N623" s="4" t="s">
        <v>5961</v>
      </c>
      <c r="O623" s="2" t="s">
        <v>132</v>
      </c>
      <c r="P623" s="2">
        <v>9.06331154E8</v>
      </c>
      <c r="Q623" s="2" t="s">
        <v>68</v>
      </c>
      <c r="R623" s="4" t="s">
        <v>6178</v>
      </c>
    </row>
    <row r="624">
      <c r="A624" s="4" t="s">
        <v>44</v>
      </c>
      <c r="B624" s="4" t="s">
        <v>44</v>
      </c>
      <c r="C624" s="4">
        <v>623.0</v>
      </c>
      <c r="D624" s="13" t="str">
        <f>HYPERLINK("https://www.linkedin.com/ad-library/detail/906221234","Open Ad")</f>
        <v>Open Ad</v>
      </c>
      <c r="E624" s="4" t="s">
        <v>91</v>
      </c>
      <c r="F624" s="4" t="s">
        <v>5958</v>
      </c>
      <c r="G624" s="4" t="s">
        <v>5959</v>
      </c>
      <c r="H624" s="4" t="s">
        <v>55</v>
      </c>
      <c r="I624" s="4" t="s">
        <v>57</v>
      </c>
      <c r="J624" s="4" t="s">
        <v>91</v>
      </c>
      <c r="K624" s="13" t="str">
        <f>HYPERLINK("https://media.licdn.com/dms/image/v2/D4E10AQGYItisNc5dfw/image-shrink_1280/B4EZpyKBmnHgAQ-/0/1762851822841?e=2147483647&amp;v=beta&amp;t=fYADE7Ny04FENoDiPo72ye62BV_14oiXJwh2RPplkd8","Open Creative")</f>
        <v>Open Creative</v>
      </c>
      <c r="L624" s="4" t="s">
        <v>62</v>
      </c>
      <c r="M624" s="4" t="s">
        <v>63</v>
      </c>
      <c r="N624" s="4" t="s">
        <v>5961</v>
      </c>
      <c r="O624" s="2" t="s">
        <v>132</v>
      </c>
      <c r="P624" s="2">
        <v>9.06221234E8</v>
      </c>
      <c r="Q624" s="2" t="s">
        <v>68</v>
      </c>
      <c r="R624" s="4" t="s">
        <v>6181</v>
      </c>
    </row>
    <row r="625">
      <c r="A625" s="4" t="s">
        <v>44</v>
      </c>
      <c r="B625" s="4" t="s">
        <v>44</v>
      </c>
      <c r="C625" s="4">
        <v>624.0</v>
      </c>
      <c r="D625" s="13" t="str">
        <f>HYPERLINK("https://www.linkedin.com/ad-library/detail/906331144","Open Ad")</f>
        <v>Open Ad</v>
      </c>
      <c r="E625" s="4" t="s">
        <v>91</v>
      </c>
      <c r="F625" s="4" t="s">
        <v>5974</v>
      </c>
      <c r="G625" s="4" t="s">
        <v>5975</v>
      </c>
      <c r="H625" s="4" t="s">
        <v>55</v>
      </c>
      <c r="I625" s="4" t="s">
        <v>5976</v>
      </c>
      <c r="J625" s="4" t="s">
        <v>91</v>
      </c>
      <c r="K625" s="13" t="str">
        <f>HYPERLINK("https://media.licdn.com/dms/image/v2/D4E10AQGlewWy1e1euA/image-shrink_1280/B4EZpyKBh6GcAM-/0/1762851822597?e=2147483647&amp;v=beta&amp;t=kut6Mi32BzEa5bO-3qwJ2_JWWN84vAyhKgcKLaWopUw","Open Creative")</f>
        <v>Open Creative</v>
      </c>
      <c r="L625" s="4" t="s">
        <v>62</v>
      </c>
      <c r="M625" s="4" t="s">
        <v>63</v>
      </c>
      <c r="N625" s="4" t="s">
        <v>5961</v>
      </c>
      <c r="O625" s="2" t="s">
        <v>67</v>
      </c>
      <c r="P625" s="2">
        <v>9.06331144E8</v>
      </c>
      <c r="Q625" s="2" t="s">
        <v>68</v>
      </c>
      <c r="R625" s="4" t="s">
        <v>6184</v>
      </c>
    </row>
    <row r="626">
      <c r="A626" s="4" t="s">
        <v>44</v>
      </c>
      <c r="B626" s="4" t="s">
        <v>44</v>
      </c>
      <c r="C626" s="4">
        <v>625.0</v>
      </c>
      <c r="D626" s="13" t="str">
        <f>HYPERLINK("https://www.linkedin.com/ad-library/detail/895278734","Open Ad")</f>
        <v>Open Ad</v>
      </c>
      <c r="E626" s="4" t="s">
        <v>91</v>
      </c>
      <c r="F626" s="4" t="s">
        <v>5225</v>
      </c>
      <c r="G626" s="4" t="s">
        <v>5226</v>
      </c>
      <c r="H626" s="4" t="s">
        <v>55</v>
      </c>
      <c r="I626" s="4" t="s">
        <v>1377</v>
      </c>
      <c r="J626" s="4" t="s">
        <v>91</v>
      </c>
      <c r="K626" s="13" t="str">
        <f>HYPERLINK("https://media.licdn.com/dms/image/v2/D4E10AQHSSu84vzdelQ/image-shrink_1280/B4EZpYv5LRHgAM-/0/1762425542446?e=2147483647&amp;v=beta&amp;t=_AVpAThw4S97ln-A4tVafmfqIi1kdlYVCh5-ylyCAQU","Open Creative")</f>
        <v>Open Creative</v>
      </c>
      <c r="L626" s="4" t="s">
        <v>3498</v>
      </c>
      <c r="M626" s="4" t="s">
        <v>63</v>
      </c>
      <c r="N626" s="4" t="s">
        <v>6185</v>
      </c>
      <c r="O626" s="2" t="s">
        <v>132</v>
      </c>
      <c r="P626" s="2">
        <v>8.95278734E8</v>
      </c>
      <c r="Q626" s="2" t="s">
        <v>68</v>
      </c>
      <c r="R626" s="4" t="s">
        <v>6186</v>
      </c>
    </row>
    <row r="627">
      <c r="A627" s="4" t="s">
        <v>44</v>
      </c>
      <c r="B627" s="4" t="s">
        <v>44</v>
      </c>
      <c r="C627" s="4">
        <v>626.0</v>
      </c>
      <c r="D627" s="13" t="str">
        <f>HYPERLINK("https://www.linkedin.com/ad-library/detail/895278724","Open Ad")</f>
        <v>Open Ad</v>
      </c>
      <c r="E627" s="4" t="s">
        <v>91</v>
      </c>
      <c r="F627" s="4" t="s">
        <v>5225</v>
      </c>
      <c r="G627" s="4" t="s">
        <v>5226</v>
      </c>
      <c r="H627" s="4" t="s">
        <v>55</v>
      </c>
      <c r="I627" s="4" t="s">
        <v>1377</v>
      </c>
      <c r="J627" s="4" t="s">
        <v>91</v>
      </c>
      <c r="K627" s="13" t="str">
        <f>HYPERLINK("https://media.licdn.com/dms/image/v2/D4E10AQFyREzJJK9d6w/image-shrink_1280/B4EZpYv0i4HMAM-/0/1762425523581?e=2147483647&amp;v=beta&amp;t=_oA5-f9BwqOLV_pI4z3G8bZce8EBccedRUTbBPvTADY","Open Creative")</f>
        <v>Open Creative</v>
      </c>
      <c r="L627" s="4" t="s">
        <v>3498</v>
      </c>
      <c r="M627" s="4" t="s">
        <v>63</v>
      </c>
      <c r="N627" s="4" t="s">
        <v>6185</v>
      </c>
      <c r="O627" s="2" t="s">
        <v>132</v>
      </c>
      <c r="P627" s="2">
        <v>8.95278724E8</v>
      </c>
      <c r="Q627" s="2" t="s">
        <v>68</v>
      </c>
      <c r="R627" s="4" t="s">
        <v>6189</v>
      </c>
    </row>
    <row r="628">
      <c r="A628" s="4" t="s">
        <v>44</v>
      </c>
      <c r="B628" s="4" t="s">
        <v>44</v>
      </c>
      <c r="C628" s="4">
        <v>627.0</v>
      </c>
      <c r="D628" s="13" t="str">
        <f>HYPERLINK("https://www.linkedin.com/ad-library/detail/895357444","Open Ad")</f>
        <v>Open Ad</v>
      </c>
      <c r="E628" s="4" t="s">
        <v>91</v>
      </c>
      <c r="F628" s="4" t="s">
        <v>5225</v>
      </c>
      <c r="G628" s="4" t="s">
        <v>5226</v>
      </c>
      <c r="H628" s="4" t="s">
        <v>55</v>
      </c>
      <c r="I628" s="4" t="s">
        <v>1377</v>
      </c>
      <c r="J628" s="4" t="s">
        <v>91</v>
      </c>
      <c r="K628" s="13" t="str">
        <f>HYPERLINK("https://media.licdn.com/dms/image/v2/D4E10AQFnTecDUpfanw/image-shrink_1280/B4EZpYv5GoJ0AM-/0/1762425541696?e=2147483647&amp;v=beta&amp;t=qzuU8TiIQFLkhebn2EwceME3ovv6tq_ND8tVjQNcknk","Open Creative")</f>
        <v>Open Creative</v>
      </c>
      <c r="L628" s="4" t="s">
        <v>3498</v>
      </c>
      <c r="M628" s="4" t="s">
        <v>63</v>
      </c>
      <c r="N628" s="4" t="s">
        <v>6185</v>
      </c>
      <c r="O628" s="2" t="s">
        <v>132</v>
      </c>
      <c r="P628" s="2">
        <v>8.95357444E8</v>
      </c>
      <c r="Q628" s="2" t="s">
        <v>68</v>
      </c>
      <c r="R628" s="4" t="s">
        <v>6192</v>
      </c>
    </row>
    <row r="629">
      <c r="A629" s="4" t="s">
        <v>44</v>
      </c>
      <c r="B629" s="4" t="s">
        <v>44</v>
      </c>
      <c r="C629" s="4">
        <v>628.0</v>
      </c>
      <c r="D629" s="13" t="str">
        <f>HYPERLINK("https://www.linkedin.com/ad-library/detail/895308204","Open Ad")</f>
        <v>Open Ad</v>
      </c>
      <c r="E629" s="4" t="s">
        <v>91</v>
      </c>
      <c r="F629" s="4" t="s">
        <v>5289</v>
      </c>
      <c r="G629" s="4" t="s">
        <v>5290</v>
      </c>
      <c r="H629" s="4" t="s">
        <v>55</v>
      </c>
      <c r="I629" s="4" t="s">
        <v>653</v>
      </c>
      <c r="J629" s="4" t="s">
        <v>91</v>
      </c>
      <c r="K629" s="13" t="str">
        <f>HYPERLINK("https://media.licdn.com/dms/image/v2/D4E10AQFTwfo6iuC-Rw/image-shrink_1280/B4EZpYv5HMHcAU-/0/1762425541833?e=2147483647&amp;v=beta&amp;t=lnkrJRJk-VhHgaUsdxsrpRrUc1XiJAIPrtyQgaTNlfU","Open Creative")</f>
        <v>Open Creative</v>
      </c>
      <c r="L629" s="4" t="s">
        <v>3498</v>
      </c>
      <c r="M629" s="4" t="s">
        <v>63</v>
      </c>
      <c r="N629" s="4" t="s">
        <v>6185</v>
      </c>
      <c r="O629" s="2" t="s">
        <v>132</v>
      </c>
      <c r="P629" s="2">
        <v>8.95308204E8</v>
      </c>
      <c r="Q629" s="2" t="s">
        <v>68</v>
      </c>
      <c r="R629" s="4" t="s">
        <v>6194</v>
      </c>
    </row>
    <row r="630">
      <c r="A630" s="4" t="s">
        <v>44</v>
      </c>
      <c r="B630" s="4" t="s">
        <v>44</v>
      </c>
      <c r="C630" s="4">
        <v>629.0</v>
      </c>
      <c r="D630" s="13" t="str">
        <f>HYPERLINK("https://www.linkedin.com/ad-library/detail/895367804","Open Ad")</f>
        <v>Open Ad</v>
      </c>
      <c r="E630" s="4" t="s">
        <v>91</v>
      </c>
      <c r="F630" s="4" t="s">
        <v>5289</v>
      </c>
      <c r="G630" s="4" t="s">
        <v>5290</v>
      </c>
      <c r="H630" s="4" t="s">
        <v>55</v>
      </c>
      <c r="I630" s="4" t="s">
        <v>653</v>
      </c>
      <c r="J630" s="4" t="s">
        <v>91</v>
      </c>
      <c r="K630" s="13" t="str">
        <f>HYPERLINK("https://media.licdn.com/dms/image/v2/D4E10AQHrU8NX7KhoOw/image-shrink_1280/B4EZpYv0fbJ0AM-/0/1762425523289?e=2147483647&amp;v=beta&amp;t=agIzwdKAL_khE8VPZj1cFkEhjtmMyYUeM6_IiRUonJE","Open Creative")</f>
        <v>Open Creative</v>
      </c>
      <c r="L630" s="4" t="s">
        <v>3498</v>
      </c>
      <c r="M630" s="4" t="s">
        <v>63</v>
      </c>
      <c r="N630" s="4" t="s">
        <v>6185</v>
      </c>
      <c r="O630" s="2" t="s">
        <v>132</v>
      </c>
      <c r="P630" s="2">
        <v>8.95367804E8</v>
      </c>
      <c r="Q630" s="2" t="s">
        <v>68</v>
      </c>
      <c r="R630" s="4" t="s">
        <v>6196</v>
      </c>
    </row>
    <row r="631">
      <c r="A631" s="4" t="s">
        <v>44</v>
      </c>
      <c r="B631" s="4" t="s">
        <v>44</v>
      </c>
      <c r="C631" s="4">
        <v>630.0</v>
      </c>
      <c r="D631" s="13" t="str">
        <f>HYPERLINK("https://www.linkedin.com/ad-library/detail/895298584","Open Ad")</f>
        <v>Open Ad</v>
      </c>
      <c r="E631" s="4" t="s">
        <v>91</v>
      </c>
      <c r="F631" s="4" t="s">
        <v>5225</v>
      </c>
      <c r="G631" s="4" t="s">
        <v>5226</v>
      </c>
      <c r="H631" s="4" t="s">
        <v>55</v>
      </c>
      <c r="I631" s="4" t="s">
        <v>1377</v>
      </c>
      <c r="J631" s="4" t="s">
        <v>91</v>
      </c>
      <c r="K631" s="13" t="str">
        <f>HYPERLINK("https://media.licdn.com/dms/image/v2/D4E10AQE0rFXqjpXehQ/image-shrink_1280/B4EZpYvv5tGcAM-/0/1762425503982?e=2147483647&amp;v=beta&amp;t=E8Fz346PHGP1Iuq_OwAkrRgP4gAVmbpcto4yZDLoEOE","Open Creative")</f>
        <v>Open Creative</v>
      </c>
      <c r="L631" s="4" t="s">
        <v>3498</v>
      </c>
      <c r="M631" s="4" t="s">
        <v>63</v>
      </c>
      <c r="N631" s="4" t="s">
        <v>6185</v>
      </c>
      <c r="O631" s="2" t="s">
        <v>132</v>
      </c>
      <c r="P631" s="2">
        <v>8.95298584E8</v>
      </c>
      <c r="Q631" s="2" t="s">
        <v>68</v>
      </c>
      <c r="R631" s="4" t="s">
        <v>6199</v>
      </c>
    </row>
    <row r="632">
      <c r="A632" s="4" t="s">
        <v>44</v>
      </c>
      <c r="B632" s="4" t="s">
        <v>44</v>
      </c>
      <c r="C632" s="4">
        <v>631.0</v>
      </c>
      <c r="D632" s="13" t="str">
        <f>HYPERLINK("https://www.linkedin.com/ad-library/detail/895377444","Open Ad")</f>
        <v>Open Ad</v>
      </c>
      <c r="E632" s="4" t="s">
        <v>91</v>
      </c>
      <c r="F632" s="4" t="s">
        <v>5225</v>
      </c>
      <c r="G632" s="4" t="s">
        <v>5226</v>
      </c>
      <c r="H632" s="4" t="s">
        <v>55</v>
      </c>
      <c r="I632" s="4" t="s">
        <v>1377</v>
      </c>
      <c r="J632" s="4" t="s">
        <v>91</v>
      </c>
      <c r="K632" s="13" t="str">
        <f>HYPERLINK("https://media.licdn.com/dms/image/v2/D4E10AQGj9Az78z6S8w/image-shrink_1280/B4EZpYv0n6KoAM-/0/1762425523450?e=2147483647&amp;v=beta&amp;t=LT4C_50XMl9bH7fj37laDhJwJQAC3R12dFfh2pnzLKU","Open Creative")</f>
        <v>Open Creative</v>
      </c>
      <c r="L632" s="4" t="s">
        <v>3498</v>
      </c>
      <c r="M632" s="4" t="s">
        <v>63</v>
      </c>
      <c r="N632" s="4" t="s">
        <v>6185</v>
      </c>
      <c r="O632" s="2" t="s">
        <v>132</v>
      </c>
      <c r="P632" s="2">
        <v>8.95377444E8</v>
      </c>
      <c r="Q632" s="2" t="s">
        <v>68</v>
      </c>
      <c r="R632" s="4" t="s">
        <v>6202</v>
      </c>
    </row>
    <row r="633">
      <c r="A633" s="4" t="s">
        <v>44</v>
      </c>
      <c r="B633" s="4" t="s">
        <v>44</v>
      </c>
      <c r="C633" s="4">
        <v>632.0</v>
      </c>
      <c r="D633" s="13" t="str">
        <f>HYPERLINK("https://www.linkedin.com/ad-library/detail/895377434","Open Ad")</f>
        <v>Open Ad</v>
      </c>
      <c r="E633" s="4" t="s">
        <v>91</v>
      </c>
      <c r="F633" s="4" t="s">
        <v>5225</v>
      </c>
      <c r="G633" s="4" t="s">
        <v>5226</v>
      </c>
      <c r="H633" s="4" t="s">
        <v>55</v>
      </c>
      <c r="I633" s="4" t="s">
        <v>1377</v>
      </c>
      <c r="J633" s="4" t="s">
        <v>91</v>
      </c>
      <c r="K633" s="13" t="str">
        <f>HYPERLINK("https://media.licdn.com/dms/image/v2/D4E10AQE2bSo0I5MDFw/image-shrink_1280/B4EZpYv0f5HcAM-/0/1762425522863?e=2147483647&amp;v=beta&amp;t=mSuZpi7celrBi8k_KY_7Rg5om3dGKhgt1JncvGKb0xw","Open Creative")</f>
        <v>Open Creative</v>
      </c>
      <c r="L633" s="4" t="s">
        <v>3498</v>
      </c>
      <c r="M633" s="4" t="s">
        <v>63</v>
      </c>
      <c r="N633" s="4" t="s">
        <v>6185</v>
      </c>
      <c r="O633" s="2" t="s">
        <v>132</v>
      </c>
      <c r="P633" s="2">
        <v>8.95377434E8</v>
      </c>
      <c r="Q633" s="2" t="s">
        <v>68</v>
      </c>
      <c r="R633" s="4" t="s">
        <v>6204</v>
      </c>
    </row>
    <row r="634">
      <c r="A634" s="4" t="s">
        <v>44</v>
      </c>
      <c r="B634" s="4" t="s">
        <v>44</v>
      </c>
      <c r="C634" s="4">
        <v>633.0</v>
      </c>
      <c r="D634" s="13" t="str">
        <f>HYPERLINK("https://www.linkedin.com/ad-library/detail/895377424","Open Ad")</f>
        <v>Open Ad</v>
      </c>
      <c r="E634" s="4" t="s">
        <v>91</v>
      </c>
      <c r="F634" s="4" t="s">
        <v>5289</v>
      </c>
      <c r="G634" s="4" t="s">
        <v>5290</v>
      </c>
      <c r="H634" s="4" t="s">
        <v>55</v>
      </c>
      <c r="I634" s="4" t="s">
        <v>653</v>
      </c>
      <c r="J634" s="4" t="s">
        <v>91</v>
      </c>
      <c r="K634" s="13" t="str">
        <f>HYPERLINK("https://media.licdn.com/dms/image/v2/D4E10AQExutQByyFQTQ/image-shrink_1280/B4EZpYvv3AKsAM-/0/1762425503919?e=2147483647&amp;v=beta&amp;t=fSWeEr9Vkc0_XUihod4OL8jMGzyIC-VtkVgK01_IsmU","Open Creative")</f>
        <v>Open Creative</v>
      </c>
      <c r="L634" s="4" t="s">
        <v>3498</v>
      </c>
      <c r="M634" s="4" t="s">
        <v>63</v>
      </c>
      <c r="N634" s="4" t="s">
        <v>6206</v>
      </c>
      <c r="O634" s="2" t="s">
        <v>132</v>
      </c>
      <c r="P634" s="2">
        <v>8.95377424E8</v>
      </c>
      <c r="Q634" s="2" t="s">
        <v>68</v>
      </c>
      <c r="R634" s="4" t="s">
        <v>6207</v>
      </c>
    </row>
    <row r="635">
      <c r="A635" s="4" t="s">
        <v>44</v>
      </c>
      <c r="B635" s="4" t="s">
        <v>44</v>
      </c>
      <c r="C635" s="4">
        <v>634.0</v>
      </c>
      <c r="D635" s="13" t="str">
        <f>HYPERLINK("https://www.linkedin.com/ad-library/detail/895249424","Open Ad")</f>
        <v>Open Ad</v>
      </c>
      <c r="E635" s="4" t="s">
        <v>91</v>
      </c>
      <c r="F635" s="4" t="s">
        <v>5225</v>
      </c>
      <c r="G635" s="4" t="s">
        <v>5226</v>
      </c>
      <c r="H635" s="4" t="s">
        <v>55</v>
      </c>
      <c r="I635" s="4" t="s">
        <v>1377</v>
      </c>
      <c r="J635" s="4" t="s">
        <v>91</v>
      </c>
      <c r="K635" s="13" t="str">
        <f>HYPERLINK("https://media.licdn.com/dms/image/v2/D4E10AQE4HLIYs6OA4g/image-shrink_1280/B4EZpYvv50IUAM-/0/1762425504095?e=2147483647&amp;v=beta&amp;t=hN3R4hsOwM7z3IUCFr4wopXl2OX-UvnUXhXHOIAJneg","Open Creative")</f>
        <v>Open Creative</v>
      </c>
      <c r="L635" s="4" t="s">
        <v>3498</v>
      </c>
      <c r="M635" s="4" t="s">
        <v>63</v>
      </c>
      <c r="N635" s="4" t="s">
        <v>6185</v>
      </c>
      <c r="O635" s="2" t="s">
        <v>132</v>
      </c>
      <c r="P635" s="2">
        <v>8.95249424E8</v>
      </c>
      <c r="Q635" s="2" t="s">
        <v>68</v>
      </c>
      <c r="R635" s="4" t="s">
        <v>6210</v>
      </c>
    </row>
    <row r="636">
      <c r="A636" s="4" t="s">
        <v>44</v>
      </c>
      <c r="B636" s="4" t="s">
        <v>44</v>
      </c>
      <c r="C636" s="4">
        <v>635.0</v>
      </c>
      <c r="D636" s="13" t="str">
        <f>HYPERLINK("https://www.linkedin.com/ad-library/detail/895396694","Open Ad")</f>
        <v>Open Ad</v>
      </c>
      <c r="E636" s="4" t="s">
        <v>91</v>
      </c>
      <c r="F636" s="4" t="s">
        <v>5225</v>
      </c>
      <c r="G636" s="4" t="s">
        <v>5226</v>
      </c>
      <c r="H636" s="4" t="s">
        <v>55</v>
      </c>
      <c r="I636" s="4" t="s">
        <v>1377</v>
      </c>
      <c r="J636" s="4" t="s">
        <v>91</v>
      </c>
      <c r="K636" s="13" t="str">
        <f>HYPERLINK("https://media.licdn.com/dms/image/v2/D4E10AQHJ7EvqPtJLzA/image-shrink_1280/B4EZpYvvqfHgAM-/0/1762425503492?e=2147483647&amp;v=beta&amp;t=uk3V4kKDYg27eTYK4104YKjlLthJpA2ArSVQxxjS78U","Open Creative")</f>
        <v>Open Creative</v>
      </c>
      <c r="L636" s="4" t="s">
        <v>3498</v>
      </c>
      <c r="M636" s="4" t="s">
        <v>63</v>
      </c>
      <c r="N636" s="4" t="s">
        <v>6185</v>
      </c>
      <c r="O636" s="2" t="s">
        <v>132</v>
      </c>
      <c r="P636" s="2">
        <v>8.95396694E8</v>
      </c>
      <c r="Q636" s="2" t="s">
        <v>68</v>
      </c>
      <c r="R636" s="4" t="s">
        <v>6213</v>
      </c>
    </row>
    <row r="637">
      <c r="A637" s="4" t="s">
        <v>44</v>
      </c>
      <c r="B637" s="4" t="s">
        <v>44</v>
      </c>
      <c r="C637" s="4">
        <v>636.0</v>
      </c>
      <c r="D637" s="13" t="str">
        <f>HYPERLINK("https://www.linkedin.com/ad-library/detail/895249444","Open Ad")</f>
        <v>Open Ad</v>
      </c>
      <c r="E637" s="4" t="s">
        <v>91</v>
      </c>
      <c r="F637" s="4" t="s">
        <v>5225</v>
      </c>
      <c r="G637" s="4" t="s">
        <v>5226</v>
      </c>
      <c r="H637" s="4" t="s">
        <v>55</v>
      </c>
      <c r="I637" s="4" t="s">
        <v>1377</v>
      </c>
      <c r="J637" s="4" t="s">
        <v>91</v>
      </c>
      <c r="K637" s="13" t="str">
        <f>HYPERLINK("https://media.licdn.com/dms/image/v2/D4E10AQGunlgBl-txMA/image-shrink_1280/B4EZpYv5OIKsAM-/0/1762425542667?e=2147483647&amp;v=beta&amp;t=mUy0ujNCtiEObSK0GOnJJTNk4aMcevfNK_HvQRDIvdE","Open Creative")</f>
        <v>Open Creative</v>
      </c>
      <c r="L637" s="4" t="s">
        <v>3498</v>
      </c>
      <c r="M637" s="4" t="s">
        <v>63</v>
      </c>
      <c r="N637" s="4" t="s">
        <v>6185</v>
      </c>
      <c r="O637" s="2" t="s">
        <v>132</v>
      </c>
      <c r="P637" s="2">
        <v>8.95249444E8</v>
      </c>
      <c r="Q637" s="2" t="s">
        <v>68</v>
      </c>
      <c r="R637" s="4" t="s">
        <v>6215</v>
      </c>
    </row>
    <row r="638">
      <c r="A638" s="4" t="s">
        <v>44</v>
      </c>
      <c r="B638" s="4" t="s">
        <v>44</v>
      </c>
      <c r="C638" s="4">
        <v>637.0</v>
      </c>
      <c r="D638" s="13" t="str">
        <f>HYPERLINK("https://www.linkedin.com/ad-library/detail/895249434","Open Ad")</f>
        <v>Open Ad</v>
      </c>
      <c r="E638" s="4" t="s">
        <v>91</v>
      </c>
      <c r="F638" s="4" t="s">
        <v>5289</v>
      </c>
      <c r="G638" s="4" t="s">
        <v>5290</v>
      </c>
      <c r="H638" s="4" t="s">
        <v>55</v>
      </c>
      <c r="I638" s="4" t="s">
        <v>653</v>
      </c>
      <c r="J638" s="4" t="s">
        <v>91</v>
      </c>
      <c r="K638" s="13" t="str">
        <f>HYPERLINK("https://media.licdn.com/dms/image/v2/D4E10AQHuTHCB9f_L7A/image-shrink_1280/B4EZpYvv77GoAM-/0/1762425504327?e=2147483647&amp;v=beta&amp;t=jXDn_mYk7jGNdWLuvtqwdKsTqH0REEG56QOGkLb2E00","Open Creative")</f>
        <v>Open Creative</v>
      </c>
      <c r="L638" s="4" t="s">
        <v>3498</v>
      </c>
      <c r="M638" s="4" t="s">
        <v>63</v>
      </c>
      <c r="N638" s="4" t="s">
        <v>6185</v>
      </c>
      <c r="O638" s="2" t="s">
        <v>132</v>
      </c>
      <c r="P638" s="2">
        <v>8.95249434E8</v>
      </c>
      <c r="Q638" s="2" t="s">
        <v>68</v>
      </c>
      <c r="R638" s="4" t="s">
        <v>6217</v>
      </c>
    </row>
    <row r="639">
      <c r="A639" s="4" t="s">
        <v>44</v>
      </c>
      <c r="B639" s="4" t="s">
        <v>44</v>
      </c>
      <c r="C639" s="4">
        <v>638.0</v>
      </c>
      <c r="D639" s="13" t="str">
        <f>HYPERLINK("https://www.linkedin.com/ad-library/detail/895318274","Open Ad")</f>
        <v>Open Ad</v>
      </c>
      <c r="E639" s="4" t="s">
        <v>91</v>
      </c>
      <c r="F639" s="4" t="s">
        <v>5225</v>
      </c>
      <c r="G639" s="4" t="s">
        <v>5226</v>
      </c>
      <c r="H639" s="4" t="s">
        <v>55</v>
      </c>
      <c r="I639" s="4" t="s">
        <v>1377</v>
      </c>
      <c r="J639" s="4" t="s">
        <v>91</v>
      </c>
      <c r="K639" s="13" t="str">
        <f>HYPERLINK("https://media.licdn.com/dms/image/v2/D4E10AQHNvVbFMaL_VA/image-shrink_1280/B4EZpYv0moHoAM-/0/1762425523277?e=2147483647&amp;v=beta&amp;t=woaOSqnBAZUzc6ZLke9NRD0ImWiyz4dnbJ9ru_BYPd0","Open Creative")</f>
        <v>Open Creative</v>
      </c>
      <c r="L639" s="4" t="s">
        <v>3498</v>
      </c>
      <c r="M639" s="4" t="s">
        <v>63</v>
      </c>
      <c r="N639" s="4" t="s">
        <v>6185</v>
      </c>
      <c r="O639" s="2" t="s">
        <v>132</v>
      </c>
      <c r="P639" s="2">
        <v>8.95318274E8</v>
      </c>
      <c r="Q639" s="2" t="s">
        <v>68</v>
      </c>
      <c r="R639" s="4" t="s">
        <v>6220</v>
      </c>
    </row>
    <row r="640">
      <c r="A640" s="4" t="s">
        <v>44</v>
      </c>
      <c r="B640" s="4" t="s">
        <v>44</v>
      </c>
      <c r="C640" s="4">
        <v>639.0</v>
      </c>
      <c r="D640" s="13" t="str">
        <f>HYPERLINK("https://www.linkedin.com/ad-library/detail/895318264","Open Ad")</f>
        <v>Open Ad</v>
      </c>
      <c r="E640" s="4" t="s">
        <v>91</v>
      </c>
      <c r="F640" s="4" t="s">
        <v>5225</v>
      </c>
      <c r="G640" s="4" t="s">
        <v>5226</v>
      </c>
      <c r="H640" s="4" t="s">
        <v>55</v>
      </c>
      <c r="I640" s="4" t="s">
        <v>1377</v>
      </c>
      <c r="J640" s="4" t="s">
        <v>91</v>
      </c>
      <c r="K640" s="13" t="str">
        <f>HYPERLINK("https://media.licdn.com/dms/image/v2/D4E10AQHcncS5j_VOJg/image-shrink_1280/B4EZpYv0kTHEAQ-/0/1762425523127?e=2147483647&amp;v=beta&amp;t=uKIZlcbGxYQ2vPJlMRR5We5UplHxVp6-yL92Y_0gkZQ","Open Creative")</f>
        <v>Open Creative</v>
      </c>
      <c r="L640" s="4" t="s">
        <v>3498</v>
      </c>
      <c r="M640" s="4" t="s">
        <v>63</v>
      </c>
      <c r="N640" s="4" t="s">
        <v>6185</v>
      </c>
      <c r="O640" s="2" t="s">
        <v>132</v>
      </c>
      <c r="P640" s="2">
        <v>8.95318264E8</v>
      </c>
      <c r="Q640" s="2" t="s">
        <v>68</v>
      </c>
      <c r="R640" s="4" t="s">
        <v>6223</v>
      </c>
    </row>
    <row r="641">
      <c r="A641" s="4" t="s">
        <v>44</v>
      </c>
      <c r="B641" s="4" t="s">
        <v>44</v>
      </c>
      <c r="C641" s="4">
        <v>640.0</v>
      </c>
      <c r="D641" s="13" t="str">
        <f>HYPERLINK("https://www.linkedin.com/ad-library/detail/895406644","Open Ad")</f>
        <v>Open Ad</v>
      </c>
      <c r="E641" s="4" t="s">
        <v>91</v>
      </c>
      <c r="F641" s="4" t="s">
        <v>5289</v>
      </c>
      <c r="G641" s="4" t="s">
        <v>5290</v>
      </c>
      <c r="H641" s="4" t="s">
        <v>55</v>
      </c>
      <c r="I641" s="4" t="s">
        <v>653</v>
      </c>
      <c r="J641" s="4" t="s">
        <v>91</v>
      </c>
      <c r="K641" s="13" t="str">
        <f>HYPERLINK("https://media.licdn.com/dms/image/v2/D4E10AQGmr-C2iBYifw/image-shrink_1280/B4EZpYv0gWJgAQ-/0/1762425523418?e=2147483647&amp;v=beta&amp;t=KL7MZzSvtdoDpCAh-dqCAuxTirP7W3G3KcM3NAA84SM","Open Creative")</f>
        <v>Open Creative</v>
      </c>
      <c r="L641" s="4" t="s">
        <v>3498</v>
      </c>
      <c r="M641" s="4" t="s">
        <v>63</v>
      </c>
      <c r="N641" s="4" t="s">
        <v>6185</v>
      </c>
      <c r="O641" s="2" t="s">
        <v>132</v>
      </c>
      <c r="P641" s="2">
        <v>8.95406644E8</v>
      </c>
      <c r="Q641" s="2" t="s">
        <v>68</v>
      </c>
      <c r="R641" s="4" t="s">
        <v>6226</v>
      </c>
    </row>
    <row r="642">
      <c r="A642" s="4" t="s">
        <v>44</v>
      </c>
      <c r="B642" s="4" t="s">
        <v>44</v>
      </c>
      <c r="C642" s="4">
        <v>641.0</v>
      </c>
      <c r="D642" s="13" t="str">
        <f>HYPERLINK("https://www.linkedin.com/ad-library/detail/895288204","Open Ad")</f>
        <v>Open Ad</v>
      </c>
      <c r="E642" s="4" t="s">
        <v>91</v>
      </c>
      <c r="F642" s="4" t="s">
        <v>5289</v>
      </c>
      <c r="G642" s="4" t="s">
        <v>5290</v>
      </c>
      <c r="H642" s="4" t="s">
        <v>55</v>
      </c>
      <c r="I642" s="4" t="s">
        <v>653</v>
      </c>
      <c r="J642" s="4" t="s">
        <v>91</v>
      </c>
      <c r="K642" s="13" t="str">
        <f>HYPERLINK("https://media.licdn.com/dms/image/v2/D4E10AQENyMDWqFgHOw/image-shrink_1280/B4EZpYvvvfKMAM-/0/1762425503373?e=2147483647&amp;v=beta&amp;t=ApCxFU3HpsqJxJEiL2Zj5hDFtYDLEiWthSMJ2KZ-rz0","Open Creative")</f>
        <v>Open Creative</v>
      </c>
      <c r="L642" s="4" t="s">
        <v>3498</v>
      </c>
      <c r="M642" s="4" t="s">
        <v>63</v>
      </c>
      <c r="N642" s="4" t="s">
        <v>6185</v>
      </c>
      <c r="O642" s="2" t="s">
        <v>132</v>
      </c>
      <c r="P642" s="2">
        <v>8.95288204E8</v>
      </c>
      <c r="Q642" s="2" t="s">
        <v>68</v>
      </c>
      <c r="R642" s="4" t="s">
        <v>6228</v>
      </c>
    </row>
    <row r="643">
      <c r="A643" s="4" t="s">
        <v>44</v>
      </c>
      <c r="B643" s="4" t="s">
        <v>44</v>
      </c>
      <c r="C643" s="4">
        <v>642.0</v>
      </c>
      <c r="D643" s="13" t="str">
        <f>HYPERLINK("https://www.linkedin.com/ad-library/detail/895318244","Open Ad")</f>
        <v>Open Ad</v>
      </c>
      <c r="E643" s="4" t="s">
        <v>91</v>
      </c>
      <c r="F643" s="4" t="s">
        <v>5225</v>
      </c>
      <c r="G643" s="4" t="s">
        <v>5226</v>
      </c>
      <c r="H643" s="4" t="s">
        <v>55</v>
      </c>
      <c r="I643" s="4" t="s">
        <v>1377</v>
      </c>
      <c r="J643" s="4" t="s">
        <v>91</v>
      </c>
      <c r="K643" s="13" t="str">
        <f>HYPERLINK("https://media.licdn.com/dms/image/v2/D4E10AQGuBVO0lApEYA/image-shrink_1280/B4EZpYvwBHKoAM-/0/1762425504369?e=2147483647&amp;v=beta&amp;t=1vJFEczuhsHDi4x_VIX5NWZn-felZvXqXB5o-PAT0ao","Open Creative")</f>
        <v>Open Creative</v>
      </c>
      <c r="L643" s="4" t="s">
        <v>3498</v>
      </c>
      <c r="M643" s="4" t="s">
        <v>63</v>
      </c>
      <c r="N643" s="4" t="s">
        <v>6185</v>
      </c>
      <c r="O643" s="2" t="s">
        <v>132</v>
      </c>
      <c r="P643" s="2">
        <v>8.95318244E8</v>
      </c>
      <c r="Q643" s="2" t="s">
        <v>68</v>
      </c>
      <c r="R643" s="4" t="s">
        <v>6230</v>
      </c>
    </row>
    <row r="644">
      <c r="A644" s="4" t="s">
        <v>44</v>
      </c>
      <c r="B644" s="4" t="s">
        <v>44</v>
      </c>
      <c r="C644" s="4">
        <v>643.0</v>
      </c>
      <c r="D644" s="13" t="str">
        <f>HYPERLINK("https://www.linkedin.com/ad-library/detail/895396724","Open Ad")</f>
        <v>Open Ad</v>
      </c>
      <c r="E644" s="4" t="s">
        <v>91</v>
      </c>
      <c r="F644" s="4" t="s">
        <v>5289</v>
      </c>
      <c r="G644" s="4" t="s">
        <v>5290</v>
      </c>
      <c r="H644" s="4" t="s">
        <v>55</v>
      </c>
      <c r="I644" s="4" t="s">
        <v>653</v>
      </c>
      <c r="J644" s="4" t="s">
        <v>91</v>
      </c>
      <c r="K644" s="13" t="str">
        <f>HYPERLINK("https://media.licdn.com/dms/image/v2/D4E10AQECKUvErNPcFg/image-shrink_1280/B4EZpYv5KBIQAQ-/0/1762425541853?e=2147483647&amp;v=beta&amp;t=lAJDwc70CQ4ATLiQuPGIvA1VXPSb1uTuGkLF4Bu2XoQ","Open Creative")</f>
        <v>Open Creative</v>
      </c>
      <c r="L644" s="4" t="s">
        <v>3498</v>
      </c>
      <c r="M644" s="4" t="s">
        <v>63</v>
      </c>
      <c r="N644" s="4" t="s">
        <v>6185</v>
      </c>
      <c r="O644" s="2" t="s">
        <v>132</v>
      </c>
      <c r="P644" s="2">
        <v>8.95396724E8</v>
      </c>
      <c r="Q644" s="2" t="s">
        <v>68</v>
      </c>
      <c r="R644" s="4" t="s">
        <v>6233</v>
      </c>
    </row>
    <row r="645">
      <c r="A645" s="4" t="s">
        <v>44</v>
      </c>
      <c r="B645" s="4" t="s">
        <v>44</v>
      </c>
      <c r="C645" s="4">
        <v>644.0</v>
      </c>
      <c r="D645" s="13" t="str">
        <f>HYPERLINK("https://www.linkedin.com/ad-library/detail/895426124","Open Ad")</f>
        <v>Open Ad</v>
      </c>
      <c r="E645" s="4" t="s">
        <v>91</v>
      </c>
      <c r="F645" s="4" t="s">
        <v>5225</v>
      </c>
      <c r="G645" s="4" t="s">
        <v>5226</v>
      </c>
      <c r="H645" s="4" t="s">
        <v>55</v>
      </c>
      <c r="I645" s="4" t="s">
        <v>1377</v>
      </c>
      <c r="J645" s="4" t="s">
        <v>91</v>
      </c>
      <c r="K645" s="13" t="str">
        <f>HYPERLINK("https://media.licdn.com/dms/image/v2/D4E10AQGCQcb2aNAA5A/image-shrink_1280/B4EZpYvv66JgAM-/0/1762425504598?e=2147483647&amp;v=beta&amp;t=ER3ItfkO5JkivWzNAbzaq3le7mbtLHdbpg7aFhHuUvE","Open Creative")</f>
        <v>Open Creative</v>
      </c>
      <c r="L645" s="4" t="s">
        <v>3498</v>
      </c>
      <c r="M645" s="4" t="s">
        <v>63</v>
      </c>
      <c r="N645" s="4" t="s">
        <v>6236</v>
      </c>
      <c r="O645" s="2" t="s">
        <v>132</v>
      </c>
      <c r="P645" s="2">
        <v>8.95426124E8</v>
      </c>
      <c r="Q645" s="2" t="s">
        <v>68</v>
      </c>
      <c r="R645" s="4" t="s">
        <v>6237</v>
      </c>
    </row>
    <row r="646">
      <c r="A646" s="4" t="s">
        <v>44</v>
      </c>
      <c r="B646" s="4" t="s">
        <v>44</v>
      </c>
      <c r="C646" s="4">
        <v>645.0</v>
      </c>
      <c r="D646" s="13" t="str">
        <f>HYPERLINK("https://www.linkedin.com/ad-library/detail/895426134","Open Ad")</f>
        <v>Open Ad</v>
      </c>
      <c r="E646" s="4" t="s">
        <v>91</v>
      </c>
      <c r="F646" s="4" t="s">
        <v>5289</v>
      </c>
      <c r="G646" s="4" t="s">
        <v>5290</v>
      </c>
      <c r="H646" s="4" t="s">
        <v>55</v>
      </c>
      <c r="I646" s="4" t="s">
        <v>653</v>
      </c>
      <c r="J646" s="4" t="s">
        <v>91</v>
      </c>
      <c r="K646" s="13" t="str">
        <f>HYPERLINK("https://media.licdn.com/dms/image/v2/D4E10AQGyDzLPEXWnUw/image-shrink_1280/B4EZpYv0hTKoAM-/0/1762425523442?e=2147483647&amp;v=beta&amp;t=p-k73cF4q0PhP66eQ3Pdd77Oaz6W6RXoBXOI1SchKTc","Open Creative")</f>
        <v>Open Creative</v>
      </c>
      <c r="L646" s="4" t="s">
        <v>3498</v>
      </c>
      <c r="M646" s="4" t="s">
        <v>63</v>
      </c>
      <c r="N646" s="4" t="s">
        <v>6185</v>
      </c>
      <c r="O646" s="2" t="s">
        <v>132</v>
      </c>
      <c r="P646" s="2">
        <v>8.95426134E8</v>
      </c>
      <c r="Q646" s="2" t="s">
        <v>68</v>
      </c>
      <c r="R646" s="4" t="s">
        <v>6238</v>
      </c>
    </row>
    <row r="647">
      <c r="A647" s="4" t="s">
        <v>44</v>
      </c>
      <c r="B647" s="4" t="s">
        <v>44</v>
      </c>
      <c r="C647" s="4">
        <v>646.0</v>
      </c>
      <c r="D647" s="13" t="str">
        <f>HYPERLINK("https://www.linkedin.com/ad-library/detail/895259234","Open Ad")</f>
        <v>Open Ad</v>
      </c>
      <c r="E647" s="4" t="s">
        <v>91</v>
      </c>
      <c r="F647" s="4" t="s">
        <v>5225</v>
      </c>
      <c r="G647" s="4" t="s">
        <v>5226</v>
      </c>
      <c r="H647" s="4" t="s">
        <v>55</v>
      </c>
      <c r="I647" s="4" t="s">
        <v>1377</v>
      </c>
      <c r="J647" s="4" t="s">
        <v>91</v>
      </c>
      <c r="K647" s="13" t="str">
        <f>HYPERLINK("https://media.licdn.com/dms/image/v2/D4E10AQFiIma9oIKoZQ/image-shrink_1280/B4EZpYv5GIKoAQ-/0/1762425541821?e=2147483647&amp;v=beta&amp;t=KCjO5JCLmHh63CXXVH5wZtHkcKJwDTrfJfFU07-tPdI","Open Creative")</f>
        <v>Open Creative</v>
      </c>
      <c r="L647" s="4" t="s">
        <v>3498</v>
      </c>
      <c r="M647" s="4" t="s">
        <v>63</v>
      </c>
      <c r="N647" s="4" t="s">
        <v>6185</v>
      </c>
      <c r="O647" s="2" t="s">
        <v>132</v>
      </c>
      <c r="P647" s="2">
        <v>8.95259234E8</v>
      </c>
      <c r="Q647" s="2" t="s">
        <v>68</v>
      </c>
      <c r="R647" s="4" t="s">
        <v>6241</v>
      </c>
    </row>
    <row r="648">
      <c r="A648" s="4" t="s">
        <v>44</v>
      </c>
      <c r="B648" s="4" t="s">
        <v>44</v>
      </c>
      <c r="C648" s="4">
        <v>647.0</v>
      </c>
      <c r="D648" s="13" t="str">
        <f>HYPERLINK("https://www.linkedin.com/ad-library/detail/895259224","Open Ad")</f>
        <v>Open Ad</v>
      </c>
      <c r="E648" s="4" t="s">
        <v>91</v>
      </c>
      <c r="F648" s="4" t="s">
        <v>5225</v>
      </c>
      <c r="G648" s="4" t="s">
        <v>5226</v>
      </c>
      <c r="H648" s="4" t="s">
        <v>55</v>
      </c>
      <c r="I648" s="4" t="s">
        <v>1377</v>
      </c>
      <c r="J648" s="4" t="s">
        <v>91</v>
      </c>
      <c r="K648" s="13" t="str">
        <f>HYPERLINK("https://media.licdn.com/dms/image/v2/D4E10AQHVhrQ5Hqmb2w/image-shrink_1280/B4EZpYv0gcIoAM-/0/1762425523495?e=2147483647&amp;v=beta&amp;t=905Eaa5oB1g3aVyQ9adJgTNjYeaMHBj1gzu7FBNe-j0","Open Creative")</f>
        <v>Open Creative</v>
      </c>
      <c r="L648" s="4" t="s">
        <v>3498</v>
      </c>
      <c r="M648" s="4" t="s">
        <v>63</v>
      </c>
      <c r="N648" s="4" t="s">
        <v>6185</v>
      </c>
      <c r="O648" s="2" t="s">
        <v>132</v>
      </c>
      <c r="P648" s="2">
        <v>8.95259224E8</v>
      </c>
      <c r="Q648" s="2" t="s">
        <v>68</v>
      </c>
      <c r="R648" s="4" t="s">
        <v>6244</v>
      </c>
    </row>
    <row r="649">
      <c r="A649" s="4" t="s">
        <v>44</v>
      </c>
      <c r="B649" s="4" t="s">
        <v>44</v>
      </c>
      <c r="C649" s="4">
        <v>648.0</v>
      </c>
      <c r="D649" s="13" t="str">
        <f>HYPERLINK("https://www.linkedin.com/ad-library/detail/895308194","Open Ad")</f>
        <v>Open Ad</v>
      </c>
      <c r="E649" s="4" t="s">
        <v>91</v>
      </c>
      <c r="F649" s="4" t="s">
        <v>5225</v>
      </c>
      <c r="G649" s="4" t="s">
        <v>5226</v>
      </c>
      <c r="H649" s="4" t="s">
        <v>55</v>
      </c>
      <c r="I649" s="4" t="s">
        <v>1377</v>
      </c>
      <c r="J649" s="4" t="s">
        <v>91</v>
      </c>
      <c r="K649" s="13" t="str">
        <f>HYPERLINK("https://media.licdn.com/dms/image/v2/D4E10AQEVz9byr_kjvQ/image-shrink_1280/B4EZpYvv7EIwAQ-/0/1762425504173?e=2147483647&amp;v=beta&amp;t=pBy97CTEyG0fulrw4eCBuljqZKI9b7p3Xd60t1BhRyk","Open Creative")</f>
        <v>Open Creative</v>
      </c>
      <c r="L649" s="4" t="s">
        <v>3498</v>
      </c>
      <c r="M649" s="4" t="s">
        <v>63</v>
      </c>
      <c r="N649" s="4" t="s">
        <v>6246</v>
      </c>
      <c r="O649" s="2" t="s">
        <v>132</v>
      </c>
      <c r="P649" s="2">
        <v>8.95308194E8</v>
      </c>
      <c r="Q649" s="2" t="s">
        <v>68</v>
      </c>
      <c r="R649" s="4" t="s">
        <v>6247</v>
      </c>
    </row>
    <row r="650">
      <c r="A650" s="4" t="s">
        <v>44</v>
      </c>
      <c r="B650" s="4" t="s">
        <v>44</v>
      </c>
      <c r="C650" s="4">
        <v>649.0</v>
      </c>
      <c r="D650" s="13" t="str">
        <f>HYPERLINK("https://www.linkedin.com/ad-library/detail/895298574","Open Ad")</f>
        <v>Open Ad</v>
      </c>
      <c r="E650" s="4" t="s">
        <v>91</v>
      </c>
      <c r="F650" s="4" t="s">
        <v>5289</v>
      </c>
      <c r="G650" s="4" t="s">
        <v>5290</v>
      </c>
      <c r="H650" s="4" t="s">
        <v>55</v>
      </c>
      <c r="I650" s="4" t="s">
        <v>653</v>
      </c>
      <c r="J650" s="4" t="s">
        <v>91</v>
      </c>
      <c r="K650" s="13" t="str">
        <f>HYPERLINK("https://media.licdn.com/dms/image/v2/D4E10AQE5Yo_Fmb7htQ/image-shrink_1280/B4EZpYviOQJgAU-/0/1762425448458?e=2147483647&amp;v=beta&amp;t=exBxaVm0TxRdiAmINopSeIuKbWtD3y0mW9y9aNB3Y8E","Open Creative")</f>
        <v>Open Creative</v>
      </c>
      <c r="L650" s="4" t="s">
        <v>3498</v>
      </c>
      <c r="M650" s="4" t="s">
        <v>63</v>
      </c>
      <c r="N650" s="4" t="s">
        <v>6185</v>
      </c>
      <c r="O650" s="2" t="s">
        <v>132</v>
      </c>
      <c r="P650" s="2">
        <v>8.95298574E8</v>
      </c>
      <c r="Q650" s="2" t="s">
        <v>68</v>
      </c>
      <c r="R650" s="4" t="s">
        <v>6249</v>
      </c>
    </row>
    <row r="651">
      <c r="A651" s="4" t="s">
        <v>44</v>
      </c>
      <c r="B651" s="4" t="s">
        <v>44</v>
      </c>
      <c r="C651" s="4">
        <v>650.0</v>
      </c>
      <c r="D651" s="13" t="str">
        <f>HYPERLINK("https://www.linkedin.com/ad-library/detail/895377394","Open Ad")</f>
        <v>Open Ad</v>
      </c>
      <c r="E651" s="4" t="s">
        <v>91</v>
      </c>
      <c r="F651" s="4" t="s">
        <v>5225</v>
      </c>
      <c r="G651" s="4" t="s">
        <v>5226</v>
      </c>
      <c r="H651" s="4" t="s">
        <v>55</v>
      </c>
      <c r="I651" s="4" t="s">
        <v>1377</v>
      </c>
      <c r="J651" s="4" t="s">
        <v>91</v>
      </c>
      <c r="K651" s="13" t="str">
        <f>HYPERLINK("https://media.licdn.com/dms/image/v2/D4E10AQG5YVkApPbwzw/image-shrink_1280/B4EZpYvmwCJgAM-/0/1762425466404?e=2147483647&amp;v=beta&amp;t=28Us0biTvv-xbD-QuM_uebfFL_4ay1LopZaCW5uCYJg","Open Creative")</f>
        <v>Open Creative</v>
      </c>
      <c r="L651" s="4" t="s">
        <v>3498</v>
      </c>
      <c r="M651" s="4" t="s">
        <v>63</v>
      </c>
      <c r="N651" s="4" t="s">
        <v>6185</v>
      </c>
      <c r="O651" s="2" t="s">
        <v>132</v>
      </c>
      <c r="P651" s="2">
        <v>8.95377394E8</v>
      </c>
      <c r="Q651" s="2" t="s">
        <v>68</v>
      </c>
      <c r="R651" s="4" t="s">
        <v>6252</v>
      </c>
    </row>
    <row r="652">
      <c r="A652" s="4" t="s">
        <v>44</v>
      </c>
      <c r="B652" s="4" t="s">
        <v>44</v>
      </c>
      <c r="C652" s="4">
        <v>651.0</v>
      </c>
      <c r="D652" s="13" t="str">
        <f>HYPERLINK("https://www.linkedin.com/ad-library/detail/895308154","Open Ad")</f>
        <v>Open Ad</v>
      </c>
      <c r="E652" s="4" t="s">
        <v>91</v>
      </c>
      <c r="F652" s="4" t="s">
        <v>5225</v>
      </c>
      <c r="G652" s="4" t="s">
        <v>5226</v>
      </c>
      <c r="H652" s="4" t="s">
        <v>55</v>
      </c>
      <c r="I652" s="4" t="s">
        <v>1377</v>
      </c>
      <c r="J652" s="4" t="s">
        <v>91</v>
      </c>
      <c r="K652" s="13" t="str">
        <f>HYPERLINK("https://media.licdn.com/dms/image/v2/D4E10AQGvGl0Jnhax1Q/image-shrink_1280/B4EZpYviVyKoAM-/0/1762425448347?e=2147483647&amp;v=beta&amp;t=UPWZ5ug9EaSin-52yTFwSBEtAYRHGWw9mG2DQQFf3UQ","Open Creative")</f>
        <v>Open Creative</v>
      </c>
      <c r="L652" s="4" t="s">
        <v>3498</v>
      </c>
      <c r="M652" s="4" t="s">
        <v>63</v>
      </c>
      <c r="N652" s="4" t="s">
        <v>6185</v>
      </c>
      <c r="O652" s="2" t="s">
        <v>132</v>
      </c>
      <c r="P652" s="2">
        <v>8.95308154E8</v>
      </c>
      <c r="Q652" s="2" t="s">
        <v>68</v>
      </c>
      <c r="R652" s="4" t="s">
        <v>6255</v>
      </c>
    </row>
    <row r="653">
      <c r="A653" s="4" t="s">
        <v>44</v>
      </c>
      <c r="B653" s="4" t="s">
        <v>44</v>
      </c>
      <c r="C653" s="4">
        <v>652.0</v>
      </c>
      <c r="D653" s="13" t="str">
        <f>HYPERLINK("https://www.linkedin.com/ad-library/detail/895416544","Open Ad")</f>
        <v>Open Ad</v>
      </c>
      <c r="E653" s="4" t="s">
        <v>91</v>
      </c>
      <c r="F653" s="4" t="s">
        <v>5225</v>
      </c>
      <c r="G653" s="4" t="s">
        <v>5226</v>
      </c>
      <c r="H653" s="4" t="s">
        <v>55</v>
      </c>
      <c r="I653" s="4" t="s">
        <v>1377</v>
      </c>
      <c r="J653" s="4" t="s">
        <v>91</v>
      </c>
      <c r="K653" s="13" t="str">
        <f>HYPERLINK("https://media.licdn.com/dms/image/v2/D4E10AQFpqziyr3V0Ig/image-shrink_1280/B4EZpYvraAGcAM-/0/1762425485943?e=2147483647&amp;v=beta&amp;t=wA84BVKzejT43DJrYCPQqr-Wi-FWzugnDUUgm6swuas","Open Creative")</f>
        <v>Open Creative</v>
      </c>
      <c r="L653" s="4" t="s">
        <v>3498</v>
      </c>
      <c r="M653" s="4" t="s">
        <v>63</v>
      </c>
      <c r="N653" s="4" t="s">
        <v>6185</v>
      </c>
      <c r="O653" s="2" t="s">
        <v>132</v>
      </c>
      <c r="P653" s="2">
        <v>8.95416544E8</v>
      </c>
      <c r="Q653" s="2" t="s">
        <v>68</v>
      </c>
      <c r="R653" s="4" t="s">
        <v>6256</v>
      </c>
    </row>
    <row r="654">
      <c r="A654" s="4" t="s">
        <v>44</v>
      </c>
      <c r="B654" s="4" t="s">
        <v>44</v>
      </c>
      <c r="C654" s="4">
        <v>653.0</v>
      </c>
      <c r="D654" s="13" t="str">
        <f>HYPERLINK("https://www.linkedin.com/ad-library/detail/895278704","Open Ad")</f>
        <v>Open Ad</v>
      </c>
      <c r="E654" s="4" t="s">
        <v>91</v>
      </c>
      <c r="F654" s="4" t="s">
        <v>5225</v>
      </c>
      <c r="G654" s="4" t="s">
        <v>5226</v>
      </c>
      <c r="H654" s="4" t="s">
        <v>55</v>
      </c>
      <c r="I654" s="4" t="s">
        <v>1377</v>
      </c>
      <c r="J654" s="4" t="s">
        <v>91</v>
      </c>
      <c r="K654" s="13" t="str">
        <f>HYPERLINK("https://media.licdn.com/dms/image/v2/D4E10AQFKBmLBVIgPww/image-shrink_1280/B4EZpYvrVJHEAM-/0/1762425485291?e=2147483647&amp;v=beta&amp;t=2XN35dMbYgMtD664HxRv6fRJYybz2QaFzhfe1WmqzvU","Open Creative")</f>
        <v>Open Creative</v>
      </c>
      <c r="L654" s="4" t="s">
        <v>3498</v>
      </c>
      <c r="M654" s="4" t="s">
        <v>63</v>
      </c>
      <c r="N654" s="4" t="s">
        <v>6185</v>
      </c>
      <c r="O654" s="2" t="s">
        <v>132</v>
      </c>
      <c r="P654" s="2">
        <v>8.95278704E8</v>
      </c>
      <c r="Q654" s="2" t="s">
        <v>68</v>
      </c>
      <c r="R654" s="4" t="s">
        <v>6259</v>
      </c>
    </row>
    <row r="655">
      <c r="A655" s="4" t="s">
        <v>44</v>
      </c>
      <c r="B655" s="4" t="s">
        <v>44</v>
      </c>
      <c r="C655" s="4">
        <v>654.0</v>
      </c>
      <c r="D655" s="13" t="str">
        <f>HYPERLINK("https://www.linkedin.com/ad-library/detail/895249394","Open Ad")</f>
        <v>Open Ad</v>
      </c>
      <c r="E655" s="4" t="s">
        <v>91</v>
      </c>
      <c r="F655" s="4" t="s">
        <v>5225</v>
      </c>
      <c r="G655" s="4" t="s">
        <v>5226</v>
      </c>
      <c r="H655" s="4" t="s">
        <v>55</v>
      </c>
      <c r="I655" s="4" t="s">
        <v>1377</v>
      </c>
      <c r="J655" s="4" t="s">
        <v>91</v>
      </c>
      <c r="K655" s="13" t="str">
        <f>HYPERLINK("https://media.licdn.com/dms/image/v2/D4E10AQG3CImgrZcdTA/image-shrink_1280/B4EZpYviSaGoAM-/0/1762425448381?e=2147483647&amp;v=beta&amp;t=qZAbiZY0jHPiNYdbachVpcX7CGy9U5WPZ9rMaPsyEPA","Open Creative")</f>
        <v>Open Creative</v>
      </c>
      <c r="L655" s="4" t="s">
        <v>3498</v>
      </c>
      <c r="M655" s="4" t="s">
        <v>63</v>
      </c>
      <c r="N655" s="4" t="s">
        <v>6185</v>
      </c>
      <c r="O655" s="2" t="s">
        <v>132</v>
      </c>
      <c r="P655" s="2">
        <v>8.95249394E8</v>
      </c>
      <c r="Q655" s="2" t="s">
        <v>68</v>
      </c>
      <c r="R655" s="4" t="s">
        <v>6262</v>
      </c>
    </row>
    <row r="656">
      <c r="A656" s="4" t="s">
        <v>44</v>
      </c>
      <c r="B656" s="4" t="s">
        <v>44</v>
      </c>
      <c r="C656" s="4">
        <v>655.0</v>
      </c>
      <c r="D656" s="13" t="str">
        <f>HYPERLINK("https://www.linkedin.com/ad-library/detail/895445484","Open Ad")</f>
        <v>Open Ad</v>
      </c>
      <c r="E656" s="4" t="s">
        <v>91</v>
      </c>
      <c r="F656" s="4" t="s">
        <v>5225</v>
      </c>
      <c r="G656" s="4" t="s">
        <v>5226</v>
      </c>
      <c r="H656" s="4" t="s">
        <v>55</v>
      </c>
      <c r="I656" s="4" t="s">
        <v>1377</v>
      </c>
      <c r="J656" s="4" t="s">
        <v>91</v>
      </c>
      <c r="K656" s="13" t="str">
        <f>HYPERLINK("https://media.licdn.com/dms/image/v2/D4E10AQFGa82ga45Jxw/image-shrink_1280/B4EZpYvmxQIwAM-/0/1762425466616?e=2147483647&amp;v=beta&amp;t=O0nU4dpDQ9sjmUFo24jDr1JPbnxnYvdUR78tCopxFTw","Open Creative")</f>
        <v>Open Creative</v>
      </c>
      <c r="L656" s="4" t="s">
        <v>3498</v>
      </c>
      <c r="M656" s="4" t="s">
        <v>63</v>
      </c>
      <c r="N656" s="4" t="s">
        <v>6185</v>
      </c>
      <c r="O656" s="2" t="s">
        <v>132</v>
      </c>
      <c r="P656" s="2">
        <v>8.95445484E8</v>
      </c>
      <c r="Q656" s="2" t="s">
        <v>68</v>
      </c>
      <c r="R656" s="4" t="s">
        <v>6264</v>
      </c>
    </row>
    <row r="657">
      <c r="A657" s="4" t="s">
        <v>44</v>
      </c>
      <c r="B657" s="4" t="s">
        <v>44</v>
      </c>
      <c r="C657" s="4">
        <v>656.0</v>
      </c>
      <c r="D657" s="13" t="str">
        <f>HYPERLINK("https://www.linkedin.com/ad-library/detail/895445474","Open Ad")</f>
        <v>Open Ad</v>
      </c>
      <c r="E657" s="4" t="s">
        <v>91</v>
      </c>
      <c r="F657" s="4" t="s">
        <v>5225</v>
      </c>
      <c r="G657" s="4" t="s">
        <v>5226</v>
      </c>
      <c r="H657" s="4" t="s">
        <v>55</v>
      </c>
      <c r="I657" s="4" t="s">
        <v>1377</v>
      </c>
      <c r="J657" s="4" t="s">
        <v>91</v>
      </c>
      <c r="K657" s="13" t="str">
        <f>HYPERLINK("https://media.licdn.com/dms/image/v2/D4E10AQGbw0d5FrGYEQ/image-shrink_1280/B4EZpYviQoGYAQ-/0/1762425448265?e=2147483647&amp;v=beta&amp;t=T_U7kU0GH5mTDp2udgBkEdwZ2q_GRQGEcna1BpFlpHo","Open Creative")</f>
        <v>Open Creative</v>
      </c>
      <c r="L657" s="4" t="s">
        <v>3498</v>
      </c>
      <c r="M657" s="4" t="s">
        <v>63</v>
      </c>
      <c r="N657" s="4" t="s">
        <v>6185</v>
      </c>
      <c r="O657" s="2" t="s">
        <v>132</v>
      </c>
      <c r="P657" s="2">
        <v>8.95445474E8</v>
      </c>
      <c r="Q657" s="2" t="s">
        <v>68</v>
      </c>
      <c r="R657" s="4" t="s">
        <v>6266</v>
      </c>
    </row>
    <row r="658">
      <c r="A658" s="4" t="s">
        <v>44</v>
      </c>
      <c r="B658" s="4" t="s">
        <v>44</v>
      </c>
      <c r="C658" s="4">
        <v>657.0</v>
      </c>
      <c r="D658" s="13" t="str">
        <f>HYPERLINK("https://www.linkedin.com/ad-library/detail/895249404","Open Ad")</f>
        <v>Open Ad</v>
      </c>
      <c r="E658" s="4" t="s">
        <v>91</v>
      </c>
      <c r="F658" s="4" t="s">
        <v>5289</v>
      </c>
      <c r="G658" s="4" t="s">
        <v>5290</v>
      </c>
      <c r="H658" s="4" t="s">
        <v>55</v>
      </c>
      <c r="I658" s="4" t="s">
        <v>653</v>
      </c>
      <c r="J658" s="4" t="s">
        <v>91</v>
      </c>
      <c r="K658" s="13" t="str">
        <f>HYPERLINK("https://media.licdn.com/dms/image/v2/D4E10AQFc5J17Nonq7w/image-shrink_1280/B4EZpYviQcJgAM-/0/1762425448557?e=2147483647&amp;v=beta&amp;t=Csm2cuO-7956H-gGg4xnvtx3V-DrMyycn7LNQ1kCNyk","Open Creative")</f>
        <v>Open Creative</v>
      </c>
      <c r="L658" s="4" t="s">
        <v>3498</v>
      </c>
      <c r="M658" s="4" t="s">
        <v>63</v>
      </c>
      <c r="N658" s="4" t="s">
        <v>6185</v>
      </c>
      <c r="O658" s="2" t="s">
        <v>132</v>
      </c>
      <c r="P658" s="2">
        <v>8.95249404E8</v>
      </c>
      <c r="Q658" s="2" t="s">
        <v>68</v>
      </c>
      <c r="R658" s="4" t="s">
        <v>6267</v>
      </c>
    </row>
    <row r="659">
      <c r="A659" s="4" t="s">
        <v>44</v>
      </c>
      <c r="B659" s="4" t="s">
        <v>44</v>
      </c>
      <c r="C659" s="4">
        <v>658.0</v>
      </c>
      <c r="D659" s="13" t="str">
        <f>HYPERLINK("https://www.linkedin.com/ad-library/detail/895377414","Open Ad")</f>
        <v>Open Ad</v>
      </c>
      <c r="E659" s="4" t="s">
        <v>91</v>
      </c>
      <c r="F659" s="4" t="s">
        <v>5225</v>
      </c>
      <c r="G659" s="4" t="s">
        <v>5226</v>
      </c>
      <c r="H659" s="4" t="s">
        <v>55</v>
      </c>
      <c r="I659" s="4" t="s">
        <v>1377</v>
      </c>
      <c r="J659" s="4" t="s">
        <v>91</v>
      </c>
      <c r="K659" s="13" t="str">
        <f>HYPERLINK("https://media.licdn.com/dms/image/v2/D4E10AQGPyiDOYZcPCA/image-shrink_1280/B4EZpYvrWeKgAM-/0/1762425485882?e=2147483647&amp;v=beta&amp;t=l39QIT8EU4e8M3NNHi77s-iLiKyP0SWcQcMu3cClklQ","Open Creative")</f>
        <v>Open Creative</v>
      </c>
      <c r="L659" s="4" t="s">
        <v>3498</v>
      </c>
      <c r="M659" s="4" t="s">
        <v>63</v>
      </c>
      <c r="N659" s="4" t="s">
        <v>6185</v>
      </c>
      <c r="O659" s="2" t="s">
        <v>132</v>
      </c>
      <c r="P659" s="2">
        <v>8.95377414E8</v>
      </c>
      <c r="Q659" s="2" t="s">
        <v>68</v>
      </c>
      <c r="R659" s="4" t="s">
        <v>6270</v>
      </c>
    </row>
    <row r="660">
      <c r="A660" s="4" t="s">
        <v>44</v>
      </c>
      <c r="B660" s="4" t="s">
        <v>44</v>
      </c>
      <c r="C660" s="4">
        <v>659.0</v>
      </c>
      <c r="D660" s="13" t="str">
        <f>HYPERLINK("https://www.linkedin.com/ad-library/detail/895396674","Open Ad")</f>
        <v>Open Ad</v>
      </c>
      <c r="E660" s="4" t="s">
        <v>91</v>
      </c>
      <c r="F660" s="4" t="s">
        <v>5225</v>
      </c>
      <c r="G660" s="4" t="s">
        <v>5226</v>
      </c>
      <c r="H660" s="4" t="s">
        <v>55</v>
      </c>
      <c r="I660" s="4" t="s">
        <v>1377</v>
      </c>
      <c r="J660" s="4" t="s">
        <v>91</v>
      </c>
      <c r="K660" s="13" t="str">
        <f>HYPERLINK("https://media.licdn.com/dms/image/v2/D4E10AQFcsRBOsJlG6g/image-shrink_1280/B4EZpYvmy5HMAM-/0/1762425466957?e=2147483647&amp;v=beta&amp;t=ndXSqa9apkBetMcI3HUjPLvGh27aIUEfexPdZLaiR6c","Open Creative")</f>
        <v>Open Creative</v>
      </c>
      <c r="L660" s="4" t="s">
        <v>3498</v>
      </c>
      <c r="M660" s="4" t="s">
        <v>63</v>
      </c>
      <c r="N660" s="4" t="s">
        <v>6185</v>
      </c>
      <c r="O660" s="2" t="s">
        <v>132</v>
      </c>
      <c r="P660" s="2">
        <v>8.95396674E8</v>
      </c>
      <c r="Q660" s="2" t="s">
        <v>68</v>
      </c>
      <c r="R660" s="4" t="s">
        <v>6273</v>
      </c>
    </row>
    <row r="661">
      <c r="A661" s="4" t="s">
        <v>44</v>
      </c>
      <c r="B661" s="4" t="s">
        <v>44</v>
      </c>
      <c r="C661" s="4">
        <v>660.0</v>
      </c>
      <c r="D661" s="13" t="str">
        <f>HYPERLINK("https://www.linkedin.com/ad-library/detail/895387184","Open Ad")</f>
        <v>Open Ad</v>
      </c>
      <c r="E661" s="4" t="s">
        <v>91</v>
      </c>
      <c r="F661" s="4" t="s">
        <v>5289</v>
      </c>
      <c r="G661" s="4" t="s">
        <v>5290</v>
      </c>
      <c r="H661" s="4" t="s">
        <v>55</v>
      </c>
      <c r="I661" s="4" t="s">
        <v>653</v>
      </c>
      <c r="J661" s="4" t="s">
        <v>91</v>
      </c>
      <c r="K661" s="13" t="str">
        <f>HYPERLINK("https://media.licdn.com/dms/image/v2/D4E10AQFcsJ88c_ttWg/image-shrink_1280/B4EZpYvmzbIwAM-/0/1762425466774?e=2147483647&amp;v=beta&amp;t=uQChmaMGvmooLSPTETu3MglJfxSAWGD_eHivLSOtWgo","Open Creative")</f>
        <v>Open Creative</v>
      </c>
      <c r="L661" s="4" t="s">
        <v>3498</v>
      </c>
      <c r="M661" s="4" t="s">
        <v>63</v>
      </c>
      <c r="N661" s="4" t="s">
        <v>6185</v>
      </c>
      <c r="O661" s="2" t="s">
        <v>132</v>
      </c>
      <c r="P661" s="2">
        <v>8.95387184E8</v>
      </c>
      <c r="Q661" s="2" t="s">
        <v>68</v>
      </c>
      <c r="R661" s="4" t="s">
        <v>6274</v>
      </c>
    </row>
    <row r="662">
      <c r="A662" s="4" t="s">
        <v>44</v>
      </c>
      <c r="B662" s="4" t="s">
        <v>44</v>
      </c>
      <c r="C662" s="4">
        <v>661.0</v>
      </c>
      <c r="D662" s="13" t="str">
        <f>HYPERLINK("https://www.linkedin.com/ad-library/detail/895259194","Open Ad")</f>
        <v>Open Ad</v>
      </c>
      <c r="E662" s="4" t="s">
        <v>91</v>
      </c>
      <c r="F662" s="4" t="s">
        <v>5289</v>
      </c>
      <c r="G662" s="4" t="s">
        <v>5290</v>
      </c>
      <c r="H662" s="4" t="s">
        <v>55</v>
      </c>
      <c r="I662" s="4" t="s">
        <v>653</v>
      </c>
      <c r="J662" s="4" t="s">
        <v>91</v>
      </c>
      <c r="K662" s="13" t="str">
        <f>HYPERLINK("https://media.licdn.com/dms/image/v2/D4E10AQH2INvAJGASqg/image-shrink_1280/B4EZpYvm2rKkAM-/0/1762425467479?e=2147483647&amp;v=beta&amp;t=MKDro3axjbDs7nh_F6Tltz5GOlatMcAGVkrAu0kasoc","Open Creative")</f>
        <v>Open Creative</v>
      </c>
      <c r="L662" s="4" t="s">
        <v>3498</v>
      </c>
      <c r="M662" s="4" t="s">
        <v>63</v>
      </c>
      <c r="N662" s="4" t="s">
        <v>6185</v>
      </c>
      <c r="O662" s="2" t="s">
        <v>132</v>
      </c>
      <c r="P662" s="2">
        <v>8.95259194E8</v>
      </c>
      <c r="Q662" s="2" t="s">
        <v>68</v>
      </c>
      <c r="R662" s="4" t="s">
        <v>6277</v>
      </c>
    </row>
    <row r="663">
      <c r="A663" s="4" t="s">
        <v>44</v>
      </c>
      <c r="B663" s="4" t="s">
        <v>44</v>
      </c>
      <c r="C663" s="4">
        <v>662.0</v>
      </c>
      <c r="D663" s="13" t="str">
        <f>HYPERLINK("https://www.linkedin.com/ad-library/detail/895318224","Open Ad")</f>
        <v>Open Ad</v>
      </c>
      <c r="E663" s="4" t="s">
        <v>91</v>
      </c>
      <c r="F663" s="4" t="s">
        <v>5289</v>
      </c>
      <c r="G663" s="4" t="s">
        <v>5290</v>
      </c>
      <c r="H663" s="4" t="s">
        <v>55</v>
      </c>
      <c r="I663" s="4" t="s">
        <v>653</v>
      </c>
      <c r="J663" s="4" t="s">
        <v>91</v>
      </c>
      <c r="K663" s="13" t="str">
        <f>HYPERLINK("https://media.licdn.com/dms/image/v2/D4E10AQHbxrGvZfWvFQ/image-shrink_1280/B4EZpYvmysKcAM-/0/1762425466779?e=2147483647&amp;v=beta&amp;t=893xpjv-tk70bOTfZ1kNbvZvvIRHdHJ8vmS9WhyifIY","Open Creative")</f>
        <v>Open Creative</v>
      </c>
      <c r="L663" s="4" t="s">
        <v>3498</v>
      </c>
      <c r="M663" s="4" t="s">
        <v>63</v>
      </c>
      <c r="N663" s="4" t="s">
        <v>6185</v>
      </c>
      <c r="O663" s="2" t="s">
        <v>132</v>
      </c>
      <c r="P663" s="2">
        <v>8.95318224E8</v>
      </c>
      <c r="Q663" s="2" t="s">
        <v>68</v>
      </c>
      <c r="R663" s="4" t="s">
        <v>6280</v>
      </c>
    </row>
    <row r="664">
      <c r="A664" s="4" t="s">
        <v>44</v>
      </c>
      <c r="B664" s="4" t="s">
        <v>44</v>
      </c>
      <c r="C664" s="4">
        <v>663.0</v>
      </c>
      <c r="D664" s="13" t="str">
        <f>HYPERLINK("https://www.linkedin.com/ad-library/detail/895426114","Open Ad")</f>
        <v>Open Ad</v>
      </c>
      <c r="E664" s="4" t="s">
        <v>91</v>
      </c>
      <c r="F664" s="4" t="s">
        <v>5225</v>
      </c>
      <c r="G664" s="4" t="s">
        <v>5226</v>
      </c>
      <c r="H664" s="4" t="s">
        <v>55</v>
      </c>
      <c r="I664" s="4" t="s">
        <v>1377</v>
      </c>
      <c r="J664" s="4" t="s">
        <v>91</v>
      </c>
      <c r="K664" s="13" t="str">
        <f>HYPERLINK("https://media.licdn.com/dms/image/v2/D4E10AQGMGr3oyQipyg/image-shrink_1280/B4EZpYviTSHoAM-/0/1762425448335?e=2147483647&amp;v=beta&amp;t=q-vAkZ-7yq0D_RecaSSTPAw19uWW--0QHhjW0AYDAS0","Open Creative")</f>
        <v>Open Creative</v>
      </c>
      <c r="L664" s="4" t="s">
        <v>3498</v>
      </c>
      <c r="M664" s="4" t="s">
        <v>63</v>
      </c>
      <c r="N664" s="4" t="s">
        <v>6185</v>
      </c>
      <c r="O664" s="2" t="s">
        <v>132</v>
      </c>
      <c r="P664" s="2">
        <v>8.95426114E8</v>
      </c>
      <c r="Q664" s="2" t="s">
        <v>68</v>
      </c>
      <c r="R664" s="4" t="s">
        <v>6283</v>
      </c>
    </row>
    <row r="665">
      <c r="A665" s="4" t="s">
        <v>44</v>
      </c>
      <c r="B665" s="4" t="s">
        <v>44</v>
      </c>
      <c r="C665" s="4">
        <v>664.0</v>
      </c>
      <c r="D665" s="13" t="str">
        <f>HYPERLINK("https://www.linkedin.com/ad-library/detail/895318214","Open Ad")</f>
        <v>Open Ad</v>
      </c>
      <c r="E665" s="4" t="s">
        <v>91</v>
      </c>
      <c r="F665" s="4" t="s">
        <v>5225</v>
      </c>
      <c r="G665" s="4" t="s">
        <v>5226</v>
      </c>
      <c r="H665" s="4" t="s">
        <v>55</v>
      </c>
      <c r="I665" s="4" t="s">
        <v>1377</v>
      </c>
      <c r="J665" s="4" t="s">
        <v>91</v>
      </c>
      <c r="K665" s="13" t="str">
        <f>HYPERLINK("https://media.licdn.com/dms/image/v2/D4E10AQEH2HE3TOIeEA/image-shrink_1280/B4EZpYviQ7GoAM-/0/1762425448607?e=2147483647&amp;v=beta&amp;t=90XeTt7WvTcH1UPLG6pvyOtg0uLfx_LQLPkwHD1C_YM","Open Creative")</f>
        <v>Open Creative</v>
      </c>
      <c r="L665" s="4" t="s">
        <v>3498</v>
      </c>
      <c r="M665" s="4" t="s">
        <v>63</v>
      </c>
      <c r="N665" s="4" t="s">
        <v>6185</v>
      </c>
      <c r="O665" s="2" t="s">
        <v>67</v>
      </c>
      <c r="P665" s="2">
        <v>8.95318214E8</v>
      </c>
      <c r="Q665" s="2" t="s">
        <v>68</v>
      </c>
      <c r="R665" s="4" t="s">
        <v>6286</v>
      </c>
    </row>
    <row r="666">
      <c r="A666" s="4" t="s">
        <v>44</v>
      </c>
      <c r="B666" s="4" t="s">
        <v>44</v>
      </c>
      <c r="C666" s="4">
        <v>665.0</v>
      </c>
      <c r="D666" s="13" t="str">
        <f>HYPERLINK("https://www.linkedin.com/ad-library/detail/895288184","Open Ad")</f>
        <v>Open Ad</v>
      </c>
      <c r="E666" s="4" t="s">
        <v>91</v>
      </c>
      <c r="F666" s="4" t="s">
        <v>5225</v>
      </c>
      <c r="G666" s="4" t="s">
        <v>5226</v>
      </c>
      <c r="H666" s="4" t="s">
        <v>55</v>
      </c>
      <c r="I666" s="4" t="s">
        <v>1377</v>
      </c>
      <c r="J666" s="4" t="s">
        <v>91</v>
      </c>
      <c r="K666" s="13" t="str">
        <f>HYPERLINK("https://media.licdn.com/dms/image/v2/D4E10AQGbSct8QZEBgw/image-shrink_1280/B4EZpYvmxrGcAM-/0/1762425467010?e=2147483647&amp;v=beta&amp;t=fG9P0id8K7S4RsllzEhTyflwgaQIlTOubGWwzUiowqY","Open Creative")</f>
        <v>Open Creative</v>
      </c>
      <c r="L666" s="4" t="s">
        <v>3498</v>
      </c>
      <c r="M666" s="4" t="s">
        <v>63</v>
      </c>
      <c r="N666" s="4" t="s">
        <v>6185</v>
      </c>
      <c r="O666" s="2" t="s">
        <v>132</v>
      </c>
      <c r="P666" s="2">
        <v>8.95288184E8</v>
      </c>
      <c r="Q666" s="2" t="s">
        <v>68</v>
      </c>
      <c r="R666" s="4" t="s">
        <v>6289</v>
      </c>
    </row>
    <row r="667">
      <c r="A667" s="4" t="s">
        <v>44</v>
      </c>
      <c r="B667" s="4" t="s">
        <v>44</v>
      </c>
      <c r="C667" s="4">
        <v>666.0</v>
      </c>
      <c r="D667" s="13" t="str">
        <f>HYPERLINK("https://www.linkedin.com/ad-library/detail/895288174","Open Ad")</f>
        <v>Open Ad</v>
      </c>
      <c r="E667" s="4" t="s">
        <v>91</v>
      </c>
      <c r="F667" s="4" t="s">
        <v>5225</v>
      </c>
      <c r="G667" s="4" t="s">
        <v>5226</v>
      </c>
      <c r="H667" s="4" t="s">
        <v>55</v>
      </c>
      <c r="I667" s="4" t="s">
        <v>1377</v>
      </c>
      <c r="J667" s="4" t="s">
        <v>91</v>
      </c>
      <c r="K667" s="13" t="str">
        <f>HYPERLINK("https://media.licdn.com/dms/image/v2/D4E10AQHVXR7Wi2t_kQ/image-shrink_1280/B4EZpYvm2oIIAQ-/0/1762425466944?e=2147483647&amp;v=beta&amp;t=dLHALnZX1khuIG59zNssWHN55Tw6voC1o_6Xp8QzNys","Open Creative")</f>
        <v>Open Creative</v>
      </c>
      <c r="L667" s="4" t="s">
        <v>3498</v>
      </c>
      <c r="M667" s="4" t="s">
        <v>63</v>
      </c>
      <c r="N667" s="4" t="s">
        <v>6185</v>
      </c>
      <c r="O667" s="2" t="s">
        <v>132</v>
      </c>
      <c r="P667" s="2">
        <v>8.95288174E8</v>
      </c>
      <c r="Q667" s="2" t="s">
        <v>68</v>
      </c>
      <c r="R667" s="4" t="s">
        <v>6292</v>
      </c>
    </row>
    <row r="668">
      <c r="A668" s="4" t="s">
        <v>44</v>
      </c>
      <c r="B668" s="4" t="s">
        <v>44</v>
      </c>
      <c r="C668" s="4">
        <v>667.0</v>
      </c>
      <c r="D668" s="13" t="str">
        <f>HYPERLINK("https://www.linkedin.com/ad-library/detail/895288194","Open Ad")</f>
        <v>Open Ad</v>
      </c>
      <c r="E668" s="4" t="s">
        <v>91</v>
      </c>
      <c r="F668" s="4" t="s">
        <v>5289</v>
      </c>
      <c r="G668" s="4" t="s">
        <v>5290</v>
      </c>
      <c r="H668" s="4" t="s">
        <v>55</v>
      </c>
      <c r="I668" s="4" t="s">
        <v>653</v>
      </c>
      <c r="J668" s="4" t="s">
        <v>91</v>
      </c>
      <c r="K668" s="13" t="str">
        <f>HYPERLINK("https://media.licdn.com/dms/image/v2/D4E10AQHm9srDvvtk-A/image-shrink_1280/B4EZpYvrLrGcAQ-/0/1762425484600?e=2147483647&amp;v=beta&amp;t=OmbJNvk_plRgIKZnoHIAV7wtttRF98eB5lCd2r-02jk","Open Creative")</f>
        <v>Open Creative</v>
      </c>
      <c r="L668" s="4" t="s">
        <v>3498</v>
      </c>
      <c r="M668" s="4" t="s">
        <v>63</v>
      </c>
      <c r="N668" s="4" t="s">
        <v>6185</v>
      </c>
      <c r="O668" s="2" t="s">
        <v>132</v>
      </c>
      <c r="P668" s="2">
        <v>8.95288194E8</v>
      </c>
      <c r="Q668" s="2" t="s">
        <v>68</v>
      </c>
      <c r="R668" s="4" t="s">
        <v>6293</v>
      </c>
    </row>
    <row r="669">
      <c r="A669" s="4" t="s">
        <v>44</v>
      </c>
      <c r="B669" s="4" t="s">
        <v>44</v>
      </c>
      <c r="C669" s="4">
        <v>668.0</v>
      </c>
      <c r="D669" s="13" t="str">
        <f>HYPERLINK("https://www.linkedin.com/ad-library/detail/895308174","Open Ad")</f>
        <v>Open Ad</v>
      </c>
      <c r="E669" s="4" t="s">
        <v>91</v>
      </c>
      <c r="F669" s="4" t="s">
        <v>5289</v>
      </c>
      <c r="G669" s="4" t="s">
        <v>5290</v>
      </c>
      <c r="H669" s="4" t="s">
        <v>55</v>
      </c>
      <c r="I669" s="4" t="s">
        <v>653</v>
      </c>
      <c r="J669" s="4" t="s">
        <v>91</v>
      </c>
      <c r="K669" s="13" t="str">
        <f>HYPERLINK("https://media.licdn.com/dms/image/v2/D4E10AQEJWBWW-5Bl1Q/image-shrink_1280/B4EZpYvrVfHEAM-/0/1762425485353?e=2147483647&amp;v=beta&amp;t=EZ6HcQEwzPmsCkZaI3Nub40YRMj159KZE5dJVuVsb_8","Open Creative")</f>
        <v>Open Creative</v>
      </c>
      <c r="L669" s="4" t="s">
        <v>3498</v>
      </c>
      <c r="M669" s="4" t="s">
        <v>63</v>
      </c>
      <c r="N669" s="4" t="s">
        <v>6185</v>
      </c>
      <c r="O669" s="2" t="s">
        <v>132</v>
      </c>
      <c r="P669" s="2">
        <v>8.95308174E8</v>
      </c>
      <c r="Q669" s="2" t="s">
        <v>68</v>
      </c>
      <c r="R669" s="4" t="s">
        <v>6296</v>
      </c>
    </row>
    <row r="670">
      <c r="A670" s="4" t="s">
        <v>44</v>
      </c>
      <c r="B670" s="4" t="s">
        <v>44</v>
      </c>
      <c r="C670" s="4">
        <v>669.0</v>
      </c>
      <c r="D670" s="13" t="str">
        <f>HYPERLINK("https://www.linkedin.com/ad-library/detail/895387214","Open Ad")</f>
        <v>Open Ad</v>
      </c>
      <c r="E670" s="4" t="s">
        <v>91</v>
      </c>
      <c r="F670" s="4" t="s">
        <v>5225</v>
      </c>
      <c r="G670" s="4" t="s">
        <v>5226</v>
      </c>
      <c r="H670" s="4" t="s">
        <v>55</v>
      </c>
      <c r="I670" s="4" t="s">
        <v>1377</v>
      </c>
      <c r="J670" s="4" t="s">
        <v>91</v>
      </c>
      <c r="K670" s="13" t="str">
        <f>HYPERLINK("https://media.licdn.com/dms/image/v2/D4E10AQFnMWFpWDHQdg/image-shrink_1280/B4EZpYvrISJ0AQ-/0/1762425484658?e=2147483647&amp;v=beta&amp;t=n2VJAtnrJDGM3wncWkly7ihF2czqTXlv5MR-4OQol_Y","Open Creative")</f>
        <v>Open Creative</v>
      </c>
      <c r="L670" s="4" t="s">
        <v>3498</v>
      </c>
      <c r="M670" s="4" t="s">
        <v>63</v>
      </c>
      <c r="N670" s="4" t="s">
        <v>6185</v>
      </c>
      <c r="O670" s="2" t="s">
        <v>132</v>
      </c>
      <c r="P670" s="2">
        <v>8.95387214E8</v>
      </c>
      <c r="Q670" s="2" t="s">
        <v>68</v>
      </c>
      <c r="R670" s="4" t="s">
        <v>6299</v>
      </c>
    </row>
    <row r="671">
      <c r="A671" s="4" t="s">
        <v>44</v>
      </c>
      <c r="B671" s="4" t="s">
        <v>44</v>
      </c>
      <c r="C671" s="4">
        <v>670.0</v>
      </c>
      <c r="D671" s="13" t="str">
        <f>HYPERLINK("https://www.linkedin.com/ad-library/detail/895328254","Open Ad")</f>
        <v>Open Ad</v>
      </c>
      <c r="E671" s="4" t="s">
        <v>91</v>
      </c>
      <c r="F671" s="4" t="s">
        <v>5225</v>
      </c>
      <c r="G671" s="4" t="s">
        <v>5226</v>
      </c>
      <c r="H671" s="4" t="s">
        <v>55</v>
      </c>
      <c r="I671" s="4" t="s">
        <v>1377</v>
      </c>
      <c r="J671" s="4" t="s">
        <v>91</v>
      </c>
      <c r="K671" s="13" t="str">
        <f>HYPERLINK("https://media.licdn.com/dms/image/v2/D4E10AQG1NoSm8yDsJg/image-shrink_1280/B4EZpYvrV_IQAM-/0/1762425485439?e=2147483647&amp;v=beta&amp;t=QfieSyfOgEF1N20UWvqhBmff52BqqcXIixsy_2MnoBk","Open Creative")</f>
        <v>Open Creative</v>
      </c>
      <c r="L671" s="4" t="s">
        <v>3498</v>
      </c>
      <c r="M671" s="4" t="s">
        <v>63</v>
      </c>
      <c r="N671" s="4" t="s">
        <v>6185</v>
      </c>
      <c r="O671" s="2" t="s">
        <v>132</v>
      </c>
      <c r="P671" s="2">
        <v>8.95328254E8</v>
      </c>
      <c r="Q671" s="2" t="s">
        <v>68</v>
      </c>
      <c r="R671" s="4" t="s">
        <v>6302</v>
      </c>
    </row>
    <row r="672">
      <c r="A672" s="4" t="s">
        <v>44</v>
      </c>
      <c r="B672" s="4" t="s">
        <v>44</v>
      </c>
      <c r="C672" s="4">
        <v>671.0</v>
      </c>
      <c r="D672" s="13" t="str">
        <f>HYPERLINK("https://www.linkedin.com/ad-library/detail/895387204","Open Ad")</f>
        <v>Open Ad</v>
      </c>
      <c r="E672" s="4" t="s">
        <v>91</v>
      </c>
      <c r="F672" s="4" t="s">
        <v>5289</v>
      </c>
      <c r="G672" s="4" t="s">
        <v>5290</v>
      </c>
      <c r="H672" s="4" t="s">
        <v>55</v>
      </c>
      <c r="I672" s="4" t="s">
        <v>653</v>
      </c>
      <c r="J672" s="4" t="s">
        <v>91</v>
      </c>
      <c r="K672" s="13" t="str">
        <f>HYPERLINK("https://media.licdn.com/dms/image/v2/D4E10AQElbDC7cRR6RA/image-shrink_1280/B4EZpYvrJ2KgAM-/0/1762425484524?e=2147483647&amp;v=beta&amp;t=XRNXXTKDUkOv-2N_TTLe-REG_OY2cdWo5cz8IEMsLqQ","Open Creative")</f>
        <v>Open Creative</v>
      </c>
      <c r="L672" s="4" t="s">
        <v>3498</v>
      </c>
      <c r="M672" s="4" t="s">
        <v>63</v>
      </c>
      <c r="N672" s="4" t="s">
        <v>6185</v>
      </c>
      <c r="O672" s="2" t="s">
        <v>132</v>
      </c>
      <c r="P672" s="2">
        <v>8.95387204E8</v>
      </c>
      <c r="Q672" s="2" t="s">
        <v>68</v>
      </c>
      <c r="R672" s="4" t="s">
        <v>6305</v>
      </c>
    </row>
    <row r="673">
      <c r="A673" s="4" t="s">
        <v>44</v>
      </c>
      <c r="B673" s="4" t="s">
        <v>44</v>
      </c>
      <c r="C673" s="4">
        <v>672.0</v>
      </c>
      <c r="D673" s="13" t="str">
        <f>HYPERLINK("https://www.linkedin.com/ad-library/detail/895308164","Open Ad")</f>
        <v>Open Ad</v>
      </c>
      <c r="E673" s="4" t="s">
        <v>91</v>
      </c>
      <c r="F673" s="4" t="s">
        <v>5225</v>
      </c>
      <c r="G673" s="4" t="s">
        <v>5226</v>
      </c>
      <c r="H673" s="4" t="s">
        <v>55</v>
      </c>
      <c r="I673" s="4" t="s">
        <v>1377</v>
      </c>
      <c r="J673" s="4" t="s">
        <v>91</v>
      </c>
      <c r="K673" s="13" t="str">
        <f>HYPERLINK("https://media.licdn.com/dms/image/v2/D4E10AQGZT-3bqxoZ2g/image-shrink_1280/B4EZpYvmzdHoAM-/0/1762425466782?e=2147483647&amp;v=beta&amp;t=oZHmRyl1aiuA-B4uLN33mqgSufBy3zhqXXMQmcAyodc","Open Creative")</f>
        <v>Open Creative</v>
      </c>
      <c r="L673" s="4" t="s">
        <v>3498</v>
      </c>
      <c r="M673" s="4" t="s">
        <v>63</v>
      </c>
      <c r="N673" s="4" t="s">
        <v>6185</v>
      </c>
      <c r="O673" s="2" t="s">
        <v>132</v>
      </c>
      <c r="P673" s="2">
        <v>8.95308164E8</v>
      </c>
      <c r="Q673" s="2" t="s">
        <v>68</v>
      </c>
      <c r="R673" s="4" t="s">
        <v>6308</v>
      </c>
    </row>
    <row r="674">
      <c r="A674" s="4" t="s">
        <v>44</v>
      </c>
      <c r="B674" s="4" t="s">
        <v>44</v>
      </c>
      <c r="C674" s="4">
        <v>673.0</v>
      </c>
      <c r="D674" s="13" t="str">
        <f>HYPERLINK("https://www.linkedin.com/ad-library/detail/895249354","Open Ad")</f>
        <v>Open Ad</v>
      </c>
      <c r="E674" s="4" t="s">
        <v>91</v>
      </c>
      <c r="F674" s="4" t="s">
        <v>5225</v>
      </c>
      <c r="G674" s="4" t="s">
        <v>5226</v>
      </c>
      <c r="H674" s="4" t="s">
        <v>55</v>
      </c>
      <c r="I674" s="4" t="s">
        <v>1377</v>
      </c>
      <c r="J674" s="4" t="s">
        <v>91</v>
      </c>
      <c r="K674" s="13" t="str">
        <f>HYPERLINK("https://media.licdn.com/dms/image/v2/D4E10AQGGHqCj0WKM2g/image-shrink_1280/B4EZpYvUmmHEAM-/0/1762425392356?e=2147483647&amp;v=beta&amp;t=xv0jJsn9qMpN56Lj4hRSIDkUgG4GDkFklLQFHZE7Gzo","Open Creative")</f>
        <v>Open Creative</v>
      </c>
      <c r="L674" s="4" t="s">
        <v>3498</v>
      </c>
      <c r="M674" s="4" t="s">
        <v>63</v>
      </c>
      <c r="N674" s="4" t="s">
        <v>6185</v>
      </c>
      <c r="O674" s="2" t="s">
        <v>132</v>
      </c>
      <c r="P674" s="2">
        <v>8.95249354E8</v>
      </c>
      <c r="Q674" s="2" t="s">
        <v>68</v>
      </c>
      <c r="R674" s="4" t="s">
        <v>6311</v>
      </c>
    </row>
    <row r="675">
      <c r="A675" s="4" t="s">
        <v>44</v>
      </c>
      <c r="B675" s="4" t="s">
        <v>44</v>
      </c>
      <c r="C675" s="4">
        <v>674.0</v>
      </c>
      <c r="D675" s="13" t="str">
        <f>HYPERLINK("https://www.linkedin.com/ad-library/detail/895298564","Open Ad")</f>
        <v>Open Ad</v>
      </c>
      <c r="E675" s="4" t="s">
        <v>91</v>
      </c>
      <c r="F675" s="4" t="s">
        <v>5289</v>
      </c>
      <c r="G675" s="4" t="s">
        <v>5290</v>
      </c>
      <c r="H675" s="4" t="s">
        <v>55</v>
      </c>
      <c r="I675" s="4" t="s">
        <v>653</v>
      </c>
      <c r="J675" s="4" t="s">
        <v>91</v>
      </c>
      <c r="K675" s="13" t="str">
        <f>HYPERLINK("https://media.licdn.com/dms/image/v2/D4E10AQEHRbAUZmOdRg/image-shrink_1280/B4EZpYvdsnKYAQ-/0/1762425429510?e=2147483647&amp;v=beta&amp;t=R-vtedd5pntgEMZUHPrgVdSwLerH6einAn1UlOCq7fU","Open Creative")</f>
        <v>Open Creative</v>
      </c>
      <c r="L675" s="4" t="s">
        <v>3498</v>
      </c>
      <c r="M675" s="4" t="s">
        <v>63</v>
      </c>
      <c r="N675" s="4" t="s">
        <v>6185</v>
      </c>
      <c r="O675" s="2" t="s">
        <v>132</v>
      </c>
      <c r="P675" s="2">
        <v>8.95298564E8</v>
      </c>
      <c r="Q675" s="2" t="s">
        <v>68</v>
      </c>
      <c r="R675" s="4" t="s">
        <v>6312</v>
      </c>
    </row>
    <row r="676">
      <c r="A676" s="4" t="s">
        <v>44</v>
      </c>
      <c r="B676" s="4" t="s">
        <v>44</v>
      </c>
      <c r="C676" s="4">
        <v>675.0</v>
      </c>
      <c r="D676" s="13" t="str">
        <f>HYPERLINK("https://www.linkedin.com/ad-library/detail/895249374","Open Ad")</f>
        <v>Open Ad</v>
      </c>
      <c r="E676" s="4" t="s">
        <v>91</v>
      </c>
      <c r="F676" s="4" t="s">
        <v>5225</v>
      </c>
      <c r="G676" s="4" t="s">
        <v>5226</v>
      </c>
      <c r="H676" s="4" t="s">
        <v>55</v>
      </c>
      <c r="I676" s="4" t="s">
        <v>1377</v>
      </c>
      <c r="J676" s="4" t="s">
        <v>91</v>
      </c>
      <c r="K676" s="13" t="str">
        <f>HYPERLINK("https://media.licdn.com/dms/image/v2/D4E10AQFjuu_oYnMm-w/image-shrink_1280/B4EZpYvdt7HgAQ-/0/1762425429590?e=2147483647&amp;v=beta&amp;t=JlFy7tkCJk6H62OnPXb9lXdsSvvmNpavdYjW7XmphfE","Open Creative")</f>
        <v>Open Creative</v>
      </c>
      <c r="L676" s="4" t="s">
        <v>3498</v>
      </c>
      <c r="M676" s="4" t="s">
        <v>63</v>
      </c>
      <c r="N676" s="4" t="s">
        <v>6185</v>
      </c>
      <c r="O676" s="2" t="s">
        <v>132</v>
      </c>
      <c r="P676" s="2">
        <v>8.95249374E8</v>
      </c>
      <c r="Q676" s="2" t="s">
        <v>68</v>
      </c>
      <c r="R676" s="4" t="s">
        <v>6316</v>
      </c>
    </row>
    <row r="677">
      <c r="A677" s="4" t="s">
        <v>44</v>
      </c>
      <c r="B677" s="4" t="s">
        <v>44</v>
      </c>
      <c r="C677" s="4">
        <v>676.0</v>
      </c>
      <c r="D677" s="13" t="str">
        <f>HYPERLINK("https://www.linkedin.com/ad-library/detail/895308144","Open Ad")</f>
        <v>Open Ad</v>
      </c>
      <c r="E677" s="4" t="s">
        <v>91</v>
      </c>
      <c r="F677" s="4" t="s">
        <v>5289</v>
      </c>
      <c r="G677" s="4" t="s">
        <v>5290</v>
      </c>
      <c r="H677" s="4" t="s">
        <v>55</v>
      </c>
      <c r="I677" s="4" t="s">
        <v>653</v>
      </c>
      <c r="J677" s="4" t="s">
        <v>91</v>
      </c>
      <c r="K677" s="13" t="str">
        <f>HYPERLINK("https://media.licdn.com/dms/image/v2/D4E10AQErZfSFTCgg-Q/image-shrink_1280/B4EZpYvUn8JgAM-/0/1762425392928?e=2147483647&amp;v=beta&amp;t=mdHQ5kvkAfPEGHU2kWf16ieZRPA5UqUV9GXW7yVn8WY","Open Creative")</f>
        <v>Open Creative</v>
      </c>
      <c r="L677" s="4" t="s">
        <v>3498</v>
      </c>
      <c r="M677" s="4" t="s">
        <v>63</v>
      </c>
      <c r="N677" s="4" t="s">
        <v>6185</v>
      </c>
      <c r="O677" s="2" t="s">
        <v>132</v>
      </c>
      <c r="P677" s="2">
        <v>8.95308144E8</v>
      </c>
      <c r="Q677" s="2" t="s">
        <v>68</v>
      </c>
      <c r="R677" s="4" t="s">
        <v>6318</v>
      </c>
    </row>
    <row r="678">
      <c r="A678" s="4" t="s">
        <v>44</v>
      </c>
      <c r="B678" s="4" t="s">
        <v>44</v>
      </c>
      <c r="C678" s="4">
        <v>677.0</v>
      </c>
      <c r="D678" s="13" t="str">
        <f>HYPERLINK("https://www.linkedin.com/ad-library/detail/895249364","Open Ad")</f>
        <v>Open Ad</v>
      </c>
      <c r="E678" s="4" t="s">
        <v>91</v>
      </c>
      <c r="F678" s="4" t="s">
        <v>5289</v>
      </c>
      <c r="G678" s="4" t="s">
        <v>5290</v>
      </c>
      <c r="H678" s="4" t="s">
        <v>55</v>
      </c>
      <c r="I678" s="4" t="s">
        <v>653</v>
      </c>
      <c r="J678" s="4" t="s">
        <v>91</v>
      </c>
      <c r="K678" s="13" t="str">
        <f>HYPERLINK("https://media.licdn.com/dms/image/v2/D4E10AQEQZOOmR0YYrg/image-shrink_1280/B4EZpYvUpsHcAQ-/0/1762425392644?e=2147483647&amp;v=beta&amp;t=eNdhYW7GKfL62z3Rci8rjzk6T7bfGjs_c761gSHkvb8","Open Creative")</f>
        <v>Open Creative</v>
      </c>
      <c r="L678" s="4" t="s">
        <v>3498</v>
      </c>
      <c r="M678" s="4" t="s">
        <v>63</v>
      </c>
      <c r="N678" s="4" t="s">
        <v>6185</v>
      </c>
      <c r="O678" s="2" t="s">
        <v>132</v>
      </c>
      <c r="P678" s="2">
        <v>8.95249364E8</v>
      </c>
      <c r="Q678" s="2" t="s">
        <v>68</v>
      </c>
      <c r="R678" s="4" t="s">
        <v>6321</v>
      </c>
    </row>
    <row r="679">
      <c r="A679" s="4" t="s">
        <v>44</v>
      </c>
      <c r="B679" s="4" t="s">
        <v>44</v>
      </c>
      <c r="C679" s="4">
        <v>678.0</v>
      </c>
      <c r="D679" s="13" t="str">
        <f>HYPERLINK("https://www.linkedin.com/ad-library/detail/895435684","Open Ad")</f>
        <v>Open Ad</v>
      </c>
      <c r="E679" s="4" t="s">
        <v>91</v>
      </c>
      <c r="F679" s="4" t="s">
        <v>5225</v>
      </c>
      <c r="G679" s="4" t="s">
        <v>5226</v>
      </c>
      <c r="H679" s="4" t="s">
        <v>55</v>
      </c>
      <c r="I679" s="4" t="s">
        <v>1377</v>
      </c>
      <c r="J679" s="4" t="s">
        <v>91</v>
      </c>
      <c r="K679" s="13" t="str">
        <f>HYPERLINK("https://media.licdn.com/dms/image/v2/D4E10AQGvFWSBwvEf_w/image-shrink_1280/B4EZpYvdx2IQAQ-/0/1762425430317?e=2147483647&amp;v=beta&amp;t=cbzP_8NkTu4_jFUVxpPuCUFat9D_2V2WnCzWKI_CHF8","Open Creative")</f>
        <v>Open Creative</v>
      </c>
      <c r="L679" s="4" t="s">
        <v>3498</v>
      </c>
      <c r="M679" s="4" t="s">
        <v>63</v>
      </c>
      <c r="N679" s="4" t="s">
        <v>6185</v>
      </c>
      <c r="O679" s="2" t="s">
        <v>132</v>
      </c>
      <c r="P679" s="2">
        <v>8.95435684E8</v>
      </c>
      <c r="Q679" s="2" t="s">
        <v>68</v>
      </c>
      <c r="R679" s="4" t="s">
        <v>6324</v>
      </c>
    </row>
    <row r="680">
      <c r="A680" s="4" t="s">
        <v>44</v>
      </c>
      <c r="B680" s="4" t="s">
        <v>44</v>
      </c>
      <c r="C680" s="4">
        <v>679.0</v>
      </c>
      <c r="D680" s="13" t="str">
        <f>HYPERLINK("https://www.linkedin.com/ad-library/detail/895445454","Open Ad")</f>
        <v>Open Ad</v>
      </c>
      <c r="E680" s="4" t="s">
        <v>91</v>
      </c>
      <c r="F680" s="4" t="s">
        <v>5225</v>
      </c>
      <c r="G680" s="4" t="s">
        <v>5226</v>
      </c>
      <c r="H680" s="4" t="s">
        <v>55</v>
      </c>
      <c r="I680" s="4" t="s">
        <v>1377</v>
      </c>
      <c r="J680" s="4" t="s">
        <v>91</v>
      </c>
      <c r="K680" s="13" t="str">
        <f>HYPERLINK("https://media.licdn.com/dms/image/v2/D4E10AQHyD26q_uMRLQ/image-shrink_1280/B4EZpYvZMAGcAQ-/0/1762425411473?e=2147483647&amp;v=beta&amp;t=EQQHZb5jgN7SYa-_4Pcn7hC4JVc-Y4ZHAxrRQxPu1lY","Open Creative")</f>
        <v>Open Creative</v>
      </c>
      <c r="L680" s="4" t="s">
        <v>3498</v>
      </c>
      <c r="M680" s="4" t="s">
        <v>63</v>
      </c>
      <c r="N680" s="4" t="s">
        <v>6185</v>
      </c>
      <c r="O680" s="2" t="s">
        <v>132</v>
      </c>
      <c r="P680" s="2">
        <v>8.95445454E8</v>
      </c>
      <c r="Q680" s="2" t="s">
        <v>68</v>
      </c>
      <c r="R680" s="4" t="s">
        <v>6326</v>
      </c>
    </row>
    <row r="681">
      <c r="A681" s="4" t="s">
        <v>44</v>
      </c>
      <c r="B681" s="4" t="s">
        <v>44</v>
      </c>
      <c r="C681" s="4">
        <v>680.0</v>
      </c>
      <c r="D681" s="13" t="str">
        <f>HYPERLINK("https://www.linkedin.com/ad-library/detail/895435674","Open Ad")</f>
        <v>Open Ad</v>
      </c>
      <c r="E681" s="4" t="s">
        <v>91</v>
      </c>
      <c r="F681" s="4" t="s">
        <v>5225</v>
      </c>
      <c r="G681" s="4" t="s">
        <v>5226</v>
      </c>
      <c r="H681" s="4" t="s">
        <v>55</v>
      </c>
      <c r="I681" s="4" t="s">
        <v>1377</v>
      </c>
      <c r="J681" s="4" t="s">
        <v>91</v>
      </c>
      <c r="K681" s="13" t="str">
        <f>HYPERLINK("https://media.licdn.com/dms/image/v2/D4E10AQGw1doGWUZ-qw/image-shrink_1280/B4EZpYvdu6KYAQ-/0/1762425429499?e=2147483647&amp;v=beta&amp;t=e2jVLt6Cmua5MD_a3T6D3zWy8OaLJV4UptDnAKBrTaw","Open Creative")</f>
        <v>Open Creative</v>
      </c>
      <c r="L681" s="4" t="s">
        <v>3498</v>
      </c>
      <c r="M681" s="4" t="s">
        <v>63</v>
      </c>
      <c r="N681" s="4" t="s">
        <v>6185</v>
      </c>
      <c r="O681" s="2" t="s">
        <v>132</v>
      </c>
      <c r="P681" s="2">
        <v>8.95435674E8</v>
      </c>
      <c r="Q681" s="2" t="s">
        <v>68</v>
      </c>
      <c r="R681" s="4" t="s">
        <v>6329</v>
      </c>
    </row>
    <row r="682">
      <c r="A682" s="4" t="s">
        <v>44</v>
      </c>
      <c r="B682" s="4" t="s">
        <v>44</v>
      </c>
      <c r="C682" s="4">
        <v>681.0</v>
      </c>
      <c r="D682" s="13" t="str">
        <f>HYPERLINK("https://www.linkedin.com/ad-library/detail/268376744","Open Ad")</f>
        <v>Open Ad</v>
      </c>
      <c r="E682" s="4" t="s">
        <v>91</v>
      </c>
      <c r="F682" s="4" t="s">
        <v>5225</v>
      </c>
      <c r="G682" s="4" t="s">
        <v>5226</v>
      </c>
      <c r="H682" s="4" t="s">
        <v>55</v>
      </c>
      <c r="I682" s="4" t="s">
        <v>1377</v>
      </c>
      <c r="J682" s="4" t="s">
        <v>91</v>
      </c>
      <c r="K682" s="13" t="str">
        <f>HYPERLINK("https://media.licdn.com/dms/image/v2/D4E10AQGqhZOEGcxedQ/image-shrink_1280/B4EZpYvZIxIoAM-/0/1762425411177?e=2147483647&amp;v=beta&amp;t=lMpwrdDEvwyCNZi-mc8H6HmIW4kS1fDHFfaYGuqCDTA","Open Creative")</f>
        <v>Open Creative</v>
      </c>
      <c r="L682" s="4" t="s">
        <v>3498</v>
      </c>
      <c r="M682" s="4" t="s">
        <v>63</v>
      </c>
      <c r="N682" s="4" t="s">
        <v>6185</v>
      </c>
      <c r="O682" s="2" t="s">
        <v>132</v>
      </c>
      <c r="P682" s="2">
        <v>2.68376744E8</v>
      </c>
      <c r="Q682" s="2" t="s">
        <v>68</v>
      </c>
      <c r="R682" s="4" t="s">
        <v>6331</v>
      </c>
    </row>
    <row r="683">
      <c r="A683" s="4" t="s">
        <v>44</v>
      </c>
      <c r="B683" s="4" t="s">
        <v>44</v>
      </c>
      <c r="C683" s="4">
        <v>682.0</v>
      </c>
      <c r="D683" s="13" t="str">
        <f>HYPERLINK("https://www.linkedin.com/ad-library/detail/895337694","Open Ad")</f>
        <v>Open Ad</v>
      </c>
      <c r="E683" s="4" t="s">
        <v>91</v>
      </c>
      <c r="F683" s="4" t="s">
        <v>5225</v>
      </c>
      <c r="G683" s="4" t="s">
        <v>5226</v>
      </c>
      <c r="H683" s="4" t="s">
        <v>55</v>
      </c>
      <c r="I683" s="4" t="s">
        <v>1377</v>
      </c>
      <c r="J683" s="4" t="s">
        <v>91</v>
      </c>
      <c r="K683" s="13" t="str">
        <f>HYPERLINK("https://media.licdn.com/dms/image/v2/D4E10AQFbK3B9xs4SWQ/image-shrink_1280/B4EZpYvZObJ0AM-/0/1762425411051?e=2147483647&amp;v=beta&amp;t=CBuDtGfj6CefVOexHgQ1ClDaEf-l-HpuRzkE2xgE2Ys","Open Creative")</f>
        <v>Open Creative</v>
      </c>
      <c r="L683" s="4" t="s">
        <v>3498</v>
      </c>
      <c r="M683" s="4" t="s">
        <v>63</v>
      </c>
      <c r="N683" s="4" t="s">
        <v>6185</v>
      </c>
      <c r="O683" s="2" t="s">
        <v>132</v>
      </c>
      <c r="P683" s="2">
        <v>8.95337694E8</v>
      </c>
      <c r="Q683" s="2" t="s">
        <v>68</v>
      </c>
      <c r="R683" s="4" t="s">
        <v>6334</v>
      </c>
    </row>
    <row r="684">
      <c r="A684" s="4" t="s">
        <v>44</v>
      </c>
      <c r="B684" s="4" t="s">
        <v>44</v>
      </c>
      <c r="C684" s="4">
        <v>683.0</v>
      </c>
      <c r="D684" s="13" t="str">
        <f>HYPERLINK("https://www.linkedin.com/ad-library/detail/895435664","Open Ad")</f>
        <v>Open Ad</v>
      </c>
      <c r="E684" s="4" t="s">
        <v>91</v>
      </c>
      <c r="F684" s="4" t="s">
        <v>5225</v>
      </c>
      <c r="G684" s="4" t="s">
        <v>5226</v>
      </c>
      <c r="H684" s="4" t="s">
        <v>55</v>
      </c>
      <c r="I684" s="4" t="s">
        <v>1377</v>
      </c>
      <c r="J684" s="4" t="s">
        <v>91</v>
      </c>
      <c r="K684" s="13" t="str">
        <f>HYPERLINK("https://media.licdn.com/dms/image/v2/D4E10AQFoOw2GTqieZQ/image-shrink_1280/B4EZpYvY5OIQAM-/0/1762425409818?e=2147483647&amp;v=beta&amp;t=2J2LegbIWOLIOoWO7Hw0ZpCYkQn0LjjvDiXYG8IGl2c","Open Creative")</f>
        <v>Open Creative</v>
      </c>
      <c r="L684" s="4" t="s">
        <v>3498</v>
      </c>
      <c r="M684" s="4" t="s">
        <v>63</v>
      </c>
      <c r="N684" s="4" t="s">
        <v>6185</v>
      </c>
      <c r="O684" s="2" t="s">
        <v>132</v>
      </c>
      <c r="P684" s="2">
        <v>8.95435664E8</v>
      </c>
      <c r="Q684" s="2" t="s">
        <v>68</v>
      </c>
      <c r="R684" s="4" t="s">
        <v>6335</v>
      </c>
    </row>
    <row r="685">
      <c r="A685" s="4" t="s">
        <v>44</v>
      </c>
      <c r="B685" s="4" t="s">
        <v>44</v>
      </c>
      <c r="C685" s="4">
        <v>684.0</v>
      </c>
      <c r="D685" s="13" t="str">
        <f>HYPERLINK("https://www.linkedin.com/ad-library/detail/895416524","Open Ad")</f>
        <v>Open Ad</v>
      </c>
      <c r="E685" s="4" t="s">
        <v>91</v>
      </c>
      <c r="F685" s="4" t="s">
        <v>5289</v>
      </c>
      <c r="G685" s="4" t="s">
        <v>5290</v>
      </c>
      <c r="H685" s="4" t="s">
        <v>55</v>
      </c>
      <c r="I685" s="4" t="s">
        <v>653</v>
      </c>
      <c r="J685" s="4" t="s">
        <v>91</v>
      </c>
      <c r="K685" s="13" t="str">
        <f>HYPERLINK("https://media.licdn.com/dms/image/v2/D4E10AQFrOwvYjtQfDA/image-shrink_1280/B4EZpYviSFHMAM-/0/1762425448329?e=2147483647&amp;v=beta&amp;t=dqwJS88AECt_F4x7hK0zBOSoyDH-gSXT03QqIVAF8aU","Open Creative")</f>
        <v>Open Creative</v>
      </c>
      <c r="L685" s="4" t="s">
        <v>3498</v>
      </c>
      <c r="M685" s="4" t="s">
        <v>63</v>
      </c>
      <c r="N685" s="4" t="s">
        <v>6185</v>
      </c>
      <c r="O685" s="2" t="s">
        <v>132</v>
      </c>
      <c r="P685" s="2">
        <v>8.95416524E8</v>
      </c>
      <c r="Q685" s="2" t="s">
        <v>68</v>
      </c>
      <c r="R685" s="4" t="s">
        <v>6338</v>
      </c>
    </row>
    <row r="686">
      <c r="A686" s="4" t="s">
        <v>44</v>
      </c>
      <c r="B686" s="4" t="s">
        <v>44</v>
      </c>
      <c r="C686" s="4">
        <v>685.0</v>
      </c>
      <c r="D686" s="13" t="str">
        <f>HYPERLINK("https://www.linkedin.com/ad-library/detail/895416514","Open Ad")</f>
        <v>Open Ad</v>
      </c>
      <c r="E686" s="4" t="s">
        <v>91</v>
      </c>
      <c r="F686" s="4" t="s">
        <v>5289</v>
      </c>
      <c r="G686" s="4" t="s">
        <v>5290</v>
      </c>
      <c r="H686" s="4" t="s">
        <v>55</v>
      </c>
      <c r="I686" s="4" t="s">
        <v>653</v>
      </c>
      <c r="J686" s="4" t="s">
        <v>91</v>
      </c>
      <c r="K686" s="13" t="str">
        <f>HYPERLINK("https://media.licdn.com/dms/image/v2/D4E10AQHwekFdykcKIA/image-shrink_1280/B4EZpYvdsdJgAM-/0/1762425429533?e=2147483647&amp;v=beta&amp;t=tmwfheGFeVDF56rYQL_CQkSB8Nto7AplenFlEzGRywU","Open Creative")</f>
        <v>Open Creative</v>
      </c>
      <c r="L686" s="4" t="s">
        <v>3498</v>
      </c>
      <c r="M686" s="4" t="s">
        <v>63</v>
      </c>
      <c r="N686" s="4" t="s">
        <v>6185</v>
      </c>
      <c r="O686" s="2" t="s">
        <v>132</v>
      </c>
      <c r="P686" s="2">
        <v>8.95416514E8</v>
      </c>
      <c r="Q686" s="2" t="s">
        <v>68</v>
      </c>
      <c r="R686" s="4" t="s">
        <v>6341</v>
      </c>
    </row>
    <row r="687">
      <c r="A687" s="4" t="s">
        <v>44</v>
      </c>
      <c r="B687" s="4" t="s">
        <v>44</v>
      </c>
      <c r="C687" s="4">
        <v>686.0</v>
      </c>
      <c r="D687" s="13" t="str">
        <f>HYPERLINK("https://www.linkedin.com/ad-library/detail/895268754","Open Ad")</f>
        <v>Open Ad</v>
      </c>
      <c r="E687" s="4" t="s">
        <v>91</v>
      </c>
      <c r="F687" s="4" t="s">
        <v>5225</v>
      </c>
      <c r="G687" s="4" t="s">
        <v>5226</v>
      </c>
      <c r="H687" s="4" t="s">
        <v>55</v>
      </c>
      <c r="I687" s="4" t="s">
        <v>1377</v>
      </c>
      <c r="J687" s="4" t="s">
        <v>91</v>
      </c>
      <c r="K687" s="13" t="str">
        <f>HYPERLINK("https://media.licdn.com/dms/image/v2/D4E10AQGLKBXQDCcJsA/image-shrink_1280/B4EZpYvdtiIoAM-/0/1762425429933?e=2147483647&amp;v=beta&amp;t=eJSNFG0g8i-r614pYVb4EsrNR1F8EcE2y62As-qe9VU","Open Creative")</f>
        <v>Open Creative</v>
      </c>
      <c r="L687" s="4" t="s">
        <v>3498</v>
      </c>
      <c r="M687" s="4" t="s">
        <v>63</v>
      </c>
      <c r="N687" s="4" t="s">
        <v>6185</v>
      </c>
      <c r="O687" s="2" t="s">
        <v>132</v>
      </c>
      <c r="P687" s="2">
        <v>8.95268754E8</v>
      </c>
      <c r="Q687" s="2" t="s">
        <v>68</v>
      </c>
      <c r="R687" s="4" t="s">
        <v>6342</v>
      </c>
    </row>
    <row r="688">
      <c r="A688" s="4" t="s">
        <v>44</v>
      </c>
      <c r="B688" s="4" t="s">
        <v>44</v>
      </c>
      <c r="C688" s="4">
        <v>687.0</v>
      </c>
      <c r="D688" s="13" t="str">
        <f>HYPERLINK("https://www.linkedin.com/ad-library/detail/895259164","Open Ad")</f>
        <v>Open Ad</v>
      </c>
      <c r="E688" s="4" t="s">
        <v>91</v>
      </c>
      <c r="F688" s="4" t="s">
        <v>5289</v>
      </c>
      <c r="G688" s="4" t="s">
        <v>5290</v>
      </c>
      <c r="H688" s="4" t="s">
        <v>55</v>
      </c>
      <c r="I688" s="4" t="s">
        <v>653</v>
      </c>
      <c r="J688" s="4" t="s">
        <v>91</v>
      </c>
      <c r="K688" s="13" t="str">
        <f>HYPERLINK("https://media.licdn.com/dms/image/v2/D4E10AQGo4Ebr_JC2tQ/image-shrink_1280/B4EZpYvds5IwAM-/0/1762425429872?e=2147483647&amp;v=beta&amp;t=K49Wlh1OZE4P6IAtmHkXRqDFaqn58pxuWB_5_9AS6j0","Open Creative")</f>
        <v>Open Creative</v>
      </c>
      <c r="L688" s="4" t="s">
        <v>3498</v>
      </c>
      <c r="M688" s="4" t="s">
        <v>63</v>
      </c>
      <c r="N688" s="4" t="s">
        <v>6185</v>
      </c>
      <c r="O688" s="2" t="s">
        <v>132</v>
      </c>
      <c r="P688" s="2">
        <v>8.95259164E8</v>
      </c>
      <c r="Q688" s="2" t="s">
        <v>68</v>
      </c>
      <c r="R688" s="4" t="s">
        <v>6346</v>
      </c>
    </row>
    <row r="689">
      <c r="A689" s="4" t="s">
        <v>44</v>
      </c>
      <c r="B689" s="4" t="s">
        <v>44</v>
      </c>
      <c r="C689" s="4">
        <v>688.0</v>
      </c>
      <c r="D689" s="13" t="str">
        <f>HYPERLINK("https://www.linkedin.com/ad-library/detail/895396644","Open Ad")</f>
        <v>Open Ad</v>
      </c>
      <c r="E689" s="4" t="s">
        <v>91</v>
      </c>
      <c r="F689" s="4" t="s">
        <v>5225</v>
      </c>
      <c r="G689" s="4" t="s">
        <v>5226</v>
      </c>
      <c r="H689" s="4" t="s">
        <v>55</v>
      </c>
      <c r="I689" s="4" t="s">
        <v>1377</v>
      </c>
      <c r="J689" s="4" t="s">
        <v>91</v>
      </c>
      <c r="K689" s="13" t="str">
        <f>HYPERLINK("https://media.licdn.com/dms/image/v2/D4E10AQHXwt0NPRwRTQ/image-shrink_1280/B4EZpYvdrPHgAQ-/0/1762425429534?e=2147483647&amp;v=beta&amp;t=ZFxJ3efuzg7L2OgeBfIAYKUNLQTX7fcHYi6Yjkxf_AI","Open Creative")</f>
        <v>Open Creative</v>
      </c>
      <c r="L689" s="4" t="s">
        <v>3498</v>
      </c>
      <c r="M689" s="4" t="s">
        <v>63</v>
      </c>
      <c r="N689" s="4" t="s">
        <v>6185</v>
      </c>
      <c r="O689" s="2" t="s">
        <v>132</v>
      </c>
      <c r="P689" s="2">
        <v>8.95396644E8</v>
      </c>
      <c r="Q689" s="2" t="s">
        <v>68</v>
      </c>
      <c r="R689" s="4" t="s">
        <v>6348</v>
      </c>
    </row>
    <row r="690">
      <c r="A690" s="4" t="s">
        <v>44</v>
      </c>
      <c r="B690" s="4" t="s">
        <v>44</v>
      </c>
      <c r="C690" s="4">
        <v>689.0</v>
      </c>
      <c r="D690" s="13" t="str">
        <f>HYPERLINK("https://www.linkedin.com/ad-library/detail/895396634","Open Ad")</f>
        <v>Open Ad</v>
      </c>
      <c r="E690" s="4" t="s">
        <v>91</v>
      </c>
      <c r="F690" s="4" t="s">
        <v>5289</v>
      </c>
      <c r="G690" s="4" t="s">
        <v>5290</v>
      </c>
      <c r="H690" s="4" t="s">
        <v>55</v>
      </c>
      <c r="I690" s="4" t="s">
        <v>653</v>
      </c>
      <c r="J690" s="4" t="s">
        <v>91</v>
      </c>
      <c r="K690" s="13" t="str">
        <f>HYPERLINK("https://media.licdn.com/dms/image/v2/D4E10AQGp-SPzUCJDFw/image-shrink_1280/B4EZpYvY6.IUAM-/0/1762425409921?e=2147483647&amp;v=beta&amp;t=5S8qcqKoZqN2LvevPr5ut39TOJCRcAVefQt5I-fEkzg","Open Creative")</f>
        <v>Open Creative</v>
      </c>
      <c r="L690" s="4" t="s">
        <v>3498</v>
      </c>
      <c r="M690" s="4" t="s">
        <v>63</v>
      </c>
      <c r="N690" s="4" t="s">
        <v>6185</v>
      </c>
      <c r="O690" s="2" t="s">
        <v>132</v>
      </c>
      <c r="P690" s="2">
        <v>8.95396634E8</v>
      </c>
      <c r="Q690" s="2" t="s">
        <v>68</v>
      </c>
      <c r="R690" s="4" t="s">
        <v>6351</v>
      </c>
    </row>
    <row r="691">
      <c r="A691" s="4" t="s">
        <v>44</v>
      </c>
      <c r="B691" s="4" t="s">
        <v>44</v>
      </c>
      <c r="C691" s="4">
        <v>690.0</v>
      </c>
      <c r="D691" s="13" t="str">
        <f>HYPERLINK("https://www.linkedin.com/ad-library/detail/895396614","Open Ad")</f>
        <v>Open Ad</v>
      </c>
      <c r="E691" s="4" t="s">
        <v>91</v>
      </c>
      <c r="F691" s="4" t="s">
        <v>5225</v>
      </c>
      <c r="G691" s="4" t="s">
        <v>5226</v>
      </c>
      <c r="H691" s="4" t="s">
        <v>55</v>
      </c>
      <c r="I691" s="4" t="s">
        <v>1377</v>
      </c>
      <c r="J691" s="4" t="s">
        <v>91</v>
      </c>
      <c r="K691" s="13" t="str">
        <f>HYPERLINK("https://media.licdn.com/dms/image/v2/D4E10AQGxM-SGWen-Sg/image-shrink_1280/B4EZpYvUnIHgAM-/0/1762425392839?e=2147483647&amp;v=beta&amp;t=rBC7xr5iiudtsvX9PWoc0aNIAwX38axEOPXS_mr9CN8","Open Creative")</f>
        <v>Open Creative</v>
      </c>
      <c r="L691" s="4" t="s">
        <v>3498</v>
      </c>
      <c r="M691" s="4" t="s">
        <v>63</v>
      </c>
      <c r="N691" s="4" t="s">
        <v>6185</v>
      </c>
      <c r="O691" s="2" t="s">
        <v>132</v>
      </c>
      <c r="P691" s="2">
        <v>8.95396614E8</v>
      </c>
      <c r="Q691" s="2" t="s">
        <v>68</v>
      </c>
      <c r="R691" s="4" t="s">
        <v>6353</v>
      </c>
    </row>
    <row r="692">
      <c r="A692" s="4" t="s">
        <v>44</v>
      </c>
      <c r="B692" s="4" t="s">
        <v>44</v>
      </c>
      <c r="C692" s="4">
        <v>691.0</v>
      </c>
      <c r="D692" s="13" t="str">
        <f>HYPERLINK("https://www.linkedin.com/ad-library/detail/895396604","Open Ad")</f>
        <v>Open Ad</v>
      </c>
      <c r="E692" s="4" t="s">
        <v>91</v>
      </c>
      <c r="F692" s="4" t="s">
        <v>5225</v>
      </c>
      <c r="G692" s="4" t="s">
        <v>5226</v>
      </c>
      <c r="H692" s="4" t="s">
        <v>55</v>
      </c>
      <c r="I692" s="4" t="s">
        <v>1377</v>
      </c>
      <c r="J692" s="4" t="s">
        <v>91</v>
      </c>
      <c r="K692" s="13" t="str">
        <f>HYPERLINK("https://media.licdn.com/dms/image/v2/D4E10AQHOnJPCu62BEw/image-shrink_1280/B4EZpYvUquIwAM-/0/1762425392515?e=2147483647&amp;v=beta&amp;t=1nGxn6eCGHEhgx5a-E_V8wD2PYt-ZqXK5fP_dEQcjck","Open Creative")</f>
        <v>Open Creative</v>
      </c>
      <c r="L692" s="4" t="s">
        <v>3498</v>
      </c>
      <c r="M692" s="4" t="s">
        <v>63</v>
      </c>
      <c r="N692" s="4" t="s">
        <v>6185</v>
      </c>
      <c r="O692" s="2" t="s">
        <v>67</v>
      </c>
      <c r="P692" s="2">
        <v>8.95396604E8</v>
      </c>
      <c r="Q692" s="2" t="s">
        <v>68</v>
      </c>
      <c r="R692" s="4" t="s">
        <v>6355</v>
      </c>
    </row>
    <row r="693">
      <c r="A693" s="4" t="s">
        <v>44</v>
      </c>
      <c r="B693" s="4" t="s">
        <v>44</v>
      </c>
      <c r="C693" s="4">
        <v>692.0</v>
      </c>
      <c r="D693" s="13" t="str">
        <f>HYPERLINK("https://www.linkedin.com/ad-library/detail/895278694","Open Ad")</f>
        <v>Open Ad</v>
      </c>
      <c r="E693" s="4" t="s">
        <v>91</v>
      </c>
      <c r="F693" s="4" t="s">
        <v>5225</v>
      </c>
      <c r="G693" s="4" t="s">
        <v>5226</v>
      </c>
      <c r="H693" s="4" t="s">
        <v>55</v>
      </c>
      <c r="I693" s="4" t="s">
        <v>1377</v>
      </c>
      <c r="J693" s="4" t="s">
        <v>91</v>
      </c>
      <c r="K693" s="13" t="str">
        <f>HYPERLINK("https://media.licdn.com/dms/image/v2/D4E10AQG-MgEwZRGBuA/image-shrink_1280/B4EZpYvduSIwAM-/0/1762425429721?e=2147483647&amp;v=beta&amp;t=_acCNJkIrZSgDNCxH7C-HZCo379tBKjMoExFT1pGGgM","Open Creative")</f>
        <v>Open Creative</v>
      </c>
      <c r="L693" s="4" t="s">
        <v>3498</v>
      </c>
      <c r="M693" s="4" t="s">
        <v>63</v>
      </c>
      <c r="N693" s="4" t="s">
        <v>6185</v>
      </c>
      <c r="O693" s="2" t="s">
        <v>132</v>
      </c>
      <c r="P693" s="2">
        <v>8.95278694E8</v>
      </c>
      <c r="Q693" s="2" t="s">
        <v>68</v>
      </c>
      <c r="R693" s="4" t="s">
        <v>6358</v>
      </c>
    </row>
    <row r="694">
      <c r="A694" s="4" t="s">
        <v>44</v>
      </c>
      <c r="B694" s="4" t="s">
        <v>44</v>
      </c>
      <c r="C694" s="4">
        <v>693.0</v>
      </c>
      <c r="D694" s="13" t="str">
        <f>HYPERLINK("https://www.linkedin.com/ad-library/detail/895328234","Open Ad")</f>
        <v>Open Ad</v>
      </c>
      <c r="E694" s="4" t="s">
        <v>91</v>
      </c>
      <c r="F694" s="4" t="s">
        <v>5225</v>
      </c>
      <c r="G694" s="4" t="s">
        <v>5226</v>
      </c>
      <c r="H694" s="4" t="s">
        <v>55</v>
      </c>
      <c r="I694" s="4" t="s">
        <v>1377</v>
      </c>
      <c r="J694" s="4" t="s">
        <v>91</v>
      </c>
      <c r="K694" s="13" t="str">
        <f>HYPERLINK("https://media.licdn.com/dms/image/v2/D4E10AQELtl4D-e_aeA/image-shrink_1280/B4EZpYviQYKgAM-/0/1762425448180?e=2147483647&amp;v=beta&amp;t=nJLD6rHQjgKM2EoScFQzVTMzCRgueYk-EU2LwPVmHfY","Open Creative")</f>
        <v>Open Creative</v>
      </c>
      <c r="L694" s="4" t="s">
        <v>3498</v>
      </c>
      <c r="M694" s="4" t="s">
        <v>63</v>
      </c>
      <c r="N694" s="4" t="s">
        <v>6185</v>
      </c>
      <c r="O694" s="2" t="s">
        <v>132</v>
      </c>
      <c r="P694" s="2">
        <v>8.95328234E8</v>
      </c>
      <c r="Q694" s="2" t="s">
        <v>68</v>
      </c>
      <c r="R694" s="4" t="s">
        <v>6361</v>
      </c>
    </row>
    <row r="695">
      <c r="A695" s="4" t="s">
        <v>44</v>
      </c>
      <c r="B695" s="4" t="s">
        <v>44</v>
      </c>
      <c r="C695" s="4">
        <v>694.0</v>
      </c>
      <c r="D695" s="13" t="str">
        <f>HYPERLINK("https://www.linkedin.com/ad-library/detail/895278674","Open Ad")</f>
        <v>Open Ad</v>
      </c>
      <c r="E695" s="4" t="s">
        <v>91</v>
      </c>
      <c r="F695" s="4" t="s">
        <v>5225</v>
      </c>
      <c r="G695" s="4" t="s">
        <v>5226</v>
      </c>
      <c r="H695" s="4" t="s">
        <v>55</v>
      </c>
      <c r="I695" s="4" t="s">
        <v>1377</v>
      </c>
      <c r="J695" s="4" t="s">
        <v>91</v>
      </c>
      <c r="K695" s="13" t="str">
        <f>HYPERLINK("https://media.licdn.com/dms/image/v2/D4E10AQFINeP7ujQcWg/image-shrink_1280/B4EZpYvZNuIQAQ-/0/1762425411004?e=2147483647&amp;v=beta&amp;t=4JyXRmiLmZJzSQHA-y2COpc7_zh0h6xh9J15JiDl4Ug","Open Creative")</f>
        <v>Open Creative</v>
      </c>
      <c r="L695" s="4" t="s">
        <v>3498</v>
      </c>
      <c r="M695" s="4" t="s">
        <v>63</v>
      </c>
      <c r="N695" s="4" t="s">
        <v>6185</v>
      </c>
      <c r="O695" s="2" t="s">
        <v>132</v>
      </c>
      <c r="P695" s="2">
        <v>8.95278674E8</v>
      </c>
      <c r="Q695" s="2" t="s">
        <v>68</v>
      </c>
      <c r="R695" s="4" t="s">
        <v>6364</v>
      </c>
    </row>
    <row r="696">
      <c r="A696" s="4" t="s">
        <v>44</v>
      </c>
      <c r="B696" s="4" t="s">
        <v>44</v>
      </c>
      <c r="C696" s="4">
        <v>695.0</v>
      </c>
      <c r="D696" s="13" t="str">
        <f>HYPERLINK("https://www.linkedin.com/ad-library/detail/895347254","Open Ad")</f>
        <v>Open Ad</v>
      </c>
      <c r="E696" s="4" t="s">
        <v>91</v>
      </c>
      <c r="F696" s="4" t="s">
        <v>5225</v>
      </c>
      <c r="G696" s="4" t="s">
        <v>5226</v>
      </c>
      <c r="H696" s="4" t="s">
        <v>55</v>
      </c>
      <c r="I696" s="4" t="s">
        <v>1377</v>
      </c>
      <c r="J696" s="4" t="s">
        <v>91</v>
      </c>
      <c r="K696" s="13" t="str">
        <f>HYPERLINK("https://media.licdn.com/dms/image/v2/D4E10AQFZuqppTFqllw/image-shrink_1280/B4EZpYvUofJgAM-/0/1762425392856?e=2147483647&amp;v=beta&amp;t=A0Y-C6e8c1D9XyTlyRL_FlCzJbXhRFc1hLfA_GoGGlM","Open Creative")</f>
        <v>Open Creative</v>
      </c>
      <c r="L696" s="4" t="s">
        <v>3498</v>
      </c>
      <c r="M696" s="4" t="s">
        <v>63</v>
      </c>
      <c r="N696" s="4" t="s">
        <v>6185</v>
      </c>
      <c r="O696" s="2" t="s">
        <v>132</v>
      </c>
      <c r="P696" s="2">
        <v>8.95347254E8</v>
      </c>
      <c r="Q696" s="2" t="s">
        <v>68</v>
      </c>
      <c r="R696" s="4" t="s">
        <v>6366</v>
      </c>
    </row>
    <row r="697">
      <c r="A697" s="4" t="s">
        <v>44</v>
      </c>
      <c r="B697" s="4" t="s">
        <v>44</v>
      </c>
      <c r="C697" s="4">
        <v>696.0</v>
      </c>
      <c r="D697" s="13" t="str">
        <f>HYPERLINK("https://www.linkedin.com/ad-library/detail/895347264","Open Ad")</f>
        <v>Open Ad</v>
      </c>
      <c r="E697" s="4" t="s">
        <v>91</v>
      </c>
      <c r="F697" s="4" t="s">
        <v>5225</v>
      </c>
      <c r="G697" s="4" t="s">
        <v>5226</v>
      </c>
      <c r="H697" s="4" t="s">
        <v>55</v>
      </c>
      <c r="I697" s="4" t="s">
        <v>1377</v>
      </c>
      <c r="J697" s="4" t="s">
        <v>91</v>
      </c>
      <c r="K697" s="13" t="str">
        <f>HYPERLINK("https://media.licdn.com/dms/image/v2/D4E10AQGt3FMCqljk3Q/image-shrink_1280/B4EZpYvZKzKsAQ-/0/1762425411030?e=2147483647&amp;v=beta&amp;t=dcXZwpzsCQM8K7l-yVZUjiMe4uQPsA0OelKR_zHqiL4","Open Creative")</f>
        <v>Open Creative</v>
      </c>
      <c r="L697" s="4" t="s">
        <v>3498</v>
      </c>
      <c r="M697" s="4" t="s">
        <v>63</v>
      </c>
      <c r="N697" s="4" t="s">
        <v>6185</v>
      </c>
      <c r="O697" s="2" t="s">
        <v>132</v>
      </c>
      <c r="P697" s="2">
        <v>8.95347264E8</v>
      </c>
      <c r="Q697" s="2" t="s">
        <v>68</v>
      </c>
      <c r="R697" s="4" t="s">
        <v>6368</v>
      </c>
    </row>
    <row r="698">
      <c r="A698" s="4" t="s">
        <v>44</v>
      </c>
      <c r="B698" s="4" t="s">
        <v>44</v>
      </c>
      <c r="C698" s="4">
        <v>697.0</v>
      </c>
      <c r="D698" s="13" t="str">
        <f>HYPERLINK("https://www.linkedin.com/ad-library/detail/895357354","Open Ad")</f>
        <v>Open Ad</v>
      </c>
      <c r="E698" s="4" t="s">
        <v>91</v>
      </c>
      <c r="F698" s="4" t="s">
        <v>5225</v>
      </c>
      <c r="G698" s="4" t="s">
        <v>5226</v>
      </c>
      <c r="H698" s="4" t="s">
        <v>55</v>
      </c>
      <c r="I698" s="4" t="s">
        <v>1377</v>
      </c>
      <c r="J698" s="4" t="s">
        <v>91</v>
      </c>
      <c r="K698" s="13" t="str">
        <f>HYPERLINK("https://media.licdn.com/dms/image/v2/D4E10AQEuljB_Vp1KQg/image-shrink_1280/B4EZpYvLs6HcAM-/0/1762425355778?e=2147483647&amp;v=beta&amp;t=2UrLQOUBp-owKJzwB2huKcGyFrrSBFRs8Ck8VFVPunc","Open Creative")</f>
        <v>Open Creative</v>
      </c>
      <c r="L698" s="4" t="s">
        <v>3498</v>
      </c>
      <c r="M698" s="4" t="s">
        <v>63</v>
      </c>
      <c r="N698" s="4" t="s">
        <v>6185</v>
      </c>
      <c r="O698" s="2" t="s">
        <v>132</v>
      </c>
      <c r="P698" s="2">
        <v>8.95357354E8</v>
      </c>
      <c r="Q698" s="2" t="s">
        <v>68</v>
      </c>
      <c r="R698" s="4" t="s">
        <v>6371</v>
      </c>
    </row>
    <row r="699">
      <c r="A699" s="4" t="s">
        <v>44</v>
      </c>
      <c r="B699" s="4" t="s">
        <v>44</v>
      </c>
      <c r="C699" s="4">
        <v>698.0</v>
      </c>
      <c r="D699" s="13" t="str">
        <f>HYPERLINK("https://www.linkedin.com/ad-library/detail/895445414","Open Ad")</f>
        <v>Open Ad</v>
      </c>
      <c r="E699" s="4" t="s">
        <v>91</v>
      </c>
      <c r="F699" s="4" t="s">
        <v>5225</v>
      </c>
      <c r="G699" s="4" t="s">
        <v>5226</v>
      </c>
      <c r="H699" s="4" t="s">
        <v>55</v>
      </c>
      <c r="I699" s="4" t="s">
        <v>1377</v>
      </c>
      <c r="J699" s="4" t="s">
        <v>91</v>
      </c>
      <c r="K699" s="13" t="str">
        <f>HYPERLINK("https://media.licdn.com/dms/image/v2/D4E10AQGTToeOzgI-bg/image-shrink_1280/B4EZpYvP3cGUAQ-/0/1762425372740?e=2147483647&amp;v=beta&amp;t=Nd4xObfZJALF8p2W8JeXoRHhBoPXRksJdu0-X6-Ra1c","Open Creative")</f>
        <v>Open Creative</v>
      </c>
      <c r="L699" s="4" t="s">
        <v>3498</v>
      </c>
      <c r="M699" s="4" t="s">
        <v>63</v>
      </c>
      <c r="N699" s="4" t="s">
        <v>6185</v>
      </c>
      <c r="O699" s="2" t="s">
        <v>132</v>
      </c>
      <c r="P699" s="2">
        <v>8.95445414E8</v>
      </c>
      <c r="Q699" s="2" t="s">
        <v>68</v>
      </c>
      <c r="R699" s="4" t="s">
        <v>6374</v>
      </c>
    </row>
    <row r="700">
      <c r="A700" s="4" t="s">
        <v>44</v>
      </c>
      <c r="B700" s="4" t="s">
        <v>44</v>
      </c>
      <c r="C700" s="4">
        <v>699.0</v>
      </c>
      <c r="D700" s="13" t="str">
        <f>HYPERLINK("https://www.linkedin.com/ad-library/detail/895308114","Open Ad")</f>
        <v>Open Ad</v>
      </c>
      <c r="E700" s="4" t="s">
        <v>91</v>
      </c>
      <c r="F700" s="4" t="s">
        <v>5225</v>
      </c>
      <c r="G700" s="4" t="s">
        <v>5226</v>
      </c>
      <c r="H700" s="4" t="s">
        <v>55</v>
      </c>
      <c r="I700" s="4" t="s">
        <v>1377</v>
      </c>
      <c r="J700" s="4" t="s">
        <v>91</v>
      </c>
      <c r="K700" s="13" t="str">
        <f>HYPERLINK("https://media.licdn.com/dms/image/v2/D4E10AQFiig7OR4ozaA/image-shrink_1280/B4EZpYvLqzKoAQ-/0/1762425355710?e=2147483647&amp;v=beta&amp;t=cTFJR3dY434lYDVE0WXumaYOdQi409CDje5ksC39MXE","Open Creative")</f>
        <v>Open Creative</v>
      </c>
      <c r="L700" s="4" t="s">
        <v>3498</v>
      </c>
      <c r="M700" s="4" t="s">
        <v>63</v>
      </c>
      <c r="N700" s="4" t="s">
        <v>6185</v>
      </c>
      <c r="O700" s="2" t="s">
        <v>132</v>
      </c>
      <c r="P700" s="2">
        <v>8.95308114E8</v>
      </c>
      <c r="Q700" s="2" t="s">
        <v>68</v>
      </c>
      <c r="R700" s="4" t="s">
        <v>6375</v>
      </c>
    </row>
    <row r="701">
      <c r="A701" s="4" t="s">
        <v>44</v>
      </c>
      <c r="B701" s="4" t="s">
        <v>44</v>
      </c>
      <c r="C701" s="4">
        <v>700.0</v>
      </c>
      <c r="D701" s="13" t="str">
        <f>HYPERLINK("https://www.linkedin.com/ad-library/detail/895416474","Open Ad")</f>
        <v>Open Ad</v>
      </c>
      <c r="E701" s="4" t="s">
        <v>91</v>
      </c>
      <c r="F701" s="4" t="s">
        <v>5225</v>
      </c>
      <c r="G701" s="4" t="s">
        <v>5226</v>
      </c>
      <c r="H701" s="4" t="s">
        <v>55</v>
      </c>
      <c r="I701" s="4" t="s">
        <v>1377</v>
      </c>
      <c r="J701" s="4" t="s">
        <v>91</v>
      </c>
      <c r="K701" s="13" t="str">
        <f>HYPERLINK("https://media.licdn.com/dms/image/v2/D4E10AQERcl4iVZrnkA/image-shrink_1280/B4EZpYvQFbHcAM-/0/1762425374293?e=2147483647&amp;v=beta&amp;t=BiobchVpu2uqzIyKTZoK3q53vTXK344ieMPxba4ssDo","Open Creative")</f>
        <v>Open Creative</v>
      </c>
      <c r="L701" s="4" t="s">
        <v>3498</v>
      </c>
      <c r="M701" s="4" t="s">
        <v>63</v>
      </c>
      <c r="N701" s="4" t="s">
        <v>6185</v>
      </c>
      <c r="O701" s="2" t="s">
        <v>132</v>
      </c>
      <c r="P701" s="2">
        <v>8.95416474E8</v>
      </c>
      <c r="Q701" s="2" t="s">
        <v>68</v>
      </c>
      <c r="R701" s="4" t="s">
        <v>6378</v>
      </c>
    </row>
    <row r="702">
      <c r="A702" s="4" t="s">
        <v>44</v>
      </c>
      <c r="B702" s="4" t="s">
        <v>44</v>
      </c>
      <c r="C702" s="4">
        <v>701.0</v>
      </c>
      <c r="D702" s="13" t="str">
        <f>HYPERLINK("https://www.linkedin.com/ad-library/detail/895337674","Open Ad")</f>
        <v>Open Ad</v>
      </c>
      <c r="E702" s="4" t="s">
        <v>91</v>
      </c>
      <c r="F702" s="4" t="s">
        <v>5225</v>
      </c>
      <c r="G702" s="4" t="s">
        <v>5226</v>
      </c>
      <c r="H702" s="4" t="s">
        <v>55</v>
      </c>
      <c r="I702" s="4" t="s">
        <v>1377</v>
      </c>
      <c r="J702" s="4" t="s">
        <v>91</v>
      </c>
      <c r="K702" s="13" t="str">
        <f>HYPERLINK("https://media.licdn.com/dms/image/v2/D4E10AQGQEMIqEERxXw/image-shrink_1280/B4EZpYvQFBKMAM-/0/1762425373798?e=2147483647&amp;v=beta&amp;t=KNcPCvGlNrMg8PASKJ3QkOLPICoUelJHDsws3gPBt0M","Open Creative")</f>
        <v>Open Creative</v>
      </c>
      <c r="L702" s="4" t="s">
        <v>3498</v>
      </c>
      <c r="M702" s="4" t="s">
        <v>63</v>
      </c>
      <c r="N702" s="4" t="s">
        <v>6185</v>
      </c>
      <c r="O702" s="2" t="s">
        <v>132</v>
      </c>
      <c r="P702" s="2">
        <v>8.95337674E8</v>
      </c>
      <c r="Q702" s="2" t="s">
        <v>68</v>
      </c>
      <c r="R702" s="4" t="s">
        <v>6381</v>
      </c>
    </row>
    <row r="703">
      <c r="A703" s="4" t="s">
        <v>44</v>
      </c>
      <c r="B703" s="4" t="s">
        <v>44</v>
      </c>
      <c r="C703" s="4">
        <v>702.0</v>
      </c>
      <c r="D703" s="13" t="str">
        <f>HYPERLINK("https://www.linkedin.com/ad-library/detail/268476174","Open Ad")</f>
        <v>Open Ad</v>
      </c>
      <c r="E703" s="4" t="s">
        <v>91</v>
      </c>
      <c r="F703" s="4" t="s">
        <v>5289</v>
      </c>
      <c r="G703" s="4" t="s">
        <v>5290</v>
      </c>
      <c r="H703" s="4" t="s">
        <v>55</v>
      </c>
      <c r="I703" s="4" t="s">
        <v>653</v>
      </c>
      <c r="J703" s="4" t="s">
        <v>91</v>
      </c>
      <c r="K703" s="13" t="str">
        <f>HYPERLINK("https://media.licdn.com/dms/image/v2/D4E10AQHwtzovC5n17Q/image-shrink_1280/B4EZpYvQDEGUAM-/0/1762425373598?e=2147483647&amp;v=beta&amp;t=sx-zKMXT6o3ulmgMFYR83y54jl8uWmmc6WVHneEU1UE","Open Creative")</f>
        <v>Open Creative</v>
      </c>
      <c r="L703" s="4" t="s">
        <v>3498</v>
      </c>
      <c r="M703" s="4" t="s">
        <v>63</v>
      </c>
      <c r="N703" s="4" t="s">
        <v>6185</v>
      </c>
      <c r="O703" s="2" t="s">
        <v>132</v>
      </c>
      <c r="P703" s="2">
        <v>2.68476174E8</v>
      </c>
      <c r="Q703" s="2" t="s">
        <v>68</v>
      </c>
      <c r="R703" s="4" t="s">
        <v>6382</v>
      </c>
    </row>
    <row r="704">
      <c r="A704" s="4" t="s">
        <v>44</v>
      </c>
      <c r="B704" s="4" t="s">
        <v>44</v>
      </c>
      <c r="C704" s="4">
        <v>703.0</v>
      </c>
      <c r="D704" s="13" t="str">
        <f>HYPERLINK("https://www.linkedin.com/ad-library/detail/895435644","Open Ad")</f>
        <v>Open Ad</v>
      </c>
      <c r="E704" s="4" t="s">
        <v>91</v>
      </c>
      <c r="F704" s="4" t="s">
        <v>5289</v>
      </c>
      <c r="G704" s="4" t="s">
        <v>5290</v>
      </c>
      <c r="H704" s="4" t="s">
        <v>55</v>
      </c>
      <c r="I704" s="4" t="s">
        <v>653</v>
      </c>
      <c r="J704" s="4" t="s">
        <v>91</v>
      </c>
      <c r="K704" s="13" t="str">
        <f>HYPERLINK("https://media.licdn.com/dms/image/v2/D4E10AQH633PN-rOCLQ/image-shrink_1280/B4EZpYvLemHgAQ-/0/1762425355288?e=2147483647&amp;v=beta&amp;t=kzoClyMWAJDwyHwomnQMUGtKX1HqVwPr6A7NhWEBM6Q","Open Creative")</f>
        <v>Open Creative</v>
      </c>
      <c r="L704" s="4" t="s">
        <v>3498</v>
      </c>
      <c r="M704" s="4" t="s">
        <v>63</v>
      </c>
      <c r="N704" s="4" t="s">
        <v>6185</v>
      </c>
      <c r="O704" s="2" t="s">
        <v>132</v>
      </c>
      <c r="P704" s="2">
        <v>8.95435644E8</v>
      </c>
      <c r="Q704" s="2" t="s">
        <v>68</v>
      </c>
      <c r="R704" s="4" t="s">
        <v>6385</v>
      </c>
    </row>
    <row r="705">
      <c r="A705" s="4" t="s">
        <v>44</v>
      </c>
      <c r="B705" s="4" t="s">
        <v>44</v>
      </c>
      <c r="C705" s="4">
        <v>704.0</v>
      </c>
      <c r="D705" s="13" t="str">
        <f>HYPERLINK("https://www.linkedin.com/ad-library/detail/895396594","Open Ad")</f>
        <v>Open Ad</v>
      </c>
      <c r="E705" s="4" t="s">
        <v>91</v>
      </c>
      <c r="F705" s="4" t="s">
        <v>5289</v>
      </c>
      <c r="G705" s="4" t="s">
        <v>5290</v>
      </c>
      <c r="H705" s="4" t="s">
        <v>55</v>
      </c>
      <c r="I705" s="4" t="s">
        <v>653</v>
      </c>
      <c r="J705" s="4" t="s">
        <v>91</v>
      </c>
      <c r="K705" s="13" t="str">
        <f>HYPERLINK("https://media.licdn.com/dms/image/v2/D4E10AQF34k0kTb1iJw/image-shrink_1280/B4EZpYvLZ_IoAM-/0/1762425354604?e=2147483647&amp;v=beta&amp;t=GyE-Ww3IJbj4nT8uUb6JnCbk69J-0yG7ZB9zoQLAW-s","Open Creative")</f>
        <v>Open Creative</v>
      </c>
      <c r="L705" s="4" t="s">
        <v>3498</v>
      </c>
      <c r="M705" s="4" t="s">
        <v>63</v>
      </c>
      <c r="N705" s="4" t="s">
        <v>6185</v>
      </c>
      <c r="O705" s="2" t="s">
        <v>132</v>
      </c>
      <c r="P705" s="2">
        <v>8.95396594E8</v>
      </c>
      <c r="Q705" s="2" t="s">
        <v>68</v>
      </c>
      <c r="R705" s="4" t="s">
        <v>6388</v>
      </c>
    </row>
    <row r="706">
      <c r="A706" s="4" t="s">
        <v>44</v>
      </c>
      <c r="B706" s="4" t="s">
        <v>44</v>
      </c>
      <c r="C706" s="4">
        <v>705.0</v>
      </c>
      <c r="D706" s="13" t="str">
        <f>HYPERLINK("https://www.linkedin.com/ad-library/detail/895426094","Open Ad")</f>
        <v>Open Ad</v>
      </c>
      <c r="E706" s="4" t="s">
        <v>91</v>
      </c>
      <c r="F706" s="4" t="s">
        <v>5225</v>
      </c>
      <c r="G706" s="4" t="s">
        <v>5226</v>
      </c>
      <c r="H706" s="4" t="s">
        <v>55</v>
      </c>
      <c r="I706" s="4" t="s">
        <v>1377</v>
      </c>
      <c r="J706" s="4" t="s">
        <v>91</v>
      </c>
      <c r="K706" s="13" t="str">
        <f>HYPERLINK("https://media.licdn.com/dms/image/v2/D4E10AQF42So7iwhnaQ/image-shrink_1280/B4EZpYvUozHMAQ-/0/1762425392384?e=2147483647&amp;v=beta&amp;t=wEGxWbv7abK2CRhyMqoq0Jl-DYkhPyJWOOgkFvbmqr4","Open Creative")</f>
        <v>Open Creative</v>
      </c>
      <c r="L706" s="4" t="s">
        <v>3498</v>
      </c>
      <c r="M706" s="4" t="s">
        <v>63</v>
      </c>
      <c r="N706" s="4" t="s">
        <v>6185</v>
      </c>
      <c r="O706" s="2" t="s">
        <v>132</v>
      </c>
      <c r="P706" s="2">
        <v>8.95426094E8</v>
      </c>
      <c r="Q706" s="2" t="s">
        <v>68</v>
      </c>
      <c r="R706" s="4" t="s">
        <v>6389</v>
      </c>
    </row>
    <row r="707">
      <c r="A707" s="4" t="s">
        <v>44</v>
      </c>
      <c r="B707" s="4" t="s">
        <v>44</v>
      </c>
      <c r="C707" s="4">
        <v>706.0</v>
      </c>
      <c r="D707" s="13" t="str">
        <f>HYPERLINK("https://www.linkedin.com/ad-library/detail/895435634","Open Ad")</f>
        <v>Open Ad</v>
      </c>
      <c r="E707" s="4" t="s">
        <v>91</v>
      </c>
      <c r="F707" s="4" t="s">
        <v>5225</v>
      </c>
      <c r="G707" s="4" t="s">
        <v>5226</v>
      </c>
      <c r="H707" s="4" t="s">
        <v>55</v>
      </c>
      <c r="I707" s="4" t="s">
        <v>1377</v>
      </c>
      <c r="J707" s="4" t="s">
        <v>91</v>
      </c>
      <c r="K707" s="13" t="str">
        <f>HYPERLINK("https://media.licdn.com/dms/image/v2/D4E10AQGeqptPoki1Qw/image-shrink_1280/B4EZpYvLm9HgAU-/0/1762425355430?e=2147483647&amp;v=beta&amp;t=ibWzmGxQRDwYnhj2jjMbHEIlyLxt7kVgUqL13rthWMk","Open Creative")</f>
        <v>Open Creative</v>
      </c>
      <c r="L707" s="4" t="s">
        <v>3498</v>
      </c>
      <c r="M707" s="4" t="s">
        <v>63</v>
      </c>
      <c r="N707" s="4" t="s">
        <v>6185</v>
      </c>
      <c r="O707" s="2" t="s">
        <v>132</v>
      </c>
      <c r="P707" s="2">
        <v>8.95435634E8</v>
      </c>
      <c r="Q707" s="2" t="s">
        <v>68</v>
      </c>
      <c r="R707" s="4" t="s">
        <v>6393</v>
      </c>
    </row>
    <row r="708">
      <c r="A708" s="4" t="s">
        <v>44</v>
      </c>
      <c r="B708" s="4" t="s">
        <v>44</v>
      </c>
      <c r="C708" s="4">
        <v>707.0</v>
      </c>
      <c r="D708" s="13" t="str">
        <f>HYPERLINK("https://www.linkedin.com/ad-library/detail/895426084","Open Ad")</f>
        <v>Open Ad</v>
      </c>
      <c r="E708" s="4" t="s">
        <v>91</v>
      </c>
      <c r="F708" s="4" t="s">
        <v>5225</v>
      </c>
      <c r="G708" s="4" t="s">
        <v>5226</v>
      </c>
      <c r="H708" s="4" t="s">
        <v>55</v>
      </c>
      <c r="I708" s="4" t="s">
        <v>1377</v>
      </c>
      <c r="J708" s="4" t="s">
        <v>91</v>
      </c>
      <c r="K708" s="13" t="str">
        <f>HYPERLINK("https://media.licdn.com/dms/image/v2/D4E10AQG2EkJtjX-OLw/image-shrink_1280/B4EZpYvUmvIIAQ-/0/1762425392234?e=2147483647&amp;v=beta&amp;t=qgn5n8soHhbqjeWpBp1j11uY7KE6-Nnuwqrv11jWDCk","Open Creative")</f>
        <v>Open Creative</v>
      </c>
      <c r="L708" s="4" t="s">
        <v>3498</v>
      </c>
      <c r="M708" s="4" t="s">
        <v>63</v>
      </c>
      <c r="N708" s="4" t="s">
        <v>6185</v>
      </c>
      <c r="O708" s="2" t="s">
        <v>132</v>
      </c>
      <c r="P708" s="2">
        <v>8.95426084E8</v>
      </c>
      <c r="Q708" s="2" t="s">
        <v>68</v>
      </c>
      <c r="R708" s="4" t="s">
        <v>6395</v>
      </c>
    </row>
    <row r="709">
      <c r="A709" s="4" t="s">
        <v>44</v>
      </c>
      <c r="B709" s="4" t="s">
        <v>44</v>
      </c>
      <c r="C709" s="4">
        <v>708.0</v>
      </c>
      <c r="D709" s="13" t="str">
        <f>HYPERLINK("https://www.linkedin.com/ad-library/detail/895268734","Open Ad")</f>
        <v>Open Ad</v>
      </c>
      <c r="E709" s="4" t="s">
        <v>91</v>
      </c>
      <c r="F709" s="4" t="s">
        <v>5289</v>
      </c>
      <c r="G709" s="4" t="s">
        <v>5290</v>
      </c>
      <c r="H709" s="4" t="s">
        <v>55</v>
      </c>
      <c r="I709" s="4" t="s">
        <v>653</v>
      </c>
      <c r="J709" s="4" t="s">
        <v>91</v>
      </c>
      <c r="K709" s="13" t="str">
        <f>HYPERLINK("https://media.licdn.com/dms/image/v2/D4E10AQHI5m2O3_uiYg/image-shrink_1280/B4EZpYvQGdKoAY-/0/1762425374214?e=2147483647&amp;v=beta&amp;t=DD-FlLBXPjvETxfTYkBgm6odz_6kfMcNaoPgfFYmFiU","Open Creative")</f>
        <v>Open Creative</v>
      </c>
      <c r="L709" s="4" t="s">
        <v>3498</v>
      </c>
      <c r="M709" s="4" t="s">
        <v>63</v>
      </c>
      <c r="N709" s="4" t="s">
        <v>6185</v>
      </c>
      <c r="O709" s="2" t="s">
        <v>132</v>
      </c>
      <c r="P709" s="2">
        <v>8.95268734E8</v>
      </c>
      <c r="Q709" s="2" t="s">
        <v>68</v>
      </c>
      <c r="R709" s="4" t="s">
        <v>6398</v>
      </c>
    </row>
    <row r="710">
      <c r="A710" s="4" t="s">
        <v>44</v>
      </c>
      <c r="B710" s="4" t="s">
        <v>44</v>
      </c>
      <c r="C710" s="4">
        <v>709.0</v>
      </c>
      <c r="D710" s="13" t="str">
        <f>HYPERLINK("https://www.linkedin.com/ad-library/detail/895318184","Open Ad")</f>
        <v>Open Ad</v>
      </c>
      <c r="E710" s="4" t="s">
        <v>91</v>
      </c>
      <c r="F710" s="4" t="s">
        <v>5225</v>
      </c>
      <c r="G710" s="4" t="s">
        <v>5226</v>
      </c>
      <c r="H710" s="4" t="s">
        <v>55</v>
      </c>
      <c r="I710" s="4" t="s">
        <v>1377</v>
      </c>
      <c r="J710" s="4" t="s">
        <v>91</v>
      </c>
      <c r="K710" s="13" t="str">
        <f>HYPERLINK("https://media.licdn.com/dms/image/v2/D4E10AQHbsaDA5Dfa6g/image-shrink_1280/B4EZpYvQEsHUAM-/0/1762425373503?e=2147483647&amp;v=beta&amp;t=pffMEt9muuyLsWgMu_FWs-xfGh3HbJLbwl42MMrUe94","Open Creative")</f>
        <v>Open Creative</v>
      </c>
      <c r="L710" s="4" t="s">
        <v>3498</v>
      </c>
      <c r="M710" s="4" t="s">
        <v>63</v>
      </c>
      <c r="N710" s="4" t="s">
        <v>6185</v>
      </c>
      <c r="O710" s="2" t="s">
        <v>132</v>
      </c>
      <c r="P710" s="2">
        <v>8.95318184E8</v>
      </c>
      <c r="Q710" s="2" t="s">
        <v>68</v>
      </c>
      <c r="R710" s="4" t="s">
        <v>6399</v>
      </c>
    </row>
    <row r="711">
      <c r="A711" s="4" t="s">
        <v>44</v>
      </c>
      <c r="B711" s="4" t="s">
        <v>44</v>
      </c>
      <c r="C711" s="4">
        <v>710.0</v>
      </c>
      <c r="D711" s="13" t="str">
        <f>HYPERLINK("https://www.linkedin.com/ad-library/detail/895426054","Open Ad")</f>
        <v>Open Ad</v>
      </c>
      <c r="E711" s="4" t="s">
        <v>91</v>
      </c>
      <c r="F711" s="4" t="s">
        <v>5289</v>
      </c>
      <c r="G711" s="4" t="s">
        <v>5290</v>
      </c>
      <c r="H711" s="4" t="s">
        <v>55</v>
      </c>
      <c r="I711" s="4" t="s">
        <v>653</v>
      </c>
      <c r="J711" s="4" t="s">
        <v>91</v>
      </c>
      <c r="K711" s="13" t="str">
        <f>HYPERLINK("https://media.licdn.com/dms/image/v2/D4E10AQE7sU-xB02Bzw/image-shrink_1280/B4EZpYvQJDGoAU-/0/1762425374089?e=2147483647&amp;v=beta&amp;t=nwhWfrp3EWEmc9oN_AUyr2JvHDWSE4IQpY6osi6CdQ8","Open Creative")</f>
        <v>Open Creative</v>
      </c>
      <c r="L711" s="4" t="s">
        <v>3498</v>
      </c>
      <c r="M711" s="4" t="s">
        <v>63</v>
      </c>
      <c r="N711" s="4" t="s">
        <v>6185</v>
      </c>
      <c r="O711" s="2" t="s">
        <v>132</v>
      </c>
      <c r="P711" s="2">
        <v>8.95426054E8</v>
      </c>
      <c r="Q711" s="2" t="s">
        <v>68</v>
      </c>
      <c r="R711" s="4" t="s">
        <v>6402</v>
      </c>
    </row>
    <row r="712">
      <c r="A712" s="4" t="s">
        <v>44</v>
      </c>
      <c r="B712" s="4" t="s">
        <v>44</v>
      </c>
      <c r="C712" s="4">
        <v>711.0</v>
      </c>
      <c r="D712" s="13" t="str">
        <f>HYPERLINK("https://www.linkedin.com/ad-library/detail/895347204","Open Ad")</f>
        <v>Open Ad</v>
      </c>
      <c r="E712" s="4" t="s">
        <v>91</v>
      </c>
      <c r="F712" s="4" t="s">
        <v>5289</v>
      </c>
      <c r="G712" s="4" t="s">
        <v>5290</v>
      </c>
      <c r="H712" s="4" t="s">
        <v>55</v>
      </c>
      <c r="I712" s="4" t="s">
        <v>653</v>
      </c>
      <c r="J712" s="4" t="s">
        <v>91</v>
      </c>
      <c r="K712" s="13" t="str">
        <f>HYPERLINK("https://media.licdn.com/dms/image/v2/D4E10AQE63fQUAoVS4Q/image-shrink_1280/B4EZpYvLrrIoAM-/0/1762425355531?e=2147483647&amp;v=beta&amp;t=Z6ZPAThjqGALTQVrwB0IaMchz5cqMh_GNFCB_Bp-kb4","Open Creative")</f>
        <v>Open Creative</v>
      </c>
      <c r="L712" s="4" t="s">
        <v>3498</v>
      </c>
      <c r="M712" s="4" t="s">
        <v>63</v>
      </c>
      <c r="N712" s="4" t="s">
        <v>6185</v>
      </c>
      <c r="O712" s="2" t="s">
        <v>132</v>
      </c>
      <c r="P712" s="2">
        <v>8.95347204E8</v>
      </c>
      <c r="Q712" s="2" t="s">
        <v>68</v>
      </c>
      <c r="R712" s="4" t="s">
        <v>6405</v>
      </c>
    </row>
    <row r="713">
      <c r="A713" s="4" t="s">
        <v>44</v>
      </c>
      <c r="B713" s="4" t="s">
        <v>44</v>
      </c>
      <c r="C713" s="4">
        <v>712.0</v>
      </c>
      <c r="D713" s="13" t="str">
        <f>HYPERLINK("https://www.linkedin.com/ad-library/detail/895288114","Open Ad")</f>
        <v>Open Ad</v>
      </c>
      <c r="E713" s="4" t="s">
        <v>91</v>
      </c>
      <c r="F713" s="4" t="s">
        <v>5225</v>
      </c>
      <c r="G713" s="4" t="s">
        <v>5226</v>
      </c>
      <c r="H713" s="4" t="s">
        <v>55</v>
      </c>
      <c r="I713" s="4" t="s">
        <v>1377</v>
      </c>
      <c r="J713" s="4" t="s">
        <v>91</v>
      </c>
      <c r="K713" s="13" t="str">
        <f>HYPERLINK("https://media.licdn.com/dms/image/v2/D4E10AQGX1dStfUaCBA/image-shrink_1280/B4EZpYvLovGUAM-/0/1762425355478?e=2147483647&amp;v=beta&amp;t=bp02cmI_JwQ-gpfcyVjgXCIarnai7mwX2oFTcAPlb4Y","Open Creative")</f>
        <v>Open Creative</v>
      </c>
      <c r="L713" s="4" t="s">
        <v>3498</v>
      </c>
      <c r="M713" s="4" t="s">
        <v>63</v>
      </c>
      <c r="N713" s="4" t="s">
        <v>6185</v>
      </c>
      <c r="O713" s="2" t="s">
        <v>132</v>
      </c>
      <c r="P713" s="2">
        <v>8.95288114E8</v>
      </c>
      <c r="Q713" s="2" t="s">
        <v>68</v>
      </c>
      <c r="R713" s="4" t="s">
        <v>6407</v>
      </c>
    </row>
    <row r="714">
      <c r="A714" s="4" t="s">
        <v>44</v>
      </c>
      <c r="B714" s="4" t="s">
        <v>44</v>
      </c>
      <c r="C714" s="4">
        <v>713.0</v>
      </c>
      <c r="D714" s="13" t="str">
        <f>HYPERLINK("https://www.linkedin.com/ad-library/detail/895406554","Open Ad")</f>
        <v>Open Ad</v>
      </c>
      <c r="E714" s="4" t="s">
        <v>91</v>
      </c>
      <c r="F714" s="4" t="s">
        <v>5225</v>
      </c>
      <c r="G714" s="4" t="s">
        <v>5226</v>
      </c>
      <c r="H714" s="4" t="s">
        <v>55</v>
      </c>
      <c r="I714" s="4" t="s">
        <v>1377</v>
      </c>
      <c r="J714" s="4" t="s">
        <v>91</v>
      </c>
      <c r="K714" s="13" t="str">
        <f>HYPERLINK("https://media.licdn.com/dms/image/v2/D4E10AQFUzAxf0mV0VQ/image-shrink_1280/B4EZpYvHCnKYAM-/0/1762425337173?e=2147483647&amp;v=beta&amp;t=KRptCgZAkLR7v40k0gi_iQ3UJkKY5a1twP8MQpiE6f0","Open Creative")</f>
        <v>Open Creative</v>
      </c>
      <c r="L714" s="4" t="s">
        <v>3498</v>
      </c>
      <c r="M714" s="4" t="s">
        <v>63</v>
      </c>
      <c r="N714" s="4" t="s">
        <v>6185</v>
      </c>
      <c r="O714" s="2" t="s">
        <v>132</v>
      </c>
      <c r="P714" s="2">
        <v>8.95406554E8</v>
      </c>
      <c r="Q714" s="2" t="s">
        <v>68</v>
      </c>
      <c r="R714" s="4" t="s">
        <v>6409</v>
      </c>
    </row>
    <row r="715">
      <c r="A715" s="4" t="s">
        <v>44</v>
      </c>
      <c r="B715" s="4" t="s">
        <v>44</v>
      </c>
      <c r="C715" s="4">
        <v>714.0</v>
      </c>
      <c r="D715" s="13" t="str">
        <f>HYPERLINK("https://www.linkedin.com/ad-library/detail/895426014","Open Ad")</f>
        <v>Open Ad</v>
      </c>
      <c r="E715" s="4" t="s">
        <v>91</v>
      </c>
      <c r="F715" s="4" t="s">
        <v>5225</v>
      </c>
      <c r="G715" s="4" t="s">
        <v>5226</v>
      </c>
      <c r="H715" s="4" t="s">
        <v>55</v>
      </c>
      <c r="I715" s="4" t="s">
        <v>1377</v>
      </c>
      <c r="J715" s="4" t="s">
        <v>91</v>
      </c>
      <c r="K715" s="13" t="str">
        <f>HYPERLINK("https://media.licdn.com/dms/image/v2/D4E10AQETZMHbQ99utw/image-shrink_1280/B4EZpYvG98GYAM-/0/1762425336959?e=2147483647&amp;v=beta&amp;t=v3SybVtQDBvkUb9Q5F01NXLQ81uZ0VwHtgYK2Ql6PKw","Open Creative")</f>
        <v>Open Creative</v>
      </c>
      <c r="L715" s="4" t="s">
        <v>3498</v>
      </c>
      <c r="M715" s="4" t="s">
        <v>63</v>
      </c>
      <c r="N715" s="4" t="s">
        <v>6185</v>
      </c>
      <c r="O715" s="2" t="s">
        <v>132</v>
      </c>
      <c r="P715" s="2">
        <v>8.95426014E8</v>
      </c>
      <c r="Q715" s="2" t="s">
        <v>68</v>
      </c>
      <c r="R715" s="4" t="s">
        <v>6412</v>
      </c>
    </row>
    <row r="716">
      <c r="A716" s="4" t="s">
        <v>44</v>
      </c>
      <c r="B716" s="4" t="s">
        <v>44</v>
      </c>
      <c r="C716" s="4">
        <v>715.0</v>
      </c>
      <c r="D716" s="13" t="str">
        <f>HYPERLINK("https://www.linkedin.com/ad-library/detail/895259084","Open Ad")</f>
        <v>Open Ad</v>
      </c>
      <c r="E716" s="4" t="s">
        <v>91</v>
      </c>
      <c r="F716" s="4" t="s">
        <v>5225</v>
      </c>
      <c r="G716" s="4" t="s">
        <v>5226</v>
      </c>
      <c r="H716" s="4" t="s">
        <v>55</v>
      </c>
      <c r="I716" s="4" t="s">
        <v>1377</v>
      </c>
      <c r="J716" s="4" t="s">
        <v>91</v>
      </c>
      <c r="K716" s="13" t="str">
        <f>HYPERLINK("https://media.licdn.com/dms/image/v2/D4E10AQFwzfAkKtfHHQ/image-shrink_1280/B4EZpYvLi.KsAM-/0/1762425355576?e=2147483647&amp;v=beta&amp;t=0TahecEKboAKx4pNjGdR_bZ0QUft1hnw_5I223I76p8","Open Creative")</f>
        <v>Open Creative</v>
      </c>
      <c r="L716" s="4" t="s">
        <v>3498</v>
      </c>
      <c r="M716" s="4" t="s">
        <v>63</v>
      </c>
      <c r="N716" s="4" t="s">
        <v>6185</v>
      </c>
      <c r="O716" s="2" t="s">
        <v>132</v>
      </c>
      <c r="P716" s="2">
        <v>8.95259084E8</v>
      </c>
      <c r="Q716" s="2" t="s">
        <v>68</v>
      </c>
      <c r="R716" s="4" t="s">
        <v>6414</v>
      </c>
    </row>
    <row r="717">
      <c r="A717" s="4" t="s">
        <v>44</v>
      </c>
      <c r="B717" s="4" t="s">
        <v>44</v>
      </c>
      <c r="C717" s="4">
        <v>716.0</v>
      </c>
      <c r="D717" s="13" t="str">
        <f>HYPERLINK("https://www.linkedin.com/ad-library/detail/268376664","Open Ad")</f>
        <v>Open Ad</v>
      </c>
      <c r="E717" s="4" t="s">
        <v>91</v>
      </c>
      <c r="F717" s="4" t="s">
        <v>5225</v>
      </c>
      <c r="G717" s="4" t="s">
        <v>5226</v>
      </c>
      <c r="H717" s="4" t="s">
        <v>55</v>
      </c>
      <c r="I717" s="4" t="s">
        <v>1377</v>
      </c>
      <c r="J717" s="4" t="s">
        <v>91</v>
      </c>
      <c r="K717" s="13" t="str">
        <f>HYPERLINK("https://media.licdn.com/dms/image/v2/D4E10AQFEOB_JaMZ5jw/image-shrink_1280/B4EZpYvHBgGYAM-/0/1762425337001?e=2147483647&amp;v=beta&amp;t=Q3ZCeSCppjk3x_P_foiTJsh7CthFn6KWXR9vkQA5y0E","Open Creative")</f>
        <v>Open Creative</v>
      </c>
      <c r="L717" s="4" t="s">
        <v>3498</v>
      </c>
      <c r="M717" s="4" t="s">
        <v>63</v>
      </c>
      <c r="N717" s="4" t="s">
        <v>6185</v>
      </c>
      <c r="O717" s="2" t="s">
        <v>132</v>
      </c>
      <c r="P717" s="2">
        <v>2.68376664E8</v>
      </c>
      <c r="Q717" s="2" t="s">
        <v>68</v>
      </c>
      <c r="R717" s="4" t="s">
        <v>6416</v>
      </c>
    </row>
    <row r="718">
      <c r="A718" s="4" t="s">
        <v>44</v>
      </c>
      <c r="B718" s="4" t="s">
        <v>44</v>
      </c>
      <c r="C718" s="4">
        <v>717.0</v>
      </c>
      <c r="D718" s="13" t="str">
        <f>HYPERLINK("https://www.linkedin.com/ad-library/detail/895406614","Open Ad")</f>
        <v>Open Ad</v>
      </c>
      <c r="E718" s="4" t="s">
        <v>91</v>
      </c>
      <c r="F718" s="4" t="s">
        <v>5289</v>
      </c>
      <c r="G718" s="4" t="s">
        <v>5290</v>
      </c>
      <c r="H718" s="4" t="s">
        <v>55</v>
      </c>
      <c r="I718" s="4" t="s">
        <v>653</v>
      </c>
      <c r="J718" s="4" t="s">
        <v>91</v>
      </c>
      <c r="K718" s="13" t="str">
        <f>HYPERLINK("https://media.licdn.com/dms/image/v2/D4E10AQFPCb0j7v3cSg/image-shrink_1280/B4EZpYvUovKsAQ-/0/1762425392284?e=2147483647&amp;v=beta&amp;t=OAeqpwUdIO4UtfhSSkrnyFHiy8HBSR39oOeIQSgJPnc","Open Creative")</f>
        <v>Open Creative</v>
      </c>
      <c r="L718" s="4" t="s">
        <v>3498</v>
      </c>
      <c r="M718" s="4" t="s">
        <v>63</v>
      </c>
      <c r="N718" s="4" t="s">
        <v>6185</v>
      </c>
      <c r="O718" s="2" t="s">
        <v>132</v>
      </c>
      <c r="P718" s="2">
        <v>8.95406614E8</v>
      </c>
      <c r="Q718" s="2" t="s">
        <v>68</v>
      </c>
      <c r="R718" s="4" t="s">
        <v>6419</v>
      </c>
    </row>
    <row r="719">
      <c r="A719" s="4" t="s">
        <v>44</v>
      </c>
      <c r="B719" s="4" t="s">
        <v>44</v>
      </c>
      <c r="C719" s="4">
        <v>718.0</v>
      </c>
      <c r="D719" s="13" t="str">
        <f>HYPERLINK("https://www.linkedin.com/ad-library/detail/895298524","Open Ad")</f>
        <v>Open Ad</v>
      </c>
      <c r="E719" s="4" t="s">
        <v>91</v>
      </c>
      <c r="F719" s="4" t="s">
        <v>5225</v>
      </c>
      <c r="G719" s="4" t="s">
        <v>5226</v>
      </c>
      <c r="H719" s="4" t="s">
        <v>55</v>
      </c>
      <c r="I719" s="4" t="s">
        <v>1377</v>
      </c>
      <c r="J719" s="4" t="s">
        <v>91</v>
      </c>
      <c r="K719" s="13" t="str">
        <f>HYPERLINK("https://media.licdn.com/dms/image/v2/D4E10AQHcOT-X3cwv0g/image-shrink_1280/B4EZpYvQHcKcAM-/0/1762425374045?e=2147483647&amp;v=beta&amp;t=9H0U_7hEfy5p5FW_tvbciW4P_VN1KJc7dMLyifVjGQI","Open Creative")</f>
        <v>Open Creative</v>
      </c>
      <c r="L719" s="4" t="s">
        <v>3498</v>
      </c>
      <c r="M719" s="4" t="s">
        <v>63</v>
      </c>
      <c r="N719" s="4" t="s">
        <v>6185</v>
      </c>
      <c r="O719" s="2" t="s">
        <v>132</v>
      </c>
      <c r="P719" s="2">
        <v>8.95298524E8</v>
      </c>
      <c r="Q719" s="2" t="s">
        <v>68</v>
      </c>
      <c r="R719" s="4" t="s">
        <v>6422</v>
      </c>
    </row>
    <row r="720">
      <c r="A720" s="4" t="s">
        <v>44</v>
      </c>
      <c r="B720" s="4" t="s">
        <v>44</v>
      </c>
      <c r="C720" s="4">
        <v>719.0</v>
      </c>
      <c r="D720" s="13" t="str">
        <f>HYPERLINK("https://www.linkedin.com/ad-library/detail/895239344","Open Ad")</f>
        <v>Open Ad</v>
      </c>
      <c r="E720" s="4" t="s">
        <v>91</v>
      </c>
      <c r="F720" s="4" t="s">
        <v>5225</v>
      </c>
      <c r="G720" s="4" t="s">
        <v>5226</v>
      </c>
      <c r="H720" s="4" t="s">
        <v>55</v>
      </c>
      <c r="I720" s="4" t="s">
        <v>1377</v>
      </c>
      <c r="J720" s="4" t="s">
        <v>91</v>
      </c>
      <c r="K720" s="13" t="str">
        <f>HYPERLINK("https://media.licdn.com/dms/image/v2/D4E10AQHhRC2qraf0TA/image-shrink_1280/B4EZpYvLn5HgAM-/0/1762425355346?e=2147483647&amp;v=beta&amp;t=EXo_SbfCDHLcqFrA8L8l0iyecjMJ_2lIROp-WdSBPCU","Open Creative")</f>
        <v>Open Creative</v>
      </c>
      <c r="L720" s="4" t="s">
        <v>3498</v>
      </c>
      <c r="M720" s="4" t="s">
        <v>63</v>
      </c>
      <c r="N720" s="4" t="s">
        <v>6185</v>
      </c>
      <c r="O720" s="2" t="s">
        <v>132</v>
      </c>
      <c r="P720" s="2">
        <v>8.95239344E8</v>
      </c>
      <c r="Q720" s="2" t="s">
        <v>68</v>
      </c>
      <c r="R720" s="4" t="s">
        <v>6424</v>
      </c>
    </row>
    <row r="721">
      <c r="A721" s="4" t="s">
        <v>44</v>
      </c>
      <c r="B721" s="4" t="s">
        <v>44</v>
      </c>
      <c r="C721" s="4">
        <v>720.0</v>
      </c>
      <c r="D721" s="13" t="str">
        <f>HYPERLINK("https://www.linkedin.com/ad-library/detail/895328164","Open Ad")</f>
        <v>Open Ad</v>
      </c>
      <c r="E721" s="4" t="s">
        <v>91</v>
      </c>
      <c r="F721" s="4" t="s">
        <v>5225</v>
      </c>
      <c r="G721" s="4" t="s">
        <v>5226</v>
      </c>
      <c r="H721" s="4" t="s">
        <v>55</v>
      </c>
      <c r="I721" s="4" t="s">
        <v>1377</v>
      </c>
      <c r="J721" s="4" t="s">
        <v>91</v>
      </c>
      <c r="K721" s="13" t="str">
        <f>HYPERLINK("https://media.licdn.com/dms/image/v2/D4E10AQHhWLf74qIo3Q/image-shrink_1280/B4EZpYvQH2KoAM-/0/1762425374348?e=2147483647&amp;v=beta&amp;t=EjqOT8We4Pvlprj7Y1PXERv0cbdrgYTRK45Psd1cKFc","Open Creative")</f>
        <v>Open Creative</v>
      </c>
      <c r="L721" s="4" t="s">
        <v>3498</v>
      </c>
      <c r="M721" s="4" t="s">
        <v>63</v>
      </c>
      <c r="N721" s="4" t="s">
        <v>6185</v>
      </c>
      <c r="O721" s="2" t="s">
        <v>132</v>
      </c>
      <c r="P721" s="2">
        <v>8.95328164E8</v>
      </c>
      <c r="Q721" s="2" t="s">
        <v>68</v>
      </c>
      <c r="R721" s="4" t="s">
        <v>6426</v>
      </c>
    </row>
    <row r="722">
      <c r="A722" s="4" t="s">
        <v>44</v>
      </c>
      <c r="B722" s="4" t="s">
        <v>44</v>
      </c>
      <c r="C722" s="4">
        <v>721.0</v>
      </c>
      <c r="D722" s="13" t="str">
        <f>HYPERLINK("https://www.linkedin.com/ad-library/detail/895416444","Open Ad")</f>
        <v>Open Ad</v>
      </c>
      <c r="E722" s="4" t="s">
        <v>91</v>
      </c>
      <c r="F722" s="4" t="s">
        <v>5225</v>
      </c>
      <c r="G722" s="4" t="s">
        <v>5226</v>
      </c>
      <c r="H722" s="4" t="s">
        <v>55</v>
      </c>
      <c r="I722" s="4" t="s">
        <v>1377</v>
      </c>
      <c r="J722" s="4" t="s">
        <v>91</v>
      </c>
      <c r="K722" s="13" t="str">
        <f>HYPERLINK("https://media.licdn.com/dms/image/v2/D4E10AQGyV-UmpofPXA/image-shrink_1280/B4EZpYvCYkHMAM-/0/1762425317685?e=2147483647&amp;v=beta&amp;t=5GsEa6sfTydKE1gEsW7L4RVVQSOSughT23EjwptJ2uk","Open Creative")</f>
        <v>Open Creative</v>
      </c>
      <c r="L722" s="4" t="s">
        <v>3498</v>
      </c>
      <c r="M722" s="4" t="s">
        <v>63</v>
      </c>
      <c r="N722" s="4" t="s">
        <v>6185</v>
      </c>
      <c r="O722" s="2" t="s">
        <v>132</v>
      </c>
      <c r="P722" s="2">
        <v>8.95416444E8</v>
      </c>
      <c r="Q722" s="2" t="s">
        <v>68</v>
      </c>
      <c r="R722" s="4" t="s">
        <v>6429</v>
      </c>
    </row>
    <row r="723">
      <c r="A723" s="4" t="s">
        <v>44</v>
      </c>
      <c r="B723" s="4" t="s">
        <v>44</v>
      </c>
      <c r="C723" s="4">
        <v>722.0</v>
      </c>
      <c r="D723" s="13" t="str">
        <f>HYPERLINK("https://www.linkedin.com/ad-library/detail/895357324","Open Ad")</f>
        <v>Open Ad</v>
      </c>
      <c r="E723" s="4" t="s">
        <v>91</v>
      </c>
      <c r="F723" s="4" t="s">
        <v>5225</v>
      </c>
      <c r="G723" s="4" t="s">
        <v>5226</v>
      </c>
      <c r="H723" s="4" t="s">
        <v>55</v>
      </c>
      <c r="I723" s="4" t="s">
        <v>1377</v>
      </c>
      <c r="J723" s="4" t="s">
        <v>91</v>
      </c>
      <c r="K723" s="13" t="str">
        <f>HYPERLINK("https://media.licdn.com/dms/image/v2/D4E10AQGLOcD5V7jePQ/image-shrink_1280/B4EZpYvCHDHEAM-/0/1762425317039?e=2147483647&amp;v=beta&amp;t=W-h_pQrY5E9HR8RUm_Kxn3NktY59pc8ll0KQ9H9DDtc","Open Creative")</f>
        <v>Open Creative</v>
      </c>
      <c r="L723" s="4" t="s">
        <v>3498</v>
      </c>
      <c r="M723" s="4" t="s">
        <v>63</v>
      </c>
      <c r="N723" s="4" t="s">
        <v>6185</v>
      </c>
      <c r="O723" s="2" t="s">
        <v>132</v>
      </c>
      <c r="P723" s="2">
        <v>8.95357324E8</v>
      </c>
      <c r="Q723" s="2" t="s">
        <v>68</v>
      </c>
      <c r="R723" s="4" t="s">
        <v>6432</v>
      </c>
    </row>
    <row r="724">
      <c r="A724" s="4" t="s">
        <v>44</v>
      </c>
      <c r="B724" s="4" t="s">
        <v>44</v>
      </c>
      <c r="C724" s="4">
        <v>723.0</v>
      </c>
      <c r="D724" s="13" t="str">
        <f>HYPERLINK("https://www.linkedin.com/ad-library/detail/895357314","Open Ad")</f>
        <v>Open Ad</v>
      </c>
      <c r="E724" s="4" t="s">
        <v>91</v>
      </c>
      <c r="F724" s="4" t="s">
        <v>5289</v>
      </c>
      <c r="G724" s="4" t="s">
        <v>5290</v>
      </c>
      <c r="H724" s="4" t="s">
        <v>55</v>
      </c>
      <c r="I724" s="4" t="s">
        <v>653</v>
      </c>
      <c r="J724" s="4" t="s">
        <v>91</v>
      </c>
      <c r="K724" s="13" t="str">
        <f>HYPERLINK("https://media.licdn.com/dms/image/v2/D4E10AQE00NFGspNBvw/image-shrink_1280/B4EZpYu5TtKcAQ-/0/1762425280957?e=2147483647&amp;v=beta&amp;t=kG7bfSY78hCipu2SMQbE8i1i38Ud5mt1EZeLR3YrAQQ","Open Creative")</f>
        <v>Open Creative</v>
      </c>
      <c r="L724" s="4" t="s">
        <v>3498</v>
      </c>
      <c r="M724" s="4" t="s">
        <v>63</v>
      </c>
      <c r="N724" s="4" t="s">
        <v>6246</v>
      </c>
      <c r="O724" s="2" t="s">
        <v>132</v>
      </c>
      <c r="P724" s="2">
        <v>8.95357314E8</v>
      </c>
      <c r="Q724" s="2" t="s">
        <v>68</v>
      </c>
      <c r="R724" s="4" t="s">
        <v>6435</v>
      </c>
    </row>
    <row r="725">
      <c r="A725" s="4" t="s">
        <v>44</v>
      </c>
      <c r="B725" s="4" t="s">
        <v>44</v>
      </c>
      <c r="C725" s="4">
        <v>724.0</v>
      </c>
      <c r="D725" s="13" t="str">
        <f>HYPERLINK("https://www.linkedin.com/ad-library/detail/895298484","Open Ad")</f>
        <v>Open Ad</v>
      </c>
      <c r="E725" s="4" t="s">
        <v>91</v>
      </c>
      <c r="F725" s="4" t="s">
        <v>5225</v>
      </c>
      <c r="G725" s="4" t="s">
        <v>5226</v>
      </c>
      <c r="H725" s="4" t="s">
        <v>55</v>
      </c>
      <c r="I725" s="4" t="s">
        <v>1377</v>
      </c>
      <c r="J725" s="4" t="s">
        <v>91</v>
      </c>
      <c r="K725" s="13" t="str">
        <f>HYPERLINK("https://media.licdn.com/dms/image/v2/D4E10AQGjX92ZufMn6g/image-shrink_1280/B4EZpYvG7iGoAQ-/0/1762425336273?e=2147483647&amp;v=beta&amp;t=DxiYEpz6Qo_EYEXug276N5OUYECmro8gRuj3Lt43xEk","Open Creative")</f>
        <v>Open Creative</v>
      </c>
      <c r="L725" s="4" t="s">
        <v>3498</v>
      </c>
      <c r="M725" s="4" t="s">
        <v>63</v>
      </c>
      <c r="N725" s="4" t="s">
        <v>6185</v>
      </c>
      <c r="O725" s="2" t="s">
        <v>132</v>
      </c>
      <c r="P725" s="2">
        <v>8.95298484E8</v>
      </c>
      <c r="Q725" s="2" t="s">
        <v>68</v>
      </c>
      <c r="R725" s="4" t="s">
        <v>6438</v>
      </c>
    </row>
    <row r="726">
      <c r="A726" s="4" t="s">
        <v>44</v>
      </c>
      <c r="B726" s="4" t="s">
        <v>44</v>
      </c>
      <c r="C726" s="4">
        <v>725.0</v>
      </c>
      <c r="D726" s="13" t="str">
        <f>HYPERLINK("https://www.linkedin.com/ad-library/detail/895249294","Open Ad")</f>
        <v>Open Ad</v>
      </c>
      <c r="E726" s="4" t="s">
        <v>91</v>
      </c>
      <c r="F726" s="4" t="s">
        <v>5225</v>
      </c>
      <c r="G726" s="4" t="s">
        <v>5226</v>
      </c>
      <c r="H726" s="4" t="s">
        <v>55</v>
      </c>
      <c r="I726" s="4" t="s">
        <v>1377</v>
      </c>
      <c r="J726" s="4" t="s">
        <v>91</v>
      </c>
      <c r="K726" s="13" t="str">
        <f>HYPERLINK("https://media.licdn.com/dms/image/v2/D4E10AQFq7cGk5DCWoQ/image-shrink_1280/B4EZpYvHADJ0AM-/0/1762425336523?e=2147483647&amp;v=beta&amp;t=tmp0SOg3Dknb4ABXHN3fh8-84GbEqXgADl3VMgdG020","Open Creative")</f>
        <v>Open Creative</v>
      </c>
      <c r="L726" s="4" t="s">
        <v>3498</v>
      </c>
      <c r="M726" s="4" t="s">
        <v>63</v>
      </c>
      <c r="N726" s="4" t="s">
        <v>6441</v>
      </c>
      <c r="O726" s="2" t="s">
        <v>132</v>
      </c>
      <c r="P726" s="2">
        <v>8.95249294E8</v>
      </c>
      <c r="Q726" s="2" t="s">
        <v>68</v>
      </c>
      <c r="R726" s="4" t="s">
        <v>6442</v>
      </c>
    </row>
    <row r="727">
      <c r="A727" s="4" t="s">
        <v>44</v>
      </c>
      <c r="B727" s="4" t="s">
        <v>44</v>
      </c>
      <c r="C727" s="4">
        <v>726.0</v>
      </c>
      <c r="D727" s="13" t="str">
        <f>HYPERLINK("https://www.linkedin.com/ad-library/detail/895445374","Open Ad")</f>
        <v>Open Ad</v>
      </c>
      <c r="E727" s="4" t="s">
        <v>91</v>
      </c>
      <c r="F727" s="4" t="s">
        <v>5225</v>
      </c>
      <c r="G727" s="4" t="s">
        <v>5226</v>
      </c>
      <c r="H727" s="4" t="s">
        <v>55</v>
      </c>
      <c r="I727" s="4" t="s">
        <v>1377</v>
      </c>
      <c r="J727" s="4" t="s">
        <v>91</v>
      </c>
      <c r="K727" s="13" t="str">
        <f>HYPERLINK("https://media.licdn.com/dms/image/v2/D4E10AQGDwFt8xE4RxA/image-shrink_1280/B4EZpYvCePGcAM-/0/1762425317932?e=2147483647&amp;v=beta&amp;t=mn7drfReIJ905FR62SM9uE5gZ7k5nITyxlUpGUgjoSk","Open Creative")</f>
        <v>Open Creative</v>
      </c>
      <c r="L727" s="4" t="s">
        <v>3498</v>
      </c>
      <c r="M727" s="4" t="s">
        <v>63</v>
      </c>
      <c r="N727" s="4" t="s">
        <v>6185</v>
      </c>
      <c r="O727" s="2" t="s">
        <v>132</v>
      </c>
      <c r="P727" s="2">
        <v>8.95445374E8</v>
      </c>
      <c r="Q727" s="2" t="s">
        <v>68</v>
      </c>
      <c r="R727" s="4" t="s">
        <v>6445</v>
      </c>
    </row>
    <row r="728">
      <c r="A728" s="4" t="s">
        <v>44</v>
      </c>
      <c r="B728" s="4" t="s">
        <v>44</v>
      </c>
      <c r="C728" s="4">
        <v>727.0</v>
      </c>
      <c r="D728" s="13" t="str">
        <f>HYPERLINK("https://www.linkedin.com/ad-library/detail/268376624","Open Ad")</f>
        <v>Open Ad</v>
      </c>
      <c r="E728" s="4" t="s">
        <v>91</v>
      </c>
      <c r="F728" s="4" t="s">
        <v>5225</v>
      </c>
      <c r="G728" s="4" t="s">
        <v>5226</v>
      </c>
      <c r="H728" s="4" t="s">
        <v>55</v>
      </c>
      <c r="I728" s="4" t="s">
        <v>1377</v>
      </c>
      <c r="J728" s="4" t="s">
        <v>91</v>
      </c>
      <c r="K728" s="13" t="str">
        <f>HYPERLINK("https://media.licdn.com/dms/image/v2/D4E10AQF-cCscuL6atg/image-shrink_1280/B4EZpYu9xXKsAM-/0/1762425298725?e=2147483647&amp;v=beta&amp;t=cndsBfUSsS2kIHjwpmZPc7O3FPgDcxWKNB5eZeH0erk","Open Creative")</f>
        <v>Open Creative</v>
      </c>
      <c r="L728" s="4" t="s">
        <v>3498</v>
      </c>
      <c r="M728" s="4" t="s">
        <v>63</v>
      </c>
      <c r="N728" s="4" t="s">
        <v>6185</v>
      </c>
      <c r="O728" s="2" t="s">
        <v>132</v>
      </c>
      <c r="P728" s="2">
        <v>2.68376624E8</v>
      </c>
      <c r="Q728" s="2" t="s">
        <v>68</v>
      </c>
      <c r="R728" s="4" t="s">
        <v>6448</v>
      </c>
    </row>
    <row r="729">
      <c r="A729" s="4" t="s">
        <v>44</v>
      </c>
      <c r="B729" s="4" t="s">
        <v>44</v>
      </c>
      <c r="C729" s="4">
        <v>728.0</v>
      </c>
      <c r="D729" s="13" t="str">
        <f>HYPERLINK("https://www.linkedin.com/ad-library/detail/895445394","Open Ad")</f>
        <v>Open Ad</v>
      </c>
      <c r="E729" s="4" t="s">
        <v>91</v>
      </c>
      <c r="F729" s="4" t="s">
        <v>5289</v>
      </c>
      <c r="G729" s="4" t="s">
        <v>5290</v>
      </c>
      <c r="H729" s="4" t="s">
        <v>55</v>
      </c>
      <c r="I729" s="4" t="s">
        <v>653</v>
      </c>
      <c r="J729" s="4" t="s">
        <v>91</v>
      </c>
      <c r="K729" s="13" t="str">
        <f>HYPERLINK("https://media.licdn.com/dms/image/v2/D4E10AQHs7Rn5NWmupQ/image-shrink_1280/B4EZpYvG9TJ0AM-/0/1762425336857?e=2147483647&amp;v=beta&amp;t=UsQ5OscCWgSJPUp5FlvdEEBxq_5siLXFFEGnk4_wKkA","Open Creative")</f>
        <v>Open Creative</v>
      </c>
      <c r="L729" s="4" t="s">
        <v>3498</v>
      </c>
      <c r="M729" s="4" t="s">
        <v>63</v>
      </c>
      <c r="N729" s="4" t="s">
        <v>6185</v>
      </c>
      <c r="O729" s="2" t="s">
        <v>132</v>
      </c>
      <c r="P729" s="2">
        <v>8.95445394E8</v>
      </c>
      <c r="Q729" s="2" t="s">
        <v>68</v>
      </c>
      <c r="R729" s="4" t="s">
        <v>6451</v>
      </c>
    </row>
    <row r="730">
      <c r="A730" s="4" t="s">
        <v>44</v>
      </c>
      <c r="B730" s="4" t="s">
        <v>44</v>
      </c>
      <c r="C730" s="4">
        <v>729.0</v>
      </c>
      <c r="D730" s="13" t="str">
        <f>HYPERLINK("https://www.linkedin.com/ad-library/detail/895377354","Open Ad")</f>
        <v>Open Ad</v>
      </c>
      <c r="E730" s="4" t="s">
        <v>91</v>
      </c>
      <c r="F730" s="4" t="s">
        <v>5225</v>
      </c>
      <c r="G730" s="4" t="s">
        <v>5226</v>
      </c>
      <c r="H730" s="4" t="s">
        <v>55</v>
      </c>
      <c r="I730" s="4" t="s">
        <v>1377</v>
      </c>
      <c r="J730" s="4" t="s">
        <v>91</v>
      </c>
      <c r="K730" s="13" t="str">
        <f>HYPERLINK("https://media.licdn.com/dms/image/v2/D4E10AQHUhHF24q_cyQ/image-shrink_1280/B4EZpYvCVZIwAM-/0/1762425318526?e=2147483647&amp;v=beta&amp;t=9SiDvLA49bdEhfyC1Dugd1agZr18_c8TTJIgw7GPesw","Open Creative")</f>
        <v>Open Creative</v>
      </c>
      <c r="L730" s="4" t="s">
        <v>3498</v>
      </c>
      <c r="M730" s="4" t="s">
        <v>63</v>
      </c>
      <c r="N730" s="4" t="s">
        <v>6185</v>
      </c>
      <c r="O730" s="2" t="s">
        <v>132</v>
      </c>
      <c r="P730" s="2">
        <v>8.95377354E8</v>
      </c>
      <c r="Q730" s="2" t="s">
        <v>68</v>
      </c>
      <c r="R730" s="4" t="s">
        <v>6454</v>
      </c>
    </row>
    <row r="731">
      <c r="A731" s="4" t="s">
        <v>44</v>
      </c>
      <c r="B731" s="4" t="s">
        <v>44</v>
      </c>
      <c r="C731" s="4">
        <v>730.0</v>
      </c>
      <c r="D731" s="13" t="str">
        <f>HYPERLINK("https://www.linkedin.com/ad-library/detail/895396564","Open Ad")</f>
        <v>Open Ad</v>
      </c>
      <c r="E731" s="4" t="s">
        <v>91</v>
      </c>
      <c r="F731" s="4" t="s">
        <v>5289</v>
      </c>
      <c r="G731" s="4" t="s">
        <v>5290</v>
      </c>
      <c r="H731" s="4" t="s">
        <v>55</v>
      </c>
      <c r="I731" s="4" t="s">
        <v>653</v>
      </c>
      <c r="J731" s="4" t="s">
        <v>91</v>
      </c>
      <c r="K731" s="13" t="str">
        <f>HYPERLINK("https://media.licdn.com/dms/image/v2/D4E10AQG44neqTZ3fPQ/image-shrink_1280/B4EZpYvCbKKcAM-/0/1762425318269?e=2147483647&amp;v=beta&amp;t=SWNRcZqNPyps0AtrqbKB0oDB3XaRKip9srWZnr-Hv5E","Open Creative")</f>
        <v>Open Creative</v>
      </c>
      <c r="L731" s="4" t="s">
        <v>3498</v>
      </c>
      <c r="M731" s="4" t="s">
        <v>63</v>
      </c>
      <c r="N731" s="4" t="s">
        <v>6185</v>
      </c>
      <c r="O731" s="2" t="s">
        <v>132</v>
      </c>
      <c r="P731" s="2">
        <v>8.95396564E8</v>
      </c>
      <c r="Q731" s="2" t="s">
        <v>68</v>
      </c>
      <c r="R731" s="4" t="s">
        <v>6457</v>
      </c>
    </row>
    <row r="732">
      <c r="A732" s="4" t="s">
        <v>44</v>
      </c>
      <c r="B732" s="4" t="s">
        <v>44</v>
      </c>
      <c r="C732" s="4">
        <v>731.0</v>
      </c>
      <c r="D732" s="13" t="str">
        <f>HYPERLINK("https://www.linkedin.com/ad-library/detail/895435614","Open Ad")</f>
        <v>Open Ad</v>
      </c>
      <c r="E732" s="4" t="s">
        <v>91</v>
      </c>
      <c r="F732" s="4" t="s">
        <v>5289</v>
      </c>
      <c r="G732" s="4" t="s">
        <v>5290</v>
      </c>
      <c r="H732" s="4" t="s">
        <v>55</v>
      </c>
      <c r="I732" s="4" t="s">
        <v>653</v>
      </c>
      <c r="J732" s="4" t="s">
        <v>91</v>
      </c>
      <c r="K732" s="13" t="str">
        <f>HYPERLINK("https://media.licdn.com/dms/image/v2/D4E10AQGfEB56aLI4cA/image-shrink_1280/B4EZpYu939IIAQ-/0/1762425299588?e=2147483647&amp;v=beta&amp;t=FXW2vzV_8ZhyzEcjSK1O_PtFIUI3hm3coujPlXi00EU","Open Creative")</f>
        <v>Open Creative</v>
      </c>
      <c r="L732" s="4" t="s">
        <v>3498</v>
      </c>
      <c r="M732" s="4" t="s">
        <v>63</v>
      </c>
      <c r="N732" s="4" t="s">
        <v>6185</v>
      </c>
      <c r="O732" s="2" t="s">
        <v>132</v>
      </c>
      <c r="P732" s="2">
        <v>8.95435614E8</v>
      </c>
      <c r="Q732" s="2" t="s">
        <v>68</v>
      </c>
      <c r="R732" s="4" t="s">
        <v>6460</v>
      </c>
    </row>
    <row r="733">
      <c r="A733" s="4" t="s">
        <v>44</v>
      </c>
      <c r="B733" s="4" t="s">
        <v>44</v>
      </c>
      <c r="C733" s="4">
        <v>732.0</v>
      </c>
      <c r="D733" s="13" t="str">
        <f>HYPERLINK("https://www.linkedin.com/ad-library/detail/895377344","Open Ad")</f>
        <v>Open Ad</v>
      </c>
      <c r="E733" s="4" t="s">
        <v>91</v>
      </c>
      <c r="F733" s="4" t="s">
        <v>5289</v>
      </c>
      <c r="G733" s="4" t="s">
        <v>5290</v>
      </c>
      <c r="H733" s="4" t="s">
        <v>55</v>
      </c>
      <c r="I733" s="4" t="s">
        <v>653</v>
      </c>
      <c r="J733" s="4" t="s">
        <v>91</v>
      </c>
      <c r="K733" s="13" t="str">
        <f>HYPERLINK("https://media.licdn.com/dms/image/v2/D4E10AQEe8-ZjJtn_kA/image-shrink_1280/B4EZpYvCWvIQAM-/0/1762425317510?e=2147483647&amp;v=beta&amp;t=JifbgYfwSpzR2AV1bDKHAEtwUm7yXkKxkDBNqoqE-LE","Open Creative")</f>
        <v>Open Creative</v>
      </c>
      <c r="L733" s="4" t="s">
        <v>3498</v>
      </c>
      <c r="M733" s="4" t="s">
        <v>63</v>
      </c>
      <c r="N733" s="4" t="s">
        <v>6185</v>
      </c>
      <c r="O733" s="2" t="s">
        <v>132</v>
      </c>
      <c r="P733" s="2">
        <v>8.95377344E8</v>
      </c>
      <c r="Q733" s="2" t="s">
        <v>68</v>
      </c>
      <c r="R733" s="4" t="s">
        <v>6462</v>
      </c>
    </row>
    <row r="734">
      <c r="A734" s="4" t="s">
        <v>44</v>
      </c>
      <c r="B734" s="4" t="s">
        <v>44</v>
      </c>
      <c r="C734" s="4">
        <v>733.0</v>
      </c>
      <c r="D734" s="13" t="str">
        <f>HYPERLINK("https://www.linkedin.com/ad-library/detail/895239324","Open Ad")</f>
        <v>Open Ad</v>
      </c>
      <c r="E734" s="4" t="s">
        <v>91</v>
      </c>
      <c r="F734" s="4" t="s">
        <v>5289</v>
      </c>
      <c r="G734" s="4" t="s">
        <v>5290</v>
      </c>
      <c r="H734" s="4" t="s">
        <v>55</v>
      </c>
      <c r="I734" s="4" t="s">
        <v>653</v>
      </c>
      <c r="J734" s="4" t="s">
        <v>91</v>
      </c>
      <c r="K734" s="13" t="str">
        <f>HYPERLINK("https://media.licdn.com/dms/image/v2/D4E10AQFgSdUfnQ8Krg/image-shrink_1280/B4EZpYvHAxKoAU-/0/1762425336499?e=2147483647&amp;v=beta&amp;t=ZmUdnwmteadxne-E21Aw1X_6_TmdEP-UuzVsCPvwXz8","Open Creative")</f>
        <v>Open Creative</v>
      </c>
      <c r="L734" s="4" t="s">
        <v>3498</v>
      </c>
      <c r="M734" s="4" t="s">
        <v>63</v>
      </c>
      <c r="N734" s="4" t="s">
        <v>6185</v>
      </c>
      <c r="O734" s="2" t="s">
        <v>132</v>
      </c>
      <c r="P734" s="2">
        <v>8.95239324E8</v>
      </c>
      <c r="Q734" s="2" t="s">
        <v>68</v>
      </c>
      <c r="R734" s="4" t="s">
        <v>6465</v>
      </c>
    </row>
    <row r="735">
      <c r="A735" s="4" t="s">
        <v>44</v>
      </c>
      <c r="B735" s="4" t="s">
        <v>44</v>
      </c>
      <c r="C735" s="4">
        <v>734.0</v>
      </c>
      <c r="D735" s="13" t="str">
        <f>HYPERLINK("https://www.linkedin.com/ad-library/detail/895406534","Open Ad")</f>
        <v>Open Ad</v>
      </c>
      <c r="E735" s="4" t="s">
        <v>91</v>
      </c>
      <c r="F735" s="4" t="s">
        <v>5225</v>
      </c>
      <c r="G735" s="4" t="s">
        <v>5226</v>
      </c>
      <c r="H735" s="4" t="s">
        <v>55</v>
      </c>
      <c r="I735" s="4" t="s">
        <v>1377</v>
      </c>
      <c r="J735" s="4" t="s">
        <v>91</v>
      </c>
      <c r="K735" s="13" t="str">
        <f>HYPERLINK("https://media.licdn.com/dms/image/v2/D4E10AQGGZ_3kW_4fqQ/image-shrink_1280/B4EZpYvCZUGYAM-/0/1762425318116?e=2147483647&amp;v=beta&amp;t=bdOOqi2sSVqlDGoRQkKRk1Qbtp6WYw5jAPIIBW4j9ME","Open Creative")</f>
        <v>Open Creative</v>
      </c>
      <c r="L735" s="4" t="s">
        <v>3498</v>
      </c>
      <c r="M735" s="4" t="s">
        <v>63</v>
      </c>
      <c r="N735" s="4" t="s">
        <v>6185</v>
      </c>
      <c r="O735" s="2" t="s">
        <v>132</v>
      </c>
      <c r="P735" s="2">
        <v>8.95406534E8</v>
      </c>
      <c r="Q735" s="2" t="s">
        <v>68</v>
      </c>
      <c r="R735" s="4" t="s">
        <v>6467</v>
      </c>
    </row>
    <row r="736">
      <c r="A736" s="4" t="s">
        <v>44</v>
      </c>
      <c r="B736" s="4" t="s">
        <v>44</v>
      </c>
      <c r="C736" s="4">
        <v>735.0</v>
      </c>
      <c r="D736" s="13" t="str">
        <f>HYPERLINK("https://www.linkedin.com/ad-library/detail/895426004","Open Ad")</f>
        <v>Open Ad</v>
      </c>
      <c r="E736" s="4" t="s">
        <v>91</v>
      </c>
      <c r="F736" s="4" t="s">
        <v>5289</v>
      </c>
      <c r="G736" s="4" t="s">
        <v>5290</v>
      </c>
      <c r="H736" s="4" t="s">
        <v>55</v>
      </c>
      <c r="I736" s="4" t="s">
        <v>653</v>
      </c>
      <c r="J736" s="4" t="s">
        <v>91</v>
      </c>
      <c r="K736" s="13" t="str">
        <f>HYPERLINK("https://media.licdn.com/dms/image/v2/D4E10AQHhWtPiL9x6Ug/image-shrink_1280/B4EZpYvGsfKgAM-/0/1762425335309?e=2147483647&amp;v=beta&amp;t=leqiiNTnoUyUNKJ2YN53dd3zjZ-BlOjwBnWcU_XE_H4","Open Creative")</f>
        <v>Open Creative</v>
      </c>
      <c r="L736" s="4" t="s">
        <v>3498</v>
      </c>
      <c r="M736" s="4" t="s">
        <v>63</v>
      </c>
      <c r="N736" s="4" t="s">
        <v>6185</v>
      </c>
      <c r="O736" s="2" t="s">
        <v>132</v>
      </c>
      <c r="P736" s="2">
        <v>8.95426004E8</v>
      </c>
      <c r="Q736" s="2" t="s">
        <v>68</v>
      </c>
      <c r="R736" s="4" t="s">
        <v>6470</v>
      </c>
    </row>
    <row r="737">
      <c r="A737" s="4" t="s">
        <v>44</v>
      </c>
      <c r="B737" s="4" t="s">
        <v>44</v>
      </c>
      <c r="C737" s="4">
        <v>736.0</v>
      </c>
      <c r="D737" s="13" t="str">
        <f>HYPERLINK("https://www.linkedin.com/ad-library/detail/895367744","Open Ad")</f>
        <v>Open Ad</v>
      </c>
      <c r="E737" s="4" t="s">
        <v>91</v>
      </c>
      <c r="F737" s="4" t="s">
        <v>5289</v>
      </c>
      <c r="G737" s="4" t="s">
        <v>5290</v>
      </c>
      <c r="H737" s="4" t="s">
        <v>55</v>
      </c>
      <c r="I737" s="4" t="s">
        <v>653</v>
      </c>
      <c r="J737" s="4" t="s">
        <v>91</v>
      </c>
      <c r="K737" s="13" t="str">
        <f>HYPERLINK("https://media.licdn.com/dms/image/v2/D4E10AQH-wvfKOfEphg/image-shrink_1280/B4EZpYu9weIUAQ-/0/1762425298541?e=2147483647&amp;v=beta&amp;t=V1UNpaJtYWdSalKl-TT38c4ew13wv-0rTzFQ5rNEPik","Open Creative")</f>
        <v>Open Creative</v>
      </c>
      <c r="L737" s="4" t="s">
        <v>3498</v>
      </c>
      <c r="M737" s="4" t="s">
        <v>63</v>
      </c>
      <c r="N737" s="4" t="s">
        <v>6185</v>
      </c>
      <c r="O737" s="2" t="s">
        <v>132</v>
      </c>
      <c r="P737" s="2">
        <v>8.95367744E8</v>
      </c>
      <c r="Q737" s="2" t="s">
        <v>68</v>
      </c>
      <c r="R737" s="4" t="s">
        <v>6473</v>
      </c>
    </row>
    <row r="738">
      <c r="A738" s="4" t="s">
        <v>44</v>
      </c>
      <c r="B738" s="4" t="s">
        <v>44</v>
      </c>
      <c r="C738" s="4">
        <v>737.0</v>
      </c>
      <c r="D738" s="13" t="str">
        <f>HYPERLINK("https://www.linkedin.com/ad-library/detail/895347174","Open Ad")</f>
        <v>Open Ad</v>
      </c>
      <c r="E738" s="4" t="s">
        <v>91</v>
      </c>
      <c r="F738" s="4" t="s">
        <v>5289</v>
      </c>
      <c r="G738" s="4" t="s">
        <v>5290</v>
      </c>
      <c r="H738" s="4" t="s">
        <v>55</v>
      </c>
      <c r="I738" s="4" t="s">
        <v>653</v>
      </c>
      <c r="J738" s="4" t="s">
        <v>91</v>
      </c>
      <c r="K738" s="13" t="str">
        <f>HYPERLINK("https://media.licdn.com/dms/image/v2/D4E10AQGTNQ7UoahDuA/image-shrink_1280/B4EZpYvCYEKoAU-/0/1762425317453?e=2147483647&amp;v=beta&amp;t=G9hqwKD2qXPDsWqOhYFnNZ_Nh75c2HNSngdt1vn1n3g","Open Creative")</f>
        <v>Open Creative</v>
      </c>
      <c r="L738" s="4" t="s">
        <v>3498</v>
      </c>
      <c r="M738" s="4" t="s">
        <v>63</v>
      </c>
      <c r="N738" s="4" t="s">
        <v>6185</v>
      </c>
      <c r="O738" s="2" t="s">
        <v>132</v>
      </c>
      <c r="P738" s="2">
        <v>8.95347174E8</v>
      </c>
      <c r="Q738" s="2" t="s">
        <v>68</v>
      </c>
      <c r="R738" s="4" t="s">
        <v>6476</v>
      </c>
    </row>
    <row r="739">
      <c r="A739" s="4" t="s">
        <v>44</v>
      </c>
      <c r="B739" s="4" t="s">
        <v>44</v>
      </c>
      <c r="C739" s="4">
        <v>738.0</v>
      </c>
      <c r="D739" s="13" t="str">
        <f>HYPERLINK("https://www.linkedin.com/ad-library/detail/895288094","Open Ad")</f>
        <v>Open Ad</v>
      </c>
      <c r="E739" s="4" t="s">
        <v>91</v>
      </c>
      <c r="F739" s="4" t="s">
        <v>5289</v>
      </c>
      <c r="G739" s="4" t="s">
        <v>5290</v>
      </c>
      <c r="H739" s="4" t="s">
        <v>55</v>
      </c>
      <c r="I739" s="4" t="s">
        <v>653</v>
      </c>
      <c r="J739" s="4" t="s">
        <v>91</v>
      </c>
      <c r="K739" s="13" t="str">
        <f>HYPERLINK("https://media.licdn.com/dms/image/v2/D4E10AQEAM-MGFt5XNw/image-shrink_1280/B4EZpYu94.HcAM-/0/1762425299660?e=2147483647&amp;v=beta&amp;t=G1LMfvbC3dfkrdE627_u-zLBITrt50Su21BEzk6W4Nw","Open Creative")</f>
        <v>Open Creative</v>
      </c>
      <c r="L739" s="4" t="s">
        <v>3498</v>
      </c>
      <c r="M739" s="4" t="s">
        <v>63</v>
      </c>
      <c r="N739" s="4" t="s">
        <v>6185</v>
      </c>
      <c r="O739" s="2" t="s">
        <v>132</v>
      </c>
      <c r="P739" s="2">
        <v>8.95288094E8</v>
      </c>
      <c r="Q739" s="2" t="s">
        <v>68</v>
      </c>
      <c r="R739" s="4" t="s">
        <v>6479</v>
      </c>
    </row>
    <row r="740">
      <c r="A740" s="4" t="s">
        <v>44</v>
      </c>
      <c r="B740" s="4" t="s">
        <v>44</v>
      </c>
      <c r="C740" s="4">
        <v>739.0</v>
      </c>
      <c r="D740" s="13" t="str">
        <f>HYPERLINK("https://www.linkedin.com/ad-library/detail/895278574","Open Ad")</f>
        <v>Open Ad</v>
      </c>
      <c r="E740" s="4" t="s">
        <v>91</v>
      </c>
      <c r="F740" s="4" t="s">
        <v>5225</v>
      </c>
      <c r="G740" s="4" t="s">
        <v>5226</v>
      </c>
      <c r="H740" s="4" t="s">
        <v>55</v>
      </c>
      <c r="I740" s="4" t="s">
        <v>1377</v>
      </c>
      <c r="J740" s="4" t="s">
        <v>91</v>
      </c>
      <c r="K740" s="13" t="str">
        <f>HYPERLINK("https://media.licdn.com/dms/image/v2/D4E10AQF34VsurewRww/image-shrink_1280/B4EZpYu93yHUAM-/0/1762425299017?e=2147483647&amp;v=beta&amp;t=M8ILzc_V2B8hDw7wCJosGAE7OKb03t0nntZMnQfB2Q0","Open Creative")</f>
        <v>Open Creative</v>
      </c>
      <c r="L740" s="4" t="s">
        <v>3498</v>
      </c>
      <c r="M740" s="4" t="s">
        <v>63</v>
      </c>
      <c r="N740" s="4" t="s">
        <v>6185</v>
      </c>
      <c r="O740" s="2" t="s">
        <v>132</v>
      </c>
      <c r="P740" s="2">
        <v>8.95278574E8</v>
      </c>
      <c r="Q740" s="2" t="s">
        <v>68</v>
      </c>
      <c r="R740" s="4" t="s">
        <v>6482</v>
      </c>
    </row>
    <row r="741">
      <c r="A741" s="4" t="s">
        <v>44</v>
      </c>
      <c r="B741" s="4" t="s">
        <v>44</v>
      </c>
      <c r="C741" s="4">
        <v>740.0</v>
      </c>
      <c r="D741" s="13" t="str">
        <f>HYPERLINK("https://www.linkedin.com/ad-library/detail/895328154","Open Ad")</f>
        <v>Open Ad</v>
      </c>
      <c r="E741" s="4" t="s">
        <v>91</v>
      </c>
      <c r="F741" s="4" t="s">
        <v>5225</v>
      </c>
      <c r="G741" s="4" t="s">
        <v>5226</v>
      </c>
      <c r="H741" s="4" t="s">
        <v>55</v>
      </c>
      <c r="I741" s="4" t="s">
        <v>1377</v>
      </c>
      <c r="J741" s="4" t="s">
        <v>91</v>
      </c>
      <c r="K741" s="13" t="str">
        <f>HYPERLINK("https://media.licdn.com/dms/image/v2/D4E10AQEJW0WFD_8qHQ/image-shrink_1280/B4EZpYu90dKsAM-/0/1762425299337?e=2147483647&amp;v=beta&amp;t=k7jDTkToCtoCx4RHr8pIESdbdrdGLcAn7DnccD1w7ns","Open Creative")</f>
        <v>Open Creative</v>
      </c>
      <c r="L741" s="4" t="s">
        <v>3498</v>
      </c>
      <c r="M741" s="4" t="s">
        <v>63</v>
      </c>
      <c r="N741" s="4" t="s">
        <v>6185</v>
      </c>
      <c r="O741" s="2" t="s">
        <v>132</v>
      </c>
      <c r="P741" s="2">
        <v>8.95328154E8</v>
      </c>
      <c r="Q741" s="2" t="s">
        <v>68</v>
      </c>
      <c r="R741" s="4" t="s">
        <v>6485</v>
      </c>
    </row>
    <row r="742">
      <c r="A742" s="4" t="s">
        <v>44</v>
      </c>
      <c r="B742" s="4" t="s">
        <v>44</v>
      </c>
      <c r="C742" s="4">
        <v>741.0</v>
      </c>
      <c r="D742" s="13" t="str">
        <f>HYPERLINK("https://www.linkedin.com/ad-library/detail/895387124","Open Ad")</f>
        <v>Open Ad</v>
      </c>
      <c r="E742" s="4" t="s">
        <v>91</v>
      </c>
      <c r="F742" s="4" t="s">
        <v>5225</v>
      </c>
      <c r="G742" s="4" t="s">
        <v>5226</v>
      </c>
      <c r="H742" s="4" t="s">
        <v>55</v>
      </c>
      <c r="I742" s="4" t="s">
        <v>1377</v>
      </c>
      <c r="J742" s="4" t="s">
        <v>91</v>
      </c>
      <c r="K742" s="13" t="str">
        <f>HYPERLINK("https://media.licdn.com/dms/image/v2/D4E10AQGRiAjWnJ5rXw/image-shrink_1280/B4EZpYvCYvIwAM-/0/1762425317977?e=2147483647&amp;v=beta&amp;t=M5lt5_5dCuWd6yp6iruPjiowWCRCsEtaCZTjYfBjdhE","Open Creative")</f>
        <v>Open Creative</v>
      </c>
      <c r="L742" s="4" t="s">
        <v>3498</v>
      </c>
      <c r="M742" s="4" t="s">
        <v>63</v>
      </c>
      <c r="N742" s="4" t="s">
        <v>6185</v>
      </c>
      <c r="O742" s="2" t="s">
        <v>132</v>
      </c>
      <c r="P742" s="2">
        <v>8.95387124E8</v>
      </c>
      <c r="Q742" s="2" t="s">
        <v>68</v>
      </c>
      <c r="R742" s="4" t="s">
        <v>6487</v>
      </c>
    </row>
    <row r="743">
      <c r="A743" s="4" t="s">
        <v>44</v>
      </c>
      <c r="B743" s="4" t="s">
        <v>44</v>
      </c>
      <c r="C743" s="4">
        <v>742.0</v>
      </c>
      <c r="D743" s="13" t="str">
        <f>HYPERLINK("https://www.linkedin.com/ad-library/detail/895308084","Open Ad")</f>
        <v>Open Ad</v>
      </c>
      <c r="E743" s="4" t="s">
        <v>91</v>
      </c>
      <c r="F743" s="4" t="s">
        <v>5225</v>
      </c>
      <c r="G743" s="4" t="s">
        <v>5226</v>
      </c>
      <c r="H743" s="4" t="s">
        <v>55</v>
      </c>
      <c r="I743" s="4" t="s">
        <v>1377</v>
      </c>
      <c r="J743" s="4" t="s">
        <v>91</v>
      </c>
      <c r="K743" s="13" t="str">
        <f>HYPERLINK("https://media.licdn.com/dms/image/v2/D4E10AQF40sMA93MeKQ/image-shrink_1280/B4EZpYu919J0AM-/0/1762425299421?e=2147483647&amp;v=beta&amp;t=FwnmRToGbVZ7ZL6-5hp2wkUga_425FhxfOgqgNlcYVs","Open Creative")</f>
        <v>Open Creative</v>
      </c>
      <c r="L743" s="4" t="s">
        <v>3498</v>
      </c>
      <c r="M743" s="4" t="s">
        <v>63</v>
      </c>
      <c r="N743" s="4" t="s">
        <v>6185</v>
      </c>
      <c r="O743" s="2" t="s">
        <v>132</v>
      </c>
      <c r="P743" s="2">
        <v>8.95308084E8</v>
      </c>
      <c r="Q743" s="2" t="s">
        <v>68</v>
      </c>
      <c r="R743" s="4" t="s">
        <v>6489</v>
      </c>
    </row>
    <row r="744">
      <c r="A744" s="4" t="s">
        <v>44</v>
      </c>
      <c r="B744" s="4" t="s">
        <v>44</v>
      </c>
      <c r="C744" s="4">
        <v>743.0</v>
      </c>
      <c r="D744" s="13" t="str">
        <f>HYPERLINK("https://www.linkedin.com/ad-library/detail/895347164","Open Ad")</f>
        <v>Open Ad</v>
      </c>
      <c r="E744" s="4" t="s">
        <v>91</v>
      </c>
      <c r="F744" s="4" t="s">
        <v>5225</v>
      </c>
      <c r="G744" s="4" t="s">
        <v>5226</v>
      </c>
      <c r="H744" s="4" t="s">
        <v>55</v>
      </c>
      <c r="I744" s="4" t="s">
        <v>1377</v>
      </c>
      <c r="J744" s="4" t="s">
        <v>91</v>
      </c>
      <c r="K744" s="13" t="str">
        <f>HYPERLINK("https://media.licdn.com/dms/image/v2/D4E10AQHzTEF_DTNZ4Q/image-shrink_1280/B4EZpYu9wQKsAM-/0/1762425299029?e=2147483647&amp;v=beta&amp;t=atWr1xKpcnBi6MbYvkLhluPbUWulEl8a2fVxpysGwDg","Open Creative")</f>
        <v>Open Creative</v>
      </c>
      <c r="L744" s="4" t="s">
        <v>3498</v>
      </c>
      <c r="M744" s="4" t="s">
        <v>63</v>
      </c>
      <c r="N744" s="4" t="s">
        <v>6185</v>
      </c>
      <c r="O744" s="2" t="s">
        <v>132</v>
      </c>
      <c r="P744" s="2">
        <v>8.95347164E8</v>
      </c>
      <c r="Q744" s="2" t="s">
        <v>68</v>
      </c>
      <c r="R744" s="4" t="s">
        <v>6492</v>
      </c>
    </row>
    <row r="745">
      <c r="A745" s="4" t="s">
        <v>44</v>
      </c>
      <c r="B745" s="4" t="s">
        <v>44</v>
      </c>
      <c r="C745" s="4">
        <v>744.0</v>
      </c>
      <c r="D745" s="13" t="str">
        <f>HYPERLINK("https://www.linkedin.com/ad-library/detail/895308074","Open Ad")</f>
        <v>Open Ad</v>
      </c>
      <c r="E745" s="4" t="s">
        <v>91</v>
      </c>
      <c r="F745" s="4" t="s">
        <v>5225</v>
      </c>
      <c r="G745" s="4" t="s">
        <v>5226</v>
      </c>
      <c r="H745" s="4" t="s">
        <v>55</v>
      </c>
      <c r="I745" s="4" t="s">
        <v>1377</v>
      </c>
      <c r="J745" s="4" t="s">
        <v>91</v>
      </c>
      <c r="K745" s="13" t="str">
        <f>HYPERLINK("https://media.licdn.com/dms/image/v2/D4E10AQHltvYTvR2G2w/image-shrink_1280/B4EZpYu90zHEAM-/0/1762425298970?e=2147483647&amp;v=beta&amp;t=5sJOD9I3orZI5KQG5OeDS643Eohxg21XEQ5CqqiutAw","Open Creative")</f>
        <v>Open Creative</v>
      </c>
      <c r="L745" s="4" t="s">
        <v>3498</v>
      </c>
      <c r="M745" s="4" t="s">
        <v>63</v>
      </c>
      <c r="N745" s="4" t="s">
        <v>6185</v>
      </c>
      <c r="O745" s="2" t="s">
        <v>132</v>
      </c>
      <c r="P745" s="2">
        <v>8.95308074E8</v>
      </c>
      <c r="Q745" s="2" t="s">
        <v>68</v>
      </c>
      <c r="R745" s="4" t="s">
        <v>6495</v>
      </c>
    </row>
    <row r="746">
      <c r="A746" s="4" t="s">
        <v>44</v>
      </c>
      <c r="B746" s="4" t="s">
        <v>44</v>
      </c>
      <c r="C746" s="4">
        <v>745.0</v>
      </c>
      <c r="D746" s="13" t="str">
        <f>HYPERLINK("https://www.linkedin.com/ad-library/detail/895357304","Open Ad")</f>
        <v>Open Ad</v>
      </c>
      <c r="E746" s="4" t="s">
        <v>91</v>
      </c>
      <c r="F746" s="4" t="s">
        <v>5225</v>
      </c>
      <c r="G746" s="4" t="s">
        <v>5226</v>
      </c>
      <c r="H746" s="4" t="s">
        <v>55</v>
      </c>
      <c r="I746" s="4" t="s">
        <v>1377</v>
      </c>
      <c r="J746" s="4" t="s">
        <v>91</v>
      </c>
      <c r="K746" s="13" t="str">
        <f>HYPERLINK("https://media.licdn.com/dms/image/v2/D4E10AQEnpfZGEmjXmQ/image-shrink_1280/B4EZpYu00mHcAM-/0/1762425262493?e=2147483647&amp;v=beta&amp;t=UYU64Htuj2oOvTY84KsTO4fF_y4o9mjatm4Rvl0S1w4","Open Creative")</f>
        <v>Open Creative</v>
      </c>
      <c r="L746" s="4" t="s">
        <v>3498</v>
      </c>
      <c r="M746" s="4" t="s">
        <v>63</v>
      </c>
      <c r="N746" s="4" t="s">
        <v>6185</v>
      </c>
      <c r="O746" s="2" t="s">
        <v>132</v>
      </c>
      <c r="P746" s="2">
        <v>8.95357304E8</v>
      </c>
      <c r="Q746" s="2" t="s">
        <v>68</v>
      </c>
      <c r="R746" s="4" t="s">
        <v>6498</v>
      </c>
    </row>
    <row r="747">
      <c r="A747" s="4" t="s">
        <v>44</v>
      </c>
      <c r="B747" s="4" t="s">
        <v>44</v>
      </c>
      <c r="C747" s="4">
        <v>746.0</v>
      </c>
      <c r="D747" s="13" t="str">
        <f>HYPERLINK("https://www.linkedin.com/ad-library/detail/895445354","Open Ad")</f>
        <v>Open Ad</v>
      </c>
      <c r="E747" s="4" t="s">
        <v>91</v>
      </c>
      <c r="F747" s="4" t="s">
        <v>5289</v>
      </c>
      <c r="G747" s="4" t="s">
        <v>5290</v>
      </c>
      <c r="H747" s="4" t="s">
        <v>55</v>
      </c>
      <c r="I747" s="4" t="s">
        <v>653</v>
      </c>
      <c r="J747" s="4" t="s">
        <v>91</v>
      </c>
      <c r="K747" s="13" t="str">
        <f>HYPERLINK("https://media.licdn.com/dms/image/v2/D4E10AQHqVOMK7gUf_A/image-shrink_1280/B4EZpYu5FgIUAM-/0/1762425279561?e=2147483647&amp;v=beta&amp;t=Dr3czns12FHB3EBxCLKz9Sl9jw__9EBEypu4js5vKAk","Open Creative")</f>
        <v>Open Creative</v>
      </c>
      <c r="L747" s="4" t="s">
        <v>3498</v>
      </c>
      <c r="M747" s="4" t="s">
        <v>63</v>
      </c>
      <c r="N747" s="4" t="s">
        <v>6185</v>
      </c>
      <c r="O747" s="2" t="s">
        <v>132</v>
      </c>
      <c r="P747" s="2">
        <v>8.95445354E8</v>
      </c>
      <c r="Q747" s="2" t="s">
        <v>68</v>
      </c>
      <c r="R747" s="4" t="s">
        <v>6501</v>
      </c>
    </row>
    <row r="748">
      <c r="A748" s="4" t="s">
        <v>44</v>
      </c>
      <c r="B748" s="4" t="s">
        <v>44</v>
      </c>
      <c r="C748" s="4">
        <v>747.0</v>
      </c>
      <c r="D748" s="13" t="str">
        <f>HYPERLINK("https://www.linkedin.com/ad-library/detail/895337644","Open Ad")</f>
        <v>Open Ad</v>
      </c>
      <c r="E748" s="4" t="s">
        <v>91</v>
      </c>
      <c r="F748" s="4" t="s">
        <v>5225</v>
      </c>
      <c r="G748" s="4" t="s">
        <v>5226</v>
      </c>
      <c r="H748" s="4" t="s">
        <v>55</v>
      </c>
      <c r="I748" s="4" t="s">
        <v>1377</v>
      </c>
      <c r="J748" s="4" t="s">
        <v>91</v>
      </c>
      <c r="K748" s="13" t="str">
        <f>HYPERLINK("https://media.licdn.com/dms/image/v2/D4E10AQFY5t4hO8ipqA/image-shrink_1280/B4EZpYu03FKkAM-/0/1762425262272?e=2147483647&amp;v=beta&amp;t=XzLxficfjSfLigj_1Ba2AY0Yr-QLQonYuCbaicVBK0w","Open Creative")</f>
        <v>Open Creative</v>
      </c>
      <c r="L748" s="4" t="s">
        <v>3498</v>
      </c>
      <c r="M748" s="4" t="s">
        <v>63</v>
      </c>
      <c r="N748" s="4" t="s">
        <v>6185</v>
      </c>
      <c r="O748" s="2" t="s">
        <v>132</v>
      </c>
      <c r="P748" s="2">
        <v>8.95337644E8</v>
      </c>
      <c r="Q748" s="2" t="s">
        <v>68</v>
      </c>
      <c r="R748" s="4" t="s">
        <v>6504</v>
      </c>
    </row>
    <row r="749">
      <c r="A749" s="4" t="s">
        <v>44</v>
      </c>
      <c r="B749" s="4" t="s">
        <v>44</v>
      </c>
      <c r="C749" s="4">
        <v>748.0</v>
      </c>
      <c r="D749" s="13" t="str">
        <f>HYPERLINK("https://www.linkedin.com/ad-library/detail/895367724","Open Ad")</f>
        <v>Open Ad</v>
      </c>
      <c r="E749" s="4" t="s">
        <v>91</v>
      </c>
      <c r="F749" s="4" t="s">
        <v>5289</v>
      </c>
      <c r="G749" s="4" t="s">
        <v>5290</v>
      </c>
      <c r="H749" s="4" t="s">
        <v>55</v>
      </c>
      <c r="I749" s="4" t="s">
        <v>653</v>
      </c>
      <c r="J749" s="4" t="s">
        <v>91</v>
      </c>
      <c r="K749" s="13" t="str">
        <f>HYPERLINK("https://media.licdn.com/dms/image/v2/D4E10AQEaH0Nq9t2cuw/image-shrink_1280/B4EZpYu0zfGcAQ-/0/1762425261832?e=2147483647&amp;v=beta&amp;t=AgnXJbH3PNS_OrfXlypdMEkFcF01y0lO9gcW38qn3-I","Open Creative")</f>
        <v>Open Creative</v>
      </c>
      <c r="L749" s="4" t="s">
        <v>3498</v>
      </c>
      <c r="M749" s="4" t="s">
        <v>63</v>
      </c>
      <c r="N749" s="4" t="s">
        <v>6185</v>
      </c>
      <c r="O749" s="2" t="s">
        <v>132</v>
      </c>
      <c r="P749" s="2">
        <v>8.95367724E8</v>
      </c>
      <c r="Q749" s="2" t="s">
        <v>68</v>
      </c>
      <c r="R749" s="4" t="s">
        <v>6507</v>
      </c>
    </row>
    <row r="750">
      <c r="A750" s="4" t="s">
        <v>44</v>
      </c>
      <c r="B750" s="4" t="s">
        <v>44</v>
      </c>
      <c r="C750" s="4">
        <v>749.0</v>
      </c>
      <c r="D750" s="13" t="str">
        <f>HYPERLINK("https://www.linkedin.com/ad-library/detail/895337634","Open Ad")</f>
        <v>Open Ad</v>
      </c>
      <c r="E750" s="4" t="s">
        <v>91</v>
      </c>
      <c r="F750" s="4" t="s">
        <v>5289</v>
      </c>
      <c r="G750" s="4" t="s">
        <v>5290</v>
      </c>
      <c r="H750" s="4" t="s">
        <v>55</v>
      </c>
      <c r="I750" s="4" t="s">
        <v>653</v>
      </c>
      <c r="J750" s="4" t="s">
        <v>91</v>
      </c>
      <c r="K750" s="13" t="str">
        <f>HYPERLINK("https://media.licdn.com/dms/image/v2/D4E10AQEXisWBH1o8ng/image-shrink_1280/B4EZpYuwK5GcAg-/0/1762425243488?e=2147483647&amp;v=beta&amp;t=EoAL4GufrDttRNp9GCw2Q4VgbK8vs6QOCe8cQ16DXUc","Open Creative")</f>
        <v>Open Creative</v>
      </c>
      <c r="L750" s="4" t="s">
        <v>3498</v>
      </c>
      <c r="M750" s="4" t="s">
        <v>63</v>
      </c>
      <c r="N750" s="4" t="s">
        <v>6185</v>
      </c>
      <c r="O750" s="2" t="s">
        <v>132</v>
      </c>
      <c r="P750" s="2">
        <v>8.95337634E8</v>
      </c>
      <c r="Q750" s="2" t="s">
        <v>68</v>
      </c>
      <c r="R750" s="4" t="s">
        <v>6510</v>
      </c>
    </row>
    <row r="751">
      <c r="A751" s="4" t="s">
        <v>44</v>
      </c>
      <c r="B751" s="4" t="s">
        <v>44</v>
      </c>
      <c r="C751" s="4">
        <v>750.0</v>
      </c>
      <c r="D751" s="13" t="str">
        <f>HYPERLINK("https://www.linkedin.com/ad-library/detail/895377334","Open Ad")</f>
        <v>Open Ad</v>
      </c>
      <c r="E751" s="4" t="s">
        <v>91</v>
      </c>
      <c r="F751" s="4" t="s">
        <v>5225</v>
      </c>
      <c r="G751" s="4" t="s">
        <v>5226</v>
      </c>
      <c r="H751" s="4" t="s">
        <v>55</v>
      </c>
      <c r="I751" s="4" t="s">
        <v>1377</v>
      </c>
      <c r="J751" s="4" t="s">
        <v>91</v>
      </c>
      <c r="K751" s="13" t="str">
        <f>HYPERLINK("https://media.licdn.com/dms/image/v2/D4E10AQE9CzxEJ5VkCA/image-shrink_1280/B4EZpYu5WBIoAM-/0/1762425280436?e=2147483647&amp;v=beta&amp;t=jULlhAtQ2-aKc_79jtvv9eFa1HG5r9Eqc2nYOxJhU7Y","Open Creative")</f>
        <v>Open Creative</v>
      </c>
      <c r="L751" s="4" t="s">
        <v>3498</v>
      </c>
      <c r="M751" s="4" t="s">
        <v>63</v>
      </c>
      <c r="N751" s="4" t="s">
        <v>6185</v>
      </c>
      <c r="O751" s="2" t="s">
        <v>132</v>
      </c>
      <c r="P751" s="2">
        <v>8.95377334E8</v>
      </c>
      <c r="Q751" s="2" t="s">
        <v>68</v>
      </c>
      <c r="R751" s="4" t="s">
        <v>6513</v>
      </c>
    </row>
    <row r="752">
      <c r="A752" s="4" t="s">
        <v>44</v>
      </c>
      <c r="B752" s="4" t="s">
        <v>44</v>
      </c>
      <c r="C752" s="4">
        <v>751.0</v>
      </c>
      <c r="D752" s="13" t="str">
        <f>HYPERLINK("https://www.linkedin.com/ad-library/detail/895445364","Open Ad")</f>
        <v>Open Ad</v>
      </c>
      <c r="E752" s="4" t="s">
        <v>91</v>
      </c>
      <c r="F752" s="4" t="s">
        <v>5225</v>
      </c>
      <c r="G752" s="4" t="s">
        <v>5226</v>
      </c>
      <c r="H752" s="4" t="s">
        <v>55</v>
      </c>
      <c r="I752" s="4" t="s">
        <v>1377</v>
      </c>
      <c r="J752" s="4" t="s">
        <v>91</v>
      </c>
      <c r="K752" s="13" t="str">
        <f>HYPERLINK("https://media.licdn.com/dms/image/v2/D4E10AQH5X7s0sR5tMg/image-shrink_1280/B4EZpYu5T.JgAI-/0/1762425280345?e=2147483647&amp;v=beta&amp;t=MffacK2ruE-QRZ0oO3gk3853UD5-2Y_o01k6Kqth0zc","Open Creative")</f>
        <v>Open Creative</v>
      </c>
      <c r="L752" s="4" t="s">
        <v>3498</v>
      </c>
      <c r="M752" s="4" t="s">
        <v>63</v>
      </c>
      <c r="N752" s="4" t="s">
        <v>6185</v>
      </c>
      <c r="O752" s="2" t="s">
        <v>132</v>
      </c>
      <c r="P752" s="2">
        <v>8.95445364E8</v>
      </c>
      <c r="Q752" s="2" t="s">
        <v>68</v>
      </c>
      <c r="R752" s="4" t="s">
        <v>6516</v>
      </c>
    </row>
    <row r="753">
      <c r="A753" s="4" t="s">
        <v>44</v>
      </c>
      <c r="B753" s="4" t="s">
        <v>44</v>
      </c>
      <c r="C753" s="4">
        <v>752.0</v>
      </c>
      <c r="D753" s="13" t="str">
        <f>HYPERLINK("https://www.linkedin.com/ad-library/detail/895377324","Open Ad")</f>
        <v>Open Ad</v>
      </c>
      <c r="E753" s="4" t="s">
        <v>91</v>
      </c>
      <c r="F753" s="4" t="s">
        <v>5225</v>
      </c>
      <c r="G753" s="4" t="s">
        <v>5226</v>
      </c>
      <c r="H753" s="4" t="s">
        <v>55</v>
      </c>
      <c r="I753" s="4" t="s">
        <v>1377</v>
      </c>
      <c r="J753" s="4" t="s">
        <v>91</v>
      </c>
      <c r="K753" s="13" t="str">
        <f>HYPERLINK("https://media.licdn.com/dms/image/v2/D4E10AQEKsN1s7nq0wg/image-shrink_1280/B4EZpYu028KYAM-/0/1762425262622?e=2147483647&amp;v=beta&amp;t=MnnbpFh0uaBR9vlnBlfWkLDpClMLDNklxHw1J8wp3TI","Open Creative")</f>
        <v>Open Creative</v>
      </c>
      <c r="L753" s="4" t="s">
        <v>3498</v>
      </c>
      <c r="M753" s="4" t="s">
        <v>63</v>
      </c>
      <c r="N753" s="4" t="s">
        <v>6185</v>
      </c>
      <c r="O753" s="2" t="s">
        <v>132</v>
      </c>
      <c r="P753" s="2">
        <v>8.95377324E8</v>
      </c>
      <c r="Q753" s="2" t="s">
        <v>68</v>
      </c>
      <c r="R753" s="4" t="s">
        <v>6519</v>
      </c>
    </row>
    <row r="754">
      <c r="A754" s="4" t="s">
        <v>44</v>
      </c>
      <c r="B754" s="4" t="s">
        <v>44</v>
      </c>
      <c r="C754" s="4">
        <v>753.0</v>
      </c>
      <c r="D754" s="13" t="str">
        <f>HYPERLINK("https://www.linkedin.com/ad-library/detail/895239314","Open Ad")</f>
        <v>Open Ad</v>
      </c>
      <c r="E754" s="4" t="s">
        <v>91</v>
      </c>
      <c r="F754" s="4" t="s">
        <v>5225</v>
      </c>
      <c r="G754" s="4" t="s">
        <v>5226</v>
      </c>
      <c r="H754" s="4" t="s">
        <v>55</v>
      </c>
      <c r="I754" s="4" t="s">
        <v>1377</v>
      </c>
      <c r="J754" s="4" t="s">
        <v>91</v>
      </c>
      <c r="K754" s="13" t="str">
        <f>HYPERLINK("https://media.licdn.com/dms/image/v2/D4E10AQGpNCv7txChEg/image-shrink_1280/B4EZpYuwHfKYAQ-/0/1762425242674?e=2147483647&amp;v=beta&amp;t=y8ivt6LNB6q19FXJjp90mudyIdV6P-gzp_BsduqCgRk","Open Creative")</f>
        <v>Open Creative</v>
      </c>
      <c r="L754" s="4" t="s">
        <v>3498</v>
      </c>
      <c r="M754" s="4" t="s">
        <v>63</v>
      </c>
      <c r="N754" s="4" t="s">
        <v>6185</v>
      </c>
      <c r="O754" s="2" t="s">
        <v>132</v>
      </c>
      <c r="P754" s="2">
        <v>8.95239314E8</v>
      </c>
      <c r="Q754" s="2" t="s">
        <v>68</v>
      </c>
      <c r="R754" s="4" t="s">
        <v>6522</v>
      </c>
    </row>
    <row r="755">
      <c r="A755" s="4" t="s">
        <v>44</v>
      </c>
      <c r="B755" s="4" t="s">
        <v>44</v>
      </c>
      <c r="C755" s="4">
        <v>754.0</v>
      </c>
      <c r="D755" s="13" t="str">
        <f>HYPERLINK("https://www.linkedin.com/ad-library/detail/895268724","Open Ad")</f>
        <v>Open Ad</v>
      </c>
      <c r="E755" s="4" t="s">
        <v>91</v>
      </c>
      <c r="F755" s="4" t="s">
        <v>5225</v>
      </c>
      <c r="G755" s="4" t="s">
        <v>5226</v>
      </c>
      <c r="H755" s="4" t="s">
        <v>55</v>
      </c>
      <c r="I755" s="4" t="s">
        <v>1377</v>
      </c>
      <c r="J755" s="4" t="s">
        <v>91</v>
      </c>
      <c r="K755" s="13" t="str">
        <f>HYPERLINK("https://media.licdn.com/dms/image/v2/D4E10AQGHEojsaYzvkQ/image-shrink_1280/B4EZpYu5UMHUAM-/0/1762425280488?e=2147483647&amp;v=beta&amp;t=-DeRbDKmKBg1KMKw9Zw3y15A1LPdNFLulrSOybV7fZA","Open Creative")</f>
        <v>Open Creative</v>
      </c>
      <c r="L755" s="4" t="s">
        <v>3498</v>
      </c>
      <c r="M755" s="4" t="s">
        <v>63</v>
      </c>
      <c r="N755" s="4" t="s">
        <v>6185</v>
      </c>
      <c r="O755" s="2" t="s">
        <v>132</v>
      </c>
      <c r="P755" s="2">
        <v>8.95268724E8</v>
      </c>
      <c r="Q755" s="2" t="s">
        <v>68</v>
      </c>
      <c r="R755" s="4" t="s">
        <v>6525</v>
      </c>
    </row>
    <row r="756">
      <c r="A756" s="4" t="s">
        <v>44</v>
      </c>
      <c r="B756" s="4" t="s">
        <v>44</v>
      </c>
      <c r="C756" s="4">
        <v>755.0</v>
      </c>
      <c r="D756" s="13" t="str">
        <f>HYPERLINK("https://www.linkedin.com/ad-library/detail/895268714","Open Ad")</f>
        <v>Open Ad</v>
      </c>
      <c r="E756" s="4" t="s">
        <v>91</v>
      </c>
      <c r="F756" s="4" t="s">
        <v>5289</v>
      </c>
      <c r="G756" s="4" t="s">
        <v>5290</v>
      </c>
      <c r="H756" s="4" t="s">
        <v>55</v>
      </c>
      <c r="I756" s="4" t="s">
        <v>653</v>
      </c>
      <c r="J756" s="4" t="s">
        <v>91</v>
      </c>
      <c r="K756" s="13" t="str">
        <f>HYPERLINK("https://media.licdn.com/dms/image/v2/D4E10AQF3ZhEC3ph9tg/image-shrink_1280/B4EZpYu00NKkAM-/0/1762425262038?e=2147483647&amp;v=beta&amp;t=WVn95uIzx4i_TyD3xfI55BmdluKSihLC0ryq5kqFYuU","Open Creative")</f>
        <v>Open Creative</v>
      </c>
      <c r="L756" s="4" t="s">
        <v>3498</v>
      </c>
      <c r="M756" s="4" t="s">
        <v>63</v>
      </c>
      <c r="N756" s="4" t="s">
        <v>6185</v>
      </c>
      <c r="O756" s="2" t="s">
        <v>132</v>
      </c>
      <c r="P756" s="2">
        <v>8.95268714E8</v>
      </c>
      <c r="Q756" s="2" t="s">
        <v>68</v>
      </c>
      <c r="R756" s="4" t="s">
        <v>6528</v>
      </c>
    </row>
    <row r="757">
      <c r="A757" s="4" t="s">
        <v>44</v>
      </c>
      <c r="B757" s="4" t="s">
        <v>44</v>
      </c>
      <c r="C757" s="4">
        <v>756.0</v>
      </c>
      <c r="D757" s="13" t="str">
        <f>HYPERLINK("https://www.linkedin.com/ad-library/detail/895387074","Open Ad")</f>
        <v>Open Ad</v>
      </c>
      <c r="E757" s="4" t="s">
        <v>91</v>
      </c>
      <c r="F757" s="4" t="s">
        <v>5225</v>
      </c>
      <c r="G757" s="4" t="s">
        <v>5226</v>
      </c>
      <c r="H757" s="4" t="s">
        <v>55</v>
      </c>
      <c r="I757" s="4" t="s">
        <v>1377</v>
      </c>
      <c r="J757" s="4" t="s">
        <v>91</v>
      </c>
      <c r="K757" s="13" t="str">
        <f>HYPERLINK("https://media.licdn.com/dms/image/v2/D4E10AQFOH-stGCuv0g/image-shrink_1280/B4EZpYuwMyKcAM-/0/1762425243776?e=2147483647&amp;v=beta&amp;t=oWv-I68RC3PgtDLlN6QFRoKHMwEwxCBNpR4l7cZfhZg","Open Creative")</f>
        <v>Open Creative</v>
      </c>
      <c r="L757" s="4" t="s">
        <v>3498</v>
      </c>
      <c r="M757" s="4" t="s">
        <v>63</v>
      </c>
      <c r="N757" s="4" t="s">
        <v>6531</v>
      </c>
      <c r="O757" s="2" t="s">
        <v>132</v>
      </c>
      <c r="P757" s="2">
        <v>8.95387074E8</v>
      </c>
      <c r="Q757" s="2" t="s">
        <v>68</v>
      </c>
      <c r="R757" s="4" t="s">
        <v>6532</v>
      </c>
    </row>
    <row r="758">
      <c r="A758" s="4" t="s">
        <v>44</v>
      </c>
      <c r="B758" s="4" t="s">
        <v>44</v>
      </c>
      <c r="C758" s="4">
        <v>757.0</v>
      </c>
      <c r="D758" s="13" t="str">
        <f>HYPERLINK("https://www.linkedin.com/ad-library/detail/895259074","Open Ad")</f>
        <v>Open Ad</v>
      </c>
      <c r="E758" s="4" t="s">
        <v>91</v>
      </c>
      <c r="F758" s="4" t="s">
        <v>5225</v>
      </c>
      <c r="G758" s="4" t="s">
        <v>5226</v>
      </c>
      <c r="H758" s="4" t="s">
        <v>55</v>
      </c>
      <c r="I758" s="4" t="s">
        <v>1377</v>
      </c>
      <c r="J758" s="4" t="s">
        <v>91</v>
      </c>
      <c r="K758" s="13" t="str">
        <f>HYPERLINK("https://media.licdn.com/dms/image/v2/D4E10AQHKIYBcM2iH2Q/image-shrink_1280/B4EZpYu5SwKMAM-/0/1762425280814?e=2147483647&amp;v=beta&amp;t=Fg447eBSXuX8Iox6hKJ6TacY4qewqNW3_j00dfl-nQg","Open Creative")</f>
        <v>Open Creative</v>
      </c>
      <c r="L758" s="4" t="s">
        <v>3498</v>
      </c>
      <c r="M758" s="4" t="s">
        <v>63</v>
      </c>
      <c r="N758" s="4" t="s">
        <v>6185</v>
      </c>
      <c r="O758" s="2" t="s">
        <v>132</v>
      </c>
      <c r="P758" s="2">
        <v>8.95259074E8</v>
      </c>
      <c r="Q758" s="2" t="s">
        <v>68</v>
      </c>
      <c r="R758" s="4" t="s">
        <v>6535</v>
      </c>
    </row>
    <row r="759">
      <c r="A759" s="4" t="s">
        <v>44</v>
      </c>
      <c r="B759" s="4" t="s">
        <v>44</v>
      </c>
      <c r="C759" s="4">
        <v>758.0</v>
      </c>
      <c r="D759" s="13" t="str">
        <f>HYPERLINK("https://www.linkedin.com/ad-library/detail/895288054","Open Ad")</f>
        <v>Open Ad</v>
      </c>
      <c r="E759" s="4" t="s">
        <v>91</v>
      </c>
      <c r="F759" s="4" t="s">
        <v>5225</v>
      </c>
      <c r="G759" s="4" t="s">
        <v>5226</v>
      </c>
      <c r="H759" s="4" t="s">
        <v>55</v>
      </c>
      <c r="I759" s="4" t="s">
        <v>1377</v>
      </c>
      <c r="J759" s="4" t="s">
        <v>91</v>
      </c>
      <c r="K759" s="13" t="str">
        <f>HYPERLINK("https://media.licdn.com/dms/image/v2/D4E10AQHUBbcvUvRjAA/image-shrink_1280/B4EZpYuwKyKsAM-/0/1762425243061?e=2147483647&amp;v=beta&amp;t=yp-to_SwqD--4hDCpSqfkjufLSb9ZazNrSmbD7kPbsI","Open Creative")</f>
        <v>Open Creative</v>
      </c>
      <c r="L759" s="4" t="s">
        <v>3498</v>
      </c>
      <c r="M759" s="4" t="s">
        <v>63</v>
      </c>
      <c r="N759" s="4" t="s">
        <v>6185</v>
      </c>
      <c r="O759" s="2" t="s">
        <v>132</v>
      </c>
      <c r="P759" s="2">
        <v>8.95288054E8</v>
      </c>
      <c r="Q759" s="2" t="s">
        <v>68</v>
      </c>
      <c r="R759" s="4" t="s">
        <v>6538</v>
      </c>
    </row>
    <row r="760">
      <c r="A760" s="4" t="s">
        <v>44</v>
      </c>
      <c r="B760" s="4" t="s">
        <v>44</v>
      </c>
      <c r="C760" s="4">
        <v>759.0</v>
      </c>
      <c r="D760" s="13" t="str">
        <f>HYPERLINK("https://www.linkedin.com/ad-library/detail/895288074","Open Ad")</f>
        <v>Open Ad</v>
      </c>
      <c r="E760" s="4" t="s">
        <v>91</v>
      </c>
      <c r="F760" s="4" t="s">
        <v>5225</v>
      </c>
      <c r="G760" s="4" t="s">
        <v>5226</v>
      </c>
      <c r="H760" s="4" t="s">
        <v>55</v>
      </c>
      <c r="I760" s="4" t="s">
        <v>1377</v>
      </c>
      <c r="J760" s="4" t="s">
        <v>91</v>
      </c>
      <c r="K760" s="13" t="str">
        <f>HYPERLINK("https://media.licdn.com/dms/image/v2/D4E10AQE-zfQ9R_4Nyg/image-shrink_1280/B4EZpYu03TJgAQ-/0/1762425262124?e=2147483647&amp;v=beta&amp;t=L-fKKW_gWBgBCSsmPNADpfzRN2R-zEzozPz4_irYtzY","Open Creative")</f>
        <v>Open Creative</v>
      </c>
      <c r="L760" s="4" t="s">
        <v>3498</v>
      </c>
      <c r="M760" s="4" t="s">
        <v>63</v>
      </c>
      <c r="N760" s="4" t="s">
        <v>6185</v>
      </c>
      <c r="O760" s="2" t="s">
        <v>132</v>
      </c>
      <c r="P760" s="2">
        <v>8.95288074E8</v>
      </c>
      <c r="Q760" s="2" t="s">
        <v>68</v>
      </c>
      <c r="R760" s="4" t="s">
        <v>6540</v>
      </c>
    </row>
    <row r="761">
      <c r="A761" s="4" t="s">
        <v>44</v>
      </c>
      <c r="B761" s="4" t="s">
        <v>44</v>
      </c>
      <c r="C761" s="4">
        <v>760.0</v>
      </c>
      <c r="D761" s="13" t="str">
        <f>HYPERLINK("https://www.linkedin.com/ad-library/detail/895367734","Open Ad")</f>
        <v>Open Ad</v>
      </c>
      <c r="E761" s="4" t="s">
        <v>91</v>
      </c>
      <c r="F761" s="4" t="s">
        <v>5225</v>
      </c>
      <c r="G761" s="4" t="s">
        <v>5226</v>
      </c>
      <c r="H761" s="4" t="s">
        <v>55</v>
      </c>
      <c r="I761" s="4" t="s">
        <v>1377</v>
      </c>
      <c r="J761" s="4" t="s">
        <v>91</v>
      </c>
      <c r="K761" s="13" t="str">
        <f>HYPERLINK("https://media.licdn.com/dms/image/v2/D4E10AQFVvqditrhF9g/image-shrink_1280/B4EZpYu02IIIAU-/0/1762425262485?e=2147483647&amp;v=beta&amp;t=WP6pfusNsIQA571kaZ-atZ3BbL2f5eQxhsZfqMd9cjI","Open Creative")</f>
        <v>Open Creative</v>
      </c>
      <c r="L761" s="4" t="s">
        <v>3498</v>
      </c>
      <c r="M761" s="4" t="s">
        <v>63</v>
      </c>
      <c r="N761" s="4" t="s">
        <v>6185</v>
      </c>
      <c r="O761" s="2" t="s">
        <v>132</v>
      </c>
      <c r="P761" s="2">
        <v>8.95367734E8</v>
      </c>
      <c r="Q761" s="2" t="s">
        <v>68</v>
      </c>
      <c r="R761" s="4" t="s">
        <v>6543</v>
      </c>
    </row>
    <row r="762">
      <c r="A762" s="4" t="s">
        <v>44</v>
      </c>
      <c r="B762" s="4" t="s">
        <v>44</v>
      </c>
      <c r="C762" s="4">
        <v>761.0</v>
      </c>
      <c r="D762" s="13" t="str">
        <f>HYPERLINK("https://www.linkedin.com/ad-library/detail/895288064","Open Ad")</f>
        <v>Open Ad</v>
      </c>
      <c r="E762" s="4" t="s">
        <v>91</v>
      </c>
      <c r="F762" s="4" t="s">
        <v>5225</v>
      </c>
      <c r="G762" s="4" t="s">
        <v>5226</v>
      </c>
      <c r="H762" s="4" t="s">
        <v>55</v>
      </c>
      <c r="I762" s="4" t="s">
        <v>1377</v>
      </c>
      <c r="J762" s="4" t="s">
        <v>91</v>
      </c>
      <c r="K762" s="13" t="str">
        <f>HYPERLINK("https://media.licdn.com/dms/image/v2/D4E10AQEkSo99jJjpWw/image-shrink_1280/B4EZpYuwPmKMAQ-/0/1762425243239?e=2147483647&amp;v=beta&amp;t=Sm8XJf01L4jGL2h7m5tsu-7X6Zdyb3Q7dpWObyWHJ9c","Open Creative")</f>
        <v>Open Creative</v>
      </c>
      <c r="L762" s="4" t="s">
        <v>3498</v>
      </c>
      <c r="M762" s="4" t="s">
        <v>63</v>
      </c>
      <c r="N762" s="4" t="s">
        <v>6185</v>
      </c>
      <c r="O762" s="2" t="s">
        <v>132</v>
      </c>
      <c r="P762" s="2">
        <v>8.95288064E8</v>
      </c>
      <c r="Q762" s="2" t="s">
        <v>68</v>
      </c>
      <c r="R762" s="4" t="s">
        <v>6545</v>
      </c>
    </row>
    <row r="763">
      <c r="A763" s="4" t="s">
        <v>44</v>
      </c>
      <c r="B763" s="4" t="s">
        <v>44</v>
      </c>
      <c r="C763" s="4">
        <v>762.0</v>
      </c>
      <c r="D763" s="13" t="str">
        <f>HYPERLINK("https://www.linkedin.com/ad-library/detail/895425994","Open Ad")</f>
        <v>Open Ad</v>
      </c>
      <c r="E763" s="4" t="s">
        <v>91</v>
      </c>
      <c r="F763" s="4" t="s">
        <v>5289</v>
      </c>
      <c r="G763" s="4" t="s">
        <v>5290</v>
      </c>
      <c r="H763" s="4" t="s">
        <v>55</v>
      </c>
      <c r="I763" s="4" t="s">
        <v>653</v>
      </c>
      <c r="J763" s="4" t="s">
        <v>91</v>
      </c>
      <c r="K763" s="13" t="str">
        <f>HYPERLINK("https://media.licdn.com/dms/image/v2/D4E10AQHTT3_Ydn-xPw/image-shrink_1280/B4EZpYu5QeHgAM-/0/1762425280155?e=2147483647&amp;v=beta&amp;t=iuJcTmTJ7gGJi3VVi9vT56aJLuAE1y1vR6AlOb6d0dA","Open Creative")</f>
        <v>Open Creative</v>
      </c>
      <c r="L763" s="4" t="s">
        <v>3498</v>
      </c>
      <c r="M763" s="4" t="s">
        <v>63</v>
      </c>
      <c r="N763" s="4" t="s">
        <v>6185</v>
      </c>
      <c r="O763" s="2" t="s">
        <v>132</v>
      </c>
      <c r="P763" s="2">
        <v>8.95425994E8</v>
      </c>
      <c r="Q763" s="2" t="s">
        <v>68</v>
      </c>
      <c r="R763" s="4" t="s">
        <v>6548</v>
      </c>
    </row>
    <row r="764">
      <c r="A764" s="4" t="s">
        <v>44</v>
      </c>
      <c r="B764" s="4" t="s">
        <v>44</v>
      </c>
      <c r="C764" s="4">
        <v>763.0</v>
      </c>
      <c r="D764" s="13" t="str">
        <f>HYPERLINK("https://www.linkedin.com/ad-library/detail/895288084","Open Ad")</f>
        <v>Open Ad</v>
      </c>
      <c r="E764" s="4" t="s">
        <v>91</v>
      </c>
      <c r="F764" s="4" t="s">
        <v>5225</v>
      </c>
      <c r="G764" s="4" t="s">
        <v>5226</v>
      </c>
      <c r="H764" s="4" t="s">
        <v>55</v>
      </c>
      <c r="I764" s="4" t="s">
        <v>1377</v>
      </c>
      <c r="J764" s="4" t="s">
        <v>91</v>
      </c>
      <c r="K764" s="13" t="str">
        <f>HYPERLINK("https://media.licdn.com/dms/image/v2/D4E10AQFCrHX5r8IE6w/image-shrink_1280/B4EZpYu5TmHgAM-/0/1762425280917?e=2147483647&amp;v=beta&amp;t=L_VNrk72A1k1KS_z2ukdUDuMsgaHagtrBXJSzAe-ZBQ","Open Creative")</f>
        <v>Open Creative</v>
      </c>
      <c r="L764" s="4" t="s">
        <v>3498</v>
      </c>
      <c r="M764" s="4" t="s">
        <v>63</v>
      </c>
      <c r="N764" s="4" t="s">
        <v>6185</v>
      </c>
      <c r="O764" s="2" t="s">
        <v>132</v>
      </c>
      <c r="P764" s="2">
        <v>8.95288084E8</v>
      </c>
      <c r="Q764" s="2" t="s">
        <v>68</v>
      </c>
      <c r="R764" s="4" t="s">
        <v>6551</v>
      </c>
    </row>
    <row r="765">
      <c r="A765" s="4" t="s">
        <v>44</v>
      </c>
      <c r="B765" s="4" t="s">
        <v>44</v>
      </c>
      <c r="C765" s="4">
        <v>764.0</v>
      </c>
      <c r="D765" s="13" t="str">
        <f>HYPERLINK("https://www.linkedin.com/ad-library/detail/895278564","Open Ad")</f>
        <v>Open Ad</v>
      </c>
      <c r="E765" s="4" t="s">
        <v>91</v>
      </c>
      <c r="F765" s="4" t="s">
        <v>5225</v>
      </c>
      <c r="G765" s="4" t="s">
        <v>5226</v>
      </c>
      <c r="H765" s="4" t="s">
        <v>55</v>
      </c>
      <c r="I765" s="4" t="s">
        <v>1377</v>
      </c>
      <c r="J765" s="4" t="s">
        <v>91</v>
      </c>
      <c r="K765" s="13" t="str">
        <f>HYPERLINK("https://media.licdn.com/dms/image/v2/D4E10AQEf-R8zKP1Aqw/image-shrink_1280/B4EZpYuwNGGYAM-/0/1762425243183?e=2147483647&amp;v=beta&amp;t=pk6CLdTaneNWf3Pq0VwMYj2CjZwjDYaFHI8Wg8KVlMQ","Open Creative")</f>
        <v>Open Creative</v>
      </c>
      <c r="L765" s="4" t="s">
        <v>3498</v>
      </c>
      <c r="M765" s="4" t="s">
        <v>63</v>
      </c>
      <c r="N765" s="4" t="s">
        <v>6185</v>
      </c>
      <c r="O765" s="2" t="s">
        <v>132</v>
      </c>
      <c r="P765" s="2">
        <v>8.95278564E8</v>
      </c>
      <c r="Q765" s="2" t="s">
        <v>68</v>
      </c>
      <c r="R765" s="4" t="s">
        <v>6554</v>
      </c>
    </row>
    <row r="766">
      <c r="A766" s="4" t="s">
        <v>44</v>
      </c>
      <c r="B766" s="4" t="s">
        <v>44</v>
      </c>
      <c r="C766" s="4">
        <v>765.0</v>
      </c>
      <c r="D766" s="13" t="str">
        <f>HYPERLINK("https://www.linkedin.com/ad-library/detail/895308064","Open Ad")</f>
        <v>Open Ad</v>
      </c>
      <c r="E766" s="4" t="s">
        <v>91</v>
      </c>
      <c r="F766" s="4" t="s">
        <v>5225</v>
      </c>
      <c r="G766" s="4" t="s">
        <v>5226</v>
      </c>
      <c r="H766" s="4" t="s">
        <v>55</v>
      </c>
      <c r="I766" s="4" t="s">
        <v>1377</v>
      </c>
      <c r="J766" s="4" t="s">
        <v>91</v>
      </c>
      <c r="K766" s="13" t="str">
        <f>HYPERLINK("https://media.licdn.com/dms/image/v2/D4E10AQGf3iXR4CkA1A/image-shrink_1280/B4EZpYu5SlKsAM-/0/1762425280316?e=2147483647&amp;v=beta&amp;t=E_9U0vBH4cLMZ7pSAe0pBjA4J_ET5Ct9yo0gT4U25hM","Open Creative")</f>
        <v>Open Creative</v>
      </c>
      <c r="L766" s="4" t="s">
        <v>3498</v>
      </c>
      <c r="M766" s="4" t="s">
        <v>63</v>
      </c>
      <c r="N766" s="4" t="s">
        <v>6185</v>
      </c>
      <c r="O766" s="2" t="s">
        <v>132</v>
      </c>
      <c r="P766" s="2">
        <v>8.95308064E8</v>
      </c>
      <c r="Q766" s="2" t="s">
        <v>68</v>
      </c>
      <c r="R766" s="4" t="s">
        <v>6557</v>
      </c>
    </row>
    <row r="767">
      <c r="A767" s="4" t="s">
        <v>44</v>
      </c>
      <c r="B767" s="4" t="s">
        <v>44</v>
      </c>
      <c r="C767" s="4">
        <v>766.0</v>
      </c>
      <c r="D767" s="13" t="str">
        <f>HYPERLINK("https://www.linkedin.com/ad-library/detail/895387104","Open Ad")</f>
        <v>Open Ad</v>
      </c>
      <c r="E767" s="4" t="s">
        <v>91</v>
      </c>
      <c r="F767" s="4" t="s">
        <v>5225</v>
      </c>
      <c r="G767" s="4" t="s">
        <v>5226</v>
      </c>
      <c r="H767" s="4" t="s">
        <v>55</v>
      </c>
      <c r="I767" s="4" t="s">
        <v>1377</v>
      </c>
      <c r="J767" s="4" t="s">
        <v>91</v>
      </c>
      <c r="K767" s="13" t="str">
        <f>HYPERLINK("https://media.licdn.com/dms/image/v2/D4E10AQFdx7OjFKnMQQ/image-shrink_1280/B4EZpYu02KKMAM-/0/1762425262177?e=2147483647&amp;v=beta&amp;t=HRFW28NUQg7VhngUqstwiWWP1oS2eaW9bFRSA6O93lM","Open Creative")</f>
        <v>Open Creative</v>
      </c>
      <c r="L767" s="4" t="s">
        <v>3498</v>
      </c>
      <c r="M767" s="4" t="s">
        <v>63</v>
      </c>
      <c r="N767" s="4" t="s">
        <v>6185</v>
      </c>
      <c r="O767" s="2" t="s">
        <v>132</v>
      </c>
      <c r="P767" s="2">
        <v>8.95387104E8</v>
      </c>
      <c r="Q767" s="2" t="s">
        <v>68</v>
      </c>
      <c r="R767" s="4" t="s">
        <v>6560</v>
      </c>
    </row>
    <row r="768">
      <c r="A768" s="4" t="s">
        <v>44</v>
      </c>
      <c r="B768" s="4" t="s">
        <v>44</v>
      </c>
      <c r="C768" s="4">
        <v>767.0</v>
      </c>
      <c r="D768" s="13" t="str">
        <f>HYPERLINK("https://www.linkedin.com/ad-library/detail/895308054","Open Ad")</f>
        <v>Open Ad</v>
      </c>
      <c r="E768" s="4" t="s">
        <v>91</v>
      </c>
      <c r="F768" s="4" t="s">
        <v>5289</v>
      </c>
      <c r="G768" s="4" t="s">
        <v>5290</v>
      </c>
      <c r="H768" s="4" t="s">
        <v>55</v>
      </c>
      <c r="I768" s="4" t="s">
        <v>653</v>
      </c>
      <c r="J768" s="4" t="s">
        <v>91</v>
      </c>
      <c r="K768" s="13" t="str">
        <f>HYPERLINK("https://media.licdn.com/dms/image/v2/D4E10AQFr9fuF9Pmsiw/image-shrink_1280/B4EZpYu0z3HcAM-/0/1762425262121?e=2147483647&amp;v=beta&amp;t=lx2a8d4Ysdfx8fXiAeG2jRIE4cT4UmG76Ns4GcM3ZuY","Open Creative")</f>
        <v>Open Creative</v>
      </c>
      <c r="L768" s="4" t="s">
        <v>3498</v>
      </c>
      <c r="M768" s="4" t="s">
        <v>63</v>
      </c>
      <c r="N768" s="4" t="s">
        <v>6185</v>
      </c>
      <c r="O768" s="2" t="s">
        <v>132</v>
      </c>
      <c r="P768" s="2">
        <v>8.95308054E8</v>
      </c>
      <c r="Q768" s="2" t="s">
        <v>68</v>
      </c>
      <c r="R768" s="4" t="s">
        <v>6562</v>
      </c>
    </row>
    <row r="769">
      <c r="A769" s="4" t="s">
        <v>44</v>
      </c>
      <c r="B769" s="4" t="s">
        <v>44</v>
      </c>
      <c r="C769" s="4">
        <v>768.0</v>
      </c>
      <c r="D769" s="13" t="str">
        <f>HYPERLINK("https://www.linkedin.com/ad-library/detail/895406514","Open Ad")</f>
        <v>Open Ad</v>
      </c>
      <c r="E769" s="4" t="s">
        <v>91</v>
      </c>
      <c r="F769" s="4" t="s">
        <v>5289</v>
      </c>
      <c r="G769" s="4" t="s">
        <v>5290</v>
      </c>
      <c r="H769" s="4" t="s">
        <v>55</v>
      </c>
      <c r="I769" s="4" t="s">
        <v>653</v>
      </c>
      <c r="J769" s="4" t="s">
        <v>91</v>
      </c>
      <c r="K769" s="13" t="str">
        <f>HYPERLINK("https://media.licdn.com/dms/image/v2/D4E10AQElviOkJPGq5w/image-shrink_1280/B4EZpYuwLxIQAU-/0/1762425243534?e=2147483647&amp;v=beta&amp;t=vkXr0dPfB98x_vx4mgGD_35q7nkWHGMrNRFGwK-BsQM","Open Creative")</f>
        <v>Open Creative</v>
      </c>
      <c r="L769" s="4" t="s">
        <v>3498</v>
      </c>
      <c r="M769" s="4" t="s">
        <v>63</v>
      </c>
      <c r="N769" s="4" t="s">
        <v>6185</v>
      </c>
      <c r="O769" s="2" t="s">
        <v>132</v>
      </c>
      <c r="P769" s="2">
        <v>8.95406514E8</v>
      </c>
      <c r="Q769" s="2" t="s">
        <v>68</v>
      </c>
      <c r="R769" s="4" t="s">
        <v>6564</v>
      </c>
    </row>
    <row r="770">
      <c r="A770" s="4" t="s">
        <v>44</v>
      </c>
      <c r="B770" s="4" t="s">
        <v>44</v>
      </c>
      <c r="C770" s="4">
        <v>769.0</v>
      </c>
      <c r="D770" s="13" t="str">
        <f>HYPERLINK("https://www.linkedin.com/ad-library/detail/894640234","Open Ad")</f>
        <v>Open Ad</v>
      </c>
      <c r="E770" s="4" t="s">
        <v>91</v>
      </c>
      <c r="F770" s="4" t="s">
        <v>4343</v>
      </c>
      <c r="G770" s="4" t="s">
        <v>4344</v>
      </c>
      <c r="H770" s="4" t="s">
        <v>55</v>
      </c>
      <c r="I770" s="4" t="s">
        <v>4345</v>
      </c>
      <c r="J770" s="4" t="s">
        <v>91</v>
      </c>
      <c r="K770" s="13" t="str">
        <f>HYPERLINK("https://media.licdn.com/dms/image/v2/D4E10AQFrvZlk7xzYGA/image-shrink_1280/B4EZpJH38cGUAM-/0/1762163393376/Analyzeseo_v3png?e=2147483647&amp;v=beta&amp;t=CATIMuw66HtFFmiECmnv7JsWS6ghLh6qWFZVFsLoJFQ","Open Creative")</f>
        <v>Open Creative</v>
      </c>
      <c r="L770" s="4" t="s">
        <v>3498</v>
      </c>
      <c r="M770" s="4" t="s">
        <v>63</v>
      </c>
      <c r="N770" s="4" t="s">
        <v>6567</v>
      </c>
      <c r="O770" s="2" t="s">
        <v>132</v>
      </c>
      <c r="P770" s="2">
        <v>8.94640234E8</v>
      </c>
      <c r="Q770" s="2" t="s">
        <v>68</v>
      </c>
      <c r="R770" s="4" t="s">
        <v>6568</v>
      </c>
    </row>
    <row r="771">
      <c r="A771" s="4" t="s">
        <v>44</v>
      </c>
      <c r="B771" s="4" t="s">
        <v>44</v>
      </c>
      <c r="C771" s="4">
        <v>770.0</v>
      </c>
      <c r="D771" s="13" t="str">
        <f>HYPERLINK("https://www.linkedin.com/ad-library/detail/894581604","Open Ad")</f>
        <v>Open Ad</v>
      </c>
      <c r="E771" s="4" t="s">
        <v>91</v>
      </c>
      <c r="F771" s="4" t="s">
        <v>4343</v>
      </c>
      <c r="G771" s="4" t="s">
        <v>4344</v>
      </c>
      <c r="H771" s="4" t="s">
        <v>55</v>
      </c>
      <c r="I771" s="4" t="s">
        <v>4345</v>
      </c>
      <c r="J771" s="4" t="s">
        <v>91</v>
      </c>
      <c r="K771" s="13" t="str">
        <f>HYPERLINK("https://media.licdn.com/dms/image/v2/D4E10AQGlzxaKaJymrw/image-shrink_1280/B4EZpJHOAnHoAM-/0/1762163221695/Analyzeseo_v2png?e=2147483647&amp;v=beta&amp;t=vin2EBRhZuEmnxFdYMIh39L_t5ptC9mjT8COKKz3Jac","Open Creative")</f>
        <v>Open Creative</v>
      </c>
      <c r="L771" s="4" t="s">
        <v>3498</v>
      </c>
      <c r="M771" s="4" t="s">
        <v>63</v>
      </c>
      <c r="N771" s="4" t="s">
        <v>6567</v>
      </c>
      <c r="O771" s="2" t="s">
        <v>132</v>
      </c>
      <c r="P771" s="2">
        <v>8.94581604E8</v>
      </c>
      <c r="Q771" s="2" t="s">
        <v>68</v>
      </c>
      <c r="R771" s="4" t="s">
        <v>6571</v>
      </c>
    </row>
    <row r="772">
      <c r="A772" s="4" t="s">
        <v>44</v>
      </c>
      <c r="B772" s="4" t="s">
        <v>44</v>
      </c>
      <c r="C772" s="4">
        <v>771.0</v>
      </c>
      <c r="D772" s="13" t="str">
        <f>HYPERLINK("https://www.linkedin.com/ad-library/detail/894489354","Open Ad")</f>
        <v>Open Ad</v>
      </c>
      <c r="E772" s="4" t="s">
        <v>91</v>
      </c>
      <c r="F772" s="4" t="s">
        <v>4343</v>
      </c>
      <c r="G772" s="4" t="s">
        <v>4344</v>
      </c>
      <c r="H772" s="4" t="s">
        <v>55</v>
      </c>
      <c r="I772" s="4" t="s">
        <v>4345</v>
      </c>
      <c r="J772" s="4" t="s">
        <v>91</v>
      </c>
      <c r="K772" s="13" t="str">
        <f>HYPERLINK("https://media.licdn.com/dms/image/v2/D4E10AQG3mhPj4Jq23A/image-shrink_1280/B4EZpJFlyfHMAM-/0/1762162795167/analyzeseov1png?e=2147483647&amp;v=beta&amp;t=PMyvpJXJb7kPV-WN8Hin_f-lkjdHOg6FfkPXWnbLzqM","Open Creative")</f>
        <v>Open Creative</v>
      </c>
      <c r="L772" s="4" t="s">
        <v>3498</v>
      </c>
      <c r="M772" s="4" t="s">
        <v>63</v>
      </c>
      <c r="N772" s="4" t="s">
        <v>6567</v>
      </c>
      <c r="O772" s="2" t="s">
        <v>132</v>
      </c>
      <c r="P772" s="2">
        <v>8.94489354E8</v>
      </c>
      <c r="Q772" s="2" t="s">
        <v>68</v>
      </c>
      <c r="R772" s="4" t="s">
        <v>6574</v>
      </c>
    </row>
    <row r="773">
      <c r="A773" s="4" t="s">
        <v>44</v>
      </c>
      <c r="B773" s="4" t="s">
        <v>44</v>
      </c>
      <c r="C773" s="4">
        <v>772.0</v>
      </c>
      <c r="D773" s="13" t="str">
        <f>HYPERLINK("https://www.linkedin.com/ad-library/detail/894797534","Open Ad")</f>
        <v>Open Ad</v>
      </c>
      <c r="E773" s="4" t="s">
        <v>91</v>
      </c>
      <c r="F773" s="4" t="s">
        <v>6576</v>
      </c>
      <c r="G773" s="4" t="s">
        <v>6577</v>
      </c>
      <c r="H773" s="4" t="s">
        <v>55</v>
      </c>
      <c r="I773" s="4" t="s">
        <v>2767</v>
      </c>
      <c r="J773" s="4" t="s">
        <v>91</v>
      </c>
      <c r="K773" s="13" t="str">
        <f>HYPERLINK("https://media.licdn.com/dms/image/v2/D4E10AQHdDp1jnCARxA/image_627_1200/B56ZpP_k0dHQAY-/0/1762278657549/1-91-1-Post-Sales-02png?e=2147483647&amp;v=beta&amp;t=dB21Y3kFcOe7zDImDPll7pzPi09FK2IZQUm7F3oQ0GE","Open Creative")</f>
        <v>Open Creative</v>
      </c>
      <c r="L773" s="4" t="s">
        <v>62</v>
      </c>
      <c r="M773" s="4" t="s">
        <v>63</v>
      </c>
      <c r="N773" s="4" t="s">
        <v>6579</v>
      </c>
      <c r="O773" s="2" t="s">
        <v>132</v>
      </c>
      <c r="P773" s="2">
        <v>8.94797534E8</v>
      </c>
      <c r="Q773" s="2" t="s">
        <v>68</v>
      </c>
      <c r="R773" s="4" t="s">
        <v>6580</v>
      </c>
    </row>
    <row r="774">
      <c r="A774" s="4" t="s">
        <v>44</v>
      </c>
      <c r="B774" s="4" t="s">
        <v>44</v>
      </c>
      <c r="C774" s="4">
        <v>773.0</v>
      </c>
      <c r="D774" s="13" t="str">
        <f>HYPERLINK("https://www.linkedin.com/ad-library/detail/268439284","Open Ad")</f>
        <v>Open Ad</v>
      </c>
      <c r="E774" s="4" t="s">
        <v>91</v>
      </c>
      <c r="F774" s="4" t="s">
        <v>4343</v>
      </c>
      <c r="G774" s="4" t="s">
        <v>4344</v>
      </c>
      <c r="H774" s="4" t="s">
        <v>55</v>
      </c>
      <c r="I774" s="4" t="s">
        <v>4345</v>
      </c>
      <c r="J774" s="4" t="s">
        <v>91</v>
      </c>
      <c r="K774" s="13" t="str">
        <f>HYPERLINK("https://media.licdn.com/dms/image/v2/D4E10AQHXoZWBoQjhiw/image-shrink_1280/B4EZpJH39BHcAM-/0/1762163393322/Takethelead_v3png?e=2147483647&amp;v=beta&amp;t=JM9iYudONjL9Tdbo2Q7hPdjCJTO_z20FFmZ-mLizVDQ","Open Creative")</f>
        <v>Open Creative</v>
      </c>
      <c r="L774" s="4" t="s">
        <v>3498</v>
      </c>
      <c r="M774" s="4" t="s">
        <v>63</v>
      </c>
      <c r="N774" s="4" t="s">
        <v>6567</v>
      </c>
      <c r="O774" s="2" t="s">
        <v>132</v>
      </c>
      <c r="P774" s="2">
        <v>2.68439284E8</v>
      </c>
      <c r="Q774" s="2" t="s">
        <v>68</v>
      </c>
      <c r="R774" s="4" t="s">
        <v>6583</v>
      </c>
    </row>
    <row r="775">
      <c r="A775" s="4" t="s">
        <v>44</v>
      </c>
      <c r="B775" s="4" t="s">
        <v>44</v>
      </c>
      <c r="C775" s="4">
        <v>774.0</v>
      </c>
      <c r="D775" s="13" t="str">
        <f>HYPERLINK("https://www.linkedin.com/ad-library/detail/895003014","Open Ad")</f>
        <v>Open Ad</v>
      </c>
      <c r="E775" s="4" t="s">
        <v>91</v>
      </c>
      <c r="F775" s="4" t="s">
        <v>3097</v>
      </c>
      <c r="G775" s="4" t="s">
        <v>6585</v>
      </c>
      <c r="H775" s="4" t="s">
        <v>55</v>
      </c>
      <c r="I775" s="4" t="s">
        <v>2767</v>
      </c>
      <c r="J775" s="4" t="s">
        <v>91</v>
      </c>
      <c r="K775" s="13" t="str">
        <f>HYPERLINK("https://media.licdn.com/dms/image/v2/D4E10AQFA6TwJ23nXPg/image_627_1200/B56ZpP5zf7JkAY-/0/1762277144820/1-91-1-Post-Sales-01png?e=2147483647&amp;v=beta&amp;t=J9wWjdACJNHfb2Cx5Oxo3U3oMXzUy5VcDV6wzr7EIq8","Open Creative")</f>
        <v>Open Creative</v>
      </c>
      <c r="L775" s="4" t="s">
        <v>131</v>
      </c>
      <c r="M775" s="4" t="s">
        <v>63</v>
      </c>
      <c r="N775" s="4" t="s">
        <v>132</v>
      </c>
      <c r="O775" s="2" t="s">
        <v>132</v>
      </c>
      <c r="P775" s="2">
        <v>8.95003014E8</v>
      </c>
      <c r="Q775" s="2" t="s">
        <v>68</v>
      </c>
      <c r="R775" s="4" t="s">
        <v>6587</v>
      </c>
    </row>
    <row r="776">
      <c r="A776" s="4" t="s">
        <v>44</v>
      </c>
      <c r="B776" s="4" t="s">
        <v>44</v>
      </c>
      <c r="C776" s="4">
        <v>775.0</v>
      </c>
      <c r="D776" s="13" t="str">
        <f>HYPERLINK("https://www.linkedin.com/ad-library/detail/894632114","Open Ad")</f>
        <v>Open Ad</v>
      </c>
      <c r="E776" s="4" t="s">
        <v>4653</v>
      </c>
      <c r="F776" s="4" t="s">
        <v>53</v>
      </c>
      <c r="G776" s="4" t="s">
        <v>4670</v>
      </c>
      <c r="H776" s="4" t="s">
        <v>55</v>
      </c>
      <c r="I776" s="4" t="s">
        <v>1377</v>
      </c>
      <c r="J776" s="4" t="s">
        <v>4653</v>
      </c>
      <c r="K776" s="13" t="str">
        <f>HYPERLINK("https://media.licdn.com/dms/image/v2/D4E10AQHpvJ6OPms_Hw/image-shrink_1080_1080/B4EZpJtI6oKsAk-/0/1762173161854?e=1789466400&amp;v=beta&amp;t=aKal4OJqktbqvBclHaoSDBYRlVwEhK2eB2--0brCsvY","Open Creative")</f>
        <v>Open Creative</v>
      </c>
      <c r="L776" s="4" t="s">
        <v>62</v>
      </c>
      <c r="M776" s="4" t="s">
        <v>63</v>
      </c>
      <c r="N776" s="4" t="s">
        <v>6567</v>
      </c>
      <c r="O776" s="2" t="s">
        <v>132</v>
      </c>
      <c r="P776" s="2">
        <v>8.94632114E8</v>
      </c>
      <c r="Q776" s="2" t="s">
        <v>68</v>
      </c>
      <c r="R776" s="4" t="s">
        <v>6590</v>
      </c>
    </row>
    <row r="777">
      <c r="A777" s="4" t="s">
        <v>44</v>
      </c>
      <c r="B777" s="4" t="s">
        <v>44</v>
      </c>
      <c r="C777" s="4">
        <v>776.0</v>
      </c>
      <c r="D777" s="13" t="str">
        <f>HYPERLINK("https://www.linkedin.com/ad-library/detail/869404294","Open Ad")</f>
        <v>Open Ad</v>
      </c>
      <c r="E777" s="4" t="s">
        <v>91</v>
      </c>
      <c r="F777" s="4" t="s">
        <v>6591</v>
      </c>
      <c r="G777" s="4" t="s">
        <v>6592</v>
      </c>
      <c r="H777" s="4" t="s">
        <v>55</v>
      </c>
      <c r="I777" s="4" t="s">
        <v>1377</v>
      </c>
      <c r="J777" s="4" t="s">
        <v>91</v>
      </c>
      <c r="K777" s="13" t="str">
        <f>HYPERLINK("https://media.licdn.com/dms/image/v2/D4E10AQFgs6nO0LLY6Q/image-shrink_1280/B4EZoB261iIoAM-/0/1760967766345/Version3_Brand-ledAd-21png?e=2147483647&amp;v=beta&amp;t=cQDBPixWbACocF2yMYvAxClWZkMZcAhGP2onr1IlrsA","Open Creative")</f>
        <v>Open Creative</v>
      </c>
      <c r="L777" s="4" t="s">
        <v>62</v>
      </c>
      <c r="M777" s="4" t="s">
        <v>63</v>
      </c>
      <c r="N777" s="4" t="s">
        <v>6594</v>
      </c>
      <c r="O777" s="2" t="s">
        <v>132</v>
      </c>
      <c r="P777" s="2">
        <v>8.69404294E8</v>
      </c>
      <c r="Q777" s="2" t="s">
        <v>68</v>
      </c>
      <c r="R777" s="4" t="s">
        <v>6596</v>
      </c>
    </row>
    <row r="778">
      <c r="A778" s="4" t="s">
        <v>44</v>
      </c>
      <c r="B778" s="4" t="s">
        <v>44</v>
      </c>
      <c r="C778" s="4">
        <v>777.0</v>
      </c>
      <c r="D778" s="13" t="str">
        <f>HYPERLINK("https://www.linkedin.com/ad-library/detail/894630414","Open Ad")</f>
        <v>Open Ad</v>
      </c>
      <c r="E778" s="4" t="s">
        <v>91</v>
      </c>
      <c r="F778" s="4" t="s">
        <v>4343</v>
      </c>
      <c r="G778" s="4" t="s">
        <v>4344</v>
      </c>
      <c r="H778" s="4" t="s">
        <v>55</v>
      </c>
      <c r="I778" s="4" t="s">
        <v>4345</v>
      </c>
      <c r="J778" s="4" t="s">
        <v>91</v>
      </c>
      <c r="K778" s="13" t="str">
        <f>HYPERLINK("https://media.licdn.com/dms/image/v2/D4E10AQFiderjHNEmfA/image-shrink_1280/B4EZpJFlyjKMAU-/0/1762162795050/everytoolv1png?e=2147483647&amp;v=beta&amp;t=bKwBE2ciiGznP3B9BVejtsHNaVeRohDadTESyyUQ1fI","Open Creative")</f>
        <v>Open Creative</v>
      </c>
      <c r="L778" s="4" t="s">
        <v>3498</v>
      </c>
      <c r="M778" s="4" t="s">
        <v>63</v>
      </c>
      <c r="N778" s="4" t="s">
        <v>6567</v>
      </c>
      <c r="O778" s="2" t="s">
        <v>132</v>
      </c>
      <c r="P778" s="2">
        <v>8.94630414E8</v>
      </c>
      <c r="Q778" s="2" t="s">
        <v>68</v>
      </c>
      <c r="R778" s="4" t="s">
        <v>6599</v>
      </c>
    </row>
    <row r="779">
      <c r="A779" s="4" t="s">
        <v>44</v>
      </c>
      <c r="B779" s="4" t="s">
        <v>44</v>
      </c>
      <c r="C779" s="4">
        <v>778.0</v>
      </c>
      <c r="D779" s="13" t="str">
        <f>HYPERLINK("https://www.linkedin.com/ad-library/detail/894600784","Open Ad")</f>
        <v>Open Ad</v>
      </c>
      <c r="E779" s="4" t="s">
        <v>91</v>
      </c>
      <c r="F779" s="4" t="s">
        <v>4343</v>
      </c>
      <c r="G779" s="4" t="s">
        <v>4344</v>
      </c>
      <c r="H779" s="4" t="s">
        <v>55</v>
      </c>
      <c r="I779" s="4" t="s">
        <v>4345</v>
      </c>
      <c r="J779" s="4" t="s">
        <v>91</v>
      </c>
      <c r="K779" s="13" t="str">
        <f>HYPERLINK("https://media.licdn.com/dms/image/v2/D4E10AQEpN2cvLR7V9Q/image-shrink_1280/B4EZpJH38UKoAQ-/0/1762163393251/Everytool_v3png?e=2147483647&amp;v=beta&amp;t=xjVpTyZnU-i3AmlCzJwTQvgQWJYT4myITqseHmwrxtA","Open Creative")</f>
        <v>Open Creative</v>
      </c>
      <c r="L779" s="4" t="s">
        <v>3498</v>
      </c>
      <c r="M779" s="4" t="s">
        <v>63</v>
      </c>
      <c r="N779" s="4" t="s">
        <v>6567</v>
      </c>
      <c r="O779" s="2" t="s">
        <v>132</v>
      </c>
      <c r="P779" s="2">
        <v>8.94600784E8</v>
      </c>
      <c r="Q779" s="2" t="s">
        <v>68</v>
      </c>
      <c r="R779" s="4" t="s">
        <v>6601</v>
      </c>
    </row>
    <row r="780">
      <c r="A780" s="4" t="s">
        <v>44</v>
      </c>
      <c r="B780" s="4" t="s">
        <v>44</v>
      </c>
      <c r="C780" s="4">
        <v>779.0</v>
      </c>
      <c r="D780" s="13" t="str">
        <f>HYPERLINK("https://www.linkedin.com/ad-library/detail/894566664","Open Ad")</f>
        <v>Open Ad</v>
      </c>
      <c r="E780" s="4" t="s">
        <v>91</v>
      </c>
      <c r="F780" s="4" t="s">
        <v>4343</v>
      </c>
      <c r="G780" s="4" t="s">
        <v>4344</v>
      </c>
      <c r="H780" s="4" t="s">
        <v>55</v>
      </c>
      <c r="I780" s="4" t="s">
        <v>4345</v>
      </c>
      <c r="J780" s="4" t="s">
        <v>91</v>
      </c>
      <c r="K780" s="13" t="str">
        <f>HYPERLINK("https://media.licdn.com/dms/image/v2/D4E10AQHf_FRjLX3CAQ/image-shrink_1280/B4EZpJHAD6HoAQ-/0/1762163164323/Takethelead_v2png?e=2147483647&amp;v=beta&amp;t=Z3CgwL5lSTxmqeaexRhij4U5_rP-B_3FFguxPwHmMyc","Open Creative")</f>
        <v>Open Creative</v>
      </c>
      <c r="L780" s="4" t="s">
        <v>3498</v>
      </c>
      <c r="M780" s="4" t="s">
        <v>63</v>
      </c>
      <c r="N780" s="4" t="s">
        <v>6567</v>
      </c>
      <c r="O780" s="2" t="s">
        <v>132</v>
      </c>
      <c r="P780" s="2">
        <v>8.94566664E8</v>
      </c>
      <c r="Q780" s="2" t="s">
        <v>68</v>
      </c>
      <c r="R780" s="4" t="s">
        <v>6603</v>
      </c>
    </row>
    <row r="781">
      <c r="A781" s="4" t="s">
        <v>44</v>
      </c>
      <c r="B781" s="4" t="s">
        <v>44</v>
      </c>
      <c r="C781" s="4">
        <v>780.0</v>
      </c>
      <c r="D781" s="13" t="str">
        <f>HYPERLINK("https://www.linkedin.com/ad-library/detail/894679904","Open Ad")</f>
        <v>Open Ad</v>
      </c>
      <c r="E781" s="4" t="s">
        <v>91</v>
      </c>
      <c r="F781" s="4" t="s">
        <v>4343</v>
      </c>
      <c r="G781" s="4" t="s">
        <v>4344</v>
      </c>
      <c r="H781" s="4" t="s">
        <v>55</v>
      </c>
      <c r="I781" s="4" t="s">
        <v>4345</v>
      </c>
      <c r="J781" s="4" t="s">
        <v>91</v>
      </c>
      <c r="K781" s="13" t="str">
        <f>HYPERLINK("https://media.licdn.com/dms/image/v2/D4E10AQHshE6tfg3xGg/image-shrink_1280/B4EZpJH38cKcAM-/0/1762163393342/Cutmanual_v3png?e=2147483647&amp;v=beta&amp;t=Bgq0SMe9nN-tsnJQu7S09qN_EmYvMaxDrk1_hh3DwX8","Open Creative")</f>
        <v>Open Creative</v>
      </c>
      <c r="L781" s="4" t="s">
        <v>3498</v>
      </c>
      <c r="M781" s="4" t="s">
        <v>63</v>
      </c>
      <c r="N781" s="4" t="s">
        <v>6567</v>
      </c>
      <c r="O781" s="2" t="s">
        <v>132</v>
      </c>
      <c r="P781" s="2">
        <v>8.94679904E8</v>
      </c>
      <c r="Q781" s="2" t="s">
        <v>68</v>
      </c>
      <c r="R781" s="4" t="s">
        <v>6606</v>
      </c>
    </row>
    <row r="782">
      <c r="A782" s="4" t="s">
        <v>44</v>
      </c>
      <c r="B782" s="4" t="s">
        <v>44</v>
      </c>
      <c r="C782" s="4">
        <v>781.0</v>
      </c>
      <c r="D782" s="13" t="str">
        <f>HYPERLINK("https://www.linkedin.com/ad-library/detail/894866024","Open Ad")</f>
        <v>Open Ad</v>
      </c>
      <c r="E782" s="4" t="s">
        <v>91</v>
      </c>
      <c r="F782" s="4" t="s">
        <v>4159</v>
      </c>
      <c r="G782" s="4" t="s">
        <v>6607</v>
      </c>
      <c r="H782" s="4" t="s">
        <v>55</v>
      </c>
      <c r="I782" s="4" t="s">
        <v>2767</v>
      </c>
      <c r="J782" s="4" t="s">
        <v>91</v>
      </c>
      <c r="K782" s="13" t="str">
        <f>HYPERLINK("https://media.licdn.com/dms/image/v2/D4E10AQFU7cuUBRpraw/image-shrink_1280/B4EZpQDV3pKkAM-/0/1762279652224/9-16-Post-Sales-03png?e=2147483647&amp;v=beta&amp;t=BA7-mHvG8ovTGsi733kB3UrMGkjdzKbm32ouW3fscA4","Open Creative")</f>
        <v>Open Creative</v>
      </c>
      <c r="L782" s="4" t="s">
        <v>131</v>
      </c>
      <c r="M782" s="4" t="s">
        <v>63</v>
      </c>
      <c r="N782" s="4" t="s">
        <v>132</v>
      </c>
      <c r="O782" s="2" t="s">
        <v>132</v>
      </c>
      <c r="P782" s="2">
        <v>8.94866024E8</v>
      </c>
      <c r="Q782" s="2" t="s">
        <v>68</v>
      </c>
      <c r="R782" s="4" t="s">
        <v>6610</v>
      </c>
    </row>
    <row r="783">
      <c r="A783" s="4" t="s">
        <v>44</v>
      </c>
      <c r="B783" s="4" t="s">
        <v>44</v>
      </c>
      <c r="C783" s="4">
        <v>782.0</v>
      </c>
      <c r="D783" s="13" t="str">
        <f>HYPERLINK("https://www.linkedin.com/ad-library/detail/894885464","Open Ad")</f>
        <v>Open Ad</v>
      </c>
      <c r="E783" s="4" t="s">
        <v>91</v>
      </c>
      <c r="F783" s="4" t="s">
        <v>3097</v>
      </c>
      <c r="G783" s="4" t="s">
        <v>6585</v>
      </c>
      <c r="H783" s="4" t="s">
        <v>55</v>
      </c>
      <c r="I783" s="4" t="s">
        <v>2767</v>
      </c>
      <c r="J783" s="4" t="s">
        <v>91</v>
      </c>
      <c r="K783" s="13" t="str">
        <f>HYPERLINK("https://media.licdn.com/dms/image/v2/D4E10AQFKaJbm79OliA/image-shrink_1280/B4EZpP4ZWfKkAM-/0/1762276780735/9-16-Post-Sales-01png?e=2147483647&amp;v=beta&amp;t=8BCtzEENQ59nynFJcsHyot1zGqR-6LMiwONT_jYiXBc","Open Creative")</f>
        <v>Open Creative</v>
      </c>
      <c r="L783" s="4" t="s">
        <v>131</v>
      </c>
      <c r="M783" s="4" t="s">
        <v>63</v>
      </c>
      <c r="N783" s="4" t="s">
        <v>132</v>
      </c>
      <c r="O783" s="2" t="s">
        <v>132</v>
      </c>
      <c r="P783" s="2">
        <v>8.94885464E8</v>
      </c>
      <c r="Q783" s="2" t="s">
        <v>68</v>
      </c>
      <c r="R783" s="4" t="s">
        <v>6611</v>
      </c>
    </row>
    <row r="784">
      <c r="A784" s="4" t="s">
        <v>44</v>
      </c>
      <c r="B784" s="4" t="s">
        <v>44</v>
      </c>
      <c r="C784" s="4">
        <v>783.0</v>
      </c>
      <c r="D784" s="13" t="str">
        <f>HYPERLINK("https://www.linkedin.com/ad-library/detail/894905754","Open Ad")</f>
        <v>Open Ad</v>
      </c>
      <c r="E784" s="4" t="s">
        <v>91</v>
      </c>
      <c r="F784" s="4" t="s">
        <v>4159</v>
      </c>
      <c r="G784" s="4" t="s">
        <v>6607</v>
      </c>
      <c r="H784" s="4" t="s">
        <v>55</v>
      </c>
      <c r="I784" s="4" t="s">
        <v>2767</v>
      </c>
      <c r="J784" s="4" t="s">
        <v>91</v>
      </c>
      <c r="K784" s="13" t="str">
        <f>HYPERLINK("https://media.licdn.com/dms/image/v2/D4E10AQHvLX6SoJzA9A/image-shrink_1280/B4EZpQDvDNJ0AM-/0/1762279751129/LinkedIn-Post-Sales-03png?e=2147483647&amp;v=beta&amp;t=4OyciUI45CstGSXE1Y4ucwjML-UrMjnGNiAqiLZsD2s","Open Creative")</f>
        <v>Open Creative</v>
      </c>
      <c r="L784" s="4" t="s">
        <v>131</v>
      </c>
      <c r="M784" s="4" t="s">
        <v>63</v>
      </c>
      <c r="N784" s="4" t="s">
        <v>132</v>
      </c>
      <c r="O784" s="2" t="s">
        <v>132</v>
      </c>
      <c r="P784" s="2">
        <v>8.94905754E8</v>
      </c>
      <c r="Q784" s="2" t="s">
        <v>68</v>
      </c>
      <c r="R784" s="4" t="s">
        <v>6614</v>
      </c>
    </row>
    <row r="785">
      <c r="A785" s="4" t="s">
        <v>44</v>
      </c>
      <c r="B785" s="4" t="s">
        <v>44</v>
      </c>
      <c r="C785" s="4">
        <v>784.0</v>
      </c>
      <c r="D785" s="13" t="str">
        <f>HYPERLINK("https://www.linkedin.com/ad-library/detail/894538654","Open Ad")</f>
        <v>Open Ad</v>
      </c>
      <c r="E785" s="4" t="s">
        <v>91</v>
      </c>
      <c r="F785" s="4" t="s">
        <v>4343</v>
      </c>
      <c r="G785" s="4" t="s">
        <v>4344</v>
      </c>
      <c r="H785" s="4" t="s">
        <v>55</v>
      </c>
      <c r="I785" s="4" t="s">
        <v>4345</v>
      </c>
      <c r="J785" s="4" t="s">
        <v>91</v>
      </c>
      <c r="K785" s="13" t="str">
        <f>HYPERLINK("https://media.licdn.com/dms/image/v2/D4E10AQHZEwCNmnv2kw/image-shrink_1280/B4EZpJFlypKMAM-/0/1762162795213/cutmanualv1png?e=2147483647&amp;v=beta&amp;t=k4bB-sfflKPBJfNxb0h-Jr8NUOB5s3mJQs8cRTUx_v8","Open Creative")</f>
        <v>Open Creative</v>
      </c>
      <c r="L785" s="4" t="s">
        <v>3498</v>
      </c>
      <c r="M785" s="4" t="s">
        <v>63</v>
      </c>
      <c r="N785" s="4" t="s">
        <v>6567</v>
      </c>
      <c r="O785" s="2" t="s">
        <v>132</v>
      </c>
      <c r="P785" s="2">
        <v>8.94538654E8</v>
      </c>
      <c r="Q785" s="2" t="s">
        <v>68</v>
      </c>
      <c r="R785" s="4" t="s">
        <v>6617</v>
      </c>
    </row>
    <row r="786">
      <c r="A786" s="4" t="s">
        <v>44</v>
      </c>
      <c r="B786" s="4" t="s">
        <v>44</v>
      </c>
      <c r="C786" s="4">
        <v>785.0</v>
      </c>
      <c r="D786" s="13" t="str">
        <f>HYPERLINK("https://www.linkedin.com/ad-library/detail/869334744","Open Ad")</f>
        <v>Open Ad</v>
      </c>
      <c r="E786" s="4" t="s">
        <v>91</v>
      </c>
      <c r="F786" s="4" t="s">
        <v>6591</v>
      </c>
      <c r="G786" s="4" t="s">
        <v>6592</v>
      </c>
      <c r="H786" s="4" t="s">
        <v>55</v>
      </c>
      <c r="I786" s="4" t="s">
        <v>1377</v>
      </c>
      <c r="J786" s="4" t="s">
        <v>91</v>
      </c>
      <c r="K786" s="13" t="str">
        <f>HYPERLINK("https://media.licdn.com/dms/image/v2/D4E10AQFG_7zCVpBVkw/image-shrink_1280/B4EZoB3CJVJ0AM-/0/1760967796232/Version3_Brand-ledAd-31png?e=2147483647&amp;v=beta&amp;t=RCCp1_8TY1Hi4FjWxizTikd6ctBT8xRU2dMB8GmVzwY","Open Creative")</f>
        <v>Open Creative</v>
      </c>
      <c r="L786" s="4" t="s">
        <v>62</v>
      </c>
      <c r="M786" s="4" t="s">
        <v>63</v>
      </c>
      <c r="N786" s="4" t="s">
        <v>6594</v>
      </c>
      <c r="O786" s="2" t="s">
        <v>132</v>
      </c>
      <c r="P786" s="2">
        <v>8.69334744E8</v>
      </c>
      <c r="Q786" s="2" t="s">
        <v>68</v>
      </c>
      <c r="R786" s="4" t="s">
        <v>6620</v>
      </c>
    </row>
    <row r="787">
      <c r="A787" s="4" t="s">
        <v>44</v>
      </c>
      <c r="B787" s="4" t="s">
        <v>44</v>
      </c>
      <c r="C787" s="4">
        <v>786.0</v>
      </c>
      <c r="D787" s="13" t="str">
        <f>HYPERLINK("https://www.linkedin.com/ad-library/detail/894826844","Open Ad")</f>
        <v>Open Ad</v>
      </c>
      <c r="E787" s="4" t="s">
        <v>91</v>
      </c>
      <c r="F787" s="4" t="s">
        <v>6576</v>
      </c>
      <c r="G787" s="4" t="s">
        <v>6577</v>
      </c>
      <c r="H787" s="4" t="s">
        <v>55</v>
      </c>
      <c r="I787" s="4" t="s">
        <v>2767</v>
      </c>
      <c r="J787" s="4" t="s">
        <v>91</v>
      </c>
      <c r="K787" s="13" t="str">
        <f>HYPERLINK("https://media.licdn.com/dms/image/v2/D4E10AQFFie9naT181w/image-shrink_1280/B4EZpP_LTUIwAM-/0/1762278558056/9-16-Post-Sales-02png?e=2147483647&amp;v=beta&amp;t=xunLWqYcTzyySWwFYQDj7KBuDqfwhSSWHG1te0oGtxs","Open Creative")</f>
        <v>Open Creative</v>
      </c>
      <c r="L787" s="4" t="s">
        <v>62</v>
      </c>
      <c r="M787" s="4" t="s">
        <v>63</v>
      </c>
      <c r="N787" s="4" t="s">
        <v>6579</v>
      </c>
      <c r="O787" s="2" t="s">
        <v>132</v>
      </c>
      <c r="P787" s="2">
        <v>8.94826844E8</v>
      </c>
      <c r="Q787" s="2" t="s">
        <v>68</v>
      </c>
      <c r="R787" s="4" t="s">
        <v>6622</v>
      </c>
    </row>
    <row r="788">
      <c r="A788" s="4" t="s">
        <v>44</v>
      </c>
      <c r="B788" s="4" t="s">
        <v>44</v>
      </c>
      <c r="C788" s="4">
        <v>787.0</v>
      </c>
      <c r="D788" s="13" t="str">
        <f>HYPERLINK("https://www.linkedin.com/ad-library/detail/894865704","Open Ad")</f>
        <v>Open Ad</v>
      </c>
      <c r="E788" s="4" t="s">
        <v>91</v>
      </c>
      <c r="F788" s="4" t="s">
        <v>3097</v>
      </c>
      <c r="G788" s="4" t="s">
        <v>6585</v>
      </c>
      <c r="H788" s="4" t="s">
        <v>55</v>
      </c>
      <c r="I788" s="4" t="s">
        <v>2767</v>
      </c>
      <c r="J788" s="4" t="s">
        <v>91</v>
      </c>
      <c r="K788" s="13" t="str">
        <f>HYPERLINK("https://media.licdn.com/dms/image/v2/D4E10AQFLHFMBdz60yw/image-shrink_1280/B4EZpP4dMZKkAQ-/0/1762276794611/LinkedIn-Post-Sales-011png?e=2147483647&amp;v=beta&amp;t=DNw6OZ_MNqsOa9KFBIwWMW3n9ZZuvRzU7dpx7RSZ5bU","Open Creative")</f>
        <v>Open Creative</v>
      </c>
      <c r="L788" s="4" t="s">
        <v>131</v>
      </c>
      <c r="M788" s="4" t="s">
        <v>63</v>
      </c>
      <c r="N788" s="4" t="s">
        <v>132</v>
      </c>
      <c r="O788" s="2" t="s">
        <v>132</v>
      </c>
      <c r="P788" s="2">
        <v>8.94865704E8</v>
      </c>
      <c r="Q788" s="2" t="s">
        <v>68</v>
      </c>
      <c r="R788" s="4" t="s">
        <v>6624</v>
      </c>
    </row>
    <row r="789">
      <c r="A789" s="4" t="s">
        <v>44</v>
      </c>
      <c r="B789" s="4" t="s">
        <v>44</v>
      </c>
      <c r="C789" s="4">
        <v>788.0</v>
      </c>
      <c r="D789" s="13" t="str">
        <f>HYPERLINK("https://www.linkedin.com/ad-library/detail/894499344","Open Ad")</f>
        <v>Open Ad</v>
      </c>
      <c r="E789" s="4" t="s">
        <v>91</v>
      </c>
      <c r="F789" s="4" t="s">
        <v>4343</v>
      </c>
      <c r="G789" s="4" t="s">
        <v>4344</v>
      </c>
      <c r="H789" s="4" t="s">
        <v>55</v>
      </c>
      <c r="I789" s="4" t="s">
        <v>4345</v>
      </c>
      <c r="J789" s="4" t="s">
        <v>91</v>
      </c>
      <c r="K789" s="13" t="str">
        <f>HYPERLINK("https://media.licdn.com/dms/image/v2/D4E10AQHmc1R2KRyshA/image-shrink_1280/B4EZpJFlykHoAM-/0/1762162794752/taketheleadv1png?e=2147483647&amp;v=beta&amp;t=u30hfMraoLz4YGWlucxL_3ImcktQp1PuQMxe5mp03-8","Open Creative")</f>
        <v>Open Creative</v>
      </c>
      <c r="L789" s="4" t="s">
        <v>3498</v>
      </c>
      <c r="M789" s="4" t="s">
        <v>63</v>
      </c>
      <c r="N789" s="4" t="s">
        <v>6567</v>
      </c>
      <c r="O789" s="2" t="s">
        <v>132</v>
      </c>
      <c r="P789" s="2">
        <v>8.94499344E8</v>
      </c>
      <c r="Q789" s="2" t="s">
        <v>68</v>
      </c>
      <c r="R789" s="4" t="s">
        <v>6627</v>
      </c>
    </row>
    <row r="790">
      <c r="A790" s="4" t="s">
        <v>44</v>
      </c>
      <c r="B790" s="4" t="s">
        <v>44</v>
      </c>
      <c r="C790" s="4">
        <v>789.0</v>
      </c>
      <c r="D790" s="13" t="str">
        <f>HYPERLINK("https://www.linkedin.com/ad-library/detail/894549244","Open Ad")</f>
        <v>Open Ad</v>
      </c>
      <c r="E790" s="4" t="s">
        <v>91</v>
      </c>
      <c r="F790" s="4" t="s">
        <v>4343</v>
      </c>
      <c r="G790" s="4" t="s">
        <v>4344</v>
      </c>
      <c r="H790" s="4" t="s">
        <v>55</v>
      </c>
      <c r="I790" s="4" t="s">
        <v>4345</v>
      </c>
      <c r="J790" s="4" t="s">
        <v>91</v>
      </c>
      <c r="K790" s="13" t="str">
        <f>HYPERLINK("https://media.licdn.com/dms/image/v2/D4E10AQGNmJRJ2AaL9Q/image-shrink_1280/B4EZpJHOAlHEAM-/0/1762163221668/Cutmanual_v2png?e=2147483647&amp;v=beta&amp;t=87pX_7WdH1CEMUq0dRJqOLWJH_BHpsYtrJK-SbFSvIA","Open Creative")</f>
        <v>Open Creative</v>
      </c>
      <c r="L790" s="4" t="s">
        <v>3498</v>
      </c>
      <c r="M790" s="4" t="s">
        <v>63</v>
      </c>
      <c r="N790" s="4" t="s">
        <v>6567</v>
      </c>
      <c r="O790" s="2" t="s">
        <v>132</v>
      </c>
      <c r="P790" s="2">
        <v>8.94549244E8</v>
      </c>
      <c r="Q790" s="2" t="s">
        <v>68</v>
      </c>
      <c r="R790" s="4" t="s">
        <v>6630</v>
      </c>
    </row>
    <row r="791">
      <c r="A791" s="4" t="s">
        <v>44</v>
      </c>
      <c r="B791" s="4" t="s">
        <v>44</v>
      </c>
      <c r="C791" s="4">
        <v>790.0</v>
      </c>
      <c r="D791" s="13" t="str">
        <f>HYPERLINK("https://www.linkedin.com/ad-library/detail/894479754","Open Ad")</f>
        <v>Open Ad</v>
      </c>
      <c r="E791" s="4" t="s">
        <v>91</v>
      </c>
      <c r="F791" s="4" t="s">
        <v>4343</v>
      </c>
      <c r="G791" s="4" t="s">
        <v>4344</v>
      </c>
      <c r="H791" s="4" t="s">
        <v>55</v>
      </c>
      <c r="I791" s="4" t="s">
        <v>4345</v>
      </c>
      <c r="J791" s="4" t="s">
        <v>91</v>
      </c>
      <c r="K791" s="13" t="str">
        <f>HYPERLINK("https://media.licdn.com/dms/image/v2/D4E10AQFALTRYA2PG2g/image-shrink_1280/B4EZpJHOAqIQAM-/0/1762163221643/Everytool_v2png?e=2147483647&amp;v=beta&amp;t=OdIyyNqQeBQAfaHOYFSuH72yURT95HgluqQnSEps6CM","Open Creative")</f>
        <v>Open Creative</v>
      </c>
      <c r="L791" s="4" t="s">
        <v>3498</v>
      </c>
      <c r="M791" s="4" t="s">
        <v>63</v>
      </c>
      <c r="N791" s="4" t="s">
        <v>6567</v>
      </c>
      <c r="O791" s="2" t="s">
        <v>132</v>
      </c>
      <c r="P791" s="2">
        <v>8.94479754E8</v>
      </c>
      <c r="Q791" s="2" t="s">
        <v>68</v>
      </c>
      <c r="R791" s="4" t="s">
        <v>6631</v>
      </c>
    </row>
    <row r="792">
      <c r="A792" s="4" t="s">
        <v>44</v>
      </c>
      <c r="B792" s="4" t="s">
        <v>44</v>
      </c>
      <c r="C792" s="4">
        <v>791.0</v>
      </c>
      <c r="D792" s="13" t="str">
        <f>HYPERLINK("https://www.linkedin.com/ad-library/detail/869293924","Open Ad")</f>
        <v>Open Ad</v>
      </c>
      <c r="E792" s="4" t="s">
        <v>91</v>
      </c>
      <c r="F792" s="4" t="s">
        <v>6591</v>
      </c>
      <c r="G792" s="4" t="s">
        <v>6592</v>
      </c>
      <c r="H792" s="4" t="s">
        <v>55</v>
      </c>
      <c r="I792" s="4" t="s">
        <v>1377</v>
      </c>
      <c r="J792" s="4" t="s">
        <v>91</v>
      </c>
      <c r="K792" s="13" t="str">
        <f>HYPERLINK("https://media.licdn.com/dms/image/v2/D4E10AQEaQpdiKCLsGQ/image-shrink_1280/B4EZoB3FAAHgAM-/0/1760967807974/Version3_Brand-ledAd-41png?e=2147483647&amp;v=beta&amp;t=JE04umyGLJiXk8IlnqmMKD0O7BBTQa4IT1GLswmP5NE","Open Creative")</f>
        <v>Open Creative</v>
      </c>
      <c r="L792" s="4" t="s">
        <v>62</v>
      </c>
      <c r="M792" s="4" t="s">
        <v>63</v>
      </c>
      <c r="N792" s="4" t="s">
        <v>6594</v>
      </c>
      <c r="O792" s="2" t="s">
        <v>132</v>
      </c>
      <c r="P792" s="2">
        <v>8.69293924E8</v>
      </c>
      <c r="Q792" s="2" t="s">
        <v>68</v>
      </c>
      <c r="R792" s="4" t="s">
        <v>6634</v>
      </c>
    </row>
    <row r="793">
      <c r="A793" s="4" t="s">
        <v>44</v>
      </c>
      <c r="B793" s="4" t="s">
        <v>44</v>
      </c>
      <c r="C793" s="4">
        <v>792.0</v>
      </c>
      <c r="D793" s="13" t="str">
        <f>HYPERLINK("https://www.linkedin.com/ad-library/detail/268340844","Open Ad")</f>
        <v>Open Ad</v>
      </c>
      <c r="E793" s="4" t="s">
        <v>4653</v>
      </c>
      <c r="F793" s="4" t="s">
        <v>53</v>
      </c>
      <c r="G793" s="4" t="s">
        <v>4655</v>
      </c>
      <c r="H793" s="4" t="s">
        <v>55</v>
      </c>
      <c r="I793" s="4" t="s">
        <v>1251</v>
      </c>
      <c r="J793" s="4" t="s">
        <v>4653</v>
      </c>
      <c r="K793" s="13" t="str">
        <f>HYPERLINK("https://media.licdn.com/dms/image/v2/D4E10AQETIP0ki9XErA/image-shrink_627_1200/B4EZpJsv2lIUAY-/0/1762173059264?e=1789466400&amp;v=beta&amp;t=Ed5NmSiwHq2Gy_HZH1U8jOls6zj5nqDGh6jkuZbV19I","Open Creative")</f>
        <v>Open Creative</v>
      </c>
      <c r="L793" s="4" t="s">
        <v>62</v>
      </c>
      <c r="M793" s="4" t="s">
        <v>63</v>
      </c>
      <c r="N793" s="4" t="s">
        <v>6567</v>
      </c>
      <c r="O793" s="2" t="s">
        <v>132</v>
      </c>
      <c r="P793" s="2">
        <v>2.68340844E8</v>
      </c>
      <c r="Q793" s="2" t="s">
        <v>68</v>
      </c>
      <c r="R793" s="4" t="s">
        <v>6637</v>
      </c>
    </row>
    <row r="794">
      <c r="A794" s="4" t="s">
        <v>44</v>
      </c>
      <c r="B794" s="4" t="s">
        <v>44</v>
      </c>
      <c r="C794" s="4">
        <v>793.0</v>
      </c>
      <c r="D794" s="13" t="str">
        <f>HYPERLINK("https://www.linkedin.com/ad-library/detail/869304534","Open Ad")</f>
        <v>Open Ad</v>
      </c>
      <c r="E794" s="4" t="s">
        <v>91</v>
      </c>
      <c r="F794" s="4" t="s">
        <v>6638</v>
      </c>
      <c r="G794" s="4" t="s">
        <v>6639</v>
      </c>
      <c r="H794" s="4" t="s">
        <v>55</v>
      </c>
      <c r="I794" s="4" t="s">
        <v>1251</v>
      </c>
      <c r="J794" s="4" t="s">
        <v>91</v>
      </c>
      <c r="K794" s="13" t="str">
        <f>HYPERLINK("https://media.licdn.com/dms/image/v2/D4E10AQGstCmrFyfrqw/image-shrink_1280/B4EZoB2PQaKYAM-/0/1760967587701/Version1-Persona_SEOManager1png?e=2147483647&amp;v=beta&amp;t=qcquK_sdL_w18V7hC8b5CWqzFrtL-QNtRFN1qaIdclY","Open Creative")</f>
        <v>Open Creative</v>
      </c>
      <c r="L794" s="4" t="s">
        <v>62</v>
      </c>
      <c r="M794" s="4" t="s">
        <v>63</v>
      </c>
      <c r="N794" s="4" t="s">
        <v>6594</v>
      </c>
      <c r="O794" s="2" t="s">
        <v>132</v>
      </c>
      <c r="P794" s="2">
        <v>8.69304534E8</v>
      </c>
      <c r="Q794" s="2" t="s">
        <v>68</v>
      </c>
      <c r="R794" s="4" t="s">
        <v>6642</v>
      </c>
    </row>
    <row r="795">
      <c r="A795" s="4" t="s">
        <v>44</v>
      </c>
      <c r="B795" s="4" t="s">
        <v>44</v>
      </c>
      <c r="C795" s="4">
        <v>794.0</v>
      </c>
      <c r="D795" s="13" t="str">
        <f>HYPERLINK("https://www.linkedin.com/ad-library/detail/855635094","Open Ad")</f>
        <v>Open Ad</v>
      </c>
      <c r="E795" s="4" t="s">
        <v>91</v>
      </c>
      <c r="F795" s="4" t="s">
        <v>6643</v>
      </c>
      <c r="G795" s="4" t="s">
        <v>6644</v>
      </c>
      <c r="H795" s="4" t="s">
        <v>55</v>
      </c>
      <c r="I795" s="4" t="s">
        <v>6645</v>
      </c>
      <c r="J795" s="4" t="s">
        <v>91</v>
      </c>
      <c r="K795" s="13" t="str">
        <f>HYPERLINK("https://media.licdn.com/dms/image/v2/D4E10AQEHgpTcxaWixw/image-shrink_1280/B4EZnSuXHmIoAM-/0/1760176993415?e=2147483647&amp;v=beta&amp;t=1iIxzcUKTGkqN2ROR1ryTeLQTKzPKHw8sMlms0npIOI","Open Creative")</f>
        <v>Open Creative</v>
      </c>
      <c r="L795" s="4" t="s">
        <v>62</v>
      </c>
      <c r="M795" s="4" t="s">
        <v>63</v>
      </c>
      <c r="N795" s="4" t="s">
        <v>6647</v>
      </c>
      <c r="O795" s="2" t="s">
        <v>132</v>
      </c>
      <c r="P795" s="2">
        <v>8.55635094E8</v>
      </c>
      <c r="Q795" s="2" t="s">
        <v>68</v>
      </c>
      <c r="R795" s="4" t="s">
        <v>6648</v>
      </c>
    </row>
    <row r="796">
      <c r="A796" s="4" t="s">
        <v>44</v>
      </c>
      <c r="B796" s="4" t="s">
        <v>44</v>
      </c>
      <c r="C796" s="4">
        <v>795.0</v>
      </c>
      <c r="D796" s="13" t="str">
        <f>HYPERLINK("https://www.linkedin.com/ad-library/detail/855635084","Open Ad")</f>
        <v>Open Ad</v>
      </c>
      <c r="E796" s="4" t="s">
        <v>91</v>
      </c>
      <c r="F796" s="4" t="s">
        <v>6643</v>
      </c>
      <c r="G796" s="4" t="s">
        <v>6650</v>
      </c>
      <c r="H796" s="4" t="s">
        <v>55</v>
      </c>
      <c r="I796" s="4" t="s">
        <v>272</v>
      </c>
      <c r="J796" s="4" t="s">
        <v>91</v>
      </c>
      <c r="K796" s="13" t="str">
        <f>HYPERLINK("https://media.licdn.com/dms/image/v2/D4E10AQG3botUGdCY3w/image-shrink_1280/B4EZnSuWw2IUAQ-/0/1760176992610?e=2147483647&amp;v=beta&amp;t=xdXo6p1BX3qyJc6dfUhwN6I88US4zPL8_10ABUz3pKY","Open Creative")</f>
        <v>Open Creative</v>
      </c>
      <c r="L796" s="4" t="s">
        <v>62</v>
      </c>
      <c r="M796" s="4" t="s">
        <v>63</v>
      </c>
      <c r="N796" s="4" t="s">
        <v>6647</v>
      </c>
      <c r="O796" s="2" t="s">
        <v>132</v>
      </c>
      <c r="P796" s="2">
        <v>8.55635084E8</v>
      </c>
      <c r="Q796" s="2" t="s">
        <v>68</v>
      </c>
      <c r="R796" s="4" t="s">
        <v>6651</v>
      </c>
    </row>
    <row r="797">
      <c r="A797" s="4" t="s">
        <v>44</v>
      </c>
      <c r="B797" s="4" t="s">
        <v>44</v>
      </c>
      <c r="C797" s="4">
        <v>796.0</v>
      </c>
      <c r="D797" s="13" t="str">
        <f>HYPERLINK("https://www.linkedin.com/ad-library/detail/855545804","Open Ad")</f>
        <v>Open Ad</v>
      </c>
      <c r="E797" s="4" t="s">
        <v>91</v>
      </c>
      <c r="F797" s="4" t="s">
        <v>6643</v>
      </c>
      <c r="G797" s="4" t="s">
        <v>6650</v>
      </c>
      <c r="H797" s="4" t="s">
        <v>55</v>
      </c>
      <c r="I797" s="4" t="s">
        <v>272</v>
      </c>
      <c r="J797" s="4" t="s">
        <v>91</v>
      </c>
      <c r="K797" s="13" t="str">
        <f>HYPERLINK("https://media.licdn.com/dms/image/v2/D4E10AQHkKSroNsdXyA/image-shrink_1280/B4EZnSuR0GK0AM-/0/1760176971701?e=2147483647&amp;v=beta&amp;t=5HSxldzZdPLNBTbv5dPLn2fPpDB7eay7F51uMarR29c","Open Creative")</f>
        <v>Open Creative</v>
      </c>
      <c r="L797" s="4" t="s">
        <v>62</v>
      </c>
      <c r="M797" s="4" t="s">
        <v>63</v>
      </c>
      <c r="N797" s="4" t="s">
        <v>6647</v>
      </c>
      <c r="O797" s="2" t="s">
        <v>132</v>
      </c>
      <c r="P797" s="2">
        <v>8.55545804E8</v>
      </c>
      <c r="Q797" s="2" t="s">
        <v>68</v>
      </c>
      <c r="R797" s="4" t="s">
        <v>6654</v>
      </c>
    </row>
    <row r="798">
      <c r="A798" s="4" t="s">
        <v>44</v>
      </c>
      <c r="B798" s="4" t="s">
        <v>44</v>
      </c>
      <c r="C798" s="4">
        <v>797.0</v>
      </c>
      <c r="D798" s="13" t="str">
        <f>HYPERLINK("https://www.linkedin.com/ad-library/detail/855466074","Open Ad")</f>
        <v>Open Ad</v>
      </c>
      <c r="E798" s="4" t="s">
        <v>91</v>
      </c>
      <c r="F798" s="4" t="s">
        <v>6643</v>
      </c>
      <c r="G798" s="4" t="s">
        <v>6650</v>
      </c>
      <c r="H798" s="4" t="s">
        <v>55</v>
      </c>
      <c r="I798" s="4" t="s">
        <v>272</v>
      </c>
      <c r="J798" s="4" t="s">
        <v>91</v>
      </c>
      <c r="K798" s="13" t="str">
        <f>HYPERLINK("https://media.licdn.com/dms/image/v2/D4E10AQHRNIyOiBbt7w/image-shrink_1280/B4EZnSuMQTK0AM-/0/1760176950348?e=2147483647&amp;v=beta&amp;t=VKGnn6kBU5HHIkRrQgUYnXqYNSE2X9CJfTzS5bbRUPE","Open Creative")</f>
        <v>Open Creative</v>
      </c>
      <c r="L798" s="4" t="s">
        <v>62</v>
      </c>
      <c r="M798" s="4" t="s">
        <v>63</v>
      </c>
      <c r="N798" s="4" t="s">
        <v>6647</v>
      </c>
      <c r="O798" s="2" t="s">
        <v>132</v>
      </c>
      <c r="P798" s="2">
        <v>8.55466074E8</v>
      </c>
      <c r="Q798" s="2" t="s">
        <v>68</v>
      </c>
      <c r="R798" s="4" t="s">
        <v>6657</v>
      </c>
    </row>
    <row r="799">
      <c r="A799" s="4" t="s">
        <v>44</v>
      </c>
      <c r="B799" s="4" t="s">
        <v>44</v>
      </c>
      <c r="C799" s="4">
        <v>798.0</v>
      </c>
      <c r="D799" s="13" t="str">
        <f>HYPERLINK("https://www.linkedin.com/ad-library/detail/855515394","Open Ad")</f>
        <v>Open Ad</v>
      </c>
      <c r="E799" s="4" t="s">
        <v>91</v>
      </c>
      <c r="F799" s="4" t="s">
        <v>6643</v>
      </c>
      <c r="G799" s="4" t="s">
        <v>6644</v>
      </c>
      <c r="H799" s="4" t="s">
        <v>55</v>
      </c>
      <c r="I799" s="4" t="s">
        <v>6645</v>
      </c>
      <c r="J799" s="4" t="s">
        <v>91</v>
      </c>
      <c r="K799" s="13" t="str">
        <f>HYPERLINK("https://media.licdn.com/dms/image/v2/D4E10AQG9JDN754FyFQ/image-shrink_1280/B4EZnSuR3VIQAM-/0/1760176972008?e=2147483647&amp;v=beta&amp;t=9boTqTvYsecQeUxjW8b5eqEx1C2rHdjShuf57H3Yw3c","Open Creative")</f>
        <v>Open Creative</v>
      </c>
      <c r="L799" s="4" t="s">
        <v>62</v>
      </c>
      <c r="M799" s="4" t="s">
        <v>63</v>
      </c>
      <c r="N799" s="4" t="s">
        <v>6658</v>
      </c>
      <c r="O799" s="2" t="s">
        <v>132</v>
      </c>
      <c r="P799" s="2">
        <v>8.55515394E8</v>
      </c>
      <c r="Q799" s="2" t="s">
        <v>68</v>
      </c>
      <c r="R799" s="4" t="s">
        <v>6659</v>
      </c>
    </row>
    <row r="800">
      <c r="A800" s="4" t="s">
        <v>44</v>
      </c>
      <c r="B800" s="4" t="s">
        <v>44</v>
      </c>
      <c r="C800" s="4">
        <v>799.0</v>
      </c>
      <c r="D800" s="13" t="str">
        <f>HYPERLINK("https://www.linkedin.com/ad-library/detail/855515384","Open Ad")</f>
        <v>Open Ad</v>
      </c>
      <c r="E800" s="4" t="s">
        <v>91</v>
      </c>
      <c r="F800" s="4" t="s">
        <v>6643</v>
      </c>
      <c r="G800" s="4" t="s">
        <v>6644</v>
      </c>
      <c r="H800" s="4" t="s">
        <v>55</v>
      </c>
      <c r="I800" s="4" t="s">
        <v>6645</v>
      </c>
      <c r="J800" s="4" t="s">
        <v>91</v>
      </c>
      <c r="K800" s="13" t="str">
        <f>HYPERLINK("https://media.licdn.com/dms/image/v2/D4E10AQHQFl7bcg-S1A/image-shrink_1280/B4EZnSuRiWHIAM-/0/1760176970655?e=2147483647&amp;v=beta&amp;t=JCJJCjTlUEntIjYjydymECEBzixpZ-nJehW7kuvMM00","Open Creative")</f>
        <v>Open Creative</v>
      </c>
      <c r="L800" s="4" t="s">
        <v>62</v>
      </c>
      <c r="M800" s="4" t="s">
        <v>63</v>
      </c>
      <c r="N800" s="4" t="s">
        <v>6647</v>
      </c>
      <c r="O800" s="2" t="s">
        <v>132</v>
      </c>
      <c r="P800" s="2">
        <v>8.55515384E8</v>
      </c>
      <c r="Q800" s="2" t="s">
        <v>68</v>
      </c>
      <c r="R800" s="4" t="s">
        <v>6662</v>
      </c>
    </row>
    <row r="801">
      <c r="A801" s="4" t="s">
        <v>44</v>
      </c>
      <c r="B801" s="4" t="s">
        <v>44</v>
      </c>
      <c r="C801" s="4">
        <v>800.0</v>
      </c>
      <c r="D801" s="13" t="str">
        <f>HYPERLINK("https://www.linkedin.com/ad-library/detail/869364304","Open Ad")</f>
        <v>Open Ad</v>
      </c>
      <c r="E801" s="4" t="s">
        <v>91</v>
      </c>
      <c r="F801" s="4" t="s">
        <v>6663</v>
      </c>
      <c r="G801" s="4" t="s">
        <v>6664</v>
      </c>
      <c r="H801" s="4" t="s">
        <v>55</v>
      </c>
      <c r="I801" s="4" t="s">
        <v>6665</v>
      </c>
      <c r="J801" s="4" t="s">
        <v>91</v>
      </c>
      <c r="K801" s="13" t="str">
        <f>HYPERLINK("https://media.licdn.com/dms/image/v2/D4E10AQFmSmLzvFSsxA/image-shrink_1280/B4EZoB2nc5KkAQ-/0/1760967686628/Version2-Persona_MarketingLead1png?e=2147483647&amp;v=beta&amp;t=CxtNPZU8wKDo8VX7FXfoR6t0s7efpKPWXAw-oCXl-4E","Open Creative")</f>
        <v>Open Creative</v>
      </c>
      <c r="L801" s="4" t="s">
        <v>62</v>
      </c>
      <c r="M801" s="4" t="s">
        <v>63</v>
      </c>
      <c r="N801" s="4" t="s">
        <v>6594</v>
      </c>
      <c r="O801" s="2" t="s">
        <v>132</v>
      </c>
      <c r="P801" s="2">
        <v>8.69364304E8</v>
      </c>
      <c r="Q801" s="2" t="s">
        <v>68</v>
      </c>
      <c r="R801" s="4" t="s">
        <v>6668</v>
      </c>
    </row>
    <row r="802">
      <c r="A802" s="4" t="s">
        <v>44</v>
      </c>
      <c r="B802" s="4" t="s">
        <v>44</v>
      </c>
      <c r="C802" s="4">
        <v>801.0</v>
      </c>
      <c r="D802" s="13" t="str">
        <f>HYPERLINK("https://www.linkedin.com/ad-library/detail/855673364","Open Ad")</f>
        <v>Open Ad</v>
      </c>
      <c r="E802" s="4" t="s">
        <v>91</v>
      </c>
      <c r="F802" s="4" t="s">
        <v>6643</v>
      </c>
      <c r="G802" s="4" t="s">
        <v>6650</v>
      </c>
      <c r="H802" s="4" t="s">
        <v>55</v>
      </c>
      <c r="I802" s="4" t="s">
        <v>272</v>
      </c>
      <c r="J802" s="4" t="s">
        <v>91</v>
      </c>
      <c r="K802" s="13" t="str">
        <f>HYPERLINK("https://media.licdn.com/dms/image/v2/D4E10AQFB5XY8FBw9hQ/image-shrink_1280/B4EZnSuRpYIQAM-/0/1760176971354?e=2147483647&amp;v=beta&amp;t=_dbm0UuEtImSSuxsgTmQGIxNvWRB15CfHPk4J03s9jY","Open Creative")</f>
        <v>Open Creative</v>
      </c>
      <c r="L802" s="4" t="s">
        <v>62</v>
      </c>
      <c r="M802" s="4" t="s">
        <v>63</v>
      </c>
      <c r="N802" s="4" t="s">
        <v>6647</v>
      </c>
      <c r="O802" s="2" t="s">
        <v>132</v>
      </c>
      <c r="P802" s="2">
        <v>8.55673364E8</v>
      </c>
      <c r="Q802" s="2" t="s">
        <v>68</v>
      </c>
      <c r="R802" s="4" t="s">
        <v>6670</v>
      </c>
    </row>
    <row r="803">
      <c r="A803" s="4" t="s">
        <v>44</v>
      </c>
      <c r="B803" s="4" t="s">
        <v>44</v>
      </c>
      <c r="C803" s="4">
        <v>802.0</v>
      </c>
      <c r="D803" s="13" t="str">
        <f>HYPERLINK("https://www.linkedin.com/ad-library/detail/855515374","Open Ad")</f>
        <v>Open Ad</v>
      </c>
      <c r="E803" s="4" t="s">
        <v>91</v>
      </c>
      <c r="F803" s="4" t="s">
        <v>6643</v>
      </c>
      <c r="G803" s="4" t="s">
        <v>6644</v>
      </c>
      <c r="H803" s="4" t="s">
        <v>55</v>
      </c>
      <c r="I803" s="4" t="s">
        <v>6645</v>
      </c>
      <c r="J803" s="4" t="s">
        <v>91</v>
      </c>
      <c r="K803" s="13" t="str">
        <f>HYPERLINK("https://media.licdn.com/dms/image/v2/D4E10AQGy8H11xBJa_w/image-shrink_1280/B4EZnSuLurIMAM-/0/1760176947433?e=2147483647&amp;v=beta&amp;t=uw-jKGACcQDyvE3Zg4mobmWaQ0TwRDbC1WhWssjHECM","Open Creative")</f>
        <v>Open Creative</v>
      </c>
      <c r="L803" s="4" t="s">
        <v>62</v>
      </c>
      <c r="M803" s="4" t="s">
        <v>63</v>
      </c>
      <c r="N803" s="4" t="s">
        <v>6647</v>
      </c>
      <c r="O803" s="2" t="s">
        <v>132</v>
      </c>
      <c r="P803" s="2">
        <v>8.55515374E8</v>
      </c>
      <c r="Q803" s="2" t="s">
        <v>68</v>
      </c>
      <c r="R803" s="4" t="s">
        <v>6672</v>
      </c>
    </row>
    <row r="804">
      <c r="A804" s="4" t="s">
        <v>44</v>
      </c>
      <c r="B804" s="4" t="s">
        <v>44</v>
      </c>
      <c r="C804" s="4">
        <v>803.0</v>
      </c>
      <c r="D804" s="13" t="str">
        <f>HYPERLINK("https://www.linkedin.com/ad-library/detail/855604784","Open Ad")</f>
        <v>Open Ad</v>
      </c>
      <c r="E804" s="4" t="s">
        <v>91</v>
      </c>
      <c r="F804" s="4" t="s">
        <v>6643</v>
      </c>
      <c r="G804" s="4" t="s">
        <v>6644</v>
      </c>
      <c r="H804" s="4" t="s">
        <v>55</v>
      </c>
      <c r="I804" s="4" t="s">
        <v>6645</v>
      </c>
      <c r="J804" s="4" t="s">
        <v>91</v>
      </c>
      <c r="K804" s="13" t="str">
        <f>HYPERLINK("https://media.licdn.com/dms/image/v2/D4E10AQFH7WynemVjGA/image-shrink_1280/B4EZnSuLh_IQAM-/0/1760176946283?e=2147483647&amp;v=beta&amp;t=6_4Njcba9tqG5PlicG74c2V3vnbWQeERmKUb4OimT4s","Open Creative")</f>
        <v>Open Creative</v>
      </c>
      <c r="L804" s="4" t="s">
        <v>62</v>
      </c>
      <c r="M804" s="4" t="s">
        <v>63</v>
      </c>
      <c r="N804" s="4" t="s">
        <v>6647</v>
      </c>
      <c r="O804" s="2" t="s">
        <v>132</v>
      </c>
      <c r="P804" s="2">
        <v>8.55604784E8</v>
      </c>
      <c r="Q804" s="2" t="s">
        <v>68</v>
      </c>
      <c r="R804" s="4" t="s">
        <v>6675</v>
      </c>
    </row>
    <row r="805">
      <c r="A805" s="4" t="s">
        <v>44</v>
      </c>
      <c r="B805" s="4" t="s">
        <v>44</v>
      </c>
      <c r="C805" s="4">
        <v>804.0</v>
      </c>
      <c r="D805" s="13" t="str">
        <f>HYPERLINK("https://www.linkedin.com/ad-library/detail/855495934","Open Ad")</f>
        <v>Open Ad</v>
      </c>
      <c r="E805" s="4" t="s">
        <v>91</v>
      </c>
      <c r="F805" s="4" t="s">
        <v>6643</v>
      </c>
      <c r="G805" s="4" t="s">
        <v>6650</v>
      </c>
      <c r="H805" s="4" t="s">
        <v>55</v>
      </c>
      <c r="I805" s="4" t="s">
        <v>272</v>
      </c>
      <c r="J805" s="4" t="s">
        <v>91</v>
      </c>
      <c r="K805" s="13" t="str">
        <f>HYPERLINK("https://media.licdn.com/dms/image/v2/D4E10AQETHF7xSSYX8w/image-shrink_1280/B4EZnSuRhYHgAM-/0/1760176971103?e=2147483647&amp;v=beta&amp;t=FkAEHqYxBZV_StRnXvb2zwLQsRgBxZZH8N93AQr-3NU","Open Creative")</f>
        <v>Open Creative</v>
      </c>
      <c r="L805" s="4" t="s">
        <v>62</v>
      </c>
      <c r="M805" s="4" t="s">
        <v>63</v>
      </c>
      <c r="N805" s="4" t="s">
        <v>6678</v>
      </c>
      <c r="O805" s="2" t="s">
        <v>132</v>
      </c>
      <c r="P805" s="2">
        <v>8.55495934E8</v>
      </c>
      <c r="Q805" s="2" t="s">
        <v>68</v>
      </c>
      <c r="R805" s="4" t="s">
        <v>6679</v>
      </c>
    </row>
    <row r="806">
      <c r="A806" s="4" t="s">
        <v>44</v>
      </c>
      <c r="B806" s="4" t="s">
        <v>44</v>
      </c>
      <c r="C806" s="4">
        <v>805.0</v>
      </c>
      <c r="D806" s="13" t="str">
        <f>HYPERLINK("https://www.linkedin.com/ad-library/detail/862799454","Open Ad")</f>
        <v>Open Ad</v>
      </c>
      <c r="E806" s="4" t="s">
        <v>154</v>
      </c>
      <c r="F806" s="4" t="s">
        <v>53</v>
      </c>
      <c r="G806" s="4" t="s">
        <v>6680</v>
      </c>
      <c r="H806" s="4" t="s">
        <v>55</v>
      </c>
      <c r="I806" s="4" t="s">
        <v>6682</v>
      </c>
      <c r="J806" s="4" t="s">
        <v>154</v>
      </c>
      <c r="K806" s="13" t="str">
        <f>HYPERLINK("https://dms.licdn.com/playlist/vid/v2/D4D10AQHCl7oLxW7e6w/mp4-640p-30fp-crf28/B4DZnykS3dIcBM-/0/1760711231236?e=2147483647&amp;v=beta&amp;t=1y6POtFAEXPqKtGGU3ynrDSO5n-J9gOj-eQuiLo3xKQ","Open Creative")</f>
        <v>Open Creative</v>
      </c>
      <c r="L806" s="4" t="s">
        <v>62</v>
      </c>
      <c r="M806" s="4" t="s">
        <v>63</v>
      </c>
      <c r="N806" s="4" t="s">
        <v>6684</v>
      </c>
      <c r="O806" s="2" t="s">
        <v>132</v>
      </c>
      <c r="P806" s="2">
        <v>8.62799454E8</v>
      </c>
      <c r="Q806" s="2" t="s">
        <v>68</v>
      </c>
      <c r="R806" s="4" t="s">
        <v>6685</v>
      </c>
    </row>
    <row r="807">
      <c r="A807" s="4" t="s">
        <v>44</v>
      </c>
      <c r="B807" s="4" t="s">
        <v>44</v>
      </c>
      <c r="C807" s="4">
        <v>806.0</v>
      </c>
      <c r="D807" s="13" t="str">
        <f>HYPERLINK("https://www.linkedin.com/ad-library/detail/855476024","Open Ad")</f>
        <v>Open Ad</v>
      </c>
      <c r="E807" s="4" t="s">
        <v>91</v>
      </c>
      <c r="F807" s="4" t="s">
        <v>6643</v>
      </c>
      <c r="G807" s="4" t="s">
        <v>6650</v>
      </c>
      <c r="H807" s="4" t="s">
        <v>55</v>
      </c>
      <c r="I807" s="4" t="s">
        <v>272</v>
      </c>
      <c r="J807" s="4" t="s">
        <v>91</v>
      </c>
      <c r="K807" s="13" t="str">
        <f>HYPERLINK("https://media.licdn.com/dms/image/v2/D4E10AQGtNC852w9tww/image-shrink_1280/B4EZnSuLdyIwAM-/0/1760176947217?e=2147483647&amp;v=beta&amp;t=BQdc6fnt5CU8h8XnydpUAQAbP5bDjo6yYuHUdpNQQ9Q","Open Creative")</f>
        <v>Open Creative</v>
      </c>
      <c r="L807" s="4" t="s">
        <v>62</v>
      </c>
      <c r="M807" s="4" t="s">
        <v>63</v>
      </c>
      <c r="N807" s="4" t="s">
        <v>6647</v>
      </c>
      <c r="O807" s="2" t="s">
        <v>132</v>
      </c>
      <c r="P807" s="2">
        <v>8.55476024E8</v>
      </c>
      <c r="Q807" s="2" t="s">
        <v>68</v>
      </c>
      <c r="R807" s="4" t="s">
        <v>6688</v>
      </c>
    </row>
    <row r="808">
      <c r="A808" s="4" t="s">
        <v>44</v>
      </c>
      <c r="B808" s="4" t="s">
        <v>44</v>
      </c>
      <c r="C808" s="4">
        <v>807.0</v>
      </c>
      <c r="D808" s="13" t="str">
        <f>HYPERLINK("https://www.linkedin.com/ad-library/detail/855445834","Open Ad")</f>
        <v>Open Ad</v>
      </c>
      <c r="E808" s="4" t="s">
        <v>91</v>
      </c>
      <c r="F808" s="4" t="s">
        <v>6643</v>
      </c>
      <c r="G808" s="4" t="s">
        <v>6650</v>
      </c>
      <c r="H808" s="4" t="s">
        <v>55</v>
      </c>
      <c r="I808" s="4" t="s">
        <v>272</v>
      </c>
      <c r="J808" s="4" t="s">
        <v>91</v>
      </c>
      <c r="K808" s="13" t="str">
        <f>HYPERLINK("https://media.licdn.com/dms/image/v2/D4E10AQFSJsE208rxVA/image-shrink_1280/B4EZnSuLf2KYAM-/0/1760176946249?e=2147483647&amp;v=beta&amp;t=Bs0lHDELs4phY26X019oiCLX4FrtE13AiWIsx63f22U","Open Creative")</f>
        <v>Open Creative</v>
      </c>
      <c r="L808" s="4" t="s">
        <v>62</v>
      </c>
      <c r="M808" s="4" t="s">
        <v>63</v>
      </c>
      <c r="N808" s="4" t="s">
        <v>6647</v>
      </c>
      <c r="O808" s="2" t="s">
        <v>132</v>
      </c>
      <c r="P808" s="2">
        <v>8.55445834E8</v>
      </c>
      <c r="Q808" s="2" t="s">
        <v>68</v>
      </c>
      <c r="R808" s="4" t="s">
        <v>6689</v>
      </c>
    </row>
    <row r="809">
      <c r="A809" s="4" t="s">
        <v>44</v>
      </c>
      <c r="B809" s="4" t="s">
        <v>44</v>
      </c>
      <c r="C809" s="4">
        <v>808.0</v>
      </c>
      <c r="D809" s="13" t="str">
        <f>HYPERLINK("https://www.linkedin.com/ad-library/detail/862939914","Open Ad")</f>
        <v>Open Ad</v>
      </c>
      <c r="E809" s="4" t="s">
        <v>154</v>
      </c>
      <c r="F809" s="4" t="s">
        <v>53</v>
      </c>
      <c r="G809" s="4" t="s">
        <v>6692</v>
      </c>
      <c r="H809" s="4" t="s">
        <v>55</v>
      </c>
      <c r="I809" s="4" t="s">
        <v>272</v>
      </c>
      <c r="J809" s="4" t="s">
        <v>154</v>
      </c>
      <c r="K809" s="13" t="str">
        <f>HYPERLINK("https://dms.licdn.com/playlist/vid/v2/D4D10AQEwPkB3qrpmOg/mp4-720p-30fp-crf28/B4DZniFJZ7JcBs-/0/1760434629613?e=2147483647&amp;v=beta&amp;t=lxcp20ldCEfKUH4VpIXHA4JLwVzz9gA6DweouZpf4BM","Open Creative")</f>
        <v>Open Creative</v>
      </c>
      <c r="L809" s="4" t="s">
        <v>62</v>
      </c>
      <c r="M809" s="4" t="s">
        <v>63</v>
      </c>
      <c r="N809" s="4" t="s">
        <v>6684</v>
      </c>
      <c r="O809" s="2" t="s">
        <v>132</v>
      </c>
      <c r="P809" s="2">
        <v>8.62939914E8</v>
      </c>
      <c r="Q809" s="2" t="s">
        <v>68</v>
      </c>
      <c r="R809" s="4" t="s">
        <v>6693</v>
      </c>
    </row>
    <row r="810">
      <c r="A810" s="4" t="s">
        <v>44</v>
      </c>
      <c r="B810" s="4" t="s">
        <v>44</v>
      </c>
      <c r="C810" s="4">
        <v>809.0</v>
      </c>
      <c r="D810" s="13" t="str">
        <f>HYPERLINK("https://www.linkedin.com/ad-library/detail/855476014","Open Ad")</f>
        <v>Open Ad</v>
      </c>
      <c r="E810" s="4" t="s">
        <v>91</v>
      </c>
      <c r="F810" s="4" t="s">
        <v>6643</v>
      </c>
      <c r="G810" s="4" t="s">
        <v>6644</v>
      </c>
      <c r="H810" s="4" t="s">
        <v>55</v>
      </c>
      <c r="I810" s="4" t="s">
        <v>6645</v>
      </c>
      <c r="J810" s="4" t="s">
        <v>91</v>
      </c>
      <c r="K810" s="13" t="str">
        <f>HYPERLINK("https://media.licdn.com/dms/image/v2/D4E10AQF5zzSieOqXYA/image-shrink_1280/B4EZnSuLnbKwAM-/0/1760176946676?e=2147483647&amp;v=beta&amp;t=sZye4axh1ugBiHzPocyBrKKc1DVxDuy-8hza4iyvq7E","Open Creative")</f>
        <v>Open Creative</v>
      </c>
      <c r="L810" s="4" t="s">
        <v>62</v>
      </c>
      <c r="M810" s="4" t="s">
        <v>63</v>
      </c>
      <c r="N810" s="4" t="s">
        <v>6647</v>
      </c>
      <c r="O810" s="2" t="s">
        <v>132</v>
      </c>
      <c r="P810" s="2">
        <v>8.55476014E8</v>
      </c>
      <c r="Q810" s="2" t="s">
        <v>68</v>
      </c>
      <c r="R810" s="4" t="s">
        <v>6696</v>
      </c>
    </row>
    <row r="811">
      <c r="A811" s="4" t="s">
        <v>44</v>
      </c>
      <c r="B811" s="4" t="s">
        <v>44</v>
      </c>
      <c r="C811" s="4">
        <v>810.0</v>
      </c>
      <c r="D811" s="13" t="str">
        <f>HYPERLINK("https://www.linkedin.com/ad-library/detail/855644324","Open Ad")</f>
        <v>Open Ad</v>
      </c>
      <c r="E811" s="4" t="s">
        <v>91</v>
      </c>
      <c r="F811" s="4" t="s">
        <v>6643</v>
      </c>
      <c r="G811" s="4" t="s">
        <v>6644</v>
      </c>
      <c r="H811" s="4" t="s">
        <v>55</v>
      </c>
      <c r="I811" s="4" t="s">
        <v>6645</v>
      </c>
      <c r="J811" s="4" t="s">
        <v>91</v>
      </c>
      <c r="K811" s="13" t="str">
        <f>HYPERLINK("https://media.licdn.com/dms/image/v2/D4E10AQFVz9fjD3yl2A/image-shrink_1280/B4EZnSuR2PHMAQ-/0/1760176972005?e=2147483647&amp;v=beta&amp;t=1XgB74Y_b8GNPQcNcFOTuw1ySOjuTBmu1jsMvBYHcoE","Open Creative")</f>
        <v>Open Creative</v>
      </c>
      <c r="L811" s="4" t="s">
        <v>62</v>
      </c>
      <c r="M811" s="4" t="s">
        <v>63</v>
      </c>
      <c r="N811" s="4" t="s">
        <v>6647</v>
      </c>
      <c r="O811" s="2" t="s">
        <v>132</v>
      </c>
      <c r="P811" s="2">
        <v>8.55644324E8</v>
      </c>
      <c r="Q811" s="2" t="s">
        <v>68</v>
      </c>
      <c r="R811" s="4" t="s">
        <v>6698</v>
      </c>
    </row>
    <row r="812">
      <c r="A812" s="4" t="s">
        <v>44</v>
      </c>
      <c r="B812" s="4" t="s">
        <v>44</v>
      </c>
      <c r="C812" s="4">
        <v>811.0</v>
      </c>
      <c r="D812" s="13" t="str">
        <f>HYPERLINK("https://www.linkedin.com/ad-library/detail/855575504","Open Ad")</f>
        <v>Open Ad</v>
      </c>
      <c r="E812" s="4" t="s">
        <v>91</v>
      </c>
      <c r="F812" s="4" t="s">
        <v>6643</v>
      </c>
      <c r="G812" s="4" t="s">
        <v>6644</v>
      </c>
      <c r="H812" s="4" t="s">
        <v>55</v>
      </c>
      <c r="I812" s="4" t="s">
        <v>6645</v>
      </c>
      <c r="J812" s="4" t="s">
        <v>91</v>
      </c>
      <c r="K812" s="13" t="str">
        <f>HYPERLINK("https://media.licdn.com/dms/image/v2/D4E10AQGZEGMUzoYP7w/image-shrink_1280/B4EZnSuRlbKwAM-/0/1760176972187?e=2147483647&amp;v=beta&amp;t=bCvjrtMO8hvlXQ1WvEaBwCeBHEckELPi9JyRTuG7RBg","Open Creative")</f>
        <v>Open Creative</v>
      </c>
      <c r="L812" s="4" t="s">
        <v>62</v>
      </c>
      <c r="M812" s="4" t="s">
        <v>63</v>
      </c>
      <c r="N812" s="4" t="s">
        <v>6658</v>
      </c>
      <c r="O812" s="2" t="s">
        <v>132</v>
      </c>
      <c r="P812" s="2">
        <v>8.55575504E8</v>
      </c>
      <c r="Q812" s="2" t="s">
        <v>68</v>
      </c>
      <c r="R812" s="4" t="s">
        <v>6700</v>
      </c>
    </row>
    <row r="813">
      <c r="A813" s="4" t="s">
        <v>44</v>
      </c>
      <c r="B813" s="4" t="s">
        <v>44</v>
      </c>
      <c r="C813" s="4">
        <v>812.0</v>
      </c>
      <c r="D813" s="13" t="str">
        <f>HYPERLINK("https://www.linkedin.com/ad-library/detail/855644314","Open Ad")</f>
        <v>Open Ad</v>
      </c>
      <c r="E813" s="4" t="s">
        <v>91</v>
      </c>
      <c r="F813" s="4" t="s">
        <v>6643</v>
      </c>
      <c r="G813" s="4" t="s">
        <v>6650</v>
      </c>
      <c r="H813" s="4" t="s">
        <v>55</v>
      </c>
      <c r="I813" s="4" t="s">
        <v>272</v>
      </c>
      <c r="J813" s="4" t="s">
        <v>91</v>
      </c>
      <c r="K813" s="13" t="str">
        <f>HYPERLINK("https://media.licdn.com/dms/image/v2/D4E10AQG7Ie4QVIcs4w/image-shrink_1280/B4EZnSuRmxGcAM-/0/1760176970878?e=2147483647&amp;v=beta&amp;t=3mg8bq7OYCdh3QMM8k_rLKcw1pQGRzagIa5OiEK84JI","Open Creative")</f>
        <v>Open Creative</v>
      </c>
      <c r="L813" s="4" t="s">
        <v>62</v>
      </c>
      <c r="M813" s="4" t="s">
        <v>63</v>
      </c>
      <c r="N813" s="4" t="s">
        <v>6647</v>
      </c>
      <c r="O813" s="2" t="s">
        <v>132</v>
      </c>
      <c r="P813" s="2">
        <v>8.55644314E8</v>
      </c>
      <c r="Q813" s="2" t="s">
        <v>68</v>
      </c>
      <c r="R813" s="4" t="s">
        <v>6703</v>
      </c>
    </row>
    <row r="814">
      <c r="A814" s="4" t="s">
        <v>44</v>
      </c>
      <c r="B814" s="4" t="s">
        <v>44</v>
      </c>
      <c r="C814" s="4">
        <v>813.0</v>
      </c>
      <c r="D814" s="13" t="str">
        <f>HYPERLINK("https://www.linkedin.com/ad-library/detail/855555414","Open Ad")</f>
        <v>Open Ad</v>
      </c>
      <c r="E814" s="4" t="s">
        <v>91</v>
      </c>
      <c r="F814" s="4" t="s">
        <v>6643</v>
      </c>
      <c r="G814" s="4" t="s">
        <v>6644</v>
      </c>
      <c r="H814" s="4" t="s">
        <v>55</v>
      </c>
      <c r="I814" s="4" t="s">
        <v>6645</v>
      </c>
      <c r="J814" s="4" t="s">
        <v>91</v>
      </c>
      <c r="K814" s="13" t="str">
        <f>HYPERLINK("https://media.licdn.com/dms/image/v2/D4E10AQFWnD0dcIh8nQ/image-shrink_1280/B4EZnSuLWQGUAM-/0/1760176945626?e=2147483647&amp;v=beta&amp;t=Mg5jChebHz-JlrTJAH548B_U6wfwsZ_Ubtqwl1Wx9wU","Open Creative")</f>
        <v>Open Creative</v>
      </c>
      <c r="L814" s="4" t="s">
        <v>62</v>
      </c>
      <c r="M814" s="4" t="s">
        <v>63</v>
      </c>
      <c r="N814" s="4" t="s">
        <v>6647</v>
      </c>
      <c r="O814" s="2" t="s">
        <v>132</v>
      </c>
      <c r="P814" s="2">
        <v>8.55555414E8</v>
      </c>
      <c r="Q814" s="2" t="s">
        <v>68</v>
      </c>
      <c r="R814" s="4" t="s">
        <v>6706</v>
      </c>
    </row>
    <row r="815">
      <c r="A815" s="4" t="s">
        <v>44</v>
      </c>
      <c r="B815" s="4" t="s">
        <v>44</v>
      </c>
      <c r="C815" s="4">
        <v>814.0</v>
      </c>
      <c r="D815" s="13" t="str">
        <f>HYPERLINK("https://www.linkedin.com/ad-library/detail/855663664","Open Ad")</f>
        <v>Open Ad</v>
      </c>
      <c r="E815" s="4" t="s">
        <v>91</v>
      </c>
      <c r="F815" s="4" t="s">
        <v>6643</v>
      </c>
      <c r="G815" s="4" t="s">
        <v>6650</v>
      </c>
      <c r="H815" s="4" t="s">
        <v>55</v>
      </c>
      <c r="I815" s="4" t="s">
        <v>272</v>
      </c>
      <c r="J815" s="4" t="s">
        <v>91</v>
      </c>
      <c r="K815" s="13" t="str">
        <f>HYPERLINK("https://media.licdn.com/dms/image/v2/D4E10AQExWEtp2fhwtg/image-shrink_1280/B4EZnSuRwkGYAM-/0/1760176971397?e=2147483647&amp;v=beta&amp;t=GQHSi8xpYre4WK45ZCco7RlDcThKWCqPbVt4Oyo95j8","Open Creative")</f>
        <v>Open Creative</v>
      </c>
      <c r="L815" s="4" t="s">
        <v>62</v>
      </c>
      <c r="M815" s="4" t="s">
        <v>63</v>
      </c>
      <c r="N815" s="4" t="s">
        <v>6708</v>
      </c>
      <c r="O815" s="2" t="s">
        <v>132</v>
      </c>
      <c r="P815" s="2">
        <v>8.55663664E8</v>
      </c>
      <c r="Q815" s="2" t="s">
        <v>68</v>
      </c>
      <c r="R815" s="4" t="s">
        <v>6709</v>
      </c>
    </row>
    <row r="816">
      <c r="A816" s="4" t="s">
        <v>44</v>
      </c>
      <c r="B816" s="4" t="s">
        <v>44</v>
      </c>
      <c r="C816" s="4">
        <v>815.0</v>
      </c>
      <c r="D816" s="13" t="str">
        <f>HYPERLINK("https://www.linkedin.com/ad-library/detail/855625014","Open Ad")</f>
        <v>Open Ad</v>
      </c>
      <c r="E816" s="4" t="s">
        <v>91</v>
      </c>
      <c r="F816" s="4" t="s">
        <v>6643</v>
      </c>
      <c r="G816" s="4" t="s">
        <v>6644</v>
      </c>
      <c r="H816" s="4" t="s">
        <v>55</v>
      </c>
      <c r="I816" s="4" t="s">
        <v>6645</v>
      </c>
      <c r="J816" s="4" t="s">
        <v>91</v>
      </c>
      <c r="K816" s="13" t="str">
        <f>HYPERLINK("https://media.licdn.com/dms/image/v2/D4E10AQH7yLXHy3Ga8g/image-shrink_1280/B4EZnSuRuGK0AM-/0/1760176971250?e=2147483647&amp;v=beta&amp;t=Mn0x5cOKvJjiuPAq9-QJtQCfsZ60oROHxQkHjS6K010","Open Creative")</f>
        <v>Open Creative</v>
      </c>
      <c r="L816" s="4" t="s">
        <v>62</v>
      </c>
      <c r="M816" s="4" t="s">
        <v>63</v>
      </c>
      <c r="N816" s="4" t="s">
        <v>6647</v>
      </c>
      <c r="O816" s="2" t="s">
        <v>132</v>
      </c>
      <c r="P816" s="2">
        <v>8.55625014E8</v>
      </c>
      <c r="Q816" s="2" t="s">
        <v>68</v>
      </c>
      <c r="R816" s="4" t="s">
        <v>6711</v>
      </c>
    </row>
    <row r="817">
      <c r="A817" s="4" t="s">
        <v>44</v>
      </c>
      <c r="B817" s="4" t="s">
        <v>44</v>
      </c>
      <c r="C817" s="4">
        <v>816.0</v>
      </c>
      <c r="D817" s="13" t="str">
        <f>HYPERLINK("https://www.linkedin.com/ad-library/detail/855663654","Open Ad")</f>
        <v>Open Ad</v>
      </c>
      <c r="E817" s="4" t="s">
        <v>91</v>
      </c>
      <c r="F817" s="4" t="s">
        <v>6643</v>
      </c>
      <c r="G817" s="4" t="s">
        <v>6650</v>
      </c>
      <c r="H817" s="4" t="s">
        <v>55</v>
      </c>
      <c r="I817" s="4" t="s">
        <v>272</v>
      </c>
      <c r="J817" s="4" t="s">
        <v>91</v>
      </c>
      <c r="K817" s="13" t="str">
        <f>HYPERLINK("https://media.licdn.com/dms/image/v2/D4E10AQH4Y-r3DPfPdA/image-shrink_1280/B4EZnSuLZsK0AM-/0/1760176946915?e=2147483647&amp;v=beta&amp;t=Q3N6U6U8u6DNRL2Yvx9t8IIvHs3kgiIVKaubWQd4Ml4","Open Creative")</f>
        <v>Open Creative</v>
      </c>
      <c r="L817" s="4" t="s">
        <v>62</v>
      </c>
      <c r="M817" s="4" t="s">
        <v>63</v>
      </c>
      <c r="N817" s="4" t="s">
        <v>6708</v>
      </c>
      <c r="O817" s="2" t="s">
        <v>132</v>
      </c>
      <c r="P817" s="2">
        <v>8.55663654E8</v>
      </c>
      <c r="Q817" s="2" t="s">
        <v>68</v>
      </c>
      <c r="R817" s="4" t="s">
        <v>6714</v>
      </c>
    </row>
    <row r="818">
      <c r="A818" s="4" t="s">
        <v>44</v>
      </c>
      <c r="B818" s="4" t="s">
        <v>44</v>
      </c>
      <c r="C818" s="4">
        <v>817.0</v>
      </c>
      <c r="D818" s="13" t="str">
        <f>HYPERLINK("https://www.linkedin.com/ad-library/detail/855635074","Open Ad")</f>
        <v>Open Ad</v>
      </c>
      <c r="E818" s="4" t="s">
        <v>91</v>
      </c>
      <c r="F818" s="4" t="s">
        <v>6643</v>
      </c>
      <c r="G818" s="4" t="s">
        <v>6644</v>
      </c>
      <c r="H818" s="4" t="s">
        <v>55</v>
      </c>
      <c r="I818" s="4" t="s">
        <v>6645</v>
      </c>
      <c r="J818" s="4" t="s">
        <v>91</v>
      </c>
      <c r="K818" s="13" t="str">
        <f>HYPERLINK("https://media.licdn.com/dms/image/v2/D4E10AQHN_4f_4ldzzA/image-shrink_1280/B4EZnSuGS3KYAM-/0/1760176925219?e=2147483647&amp;v=beta&amp;t=QnoBgZTP9Huoc6KFCoHrjPPxu5luMxHJTEU2UV5I8W8","Open Creative")</f>
        <v>Open Creative</v>
      </c>
      <c r="L818" s="4" t="s">
        <v>62</v>
      </c>
      <c r="M818" s="4" t="s">
        <v>63</v>
      </c>
      <c r="N818" s="4" t="s">
        <v>6647</v>
      </c>
      <c r="O818" s="2" t="s">
        <v>132</v>
      </c>
      <c r="P818" s="2">
        <v>8.55635074E8</v>
      </c>
      <c r="Q818" s="2" t="s">
        <v>68</v>
      </c>
      <c r="R818" s="4" t="s">
        <v>6716</v>
      </c>
    </row>
    <row r="819">
      <c r="A819" s="4" t="s">
        <v>44</v>
      </c>
      <c r="B819" s="4" t="s">
        <v>44</v>
      </c>
      <c r="C819" s="4">
        <v>818.0</v>
      </c>
      <c r="D819" s="13" t="str">
        <f>HYPERLINK("https://www.linkedin.com/ad-library/detail/855644304","Open Ad")</f>
        <v>Open Ad</v>
      </c>
      <c r="E819" s="4" t="s">
        <v>91</v>
      </c>
      <c r="F819" s="4" t="s">
        <v>6643</v>
      </c>
      <c r="G819" s="4" t="s">
        <v>6644</v>
      </c>
      <c r="H819" s="4" t="s">
        <v>55</v>
      </c>
      <c r="I819" s="4" t="s">
        <v>6645</v>
      </c>
      <c r="J819" s="4" t="s">
        <v>91</v>
      </c>
      <c r="K819" s="13" t="str">
        <f>HYPERLINK("https://media.licdn.com/dms/image/v2/D4E10AQEWrmdn1dWcGA/image-shrink_1280/B4EZnSuGTZHgAM-/0/1760176924538?e=2147483647&amp;v=beta&amp;t=Gs8pj2jQ-okW9CbBRNtsy2mO-HkHfpI_5_qdL0Xiay8","Open Creative")</f>
        <v>Open Creative</v>
      </c>
      <c r="L819" s="4" t="s">
        <v>62</v>
      </c>
      <c r="M819" s="4" t="s">
        <v>63</v>
      </c>
      <c r="N819" s="4" t="s">
        <v>6647</v>
      </c>
      <c r="O819" s="2" t="s">
        <v>1713</v>
      </c>
      <c r="P819" s="2">
        <v>8.55644304E8</v>
      </c>
      <c r="Q819" s="2" t="s">
        <v>68</v>
      </c>
      <c r="R819" s="4" t="s">
        <v>6718</v>
      </c>
    </row>
    <row r="820">
      <c r="A820" s="4" t="s">
        <v>44</v>
      </c>
      <c r="B820" s="4" t="s">
        <v>44</v>
      </c>
      <c r="C820" s="4">
        <v>819.0</v>
      </c>
      <c r="D820" s="13" t="str">
        <f>HYPERLINK("https://www.linkedin.com/ad-library/detail/855575494","Open Ad")</f>
        <v>Open Ad</v>
      </c>
      <c r="E820" s="4" t="s">
        <v>91</v>
      </c>
      <c r="F820" s="4" t="s">
        <v>6643</v>
      </c>
      <c r="G820" s="4" t="s">
        <v>6650</v>
      </c>
      <c r="H820" s="4" t="s">
        <v>55</v>
      </c>
      <c r="I820" s="4" t="s">
        <v>272</v>
      </c>
      <c r="J820" s="4" t="s">
        <v>91</v>
      </c>
      <c r="K820" s="13" t="str">
        <f>HYPERLINK("https://media.licdn.com/dms/image/v2/D4E10AQEIvJLHK3lGjg/image-shrink_1280/B4EZnSuAsxIMAM-/0/1760176901953?e=2147483647&amp;v=beta&amp;t=7TOpMVX6l69pzITXM6gUYIlnuF9-xHNQ0qZxmjwNqpM","Open Creative")</f>
        <v>Open Creative</v>
      </c>
      <c r="L820" s="4" t="s">
        <v>62</v>
      </c>
      <c r="M820" s="4" t="s">
        <v>63</v>
      </c>
      <c r="N820" s="4" t="s">
        <v>6647</v>
      </c>
      <c r="O820" s="2" t="s">
        <v>132</v>
      </c>
      <c r="P820" s="2">
        <v>8.55575494E8</v>
      </c>
      <c r="Q820" s="2" t="s">
        <v>68</v>
      </c>
      <c r="R820" s="4" t="s">
        <v>6721</v>
      </c>
    </row>
    <row r="821">
      <c r="A821" s="4" t="s">
        <v>44</v>
      </c>
      <c r="B821" s="4" t="s">
        <v>44</v>
      </c>
      <c r="C821" s="4">
        <v>820.0</v>
      </c>
      <c r="D821" s="13" t="str">
        <f>HYPERLINK("https://www.linkedin.com/ad-library/detail/855555394","Open Ad")</f>
        <v>Open Ad</v>
      </c>
      <c r="E821" s="4" t="s">
        <v>91</v>
      </c>
      <c r="F821" s="4" t="s">
        <v>6643</v>
      </c>
      <c r="G821" s="4" t="s">
        <v>6650</v>
      </c>
      <c r="H821" s="4" t="s">
        <v>55</v>
      </c>
      <c r="I821" s="4" t="s">
        <v>272</v>
      </c>
      <c r="J821" s="4" t="s">
        <v>91</v>
      </c>
      <c r="K821" s="13" t="str">
        <f>HYPERLINK("https://media.licdn.com/dms/image/v2/D4E10AQG46GnOssXyAw/image-shrink_1280/B4EZnSuGUEHEAM-/0/1760176924779?e=2147483647&amp;v=beta&amp;t=8kXC5SFJphdcyqi71YVK1C_E_eGTFBsG9iP7yOM3QPg","Open Creative")</f>
        <v>Open Creative</v>
      </c>
      <c r="L821" s="4" t="s">
        <v>62</v>
      </c>
      <c r="M821" s="4" t="s">
        <v>63</v>
      </c>
      <c r="N821" s="4" t="s">
        <v>6647</v>
      </c>
      <c r="O821" s="2" t="s">
        <v>132</v>
      </c>
      <c r="P821" s="2">
        <v>8.55555394E8</v>
      </c>
      <c r="Q821" s="2" t="s">
        <v>68</v>
      </c>
      <c r="R821" s="4" t="s">
        <v>6724</v>
      </c>
    </row>
    <row r="822">
      <c r="A822" s="4" t="s">
        <v>44</v>
      </c>
      <c r="B822" s="4" t="s">
        <v>44</v>
      </c>
      <c r="C822" s="4">
        <v>821.0</v>
      </c>
      <c r="D822" s="13" t="str">
        <f>HYPERLINK("https://www.linkedin.com/ad-library/detail/855585204","Open Ad")</f>
        <v>Open Ad</v>
      </c>
      <c r="E822" s="4" t="s">
        <v>91</v>
      </c>
      <c r="F822" s="4" t="s">
        <v>6643</v>
      </c>
      <c r="G822" s="4" t="s">
        <v>6644</v>
      </c>
      <c r="H822" s="4" t="s">
        <v>55</v>
      </c>
      <c r="I822" s="4" t="s">
        <v>6645</v>
      </c>
      <c r="J822" s="4" t="s">
        <v>91</v>
      </c>
      <c r="K822" s="13" t="str">
        <f>HYPERLINK("https://media.licdn.com/dms/image/v2/D4E10AQEs5CK8-pXBsQ/image-shrink_1280/B4EZnSuAlcHEAQ-/0/1760176902888?e=2147483647&amp;v=beta&amp;t=l2IBQhsavFujr8opk97-WfUfanj7ROjSZyakNBEGHI8","Open Creative")</f>
        <v>Open Creative</v>
      </c>
      <c r="L822" s="4" t="s">
        <v>62</v>
      </c>
      <c r="M822" s="4" t="s">
        <v>63</v>
      </c>
      <c r="N822" s="4" t="s">
        <v>6647</v>
      </c>
      <c r="O822" s="2" t="s">
        <v>132</v>
      </c>
      <c r="P822" s="2">
        <v>8.55585204E8</v>
      </c>
      <c r="Q822" s="2" t="s">
        <v>68</v>
      </c>
      <c r="R822" s="4" t="s">
        <v>6726</v>
      </c>
    </row>
    <row r="823">
      <c r="A823" s="4" t="s">
        <v>44</v>
      </c>
      <c r="B823" s="4" t="s">
        <v>44</v>
      </c>
      <c r="C823" s="4">
        <v>822.0</v>
      </c>
      <c r="D823" s="13" t="str">
        <f>HYPERLINK("https://www.linkedin.com/ad-library/detail/855555384","Open Ad")</f>
        <v>Open Ad</v>
      </c>
      <c r="E823" s="4" t="s">
        <v>91</v>
      </c>
      <c r="F823" s="4" t="s">
        <v>6643</v>
      </c>
      <c r="G823" s="4" t="s">
        <v>6644</v>
      </c>
      <c r="H823" s="4" t="s">
        <v>55</v>
      </c>
      <c r="I823" s="4" t="s">
        <v>6645</v>
      </c>
      <c r="J823" s="4" t="s">
        <v>91</v>
      </c>
      <c r="K823" s="13" t="str">
        <f>HYPERLINK("https://media.licdn.com/dms/image/v2/D4E10AQEh7Ev-pYuCQw/image-shrink_1280/B4EZnSt7bqIMAM-/0/1760176880779?e=2147483647&amp;v=beta&amp;t=gtuAjTnM1MTHV0GfWRD6X216uNt_VEmN5-OdDtXisgA","Open Creative")</f>
        <v>Open Creative</v>
      </c>
      <c r="L823" s="4" t="s">
        <v>62</v>
      </c>
      <c r="M823" s="4" t="s">
        <v>63</v>
      </c>
      <c r="N823" s="4" t="s">
        <v>6647</v>
      </c>
      <c r="O823" s="2" t="s">
        <v>132</v>
      </c>
      <c r="P823" s="2">
        <v>8.55555384E8</v>
      </c>
      <c r="Q823" s="2" t="s">
        <v>68</v>
      </c>
      <c r="R823" s="4" t="s">
        <v>6728</v>
      </c>
    </row>
    <row r="824">
      <c r="A824" s="4" t="s">
        <v>44</v>
      </c>
      <c r="B824" s="4" t="s">
        <v>44</v>
      </c>
      <c r="C824" s="4">
        <v>823.0</v>
      </c>
      <c r="D824" s="13" t="str">
        <f>HYPERLINK("https://www.linkedin.com/ad-library/detail/855505934","Open Ad")</f>
        <v>Open Ad</v>
      </c>
      <c r="E824" s="4" t="s">
        <v>91</v>
      </c>
      <c r="F824" s="4" t="s">
        <v>6643</v>
      </c>
      <c r="G824" s="4" t="s">
        <v>6650</v>
      </c>
      <c r="H824" s="4" t="s">
        <v>55</v>
      </c>
      <c r="I824" s="4" t="s">
        <v>272</v>
      </c>
      <c r="J824" s="4" t="s">
        <v>91</v>
      </c>
      <c r="K824" s="13" t="str">
        <f>HYPERLINK("https://media.licdn.com/dms/image/v2/D4E10AQFQr1KVTxnaHQ/image-shrink_1280/B4EZnSuLGkKgAM-/0/1760176944312?e=2147483647&amp;v=beta&amp;t=R9LQqgwS_r7rLedAJrDyLU016xnhh78zBBywmQYGhhQ","Open Creative")</f>
        <v>Open Creative</v>
      </c>
      <c r="L824" s="4" t="s">
        <v>62</v>
      </c>
      <c r="M824" s="4" t="s">
        <v>63</v>
      </c>
      <c r="N824" s="4" t="s">
        <v>6647</v>
      </c>
      <c r="O824" s="2" t="s">
        <v>132</v>
      </c>
      <c r="P824" s="2">
        <v>8.55505934E8</v>
      </c>
      <c r="Q824" s="2" t="s">
        <v>68</v>
      </c>
      <c r="R824" s="4" t="s">
        <v>6731</v>
      </c>
    </row>
    <row r="825">
      <c r="A825" s="4" t="s">
        <v>44</v>
      </c>
      <c r="B825" s="4" t="s">
        <v>44</v>
      </c>
      <c r="C825" s="4">
        <v>824.0</v>
      </c>
      <c r="D825" s="13" t="str">
        <f>HYPERLINK("https://www.linkedin.com/ad-library/detail/855615294","Open Ad")</f>
        <v>Open Ad</v>
      </c>
      <c r="E825" s="4" t="s">
        <v>91</v>
      </c>
      <c r="F825" s="4" t="s">
        <v>6643</v>
      </c>
      <c r="G825" s="4" t="s">
        <v>6650</v>
      </c>
      <c r="H825" s="4" t="s">
        <v>55</v>
      </c>
      <c r="I825" s="4" t="s">
        <v>272</v>
      </c>
      <c r="J825" s="4" t="s">
        <v>91</v>
      </c>
      <c r="K825" s="13" t="str">
        <f>HYPERLINK("https://media.licdn.com/dms/image/v2/D4E10AQG4Dd-_wCtwww/image-shrink_1280/B4EZnSuAusKwAM-/0/1760176901695?e=2147483647&amp;v=beta&amp;t=Xb8W3URYvusc-mGWlumBUTeMNxYD-tmib7mvDyK2OJ4","Open Creative")</f>
        <v>Open Creative</v>
      </c>
      <c r="L825" s="4" t="s">
        <v>62</v>
      </c>
      <c r="M825" s="4" t="s">
        <v>63</v>
      </c>
      <c r="N825" s="4" t="s">
        <v>6647</v>
      </c>
      <c r="O825" s="2" t="s">
        <v>132</v>
      </c>
      <c r="P825" s="2">
        <v>8.55615294E8</v>
      </c>
      <c r="Q825" s="2" t="s">
        <v>68</v>
      </c>
      <c r="R825" s="4" t="s">
        <v>6734</v>
      </c>
    </row>
    <row r="826">
      <c r="A826" s="4" t="s">
        <v>44</v>
      </c>
      <c r="B826" s="4" t="s">
        <v>44</v>
      </c>
      <c r="C826" s="4">
        <v>825.0</v>
      </c>
      <c r="D826" s="13" t="str">
        <f>HYPERLINK("https://www.linkedin.com/ad-library/detail/855525424","Open Ad")</f>
        <v>Open Ad</v>
      </c>
      <c r="E826" s="4" t="s">
        <v>91</v>
      </c>
      <c r="F826" s="4" t="s">
        <v>6643</v>
      </c>
      <c r="G826" s="4" t="s">
        <v>6650</v>
      </c>
      <c r="H826" s="4" t="s">
        <v>55</v>
      </c>
      <c r="I826" s="4" t="s">
        <v>272</v>
      </c>
      <c r="J826" s="4" t="s">
        <v>91</v>
      </c>
      <c r="K826" s="13" t="str">
        <f>HYPERLINK("https://media.licdn.com/dms/image/v2/D4E10AQEbYkDX_wQoWg/image-shrink_1280/B4EZnSt7eDKgAM-/0/1760176881927?e=2147483647&amp;v=beta&amp;t=sVsKhhh5-1rxHlgN00qpM3Ewf4XDHuP_tUuwYqGxdiI","Open Creative")</f>
        <v>Open Creative</v>
      </c>
      <c r="L826" s="4" t="s">
        <v>62</v>
      </c>
      <c r="M826" s="4" t="s">
        <v>63</v>
      </c>
      <c r="N826" s="4" t="s">
        <v>6647</v>
      </c>
      <c r="O826" s="2" t="s">
        <v>132</v>
      </c>
      <c r="P826" s="2">
        <v>8.55525424E8</v>
      </c>
      <c r="Q826" s="2" t="s">
        <v>68</v>
      </c>
      <c r="R826" s="4" t="s">
        <v>6735</v>
      </c>
    </row>
    <row r="827">
      <c r="A827" s="4" t="s">
        <v>44</v>
      </c>
      <c r="B827" s="4" t="s">
        <v>44</v>
      </c>
      <c r="C827" s="4">
        <v>826.0</v>
      </c>
      <c r="D827" s="13" t="str">
        <f>HYPERLINK("https://www.linkedin.com/ad-library/detail/855565154","Open Ad")</f>
        <v>Open Ad</v>
      </c>
      <c r="E827" s="4" t="s">
        <v>91</v>
      </c>
      <c r="F827" s="4" t="s">
        <v>6643</v>
      </c>
      <c r="G827" s="4" t="s">
        <v>6650</v>
      </c>
      <c r="H827" s="4" t="s">
        <v>55</v>
      </c>
      <c r="I827" s="4" t="s">
        <v>272</v>
      </c>
      <c r="J827" s="4" t="s">
        <v>91</v>
      </c>
      <c r="K827" s="13" t="str">
        <f>HYPERLINK("https://media.licdn.com/dms/image/v2/D4E10AQGiW1tWXY1elQ/image-shrink_1280/B4EZnSuAlpKgAM-/0/1760176902540?e=2147483647&amp;v=beta&amp;t=FeKIECx4BhsmG5Lw0lxm7oncd_V04wmWftcJ6dK-VOE","Open Creative")</f>
        <v>Open Creative</v>
      </c>
      <c r="L827" s="4" t="s">
        <v>62</v>
      </c>
      <c r="M827" s="4" t="s">
        <v>63</v>
      </c>
      <c r="N827" s="4" t="s">
        <v>6708</v>
      </c>
      <c r="O827" s="2" t="s">
        <v>132</v>
      </c>
      <c r="P827" s="2">
        <v>8.55565154E8</v>
      </c>
      <c r="Q827" s="2" t="s">
        <v>68</v>
      </c>
      <c r="R827" s="4" t="s">
        <v>6738</v>
      </c>
    </row>
    <row r="828">
      <c r="A828" s="4" t="s">
        <v>44</v>
      </c>
      <c r="B828" s="4" t="s">
        <v>44</v>
      </c>
      <c r="C828" s="4">
        <v>827.0</v>
      </c>
      <c r="D828" s="13" t="str">
        <f>HYPERLINK("https://www.linkedin.com/ad-library/detail/855515364","Open Ad")</f>
        <v>Open Ad</v>
      </c>
      <c r="E828" s="4" t="s">
        <v>91</v>
      </c>
      <c r="F828" s="4" t="s">
        <v>6643</v>
      </c>
      <c r="G828" s="4" t="s">
        <v>6644</v>
      </c>
      <c r="H828" s="4" t="s">
        <v>55</v>
      </c>
      <c r="I828" s="4" t="s">
        <v>6645</v>
      </c>
      <c r="J828" s="4" t="s">
        <v>91</v>
      </c>
      <c r="K828" s="13" t="str">
        <f>HYPERLINK("https://media.licdn.com/dms/image/v2/D4E10AQHwmBeO-roKBw/image-shrink_1280/B4EZnSuLSxGcAQ-/0/1760176945030?e=2147483647&amp;v=beta&amp;t=FNDCQAYHim-Lfqg4BwaZSwTZz6aU9tWbdBliE3pnWRs","Open Creative")</f>
        <v>Open Creative</v>
      </c>
      <c r="L828" s="4" t="s">
        <v>62</v>
      </c>
      <c r="M828" s="4" t="s">
        <v>63</v>
      </c>
      <c r="N828" s="4" t="s">
        <v>6678</v>
      </c>
      <c r="O828" s="2" t="s">
        <v>132</v>
      </c>
      <c r="P828" s="2">
        <v>8.55515364E8</v>
      </c>
      <c r="Q828" s="2" t="s">
        <v>68</v>
      </c>
      <c r="R828" s="4" t="s">
        <v>6741</v>
      </c>
    </row>
    <row r="829">
      <c r="A829" s="4" t="s">
        <v>44</v>
      </c>
      <c r="B829" s="4" t="s">
        <v>44</v>
      </c>
      <c r="C829" s="4">
        <v>828.0</v>
      </c>
      <c r="D829" s="13" t="str">
        <f>HYPERLINK("https://www.linkedin.com/ad-library/detail/855644294","Open Ad")</f>
        <v>Open Ad</v>
      </c>
      <c r="E829" s="4" t="s">
        <v>91</v>
      </c>
      <c r="F829" s="4" t="s">
        <v>6643</v>
      </c>
      <c r="G829" s="4" t="s">
        <v>6644</v>
      </c>
      <c r="H829" s="4" t="s">
        <v>55</v>
      </c>
      <c r="I829" s="4" t="s">
        <v>6645</v>
      </c>
      <c r="J829" s="4" t="s">
        <v>91</v>
      </c>
      <c r="K829" s="13" t="str">
        <f>HYPERLINK("https://media.licdn.com/dms/image/v2/D4E10AQGir6oRoJ8abQ/image-shrink_1280/B4EZnSuAuLKUAM-/0/1760176902036?e=2147483647&amp;v=beta&amp;t=qt1OLB3pOqBXs8iMRMFZc6GYastCsIdxq22JCzSMuUw","Open Creative")</f>
        <v>Open Creative</v>
      </c>
      <c r="L829" s="4" t="s">
        <v>62</v>
      </c>
      <c r="M829" s="4" t="s">
        <v>63</v>
      </c>
      <c r="N829" s="4" t="s">
        <v>6647</v>
      </c>
      <c r="O829" s="2" t="s">
        <v>132</v>
      </c>
      <c r="P829" s="2">
        <v>8.55644294E8</v>
      </c>
      <c r="Q829" s="2" t="s">
        <v>68</v>
      </c>
      <c r="R829" s="4" t="s">
        <v>6743</v>
      </c>
    </row>
    <row r="830">
      <c r="A830" s="4" t="s">
        <v>44</v>
      </c>
      <c r="B830" s="4" t="s">
        <v>44</v>
      </c>
      <c r="C830" s="4">
        <v>829.0</v>
      </c>
      <c r="D830" s="13" t="str">
        <f>HYPERLINK("https://www.linkedin.com/ad-library/detail/855505904","Open Ad")</f>
        <v>Open Ad</v>
      </c>
      <c r="E830" s="4" t="s">
        <v>91</v>
      </c>
      <c r="F830" s="4" t="s">
        <v>6643</v>
      </c>
      <c r="G830" s="4" t="s">
        <v>6650</v>
      </c>
      <c r="H830" s="4" t="s">
        <v>55</v>
      </c>
      <c r="I830" s="4" t="s">
        <v>272</v>
      </c>
      <c r="J830" s="4" t="s">
        <v>91</v>
      </c>
      <c r="K830" s="13" t="str">
        <f>HYPERLINK("https://media.licdn.com/dms/image/v2/D4E10AQGetbwUKrW7ig/image-shrink_1280/B4EZnSuAwSIoAQ-/0/1760176901818?e=2147483647&amp;v=beta&amp;t=zTtfIQuARN_BSZ6fdXn-3l7wMFNNMaUoDdfluF5mZXM","Open Creative")</f>
        <v>Open Creative</v>
      </c>
      <c r="L830" s="4" t="s">
        <v>62</v>
      </c>
      <c r="M830" s="4" t="s">
        <v>63</v>
      </c>
      <c r="N830" s="4" t="s">
        <v>6647</v>
      </c>
      <c r="O830" s="2" t="s">
        <v>132</v>
      </c>
      <c r="P830" s="2">
        <v>8.55505904E8</v>
      </c>
      <c r="Q830" s="2" t="s">
        <v>68</v>
      </c>
      <c r="R830" s="4" t="s">
        <v>6745</v>
      </c>
    </row>
    <row r="831">
      <c r="A831" s="4" t="s">
        <v>44</v>
      </c>
      <c r="B831" s="4" t="s">
        <v>44</v>
      </c>
      <c r="C831" s="4">
        <v>830.0</v>
      </c>
      <c r="D831" s="13" t="str">
        <f>HYPERLINK("https://www.linkedin.com/ad-library/detail/855595014","Open Ad")</f>
        <v>Open Ad</v>
      </c>
      <c r="E831" s="4" t="s">
        <v>91</v>
      </c>
      <c r="F831" s="4" t="s">
        <v>6643</v>
      </c>
      <c r="G831" s="4" t="s">
        <v>6650</v>
      </c>
      <c r="H831" s="4" t="s">
        <v>55</v>
      </c>
      <c r="I831" s="4" t="s">
        <v>272</v>
      </c>
      <c r="J831" s="4" t="s">
        <v>91</v>
      </c>
      <c r="K831" s="13" t="str">
        <f>HYPERLINK("https://media.licdn.com/dms/image/v2/D4E10AQEYb2pg10QRyA/image-shrink_1280/B4EZnSuGTeJgAM-/0/1760176924762?e=2147483647&amp;v=beta&amp;t=4Z1a02u9YTot_EQD6PBGip2LP6X1XWrEF67ekEB1RA0","Open Creative")</f>
        <v>Open Creative</v>
      </c>
      <c r="L831" s="4" t="s">
        <v>62</v>
      </c>
      <c r="M831" s="4" t="s">
        <v>63</v>
      </c>
      <c r="N831" s="4" t="s">
        <v>6647</v>
      </c>
      <c r="O831" s="2" t="s">
        <v>132</v>
      </c>
      <c r="P831" s="2">
        <v>8.55595014E8</v>
      </c>
      <c r="Q831" s="2" t="s">
        <v>68</v>
      </c>
      <c r="R831" s="4" t="s">
        <v>6748</v>
      </c>
    </row>
    <row r="832">
      <c r="A832" s="4" t="s">
        <v>44</v>
      </c>
      <c r="B832" s="4" t="s">
        <v>44</v>
      </c>
      <c r="C832" s="4">
        <v>831.0</v>
      </c>
      <c r="D832" s="13" t="str">
        <f>HYPERLINK("https://www.linkedin.com/ad-library/detail/855545794","Open Ad")</f>
        <v>Open Ad</v>
      </c>
      <c r="E832" s="4" t="s">
        <v>91</v>
      </c>
      <c r="F832" s="4" t="s">
        <v>6643</v>
      </c>
      <c r="G832" s="4" t="s">
        <v>6644</v>
      </c>
      <c r="H832" s="4" t="s">
        <v>55</v>
      </c>
      <c r="I832" s="4" t="s">
        <v>6645</v>
      </c>
      <c r="J832" s="4" t="s">
        <v>91</v>
      </c>
      <c r="K832" s="13" t="str">
        <f>HYPERLINK("https://media.licdn.com/dms/image/v2/D4E10AQGeGNkUrW23ZQ/image-shrink_1280/B4EZnSuAusGUAM-/0/1760176901886?e=2147483647&amp;v=beta&amp;t=_3XXBkr8lhlVTenXqewrW6RH9HXPrGpX-BpbB8zcOQQ","Open Creative")</f>
        <v>Open Creative</v>
      </c>
      <c r="L832" s="4" t="s">
        <v>62</v>
      </c>
      <c r="M832" s="4" t="s">
        <v>63</v>
      </c>
      <c r="N832" s="4" t="s">
        <v>6647</v>
      </c>
      <c r="O832" s="2" t="s">
        <v>132</v>
      </c>
      <c r="P832" s="2">
        <v>8.55545794E8</v>
      </c>
      <c r="Q832" s="2" t="s">
        <v>68</v>
      </c>
      <c r="R832" s="4" t="s">
        <v>6751</v>
      </c>
    </row>
    <row r="833">
      <c r="A833" s="4" t="s">
        <v>44</v>
      </c>
      <c r="B833" s="4" t="s">
        <v>44</v>
      </c>
      <c r="C833" s="4">
        <v>832.0</v>
      </c>
      <c r="D833" s="13" t="str">
        <f>HYPERLINK("https://www.linkedin.com/ad-library/detail/855505924","Open Ad")</f>
        <v>Open Ad</v>
      </c>
      <c r="E833" s="4" t="s">
        <v>91</v>
      </c>
      <c r="F833" s="4" t="s">
        <v>6643</v>
      </c>
      <c r="G833" s="4" t="s">
        <v>6644</v>
      </c>
      <c r="H833" s="4" t="s">
        <v>55</v>
      </c>
      <c r="I833" s="4" t="s">
        <v>6645</v>
      </c>
      <c r="J833" s="4" t="s">
        <v>91</v>
      </c>
      <c r="K833" s="13" t="str">
        <f>HYPERLINK("https://media.licdn.com/dms/image/v2/D4E10AQHc4axWumGwhQ/image-shrink_1280/B4EZnSuA17IwAM-/0/1760176902273?e=2147483647&amp;v=beta&amp;t=zk6JcqHbyphJxem9K6jNpkrnGPV-vj98qAvG1ffpXJs","Open Creative")</f>
        <v>Open Creative</v>
      </c>
      <c r="L833" s="4" t="s">
        <v>62</v>
      </c>
      <c r="M833" s="4" t="s">
        <v>63</v>
      </c>
      <c r="N833" s="4" t="s">
        <v>6647</v>
      </c>
      <c r="O833" s="2" t="s">
        <v>132</v>
      </c>
      <c r="P833" s="2">
        <v>8.55505924E8</v>
      </c>
      <c r="Q833" s="2" t="s">
        <v>68</v>
      </c>
      <c r="R833" s="4" t="s">
        <v>6753</v>
      </c>
    </row>
    <row r="834">
      <c r="A834" s="4" t="s">
        <v>44</v>
      </c>
      <c r="B834" s="4" t="s">
        <v>44</v>
      </c>
      <c r="C834" s="4">
        <v>833.0</v>
      </c>
      <c r="D834" s="13" t="str">
        <f>HYPERLINK("https://www.linkedin.com/ad-library/detail/855505914","Open Ad")</f>
        <v>Open Ad</v>
      </c>
      <c r="E834" s="4" t="s">
        <v>91</v>
      </c>
      <c r="F834" s="4" t="s">
        <v>6643</v>
      </c>
      <c r="G834" s="4" t="s">
        <v>6644</v>
      </c>
      <c r="H834" s="4" t="s">
        <v>55</v>
      </c>
      <c r="I834" s="4" t="s">
        <v>6645</v>
      </c>
      <c r="J834" s="4" t="s">
        <v>91</v>
      </c>
      <c r="K834" s="13" t="str">
        <f>HYPERLINK("https://media.licdn.com/dms/image/v2/D4E10AQEnI_UkngH1Jw/image-shrink_1280/B4EZnSuAybIUAM-/0/1760176901965?e=2147483647&amp;v=beta&amp;t=sWPV4RwkngUnPM6eFcAEKkLpKt2uQaMheQNO0CMZPEE","Open Creative")</f>
        <v>Open Creative</v>
      </c>
      <c r="L834" s="4" t="s">
        <v>62</v>
      </c>
      <c r="M834" s="4" t="s">
        <v>63</v>
      </c>
      <c r="N834" s="4" t="s">
        <v>6647</v>
      </c>
      <c r="O834" s="2" t="s">
        <v>132</v>
      </c>
      <c r="P834" s="2">
        <v>8.55505914E8</v>
      </c>
      <c r="Q834" s="2" t="s">
        <v>68</v>
      </c>
      <c r="R834" s="4" t="s">
        <v>6756</v>
      </c>
    </row>
    <row r="835">
      <c r="A835" s="4" t="s">
        <v>44</v>
      </c>
      <c r="B835" s="4" t="s">
        <v>44</v>
      </c>
      <c r="C835" s="4">
        <v>834.0</v>
      </c>
      <c r="D835" s="13" t="str">
        <f>HYPERLINK("https://www.linkedin.com/ad-library/detail/855456114","Open Ad")</f>
        <v>Open Ad</v>
      </c>
      <c r="E835" s="4" t="s">
        <v>91</v>
      </c>
      <c r="F835" s="4" t="s">
        <v>6643</v>
      </c>
      <c r="G835" s="4" t="s">
        <v>6650</v>
      </c>
      <c r="H835" s="4" t="s">
        <v>55</v>
      </c>
      <c r="I835" s="4" t="s">
        <v>272</v>
      </c>
      <c r="J835" s="4" t="s">
        <v>91</v>
      </c>
      <c r="K835" s="13" t="str">
        <f>HYPERLINK("https://media.licdn.com/dms/image/v2/D4E10AQFh6ferFW7zyg/image-shrink_1280/B4EZnSuGTMIQAM-/0/1760176924916?e=2147483647&amp;v=beta&amp;t=4XSb0T_pclk8OxuTDT5ToGR1rC78kLRqSSe3QnBoAAc","Open Creative")</f>
        <v>Open Creative</v>
      </c>
      <c r="L835" s="4" t="s">
        <v>62</v>
      </c>
      <c r="M835" s="4" t="s">
        <v>63</v>
      </c>
      <c r="N835" s="4" t="s">
        <v>6647</v>
      </c>
      <c r="O835" s="2" t="s">
        <v>132</v>
      </c>
      <c r="P835" s="2">
        <v>8.55456114E8</v>
      </c>
      <c r="Q835" s="2" t="s">
        <v>68</v>
      </c>
      <c r="R835" s="4" t="s">
        <v>6758</v>
      </c>
    </row>
    <row r="836">
      <c r="A836" s="4" t="s">
        <v>44</v>
      </c>
      <c r="B836" s="4" t="s">
        <v>44</v>
      </c>
      <c r="C836" s="4">
        <v>835.0</v>
      </c>
      <c r="D836" s="13" t="str">
        <f>HYPERLINK("https://www.linkedin.com/ad-library/detail/855663644","Open Ad")</f>
        <v>Open Ad</v>
      </c>
      <c r="E836" s="4" t="s">
        <v>91</v>
      </c>
      <c r="F836" s="4" t="s">
        <v>6643</v>
      </c>
      <c r="G836" s="4" t="s">
        <v>6644</v>
      </c>
      <c r="H836" s="4" t="s">
        <v>55</v>
      </c>
      <c r="I836" s="4" t="s">
        <v>6645</v>
      </c>
      <c r="J836" s="4" t="s">
        <v>91</v>
      </c>
      <c r="K836" s="13" t="str">
        <f>HYPERLINK("https://media.licdn.com/dms/image/v2/D4E10AQFdI1Ig0KYgBw/image-shrink_1280/B4EZnSuGTVIMAM-/0/1760176924956?e=2147483647&amp;v=beta&amp;t=xwrvbhDFBR_MjZzvhASMAEsAlgmuaSI8CEo2XODC5b0","Open Creative")</f>
        <v>Open Creative</v>
      </c>
      <c r="L836" s="4" t="s">
        <v>62</v>
      </c>
      <c r="M836" s="4" t="s">
        <v>63</v>
      </c>
      <c r="N836" s="4" t="s">
        <v>6647</v>
      </c>
      <c r="O836" s="2" t="s">
        <v>132</v>
      </c>
      <c r="P836" s="2">
        <v>8.55663644E8</v>
      </c>
      <c r="Q836" s="2" t="s">
        <v>68</v>
      </c>
      <c r="R836" s="4" t="s">
        <v>6761</v>
      </c>
    </row>
    <row r="837">
      <c r="A837" s="4" t="s">
        <v>44</v>
      </c>
      <c r="B837" s="4" t="s">
        <v>44</v>
      </c>
      <c r="C837" s="4">
        <v>836.0</v>
      </c>
      <c r="D837" s="13" t="str">
        <f>HYPERLINK("https://www.linkedin.com/ad-library/detail/855515354","Open Ad")</f>
        <v>Open Ad</v>
      </c>
      <c r="E837" s="4" t="s">
        <v>91</v>
      </c>
      <c r="F837" s="4" t="s">
        <v>6643</v>
      </c>
      <c r="G837" s="4" t="s">
        <v>6644</v>
      </c>
      <c r="H837" s="4" t="s">
        <v>55</v>
      </c>
      <c r="I837" s="4" t="s">
        <v>6645</v>
      </c>
      <c r="J837" s="4" t="s">
        <v>91</v>
      </c>
      <c r="K837" s="13" t="str">
        <f>HYPERLINK("https://media.licdn.com/dms/image/v2/D4E10AQH7LotEFUzCRQ/image-shrink_1280/B4EZnSuGUvIQAM-/0/1760176924636?e=2147483647&amp;v=beta&amp;t=EK4CeOlgL6p2TZ7nvEDaE9BHgineKvZL2lev96ObUog","Open Creative")</f>
        <v>Open Creative</v>
      </c>
      <c r="L837" s="4" t="s">
        <v>62</v>
      </c>
      <c r="M837" s="4" t="s">
        <v>63</v>
      </c>
      <c r="N837" s="4" t="s">
        <v>6647</v>
      </c>
      <c r="O837" s="2" t="s">
        <v>132</v>
      </c>
      <c r="P837" s="2">
        <v>8.55515354E8</v>
      </c>
      <c r="Q837" s="2" t="s">
        <v>68</v>
      </c>
      <c r="R837" s="4" t="s">
        <v>6763</v>
      </c>
    </row>
    <row r="838">
      <c r="A838" s="4" t="s">
        <v>44</v>
      </c>
      <c r="B838" s="4" t="s">
        <v>44</v>
      </c>
      <c r="C838" s="4">
        <v>837.0</v>
      </c>
      <c r="D838" s="13" t="str">
        <f>HYPERLINK("https://www.linkedin.com/ad-library/detail/855625004","Open Ad")</f>
        <v>Open Ad</v>
      </c>
      <c r="E838" s="4" t="s">
        <v>91</v>
      </c>
      <c r="F838" s="4" t="s">
        <v>6643</v>
      </c>
      <c r="G838" s="4" t="s">
        <v>6650</v>
      </c>
      <c r="H838" s="4" t="s">
        <v>55</v>
      </c>
      <c r="I838" s="4" t="s">
        <v>272</v>
      </c>
      <c r="J838" s="4" t="s">
        <v>91</v>
      </c>
      <c r="K838" s="13" t="str">
        <f>HYPERLINK("https://media.licdn.com/dms/image/v2/D4E10AQG6ho7Mu03VxQ/image-shrink_1280/B4EZnSuGTIHIAQ-/0/1760176924802?e=2147483647&amp;v=beta&amp;t=_cQNlrNiq6iCr0kdI_NlPH5kcrCsxAg6rLFFPrEYOwk","Open Creative")</f>
        <v>Open Creative</v>
      </c>
      <c r="L838" s="4" t="s">
        <v>62</v>
      </c>
      <c r="M838" s="4" t="s">
        <v>63</v>
      </c>
      <c r="N838" s="4" t="s">
        <v>6647</v>
      </c>
      <c r="O838" s="2" t="s">
        <v>132</v>
      </c>
      <c r="P838" s="2">
        <v>8.55625004E8</v>
      </c>
      <c r="Q838" s="2" t="s">
        <v>68</v>
      </c>
      <c r="R838" s="4" t="s">
        <v>6765</v>
      </c>
    </row>
    <row r="839">
      <c r="A839" s="4" t="s">
        <v>44</v>
      </c>
      <c r="B839" s="4" t="s">
        <v>44</v>
      </c>
      <c r="C839" s="4">
        <v>838.0</v>
      </c>
      <c r="D839" s="13" t="str">
        <f>HYPERLINK("https://www.linkedin.com/ad-library/detail/855663634","Open Ad")</f>
        <v>Open Ad</v>
      </c>
      <c r="E839" s="4" t="s">
        <v>91</v>
      </c>
      <c r="F839" s="4" t="s">
        <v>6643</v>
      </c>
      <c r="G839" s="4" t="s">
        <v>6650</v>
      </c>
      <c r="H839" s="4" t="s">
        <v>55</v>
      </c>
      <c r="I839" s="4" t="s">
        <v>272</v>
      </c>
      <c r="J839" s="4" t="s">
        <v>91</v>
      </c>
      <c r="K839" s="13" t="str">
        <f>HYPERLINK("https://media.licdn.com/dms/image/v2/D4E10AQEsSayZTYtuMg/image-shrink_1280/B4EZnSuGTJHEAU-/0/1760176924607?e=2147483647&amp;v=beta&amp;t=Bqka_FUQQ4T7UU24u3wkJOL3Vdb0FdFxQO4RnyAREHI","Open Creative")</f>
        <v>Open Creative</v>
      </c>
      <c r="L839" s="4" t="s">
        <v>62</v>
      </c>
      <c r="M839" s="4" t="s">
        <v>63</v>
      </c>
      <c r="N839" s="4" t="s">
        <v>6647</v>
      </c>
      <c r="O839" s="2" t="s">
        <v>132</v>
      </c>
      <c r="P839" s="2">
        <v>8.55663634E8</v>
      </c>
      <c r="Q839" s="2" t="s">
        <v>68</v>
      </c>
      <c r="R839" s="4" t="s">
        <v>6768</v>
      </c>
    </row>
    <row r="840">
      <c r="A840" s="4" t="s">
        <v>44</v>
      </c>
      <c r="B840" s="4" t="s">
        <v>44</v>
      </c>
      <c r="C840" s="4">
        <v>839.0</v>
      </c>
      <c r="D840" s="13" t="str">
        <f>HYPERLINK("https://www.linkedin.com/ad-library/detail/855624994","Open Ad")</f>
        <v>Open Ad</v>
      </c>
      <c r="E840" s="4" t="s">
        <v>91</v>
      </c>
      <c r="F840" s="4" t="s">
        <v>6643</v>
      </c>
      <c r="G840" s="4" t="s">
        <v>6650</v>
      </c>
      <c r="H840" s="4" t="s">
        <v>55</v>
      </c>
      <c r="I840" s="4" t="s">
        <v>272</v>
      </c>
      <c r="J840" s="4" t="s">
        <v>91</v>
      </c>
      <c r="K840" s="13" t="str">
        <f>HYPERLINK("https://media.licdn.com/dms/image/v2/D4E10AQFcfrWwXfgF2w/image-shrink_1280/B4EZnSuAxXIUAM-/0/1760176901899?e=2147483647&amp;v=beta&amp;t=ErgAYz2ymicvLVx-XJExGb9rDn56irgKspzllpoVQkk","Open Creative")</f>
        <v>Open Creative</v>
      </c>
      <c r="L840" s="4" t="s">
        <v>62</v>
      </c>
      <c r="M840" s="4" t="s">
        <v>63</v>
      </c>
      <c r="N840" s="4" t="s">
        <v>6647</v>
      </c>
      <c r="O840" s="2" t="s">
        <v>132</v>
      </c>
      <c r="P840" s="2">
        <v>8.55624994E8</v>
      </c>
      <c r="Q840" s="2" t="s">
        <v>68</v>
      </c>
      <c r="R840" s="4" t="s">
        <v>6771</v>
      </c>
    </row>
    <row r="841">
      <c r="A841" s="4" t="s">
        <v>44</v>
      </c>
      <c r="B841" s="4" t="s">
        <v>44</v>
      </c>
      <c r="C841" s="4">
        <v>840.0</v>
      </c>
      <c r="D841" s="13" t="str">
        <f>HYPERLINK("https://www.linkedin.com/ad-library/detail/855555404","Open Ad")</f>
        <v>Open Ad</v>
      </c>
      <c r="E841" s="4" t="s">
        <v>91</v>
      </c>
      <c r="F841" s="4" t="s">
        <v>6643</v>
      </c>
      <c r="G841" s="4" t="s">
        <v>6644</v>
      </c>
      <c r="H841" s="4" t="s">
        <v>55</v>
      </c>
      <c r="I841" s="4" t="s">
        <v>6645</v>
      </c>
      <c r="J841" s="4" t="s">
        <v>91</v>
      </c>
      <c r="K841" s="13" t="str">
        <f>HYPERLINK("https://media.licdn.com/dms/image/v2/D4E10AQGrJPTML-gUXw/image-shrink_1280/B4EZnSuGaQJ0AM-/0/1760176925051?e=2147483647&amp;v=beta&amp;t=xl4BIR5_hAL1DAdf6LKWmIYGoF1yZY-xgTg_Y7WpgWo","Open Creative")</f>
        <v>Open Creative</v>
      </c>
      <c r="L841" s="4" t="s">
        <v>62</v>
      </c>
      <c r="M841" s="4" t="s">
        <v>63</v>
      </c>
      <c r="N841" s="4" t="s">
        <v>6647</v>
      </c>
      <c r="O841" s="2" t="s">
        <v>132</v>
      </c>
      <c r="P841" s="2">
        <v>8.55555404E8</v>
      </c>
      <c r="Q841" s="2" t="s">
        <v>68</v>
      </c>
      <c r="R841" s="4" t="s">
        <v>6772</v>
      </c>
    </row>
    <row r="842">
      <c r="A842" s="4" t="s">
        <v>44</v>
      </c>
      <c r="B842" s="4" t="s">
        <v>44</v>
      </c>
      <c r="C842" s="4">
        <v>841.0</v>
      </c>
      <c r="D842" s="13" t="str">
        <f>HYPERLINK("https://www.linkedin.com/ad-library/detail/776960434","Open Ad")</f>
        <v>Open Ad</v>
      </c>
      <c r="E842" s="4" t="s">
        <v>4653</v>
      </c>
      <c r="F842" s="4" t="s">
        <v>53</v>
      </c>
      <c r="G842" s="4" t="s">
        <v>6775</v>
      </c>
      <c r="H842" s="4" t="s">
        <v>55</v>
      </c>
      <c r="I842" s="4" t="s">
        <v>1758</v>
      </c>
      <c r="J842" s="4" t="s">
        <v>4653</v>
      </c>
      <c r="K842" s="13" t="str">
        <f t="shared" ref="K842:K843" si="5">HYPERLINK("https://media.licdn.com/dms/image/v2/D4E10AQEMvfwYpzHKSw/image-shrink_1080_1080/B4EZh6xK1lHEAs-/0/1754406368699?e=1789466400&amp;v=beta&amp;t=uu8QPWHx-8VyYnxhBUOPR5zAlUGt4sbOeQJ4-UGp8h8","Open Creative")</f>
        <v>Open Creative</v>
      </c>
      <c r="L842" s="4" t="s">
        <v>131</v>
      </c>
      <c r="M842" s="4" t="s">
        <v>63</v>
      </c>
      <c r="N842" s="4" t="s">
        <v>132</v>
      </c>
      <c r="O842" s="2" t="s">
        <v>132</v>
      </c>
      <c r="P842" s="2">
        <v>7.76960434E8</v>
      </c>
      <c r="Q842" s="2" t="s">
        <v>68</v>
      </c>
      <c r="R842" s="4" t="s">
        <v>6776</v>
      </c>
    </row>
    <row r="843">
      <c r="A843" s="4" t="s">
        <v>44</v>
      </c>
      <c r="B843" s="4" t="s">
        <v>44</v>
      </c>
      <c r="C843" s="4">
        <v>842.0</v>
      </c>
      <c r="D843" s="13" t="str">
        <f>HYPERLINK("https://www.linkedin.com/ad-library/detail/776930874","Open Ad")</f>
        <v>Open Ad</v>
      </c>
      <c r="E843" s="4" t="s">
        <v>4653</v>
      </c>
      <c r="F843" s="4" t="s">
        <v>53</v>
      </c>
      <c r="G843" s="4" t="s">
        <v>6775</v>
      </c>
      <c r="H843" s="4" t="s">
        <v>55</v>
      </c>
      <c r="I843" s="4" t="s">
        <v>1758</v>
      </c>
      <c r="J843" s="4" t="s">
        <v>4653</v>
      </c>
      <c r="K843" s="13" t="str">
        <f t="shared" si="5"/>
        <v>Open Creative</v>
      </c>
      <c r="L843" s="4" t="s">
        <v>131</v>
      </c>
      <c r="M843" s="4" t="s">
        <v>63</v>
      </c>
      <c r="N843" s="4" t="s">
        <v>132</v>
      </c>
      <c r="O843" s="2" t="s">
        <v>132</v>
      </c>
      <c r="P843" s="2">
        <v>7.76930874E8</v>
      </c>
      <c r="Q843" s="2" t="s">
        <v>68</v>
      </c>
      <c r="R843" s="4" t="s">
        <v>6779</v>
      </c>
    </row>
    <row r="844">
      <c r="A844" s="4" t="s">
        <v>44</v>
      </c>
      <c r="B844" s="4" t="s">
        <v>44</v>
      </c>
      <c r="C844" s="4">
        <v>843.0</v>
      </c>
      <c r="D844" s="13" t="str">
        <f>HYPERLINK("https://www.linkedin.com/ad-library/detail/776879344","Open Ad")</f>
        <v>Open Ad</v>
      </c>
      <c r="E844" s="4" t="s">
        <v>4653</v>
      </c>
      <c r="F844" s="4" t="s">
        <v>53</v>
      </c>
      <c r="G844" s="4" t="s">
        <v>6780</v>
      </c>
      <c r="H844" s="4" t="s">
        <v>55</v>
      </c>
      <c r="I844" s="4" t="s">
        <v>1758</v>
      </c>
      <c r="J844" s="4" t="s">
        <v>4653</v>
      </c>
      <c r="K844" s="13" t="str">
        <f>HYPERLINK("https://media.licdn.com/dms/image/v2/D4E10AQFBx4u-hDBS0Q/image-shrink_1080_1080/B4EZh66TusGYAo-/0/1754408764182?e=1789466400&amp;v=beta&amp;t=clPNPcGdUMkd1BNPA0C-WbQi3AK9P-Ce8XzXuJG2fZs","Open Creative")</f>
        <v>Open Creative</v>
      </c>
      <c r="L844" s="4" t="s">
        <v>131</v>
      </c>
      <c r="M844" s="4" t="s">
        <v>63</v>
      </c>
      <c r="N844" s="4" t="s">
        <v>132</v>
      </c>
      <c r="O844" s="2" t="s">
        <v>132</v>
      </c>
      <c r="P844" s="2">
        <v>7.76879344E8</v>
      </c>
      <c r="Q844" s="2" t="s">
        <v>68</v>
      </c>
      <c r="R844" s="4" t="s">
        <v>6782</v>
      </c>
    </row>
    <row r="845">
      <c r="A845" s="4" t="s">
        <v>44</v>
      </c>
      <c r="B845" s="4" t="s">
        <v>44</v>
      </c>
      <c r="C845" s="4">
        <v>844.0</v>
      </c>
      <c r="D845" s="13" t="str">
        <f>HYPERLINK("https://www.linkedin.com/ad-library/detail/776808664","Open Ad")</f>
        <v>Open Ad</v>
      </c>
      <c r="E845" s="4" t="s">
        <v>4653</v>
      </c>
      <c r="F845" s="4" t="s">
        <v>53</v>
      </c>
      <c r="G845" s="4" t="s">
        <v>6783</v>
      </c>
      <c r="H845" s="4" t="s">
        <v>55</v>
      </c>
      <c r="I845" s="4" t="s">
        <v>6645</v>
      </c>
      <c r="J845" s="4" t="s">
        <v>4653</v>
      </c>
      <c r="K845" s="13" t="str">
        <f>HYPERLINK("https://media.licdn.com/dms/image/v2/D4E10AQH5gEL4u93U3g/image-shrink_1280/B4EZk4BIlVKoAE-/0/1757581445574?e=1789466400&amp;v=beta&amp;t=XfUzx9hxk-E2T0wE2_Qs2qgidqJrqwDR_d87GVAhkZg","Open Creative")</f>
        <v>Open Creative</v>
      </c>
      <c r="L845" s="4" t="s">
        <v>62</v>
      </c>
      <c r="M845" s="4" t="s">
        <v>63</v>
      </c>
      <c r="N845" s="4" t="s">
        <v>6785</v>
      </c>
      <c r="O845" s="2" t="s">
        <v>132</v>
      </c>
      <c r="P845" s="2">
        <v>7.76808664E8</v>
      </c>
      <c r="Q845" s="2" t="s">
        <v>68</v>
      </c>
      <c r="R845" s="4" t="s">
        <v>6786</v>
      </c>
    </row>
    <row r="846">
      <c r="A846" s="4" t="s">
        <v>44</v>
      </c>
      <c r="B846" s="4" t="s">
        <v>44</v>
      </c>
      <c r="C846" s="4">
        <v>845.0</v>
      </c>
      <c r="D846" s="13" t="str">
        <f>HYPERLINK("https://www.linkedin.com/ad-library/detail/855525414","Open Ad")</f>
        <v>Open Ad</v>
      </c>
      <c r="E846" s="4" t="s">
        <v>91</v>
      </c>
      <c r="F846" s="4" t="s">
        <v>6643</v>
      </c>
      <c r="G846" s="4" t="s">
        <v>6650</v>
      </c>
      <c r="H846" s="4" t="s">
        <v>55</v>
      </c>
      <c r="I846" s="4" t="s">
        <v>272</v>
      </c>
      <c r="J846" s="4" t="s">
        <v>91</v>
      </c>
      <c r="K846" s="13" t="str">
        <f>HYPERLINK("https://media.licdn.com/dms/image/v2/D4E10AQEpd5Tm67Su0w/image-shrink_1280/B4EZnSt7a9GoAM-/0/1760176880151?e=2147483647&amp;v=beta&amp;t=JWMkPlUWS1ASQZ_MoINmoDu93oLdjGcb4D66OlAsXJo","Open Creative")</f>
        <v>Open Creative</v>
      </c>
      <c r="L846" s="4" t="s">
        <v>62</v>
      </c>
      <c r="M846" s="4" t="s">
        <v>63</v>
      </c>
      <c r="N846" s="4" t="s">
        <v>6647</v>
      </c>
      <c r="O846" s="2" t="s">
        <v>132</v>
      </c>
      <c r="P846" s="2">
        <v>8.55525414E8</v>
      </c>
      <c r="Q846" s="2" t="s">
        <v>68</v>
      </c>
      <c r="R846" s="4" t="s">
        <v>6789</v>
      </c>
    </row>
    <row r="847">
      <c r="A847" s="4" t="s">
        <v>44</v>
      </c>
      <c r="B847" s="4" t="s">
        <v>44</v>
      </c>
      <c r="C847" s="4">
        <v>846.0</v>
      </c>
      <c r="D847" s="13" t="str">
        <f>HYPERLINK("https://www.linkedin.com/ad-library/detail/855245974","Open Ad")</f>
        <v>Open Ad</v>
      </c>
      <c r="E847" s="4" t="s">
        <v>91</v>
      </c>
      <c r="F847" s="4" t="s">
        <v>6790</v>
      </c>
      <c r="G847" s="4" t="s">
        <v>6791</v>
      </c>
      <c r="H847" s="4" t="s">
        <v>55</v>
      </c>
      <c r="I847" s="4" t="s">
        <v>6792</v>
      </c>
      <c r="J847" s="4" t="s">
        <v>91</v>
      </c>
      <c r="K847" s="13" t="str">
        <f>HYPERLINK("https://media.licdn.com/dms/image/sync/v2/D5627AQHuNdiQphQyLQ/articleshare-proxy-image-offsite-ads_627_1200/B4DZnNH2BqGgAA-/0/1760083009773?e=2147483647&amp;v=beta&amp;t=k39UaUJu4L6x7kB7LyiqULdJ93YcXN8f1fnhPUWHT2s","Open Creative")</f>
        <v>Open Creative</v>
      </c>
      <c r="L847" s="4" t="s">
        <v>62</v>
      </c>
      <c r="M847" s="4" t="s">
        <v>63</v>
      </c>
      <c r="N847" s="4" t="s">
        <v>6794</v>
      </c>
      <c r="O847" s="2" t="s">
        <v>132</v>
      </c>
      <c r="P847" s="2">
        <v>8.55245974E8</v>
      </c>
      <c r="Q847" s="2" t="s">
        <v>68</v>
      </c>
      <c r="R847" s="4" t="s">
        <v>6795</v>
      </c>
    </row>
    <row r="848">
      <c r="A848" s="4" t="s">
        <v>44</v>
      </c>
      <c r="B848" s="4" t="s">
        <v>44</v>
      </c>
      <c r="C848" s="4">
        <v>847.0</v>
      </c>
      <c r="D848" s="13" t="str">
        <f>HYPERLINK("https://www.linkedin.com/ad-library/detail/840018184","Open Ad")</f>
        <v>Open Ad</v>
      </c>
      <c r="E848" s="4" t="s">
        <v>91</v>
      </c>
      <c r="F848" s="4" t="s">
        <v>53</v>
      </c>
      <c r="G848" s="4" t="s">
        <v>6797</v>
      </c>
      <c r="H848" s="4" t="s">
        <v>55</v>
      </c>
      <c r="I848" s="4" t="s">
        <v>1086</v>
      </c>
      <c r="J848" s="4" t="s">
        <v>91</v>
      </c>
      <c r="K848" s="13" t="str">
        <f>HYPERLINK("https://media.licdn.com/dms/image/v2/D4D10AQEqCoiyRGOSkQ/image-shrink_1280/B4DZm_RMPCJEAM-/0/1759850579777?e=2147483647&amp;v=beta&amp;t=Mownrgzpl_F7KF0Nmk4MvKzYYAxaDHlPiPi5j114Tcw","Open Creative")</f>
        <v>Open Creative</v>
      </c>
      <c r="L848" s="4" t="s">
        <v>62</v>
      </c>
      <c r="M848" s="4" t="s">
        <v>63</v>
      </c>
      <c r="N848" s="4" t="s">
        <v>6798</v>
      </c>
      <c r="O848" s="2" t="s">
        <v>132</v>
      </c>
      <c r="P848" s="2">
        <v>8.40018184E8</v>
      </c>
      <c r="Q848" s="2" t="s">
        <v>68</v>
      </c>
      <c r="R848" s="4" t="s">
        <v>6799</v>
      </c>
    </row>
    <row r="849">
      <c r="A849" s="4" t="s">
        <v>44</v>
      </c>
      <c r="B849" s="4" t="s">
        <v>44</v>
      </c>
      <c r="C849" s="4">
        <v>848.0</v>
      </c>
      <c r="D849" s="13" t="str">
        <f>HYPERLINK("https://www.linkedin.com/ad-library/detail/855653564","Open Ad")</f>
        <v>Open Ad</v>
      </c>
      <c r="E849" s="4" t="s">
        <v>91</v>
      </c>
      <c r="F849" s="4" t="s">
        <v>6643</v>
      </c>
      <c r="G849" s="4" t="s">
        <v>6650</v>
      </c>
      <c r="H849" s="4" t="s">
        <v>55</v>
      </c>
      <c r="I849" s="4" t="s">
        <v>272</v>
      </c>
      <c r="J849" s="4" t="s">
        <v>91</v>
      </c>
      <c r="K849" s="13" t="str">
        <f>HYPERLINK("https://media.licdn.com/dms/image/v2/D4E10AQHbQfHZjJUxvQ/image-shrink_1280/B4EZnSt7eWHoAQ-/0/1760176880290?e=2147483647&amp;v=beta&amp;t=jKTgwDAzpg1LVRMAMgF_OgkjXSkLS_otx0n6plIlp9o","Open Creative")</f>
        <v>Open Creative</v>
      </c>
      <c r="L849" s="4" t="s">
        <v>62</v>
      </c>
      <c r="M849" s="4" t="s">
        <v>63</v>
      </c>
      <c r="N849" s="4" t="s">
        <v>6647</v>
      </c>
      <c r="O849" s="2" t="s">
        <v>132</v>
      </c>
      <c r="P849" s="2">
        <v>8.55653564E8</v>
      </c>
      <c r="Q849" s="2" t="s">
        <v>68</v>
      </c>
      <c r="R849" s="4" t="s">
        <v>6802</v>
      </c>
    </row>
    <row r="850">
      <c r="A850" s="4" t="s">
        <v>44</v>
      </c>
      <c r="B850" s="4" t="s">
        <v>44</v>
      </c>
      <c r="C850" s="4">
        <v>849.0</v>
      </c>
      <c r="D850" s="13" t="str">
        <f>HYPERLINK("https://www.linkedin.com/ad-library/detail/855375464","Open Ad")</f>
        <v>Open Ad</v>
      </c>
      <c r="E850" s="4" t="s">
        <v>154</v>
      </c>
      <c r="F850" s="4" t="s">
        <v>53</v>
      </c>
      <c r="G850" s="4" t="s">
        <v>6803</v>
      </c>
      <c r="H850" s="4" t="s">
        <v>55</v>
      </c>
      <c r="I850" s="4" t="s">
        <v>6804</v>
      </c>
      <c r="J850" s="4" t="s">
        <v>154</v>
      </c>
      <c r="K850" s="13" t="str">
        <f>HYPERLINK("https://dms.licdn.com/playlist/vid/v2/D4E05AQH9Lb9Zb7kekw/mp4-640p-30fp-crf28/B4EZnC9GQ7KUBg-/0/1759912459971?e=2147483647&amp;v=beta&amp;t=c4egqqRfs0hhIYqhYVMvcapyvgzo_I7IlEkf_T6VTzE","Open Creative")</f>
        <v>Open Creative</v>
      </c>
      <c r="L850" s="4" t="s">
        <v>62</v>
      </c>
      <c r="M850" s="4" t="s">
        <v>63</v>
      </c>
      <c r="N850" s="4" t="s">
        <v>6794</v>
      </c>
      <c r="O850" s="2" t="s">
        <v>132</v>
      </c>
      <c r="P850" s="2">
        <v>8.55375464E8</v>
      </c>
      <c r="Q850" s="2" t="s">
        <v>68</v>
      </c>
      <c r="R850" s="4" t="s">
        <v>6807</v>
      </c>
    </row>
    <row r="851">
      <c r="A851" s="4" t="s">
        <v>44</v>
      </c>
      <c r="B851" s="4" t="s">
        <v>44</v>
      </c>
      <c r="C851" s="4">
        <v>850.0</v>
      </c>
      <c r="D851" s="13" t="str">
        <f>HYPERLINK("https://www.linkedin.com/ad-library/detail/776879374","Open Ad")</f>
        <v>Open Ad</v>
      </c>
      <c r="E851" s="4" t="s">
        <v>4653</v>
      </c>
      <c r="F851" s="4" t="s">
        <v>53</v>
      </c>
      <c r="G851" s="4" t="s">
        <v>6780</v>
      </c>
      <c r="H851" s="4" t="s">
        <v>55</v>
      </c>
      <c r="I851" s="4" t="s">
        <v>1758</v>
      </c>
      <c r="J851" s="4" t="s">
        <v>4653</v>
      </c>
      <c r="K851" s="13" t="str">
        <f>HYPERLINK("https://media.licdn.com/dms/image/v2/D4E10AQFBx4u-hDBS0Q/image-shrink_1080_1080/B4EZh66TusGYAo-/0/1754408764182?e=1789466400&amp;v=beta&amp;t=clPNPcGdUMkd1BNPA0C-WbQi3AK9P-Ce8XzXuJG2fZs","Open Creative")</f>
        <v>Open Creative</v>
      </c>
      <c r="L851" s="4" t="s">
        <v>131</v>
      </c>
      <c r="M851" s="4" t="s">
        <v>63</v>
      </c>
      <c r="N851" s="4" t="s">
        <v>132</v>
      </c>
      <c r="O851" s="2" t="s">
        <v>132</v>
      </c>
      <c r="P851" s="2">
        <v>7.76879374E8</v>
      </c>
      <c r="Q851" s="2" t="s">
        <v>68</v>
      </c>
      <c r="R851" s="4" t="s">
        <v>6809</v>
      </c>
    </row>
    <row r="852">
      <c r="A852" s="4" t="s">
        <v>44</v>
      </c>
      <c r="B852" s="4" t="s">
        <v>44</v>
      </c>
      <c r="C852" s="4">
        <v>851.0</v>
      </c>
      <c r="D852" s="13" t="str">
        <f>HYPERLINK("https://www.linkedin.com/ad-library/detail/855653554","Open Ad")</f>
        <v>Open Ad</v>
      </c>
      <c r="E852" s="4" t="s">
        <v>91</v>
      </c>
      <c r="F852" s="4" t="s">
        <v>6643</v>
      </c>
      <c r="G852" s="4" t="s">
        <v>6644</v>
      </c>
      <c r="H852" s="4" t="s">
        <v>55</v>
      </c>
      <c r="I852" s="4" t="s">
        <v>6645</v>
      </c>
      <c r="J852" s="4" t="s">
        <v>91</v>
      </c>
      <c r="K852" s="13" t="str">
        <f>HYPERLINK("https://media.licdn.com/dms/image/v2/D4E10AQHKFmDdszq9rg/image-shrink_1280/B4EZnSt7b_KkAM-/0/1760176879999?e=2147483647&amp;v=beta&amp;t=-J5GGKKnjktRIiVECOjKeg--CpbiI0jujM-K3PcHePg","Open Creative")</f>
        <v>Open Creative</v>
      </c>
      <c r="L852" s="4" t="s">
        <v>62</v>
      </c>
      <c r="M852" s="4" t="s">
        <v>63</v>
      </c>
      <c r="N852" s="4" t="s">
        <v>6647</v>
      </c>
      <c r="O852" s="2" t="s">
        <v>132</v>
      </c>
      <c r="P852" s="2">
        <v>8.55653554E8</v>
      </c>
      <c r="Q852" s="2" t="s">
        <v>68</v>
      </c>
      <c r="R852" s="4" t="s">
        <v>6811</v>
      </c>
    </row>
    <row r="853">
      <c r="A853" s="4" t="s">
        <v>44</v>
      </c>
      <c r="B853" s="4" t="s">
        <v>44</v>
      </c>
      <c r="C853" s="4">
        <v>852.0</v>
      </c>
      <c r="D853" s="13" t="str">
        <f>HYPERLINK("https://www.linkedin.com/ad-library/detail/776898584","Open Ad")</f>
        <v>Open Ad</v>
      </c>
      <c r="E853" s="4" t="s">
        <v>4653</v>
      </c>
      <c r="F853" s="4" t="s">
        <v>53</v>
      </c>
      <c r="G853" s="4" t="s">
        <v>6813</v>
      </c>
      <c r="H853" s="4" t="s">
        <v>55</v>
      </c>
      <c r="I853" s="4" t="s">
        <v>57</v>
      </c>
      <c r="J853" s="4" t="s">
        <v>4653</v>
      </c>
      <c r="K853" s="13" t="str">
        <f>HYPERLINK("https://media.licdn.com/dms/image/v2/D4E10AQHFFMiUzmjyaA/image-shrink_1280/B4EZkUZbXcIkAM-/0/1756983834207?e=1789466400&amp;v=beta&amp;t=7dSIPfAx8UEmCpxJLQ9ODmAUTDpJ5KQUP1NCRuEp3RA","Open Creative")</f>
        <v>Open Creative</v>
      </c>
      <c r="L853" s="4" t="s">
        <v>62</v>
      </c>
      <c r="M853" s="4" t="s">
        <v>63</v>
      </c>
      <c r="N853" s="4" t="s">
        <v>6785</v>
      </c>
      <c r="O853" s="2" t="s">
        <v>132</v>
      </c>
      <c r="P853" s="2">
        <v>7.76898584E8</v>
      </c>
      <c r="Q853" s="2" t="s">
        <v>68</v>
      </c>
      <c r="R853" s="4" t="s">
        <v>6815</v>
      </c>
    </row>
    <row r="854">
      <c r="A854" s="4" t="s">
        <v>44</v>
      </c>
      <c r="B854" s="4" t="s">
        <v>44</v>
      </c>
      <c r="C854" s="4">
        <v>853.0</v>
      </c>
      <c r="D854" s="13" t="str">
        <f>HYPERLINK("https://www.linkedin.com/ad-library/detail/776759704","Open Ad")</f>
        <v>Open Ad</v>
      </c>
      <c r="E854" s="4" t="s">
        <v>4653</v>
      </c>
      <c r="F854" s="4" t="s">
        <v>53</v>
      </c>
      <c r="G854" s="4" t="s">
        <v>6783</v>
      </c>
      <c r="H854" s="4" t="s">
        <v>55</v>
      </c>
      <c r="I854" s="4" t="s">
        <v>6645</v>
      </c>
      <c r="J854" s="4" t="s">
        <v>4653</v>
      </c>
      <c r="K854" s="13" t="str">
        <f>HYPERLINK("https://media.licdn.com/dms/image/v2/D4E10AQH5gEL4u93U3g/image-shrink_1280/B4EZk4BIlVKoAE-/0/1757581445574?e=1789466400&amp;v=beta&amp;t=XfUzx9hxk-E2T0wE2_Qs2qgidqJrqwDR_d87GVAhkZg","Open Creative")</f>
        <v>Open Creative</v>
      </c>
      <c r="L854" s="4" t="s">
        <v>62</v>
      </c>
      <c r="M854" s="4" t="s">
        <v>63</v>
      </c>
      <c r="N854" s="4" t="s">
        <v>6817</v>
      </c>
      <c r="O854" s="2" t="s">
        <v>132</v>
      </c>
      <c r="P854" s="2">
        <v>7.76759704E8</v>
      </c>
      <c r="Q854" s="2" t="s">
        <v>68</v>
      </c>
      <c r="R854" s="4" t="s">
        <v>6819</v>
      </c>
    </row>
    <row r="855">
      <c r="A855" s="4" t="s">
        <v>44</v>
      </c>
      <c r="B855" s="4" t="s">
        <v>44</v>
      </c>
      <c r="C855" s="4">
        <v>854.0</v>
      </c>
      <c r="D855" s="13" t="str">
        <f>HYPERLINK("https://www.linkedin.com/ad-library/detail/776949984","Open Ad")</f>
        <v>Open Ad</v>
      </c>
      <c r="E855" s="4" t="s">
        <v>4653</v>
      </c>
      <c r="F855" s="4" t="s">
        <v>53</v>
      </c>
      <c r="G855" s="4" t="s">
        <v>6813</v>
      </c>
      <c r="H855" s="4" t="s">
        <v>55</v>
      </c>
      <c r="I855" s="4" t="s">
        <v>57</v>
      </c>
      <c r="J855" s="4" t="s">
        <v>4653</v>
      </c>
      <c r="K855" s="13" t="str">
        <f>HYPERLINK("https://media.licdn.com/dms/image/v2/D4E10AQHnf2L5oGFDIg/image-shrink_1280/B4EZkUZbWZIMAU-/0/1756983834139?e=1789466400&amp;v=beta&amp;t=v4rJixLkFG7_FdOivipb2xpZfbzq3w8bKA91vxOAukA","Open Creative")</f>
        <v>Open Creative</v>
      </c>
      <c r="L855" s="4" t="s">
        <v>62</v>
      </c>
      <c r="M855" s="4" t="s">
        <v>63</v>
      </c>
      <c r="N855" s="4" t="s">
        <v>6820</v>
      </c>
      <c r="O855" s="2" t="s">
        <v>132</v>
      </c>
      <c r="P855" s="2">
        <v>7.76949984E8</v>
      </c>
      <c r="Q855" s="2" t="s">
        <v>68</v>
      </c>
      <c r="R855" s="4" t="s">
        <v>6821</v>
      </c>
    </row>
    <row r="856">
      <c r="A856" s="4" t="s">
        <v>44</v>
      </c>
      <c r="B856" s="4" t="s">
        <v>44</v>
      </c>
      <c r="C856" s="4">
        <v>855.0</v>
      </c>
      <c r="D856" s="13" t="str">
        <f>HYPERLINK("https://www.linkedin.com/ad-library/detail/855679994","Open Ad")</f>
        <v>Open Ad</v>
      </c>
      <c r="E856" s="4" t="s">
        <v>91</v>
      </c>
      <c r="F856" s="4" t="s">
        <v>6643</v>
      </c>
      <c r="G856" s="4" t="s">
        <v>6644</v>
      </c>
      <c r="H856" s="4" t="s">
        <v>55</v>
      </c>
      <c r="I856" s="4" t="s">
        <v>6645</v>
      </c>
      <c r="J856" s="4" t="s">
        <v>91</v>
      </c>
      <c r="K856" s="13" t="str">
        <f>HYPERLINK("https://media.licdn.com/dms/image/v2/D4E10AQGofGTBvW4cjw/image-shrink_1280/B4EZnSt7aVGcAM-/0/1760176879936?e=2147483647&amp;v=beta&amp;t=yIJermynx_PXMIcx3OvLL_0Pq3WwR9AMjmjhCHZ3gR0","Open Creative")</f>
        <v>Open Creative</v>
      </c>
      <c r="L856" s="4" t="s">
        <v>62</v>
      </c>
      <c r="M856" s="4" t="s">
        <v>63</v>
      </c>
      <c r="N856" s="4" t="s">
        <v>6647</v>
      </c>
      <c r="O856" s="2" t="s">
        <v>132</v>
      </c>
      <c r="P856" s="2">
        <v>8.55679994E8</v>
      </c>
      <c r="Q856" s="2" t="s">
        <v>68</v>
      </c>
      <c r="R856" s="4" t="s">
        <v>6824</v>
      </c>
    </row>
    <row r="857">
      <c r="A857" s="4" t="s">
        <v>44</v>
      </c>
      <c r="B857" s="4" t="s">
        <v>44</v>
      </c>
      <c r="C857" s="4">
        <v>856.0</v>
      </c>
      <c r="D857" s="13" t="str">
        <f>HYPERLINK("https://www.linkedin.com/ad-library/detail/855595004","Open Ad")</f>
        <v>Open Ad</v>
      </c>
      <c r="E857" s="4" t="s">
        <v>91</v>
      </c>
      <c r="F857" s="4" t="s">
        <v>6643</v>
      </c>
      <c r="G857" s="4" t="s">
        <v>6650</v>
      </c>
      <c r="H857" s="4" t="s">
        <v>55</v>
      </c>
      <c r="I857" s="4" t="s">
        <v>272</v>
      </c>
      <c r="J857" s="4" t="s">
        <v>91</v>
      </c>
      <c r="K857" s="13" t="str">
        <f>HYPERLINK("https://media.licdn.com/dms/image/v2/D4E10AQGLYb9sTjBF6Q/image-shrink_1280/B4EZnSt7ifIIAM-/0/1760176880527?e=2147483647&amp;v=beta&amp;t=JwzE_nO2dczf6mCxge3Cu1u9pVK11DCUMd3rul8uSaw","Open Creative")</f>
        <v>Open Creative</v>
      </c>
      <c r="L857" s="4" t="s">
        <v>62</v>
      </c>
      <c r="M857" s="4" t="s">
        <v>63</v>
      </c>
      <c r="N857" s="4" t="s">
        <v>6647</v>
      </c>
      <c r="O857" s="2" t="s">
        <v>132</v>
      </c>
      <c r="P857" s="2">
        <v>8.55595004E8</v>
      </c>
      <c r="Q857" s="2" t="s">
        <v>68</v>
      </c>
      <c r="R857" s="4" t="s">
        <v>6827</v>
      </c>
    </row>
    <row r="858">
      <c r="A858" s="4" t="s">
        <v>44</v>
      </c>
      <c r="B858" s="4" t="s">
        <v>44</v>
      </c>
      <c r="C858" s="4">
        <v>857.0</v>
      </c>
      <c r="D858" s="13" t="str">
        <f>HYPERLINK("https://www.linkedin.com/ad-library/detail/855594994","Open Ad")</f>
        <v>Open Ad</v>
      </c>
      <c r="E858" s="4" t="s">
        <v>91</v>
      </c>
      <c r="F858" s="4" t="s">
        <v>6643</v>
      </c>
      <c r="G858" s="4" t="s">
        <v>6644</v>
      </c>
      <c r="H858" s="4" t="s">
        <v>55</v>
      </c>
      <c r="I858" s="4" t="s">
        <v>6645</v>
      </c>
      <c r="J858" s="4" t="s">
        <v>91</v>
      </c>
      <c r="K858" s="13" t="str">
        <f>HYPERLINK("https://media.licdn.com/dms/image/v2/D4E10AQE8wVAwqvfqmw/image-shrink_1280/B4EZnSt7bMIUAM-/0/1760176879977?e=2147483647&amp;v=beta&amp;t=bKcY5GQEGdQ2gX5n8RfeTWP6pza8bhIOodaduY-LWBY","Open Creative")</f>
        <v>Open Creative</v>
      </c>
      <c r="L858" s="4" t="s">
        <v>62</v>
      </c>
      <c r="M858" s="4" t="s">
        <v>63</v>
      </c>
      <c r="N858" s="4" t="s">
        <v>6647</v>
      </c>
      <c r="O858" s="2" t="s">
        <v>132</v>
      </c>
      <c r="P858" s="2">
        <v>8.55594994E8</v>
      </c>
      <c r="Q858" s="2" t="s">
        <v>68</v>
      </c>
      <c r="R858" s="4" t="s">
        <v>6830</v>
      </c>
    </row>
    <row r="859">
      <c r="A859" s="4" t="s">
        <v>44</v>
      </c>
      <c r="B859" s="4" t="s">
        <v>44</v>
      </c>
      <c r="C859" s="4">
        <v>858.0</v>
      </c>
      <c r="D859" s="13" t="str">
        <f>HYPERLINK("https://www.linkedin.com/ad-library/detail/855624984","Open Ad")</f>
        <v>Open Ad</v>
      </c>
      <c r="E859" s="4" t="s">
        <v>91</v>
      </c>
      <c r="F859" s="4" t="s">
        <v>6643</v>
      </c>
      <c r="G859" s="4" t="s">
        <v>6644</v>
      </c>
      <c r="H859" s="4" t="s">
        <v>55</v>
      </c>
      <c r="I859" s="4" t="s">
        <v>6645</v>
      </c>
      <c r="J859" s="4" t="s">
        <v>91</v>
      </c>
      <c r="K859" s="13" t="str">
        <f>HYPERLINK("https://media.licdn.com/dms/image/v2/D4E10AQGWQxkrGjF_SQ/image-shrink_1280/B4EZnSt7dhIIAM-/0/1760176880474?e=2147483647&amp;v=beta&amp;t=3Yb9hd56wpKYo6tZ0KME2SpRIhytyPTGFle1tDK2DSw","Open Creative")</f>
        <v>Open Creative</v>
      </c>
      <c r="L859" s="4" t="s">
        <v>62</v>
      </c>
      <c r="M859" s="4" t="s">
        <v>63</v>
      </c>
      <c r="N859" s="4" t="s">
        <v>6647</v>
      </c>
      <c r="O859" s="2" t="s">
        <v>132</v>
      </c>
      <c r="P859" s="2">
        <v>8.55624984E8</v>
      </c>
      <c r="Q859" s="2" t="s">
        <v>68</v>
      </c>
      <c r="R859" s="4" t="s">
        <v>6831</v>
      </c>
    </row>
    <row r="860">
      <c r="A860" s="4" t="s">
        <v>44</v>
      </c>
      <c r="B860" s="4" t="s">
        <v>44</v>
      </c>
      <c r="C860" s="4">
        <v>859.0</v>
      </c>
      <c r="D860" s="13" t="str">
        <f>HYPERLINK("https://www.linkedin.com/ad-library/detail/855530714","Open Ad")</f>
        <v>Open Ad</v>
      </c>
      <c r="E860" s="4" t="s">
        <v>91</v>
      </c>
      <c r="F860" s="4" t="s">
        <v>53</v>
      </c>
      <c r="G860" s="4" t="s">
        <v>6835</v>
      </c>
      <c r="H860" s="4" t="s">
        <v>55</v>
      </c>
      <c r="I860" s="4" t="s">
        <v>272</v>
      </c>
      <c r="J860" s="4" t="s">
        <v>91</v>
      </c>
      <c r="K860" s="13" t="str">
        <f>HYPERLINK("https://media.licdn.com/dms/image/v2/D4E10AQF3R4e36cSEgA/image-shrink_1280/B4EZnOmMogKgAM-/0/1760107744589?e=2147483647&amp;v=beta&amp;t=lGPkLui-XGCd8uoNv3Oy49BwOQaDFmiCIvGztAcandw","Open Creative")</f>
        <v>Open Creative</v>
      </c>
      <c r="L860" s="4" t="s">
        <v>62</v>
      </c>
      <c r="M860" s="4" t="s">
        <v>63</v>
      </c>
      <c r="N860" s="4" t="s">
        <v>6794</v>
      </c>
      <c r="O860" s="2" t="s">
        <v>132</v>
      </c>
      <c r="P860" s="2">
        <v>8.55530714E8</v>
      </c>
      <c r="Q860" s="2" t="s">
        <v>68</v>
      </c>
      <c r="R860" s="4" t="s">
        <v>6836</v>
      </c>
    </row>
    <row r="861">
      <c r="A861" s="4" t="s">
        <v>44</v>
      </c>
      <c r="B861" s="4" t="s">
        <v>44</v>
      </c>
      <c r="C861" s="4">
        <v>860.0</v>
      </c>
      <c r="D861" s="13" t="str">
        <f>HYPERLINK("https://www.linkedin.com/ad-library/detail/776779274","Open Ad")</f>
        <v>Open Ad</v>
      </c>
      <c r="E861" s="4" t="s">
        <v>4653</v>
      </c>
      <c r="F861" s="4" t="s">
        <v>53</v>
      </c>
      <c r="G861" s="4" t="s">
        <v>6838</v>
      </c>
      <c r="H861" s="4" t="s">
        <v>55</v>
      </c>
      <c r="I861" s="4" t="s">
        <v>272</v>
      </c>
      <c r="J861" s="4" t="s">
        <v>4653</v>
      </c>
      <c r="K861" s="13" t="str">
        <f>HYPERLINK("https://media.licdn.com/dms/image/v2/D4E10AQH5gEL4u93U3g/image-shrink_1280/B4EZk4BIlVKoAE-/0/1757581445574?e=1789466400&amp;v=beta&amp;t=XfUzx9hxk-E2T0wE2_Qs2qgidqJrqwDR_d87GVAhkZg","Open Creative")</f>
        <v>Open Creative</v>
      </c>
      <c r="L861" s="4" t="s">
        <v>62</v>
      </c>
      <c r="M861" s="4" t="s">
        <v>63</v>
      </c>
      <c r="N861" s="4" t="s">
        <v>6785</v>
      </c>
      <c r="O861" s="2" t="s">
        <v>132</v>
      </c>
      <c r="P861" s="2">
        <v>7.76779274E8</v>
      </c>
      <c r="Q861" s="2" t="s">
        <v>68</v>
      </c>
      <c r="R861" s="4" t="s">
        <v>6840</v>
      </c>
    </row>
    <row r="862">
      <c r="A862" s="4" t="s">
        <v>44</v>
      </c>
      <c r="B862" s="4" t="s">
        <v>44</v>
      </c>
      <c r="C862" s="4">
        <v>861.0</v>
      </c>
      <c r="D862" s="13" t="str">
        <f>HYPERLINK("https://www.linkedin.com/ad-library/detail/855680004","Open Ad")</f>
        <v>Open Ad</v>
      </c>
      <c r="E862" s="4" t="s">
        <v>91</v>
      </c>
      <c r="F862" s="4" t="s">
        <v>6643</v>
      </c>
      <c r="G862" s="4" t="s">
        <v>6650</v>
      </c>
      <c r="H862" s="4" t="s">
        <v>55</v>
      </c>
      <c r="I862" s="4" t="s">
        <v>272</v>
      </c>
      <c r="J862" s="4" t="s">
        <v>91</v>
      </c>
      <c r="K862" s="13" t="str">
        <f>HYPERLINK("https://media.licdn.com/dms/image/v2/D4E10AQEjO7AxKgAKoQ/image-shrink_1280/B4EZnSt7egIoAM-/0/1760176880280?e=2147483647&amp;v=beta&amp;t=WLCXXoyBM_sEILX-yhiO9dHfGanhCHbKRSvPXStaXuk","Open Creative")</f>
        <v>Open Creative</v>
      </c>
      <c r="L862" s="4" t="s">
        <v>62</v>
      </c>
      <c r="M862" s="4" t="s">
        <v>63</v>
      </c>
      <c r="N862" s="4" t="s">
        <v>6647</v>
      </c>
      <c r="O862" s="2" t="s">
        <v>132</v>
      </c>
      <c r="P862" s="2">
        <v>8.55680004E8</v>
      </c>
      <c r="Q862" s="2" t="s">
        <v>68</v>
      </c>
      <c r="R862" s="4" t="s">
        <v>6843</v>
      </c>
    </row>
    <row r="863">
      <c r="A863" s="4" t="s">
        <v>44</v>
      </c>
      <c r="B863" s="4" t="s">
        <v>44</v>
      </c>
      <c r="C863" s="4">
        <v>862.0</v>
      </c>
      <c r="D863" s="13" t="str">
        <f>HYPERLINK("https://www.linkedin.com/ad-library/detail/855495894","Open Ad")</f>
        <v>Open Ad</v>
      </c>
      <c r="E863" s="4" t="s">
        <v>91</v>
      </c>
      <c r="F863" s="4" t="s">
        <v>5941</v>
      </c>
      <c r="G863" s="4" t="s">
        <v>5942</v>
      </c>
      <c r="H863" s="4" t="s">
        <v>55</v>
      </c>
      <c r="I863" s="4" t="s">
        <v>272</v>
      </c>
      <c r="J863" s="4" t="s">
        <v>91</v>
      </c>
      <c r="K863" s="13" t="str">
        <f>HYPERLINK("https://media.licdn.com/dms/image/v2/D4E10AQG1kCKPklwrSg/image-shrink_1280/B4EZk4Cu1mGUAM-/0/1757581865596/NativeLeadGenLinkedInAssets1_1png?e=2147483647&amp;v=beta&amp;t=aH8vdb5b_rcCVHm8xHCUM1a-TW_EZuv36iffeHzlWmA","Open Creative")</f>
        <v>Open Creative</v>
      </c>
      <c r="L863" s="4" t="s">
        <v>62</v>
      </c>
      <c r="M863" s="4" t="s">
        <v>63</v>
      </c>
      <c r="N863" s="4" t="s">
        <v>6647</v>
      </c>
      <c r="O863" s="2" t="s">
        <v>132</v>
      </c>
      <c r="P863" s="2">
        <v>8.55495894E8</v>
      </c>
      <c r="Q863" s="2" t="s">
        <v>68</v>
      </c>
      <c r="R863" s="4" t="s">
        <v>6845</v>
      </c>
    </row>
    <row r="864">
      <c r="A864" s="4" t="s">
        <v>44</v>
      </c>
      <c r="B864" s="4" t="s">
        <v>44</v>
      </c>
      <c r="C864" s="4">
        <v>863.0</v>
      </c>
      <c r="D864" s="13" t="str">
        <f>HYPERLINK("https://www.linkedin.com/ad-library/detail/776960514","Open Ad")</f>
        <v>Open Ad</v>
      </c>
      <c r="E864" s="4" t="s">
        <v>4653</v>
      </c>
      <c r="F864" s="4" t="s">
        <v>53</v>
      </c>
      <c r="G864" s="4" t="s">
        <v>6775</v>
      </c>
      <c r="H864" s="4" t="s">
        <v>55</v>
      </c>
      <c r="I864" s="4" t="s">
        <v>1758</v>
      </c>
      <c r="J864" s="4" t="s">
        <v>4653</v>
      </c>
      <c r="K864" s="13" t="str">
        <f>HYPERLINK("https://media.licdn.com/dms/image/v2/D4E10AQEMvfwYpzHKSw/image-shrink_1080_1080/B4EZh6xK1lHEAs-/0/1754406368699?e=1789466400&amp;v=beta&amp;t=uu8QPWHx-8VyYnxhBUOPR5zAlUGt4sbOeQJ4-UGp8h8","Open Creative")</f>
        <v>Open Creative</v>
      </c>
      <c r="L864" s="4" t="s">
        <v>131</v>
      </c>
      <c r="M864" s="4" t="s">
        <v>63</v>
      </c>
      <c r="N864" s="4" t="s">
        <v>132</v>
      </c>
      <c r="O864" s="2" t="s">
        <v>132</v>
      </c>
      <c r="P864" s="2">
        <v>7.76960514E8</v>
      </c>
      <c r="Q864" s="2" t="s">
        <v>68</v>
      </c>
      <c r="R864" s="4" t="s">
        <v>6848</v>
      </c>
    </row>
    <row r="865">
      <c r="A865" s="4" t="s">
        <v>44</v>
      </c>
      <c r="B865" s="4" t="s">
        <v>44</v>
      </c>
      <c r="C865" s="4">
        <v>864.0</v>
      </c>
      <c r="D865" s="13" t="str">
        <f>HYPERLINK("https://www.linkedin.com/ad-library/detail/776799434","Open Ad")</f>
        <v>Open Ad</v>
      </c>
      <c r="E865" s="4" t="s">
        <v>4653</v>
      </c>
      <c r="F865" s="4" t="s">
        <v>53</v>
      </c>
      <c r="G865" s="4" t="s">
        <v>6780</v>
      </c>
      <c r="H865" s="4" t="s">
        <v>55</v>
      </c>
      <c r="I865" s="4" t="s">
        <v>1758</v>
      </c>
      <c r="J865" s="4" t="s">
        <v>4653</v>
      </c>
      <c r="K865" s="13" t="str">
        <f>HYPERLINK("https://media.licdn.com/dms/image/v2/D4E10AQFBx4u-hDBS0Q/image-shrink_1080_1080/B4EZh66TusGYAo-/0/1754408764182?e=1789466400&amp;v=beta&amp;t=clPNPcGdUMkd1BNPA0C-WbQi3AK9P-Ce8XzXuJG2fZs","Open Creative")</f>
        <v>Open Creative</v>
      </c>
      <c r="L865" s="4" t="s">
        <v>131</v>
      </c>
      <c r="M865" s="4" t="s">
        <v>63</v>
      </c>
      <c r="N865" s="4" t="s">
        <v>132</v>
      </c>
      <c r="O865" s="2" t="s">
        <v>132</v>
      </c>
      <c r="P865" s="2">
        <v>7.76799434E8</v>
      </c>
      <c r="Q865" s="2" t="s">
        <v>68</v>
      </c>
      <c r="R865" s="4" t="s">
        <v>6852</v>
      </c>
    </row>
    <row r="866">
      <c r="A866" s="4" t="s">
        <v>44</v>
      </c>
      <c r="B866" s="4" t="s">
        <v>44</v>
      </c>
      <c r="C866" s="4">
        <v>865.0</v>
      </c>
      <c r="D866" s="13" t="str">
        <f>HYPERLINK("https://www.linkedin.com/ad-library/detail/776898574","Open Ad")</f>
        <v>Open Ad</v>
      </c>
      <c r="E866" s="4" t="s">
        <v>4653</v>
      </c>
      <c r="F866" s="4" t="s">
        <v>53</v>
      </c>
      <c r="G866" s="4" t="s">
        <v>6813</v>
      </c>
      <c r="H866" s="4" t="s">
        <v>55</v>
      </c>
      <c r="I866" s="4" t="s">
        <v>57</v>
      </c>
      <c r="J866" s="4" t="s">
        <v>4653</v>
      </c>
      <c r="K866" s="13" t="str">
        <f>HYPERLINK("https://media.licdn.com/dms/image/v2/D4E10AQHnf2L5oGFDIg/image-shrink_1280/B4EZkUZbWZIMAU-/0/1756983834139?e=1789466400&amp;v=beta&amp;t=v4rJixLkFG7_FdOivipb2xpZfbzq3w8bKA91vxOAukA","Open Creative")</f>
        <v>Open Creative</v>
      </c>
      <c r="L866" s="4" t="s">
        <v>62</v>
      </c>
      <c r="M866" s="4" t="s">
        <v>63</v>
      </c>
      <c r="N866" s="4" t="s">
        <v>6820</v>
      </c>
      <c r="O866" s="2" t="s">
        <v>132</v>
      </c>
      <c r="P866" s="2">
        <v>7.76898574E8</v>
      </c>
      <c r="Q866" s="2" t="s">
        <v>68</v>
      </c>
      <c r="R866" s="4" t="s">
        <v>6854</v>
      </c>
    </row>
    <row r="867">
      <c r="A867" s="4" t="s">
        <v>44</v>
      </c>
      <c r="B867" s="4" t="s">
        <v>44</v>
      </c>
      <c r="C867" s="4">
        <v>866.0</v>
      </c>
      <c r="D867" s="13" t="str">
        <f>HYPERLINK("https://www.linkedin.com/ad-library/detail/776489394","Open Ad")</f>
        <v>Open Ad</v>
      </c>
      <c r="E867" s="4" t="s">
        <v>91</v>
      </c>
      <c r="F867" s="4" t="s">
        <v>6857</v>
      </c>
      <c r="G867" s="4" t="s">
        <v>6858</v>
      </c>
      <c r="H867" s="4" t="s">
        <v>55</v>
      </c>
      <c r="I867" s="4" t="s">
        <v>6859</v>
      </c>
      <c r="J867" s="4" t="s">
        <v>91</v>
      </c>
      <c r="K867" s="13" t="str">
        <f>HYPERLINK("https://media.licdn.com/dms/image/v2/D4E10AQH6Y8-5WOmD7A/image-shrink_1280/B4EZl8LV1yGYAM-/0/1758724972814?e=2147483647&amp;v=beta&amp;t=jnhhu98dEkuQkXSvc6eQMocd8G3YnrHggjLjfOREj8Q","Open Creative")</f>
        <v>Open Creative</v>
      </c>
      <c r="L867" s="4" t="s">
        <v>3498</v>
      </c>
      <c r="M867" s="4" t="s">
        <v>63</v>
      </c>
      <c r="N867" s="4" t="s">
        <v>6860</v>
      </c>
      <c r="O867" s="2" t="s">
        <v>132</v>
      </c>
      <c r="P867" s="2">
        <v>7.76489394E8</v>
      </c>
      <c r="Q867" s="2" t="s">
        <v>68</v>
      </c>
      <c r="R867" s="4" t="s">
        <v>6861</v>
      </c>
    </row>
    <row r="868">
      <c r="A868" s="4" t="s">
        <v>44</v>
      </c>
      <c r="B868" s="4" t="s">
        <v>44</v>
      </c>
      <c r="C868" s="4">
        <v>867.0</v>
      </c>
      <c r="D868" s="13" t="str">
        <f>HYPERLINK("https://www.linkedin.com/ad-library/detail/776608984","Open Ad")</f>
        <v>Open Ad</v>
      </c>
      <c r="E868" s="4" t="s">
        <v>91</v>
      </c>
      <c r="F868" s="4" t="s">
        <v>6864</v>
      </c>
      <c r="G868" s="4" t="s">
        <v>6865</v>
      </c>
      <c r="H868" s="4" t="s">
        <v>55</v>
      </c>
      <c r="I868" s="4" t="s">
        <v>228</v>
      </c>
      <c r="J868" s="4" t="s">
        <v>91</v>
      </c>
      <c r="K868" s="13" t="str">
        <f>HYPERLINK("https://media.licdn.com/dms/image/v2/D4E10AQEYuPtixYYQpQ/image-shrink_1280/B4EZl8LZTLGoAQ-/0/1758724987108?e=2147483647&amp;v=beta&amp;t=Xkl9E4r0RQEpD93kIrk59Yh_TeK8hFCNROj1U8bPzlg","Open Creative")</f>
        <v>Open Creative</v>
      </c>
      <c r="L868" s="4" t="s">
        <v>62</v>
      </c>
      <c r="M868" s="4" t="s">
        <v>63</v>
      </c>
      <c r="N868" s="4" t="s">
        <v>6860</v>
      </c>
      <c r="O868" s="2" t="s">
        <v>132</v>
      </c>
      <c r="P868" s="2">
        <v>7.76608984E8</v>
      </c>
      <c r="Q868" s="2" t="s">
        <v>68</v>
      </c>
      <c r="R868" s="4" t="s">
        <v>6867</v>
      </c>
    </row>
    <row r="869">
      <c r="A869" s="4" t="s">
        <v>44</v>
      </c>
      <c r="B869" s="4" t="s">
        <v>44</v>
      </c>
      <c r="C869" s="4">
        <v>868.0</v>
      </c>
      <c r="D869" s="13" t="str">
        <f>HYPERLINK("https://www.linkedin.com/ad-library/detail/776849544","Open Ad")</f>
        <v>Open Ad</v>
      </c>
      <c r="E869" s="4" t="s">
        <v>4653</v>
      </c>
      <c r="F869" s="4" t="s">
        <v>53</v>
      </c>
      <c r="G869" s="4" t="s">
        <v>6838</v>
      </c>
      <c r="H869" s="4" t="s">
        <v>55</v>
      </c>
      <c r="I869" s="4" t="s">
        <v>272</v>
      </c>
      <c r="J869" s="4" t="s">
        <v>4653</v>
      </c>
      <c r="K869" s="13" t="str">
        <f>HYPERLINK("https://media.licdn.com/dms/image/v2/D4E10AQH5gEL4u93U3g/image-shrink_1280/B4EZk4BIlVKoAE-/0/1757581445574?e=1789466400&amp;v=beta&amp;t=XfUzx9hxk-E2T0wE2_Qs2qgidqJrqwDR_d87GVAhkZg","Open Creative")</f>
        <v>Open Creative</v>
      </c>
      <c r="L869" s="4" t="s">
        <v>62</v>
      </c>
      <c r="M869" s="4" t="s">
        <v>63</v>
      </c>
      <c r="N869" s="4" t="s">
        <v>6817</v>
      </c>
      <c r="O869" s="2" t="s">
        <v>132</v>
      </c>
      <c r="P869" s="2">
        <v>7.76849544E8</v>
      </c>
      <c r="Q869" s="2" t="s">
        <v>68</v>
      </c>
      <c r="R869" s="4" t="s">
        <v>6870</v>
      </c>
    </row>
    <row r="870">
      <c r="A870" s="4" t="s">
        <v>44</v>
      </c>
      <c r="B870" s="4" t="s">
        <v>44</v>
      </c>
      <c r="C870" s="4">
        <v>869.0</v>
      </c>
      <c r="D870" s="13" t="str">
        <f>HYPERLINK("https://www.linkedin.com/ad-library/detail/776569124","Open Ad")</f>
        <v>Open Ad</v>
      </c>
      <c r="E870" s="4" t="s">
        <v>91</v>
      </c>
      <c r="F870" s="4" t="s">
        <v>6864</v>
      </c>
      <c r="G870" s="4" t="s">
        <v>6865</v>
      </c>
      <c r="H870" s="4" t="s">
        <v>55</v>
      </c>
      <c r="I870" s="4" t="s">
        <v>228</v>
      </c>
      <c r="J870" s="4" t="s">
        <v>91</v>
      </c>
      <c r="K870" s="13" t="str">
        <f>HYPERLINK("https://media.licdn.com/dms/image/v2/D4E10AQHzXqRwm_1yeg/image-shrink_1280/B4EZl8LVxRGoAQ-/0/1758724972842?e=2147483647&amp;v=beta&amp;t=e5Hr00tF7j0_jJSv016BllMmRfBMPD6mawIO29bys_Q","Open Creative")</f>
        <v>Open Creative</v>
      </c>
      <c r="L870" s="4" t="s">
        <v>62</v>
      </c>
      <c r="M870" s="4" t="s">
        <v>63</v>
      </c>
      <c r="N870" s="4" t="s">
        <v>6871</v>
      </c>
      <c r="O870" s="2" t="s">
        <v>132</v>
      </c>
      <c r="P870" s="2">
        <v>7.76569124E8</v>
      </c>
      <c r="Q870" s="2" t="s">
        <v>68</v>
      </c>
      <c r="R870" s="4" t="s">
        <v>6872</v>
      </c>
    </row>
    <row r="871">
      <c r="A871" s="4" t="s">
        <v>44</v>
      </c>
      <c r="B871" s="4" t="s">
        <v>44</v>
      </c>
      <c r="C871" s="4">
        <v>870.0</v>
      </c>
      <c r="D871" s="13" t="str">
        <f>HYPERLINK("https://www.linkedin.com/ad-library/detail/776569114","Open Ad")</f>
        <v>Open Ad</v>
      </c>
      <c r="E871" s="4" t="s">
        <v>91</v>
      </c>
      <c r="F871" s="4" t="s">
        <v>6875</v>
      </c>
      <c r="G871" s="4" t="s">
        <v>6876</v>
      </c>
      <c r="H871" s="4" t="s">
        <v>55</v>
      </c>
      <c r="I871" s="4" t="s">
        <v>6877</v>
      </c>
      <c r="J871" s="4" t="s">
        <v>91</v>
      </c>
      <c r="K871" s="13" t="str">
        <f>HYPERLINK("https://media.licdn.com/dms/image/v2/D4E10AQHzVVuzGSMf1A/image-shrink_1280/B4EZl8LNNaIMAM-/0/1758724938275?e=2147483647&amp;v=beta&amp;t=fASpUzLbC41QBxHQ1jZWWqUb_jEOfBgDd72-htlxTlo","Open Creative")</f>
        <v>Open Creative</v>
      </c>
      <c r="L871" s="4" t="s">
        <v>3498</v>
      </c>
      <c r="M871" s="4" t="s">
        <v>63</v>
      </c>
      <c r="N871" s="4" t="s">
        <v>6860</v>
      </c>
      <c r="O871" s="2" t="s">
        <v>132</v>
      </c>
      <c r="P871" s="2">
        <v>7.76569114E8</v>
      </c>
      <c r="Q871" s="2" t="s">
        <v>68</v>
      </c>
      <c r="R871" s="4" t="s">
        <v>6878</v>
      </c>
    </row>
    <row r="872">
      <c r="A872" s="4" t="s">
        <v>44</v>
      </c>
      <c r="B872" s="4" t="s">
        <v>44</v>
      </c>
      <c r="C872" s="4">
        <v>871.0</v>
      </c>
      <c r="D872" s="13" t="str">
        <f>HYPERLINK("https://www.linkedin.com/ad-library/detail/776509354","Open Ad")</f>
        <v>Open Ad</v>
      </c>
      <c r="E872" s="4" t="s">
        <v>91</v>
      </c>
      <c r="F872" s="4" t="s">
        <v>6864</v>
      </c>
      <c r="G872" s="4" t="s">
        <v>6865</v>
      </c>
      <c r="H872" s="4" t="s">
        <v>55</v>
      </c>
      <c r="I872" s="4" t="s">
        <v>228</v>
      </c>
      <c r="J872" s="4" t="s">
        <v>91</v>
      </c>
      <c r="K872" s="13" t="str">
        <f>HYPERLINK("https://media.licdn.com/dms/image/v2/D4E10AQETEI6BUbe72w/image-shrink_1280/B4EZl8LQjsKgAM-/0/1758724951385?e=2147483647&amp;v=beta&amp;t=upPnVg_WcSgSZZ0OdCYghbCfmxOndkGa3rwRmE-e2UY","Open Creative")</f>
        <v>Open Creative</v>
      </c>
      <c r="L872" s="4" t="s">
        <v>62</v>
      </c>
      <c r="M872" s="4" t="s">
        <v>63</v>
      </c>
      <c r="N872" s="4" t="s">
        <v>6871</v>
      </c>
      <c r="O872" s="2" t="s">
        <v>132</v>
      </c>
      <c r="P872" s="2">
        <v>7.76509354E8</v>
      </c>
      <c r="Q872" s="2" t="s">
        <v>68</v>
      </c>
      <c r="R872" s="4" t="s">
        <v>6881</v>
      </c>
    </row>
    <row r="873">
      <c r="A873" s="4" t="s">
        <v>44</v>
      </c>
      <c r="B873" s="4" t="s">
        <v>44</v>
      </c>
      <c r="C873" s="4">
        <v>872.0</v>
      </c>
      <c r="D873" s="13" t="str">
        <f>HYPERLINK("https://www.linkedin.com/ad-library/detail/776887924","Open Ad")</f>
        <v>Open Ad</v>
      </c>
      <c r="E873" s="4" t="s">
        <v>4653</v>
      </c>
      <c r="F873" s="4" t="s">
        <v>53</v>
      </c>
      <c r="G873" s="4" t="s">
        <v>6813</v>
      </c>
      <c r="H873" s="4" t="s">
        <v>55</v>
      </c>
      <c r="I873" s="4" t="s">
        <v>57</v>
      </c>
      <c r="J873" s="4" t="s">
        <v>4653</v>
      </c>
      <c r="K873" s="13" t="str">
        <f>HYPERLINK("https://media.licdn.com/dms/image/v2/D4E10AQHFFMiUzmjyaA/image-shrink_1280/B4EZkUZbXcIkAM-/0/1756983834207?e=1789466400&amp;v=beta&amp;t=7dSIPfAx8UEmCpxJLQ9ODmAUTDpJ5KQUP1NCRuEp3RA","Open Creative")</f>
        <v>Open Creative</v>
      </c>
      <c r="L873" s="4" t="s">
        <v>62</v>
      </c>
      <c r="M873" s="4" t="s">
        <v>63</v>
      </c>
      <c r="N873" s="4" t="s">
        <v>6817</v>
      </c>
      <c r="O873" s="2" t="s">
        <v>132</v>
      </c>
      <c r="P873" s="2">
        <v>7.76887924E8</v>
      </c>
      <c r="Q873" s="2" t="s">
        <v>68</v>
      </c>
      <c r="R873" s="4" t="s">
        <v>6883</v>
      </c>
    </row>
    <row r="874">
      <c r="A874" s="4" t="s">
        <v>44</v>
      </c>
      <c r="B874" s="4" t="s">
        <v>44</v>
      </c>
      <c r="C874" s="4">
        <v>873.0</v>
      </c>
      <c r="D874" s="13" t="str">
        <f>HYPERLINK("https://www.linkedin.com/ad-library/detail/776489454","Open Ad")</f>
        <v>Open Ad</v>
      </c>
      <c r="E874" s="4" t="s">
        <v>91</v>
      </c>
      <c r="F874" s="4" t="s">
        <v>6857</v>
      </c>
      <c r="G874" s="4" t="s">
        <v>6858</v>
      </c>
      <c r="H874" s="4" t="s">
        <v>55</v>
      </c>
      <c r="I874" s="4" t="s">
        <v>6859</v>
      </c>
      <c r="J874" s="4" t="s">
        <v>91</v>
      </c>
      <c r="K874" s="13" t="str">
        <f>HYPERLINK("https://media.licdn.com/dms/image/v2/D4E10AQGhd1kKKiqsRA/image-shrink_1280/B4EZl8MCj3HoAQ-/0/1758725155872?e=2147483647&amp;v=beta&amp;t=TvVMsFAWIKXAV1tCAvvUI-Ze7cLiW0su7Se09IWP5IA","Open Creative")</f>
        <v>Open Creative</v>
      </c>
      <c r="L874" s="4" t="s">
        <v>3498</v>
      </c>
      <c r="M874" s="4" t="s">
        <v>63</v>
      </c>
      <c r="N874" s="4" t="s">
        <v>6860</v>
      </c>
      <c r="O874" s="2" t="s">
        <v>132</v>
      </c>
      <c r="P874" s="2">
        <v>7.76489454E8</v>
      </c>
      <c r="Q874" s="2" t="s">
        <v>68</v>
      </c>
      <c r="R874" s="4" t="s">
        <v>6885</v>
      </c>
    </row>
    <row r="875">
      <c r="A875" s="4" t="s">
        <v>44</v>
      </c>
      <c r="B875" s="4" t="s">
        <v>44</v>
      </c>
      <c r="C875" s="4">
        <v>874.0</v>
      </c>
      <c r="D875" s="13" t="str">
        <f>HYPERLINK("https://www.linkedin.com/ad-library/detail/776638434","Open Ad")</f>
        <v>Open Ad</v>
      </c>
      <c r="E875" s="4" t="s">
        <v>91</v>
      </c>
      <c r="F875" s="4" t="s">
        <v>6857</v>
      </c>
      <c r="G875" s="4" t="s">
        <v>6858</v>
      </c>
      <c r="H875" s="4" t="s">
        <v>55</v>
      </c>
      <c r="I875" s="4" t="s">
        <v>6859</v>
      </c>
      <c r="J875" s="4" t="s">
        <v>91</v>
      </c>
      <c r="K875" s="13" t="str">
        <f>HYPERLINK("https://media.licdn.com/dms/image/v2/D4E10AQFOLJuPR5eOYg/image-shrink_1280/B4EZl8LVyWKkAM-/0/1758724972757?e=2147483647&amp;v=beta&amp;t=aktRL1q4kbdNsOCFraIx2022wxaHPzyUn6F3rNrR26A","Open Creative")</f>
        <v>Open Creative</v>
      </c>
      <c r="L875" s="4" t="s">
        <v>3498</v>
      </c>
      <c r="M875" s="4" t="s">
        <v>63</v>
      </c>
      <c r="N875" s="4" t="s">
        <v>6860</v>
      </c>
      <c r="O875" s="2" t="s">
        <v>132</v>
      </c>
      <c r="P875" s="2">
        <v>7.76638434E8</v>
      </c>
      <c r="Q875" s="2" t="s">
        <v>68</v>
      </c>
      <c r="R875" s="4" t="s">
        <v>6888</v>
      </c>
    </row>
    <row r="876">
      <c r="A876" s="4" t="s">
        <v>44</v>
      </c>
      <c r="B876" s="4" t="s">
        <v>44</v>
      </c>
      <c r="C876" s="4">
        <v>875.0</v>
      </c>
      <c r="D876" s="13" t="str">
        <f>HYPERLINK("https://www.linkedin.com/ad-library/detail/776619364","Open Ad")</f>
        <v>Open Ad</v>
      </c>
      <c r="E876" s="4" t="s">
        <v>91</v>
      </c>
      <c r="F876" s="4" t="s">
        <v>6875</v>
      </c>
      <c r="G876" s="4" t="s">
        <v>6876</v>
      </c>
      <c r="H876" s="4" t="s">
        <v>55</v>
      </c>
      <c r="I876" s="4" t="s">
        <v>6877</v>
      </c>
      <c r="J876" s="4" t="s">
        <v>91</v>
      </c>
      <c r="K876" s="13" t="str">
        <f>HYPERLINK("https://media.licdn.com/dms/image/v2/D4E10AQE_NnLitE8IxQ/image-shrink_1280/B4EZl8MChBGYAM-/0/1758725155977?e=2147483647&amp;v=beta&amp;t=XwwoNALRdq8ZC56m7r0TDclmkhjP_PER2maD20sl0XM","Open Creative")</f>
        <v>Open Creative</v>
      </c>
      <c r="L876" s="4" t="s">
        <v>3498</v>
      </c>
      <c r="M876" s="4" t="s">
        <v>63</v>
      </c>
      <c r="N876" s="4" t="s">
        <v>6871</v>
      </c>
      <c r="O876" s="2" t="s">
        <v>132</v>
      </c>
      <c r="P876" s="2">
        <v>7.76619364E8</v>
      </c>
      <c r="Q876" s="2" t="s">
        <v>68</v>
      </c>
      <c r="R876" s="4" t="s">
        <v>6890</v>
      </c>
    </row>
    <row r="877">
      <c r="A877" s="4" t="s">
        <v>44</v>
      </c>
      <c r="B877" s="4" t="s">
        <v>44</v>
      </c>
      <c r="C877" s="4">
        <v>876.0</v>
      </c>
      <c r="D877" s="13" t="str">
        <f>HYPERLINK("https://www.linkedin.com/ad-library/detail/776678314","Open Ad")</f>
        <v>Open Ad</v>
      </c>
      <c r="E877" s="4" t="s">
        <v>91</v>
      </c>
      <c r="F877" s="4" t="s">
        <v>6864</v>
      </c>
      <c r="G877" s="4" t="s">
        <v>6865</v>
      </c>
      <c r="H877" s="4" t="s">
        <v>55</v>
      </c>
      <c r="I877" s="4" t="s">
        <v>228</v>
      </c>
      <c r="J877" s="4" t="s">
        <v>91</v>
      </c>
      <c r="K877" s="13" t="str">
        <f>HYPERLINK("https://media.licdn.com/dms/image/v2/D4E10AQGDy6rgwk2D2Q/image-shrink_1280/B4EZl8LV2fGcAQ-/0/1758724973164?e=2147483647&amp;v=beta&amp;t=Kr2bdkgoytINcWnDgxW5fNW1-ej8oMvYQV46eviRuPI","Open Creative")</f>
        <v>Open Creative</v>
      </c>
      <c r="L877" s="4" t="s">
        <v>62</v>
      </c>
      <c r="M877" s="4" t="s">
        <v>63</v>
      </c>
      <c r="N877" s="4" t="s">
        <v>6860</v>
      </c>
      <c r="O877" s="2" t="s">
        <v>132</v>
      </c>
      <c r="P877" s="2">
        <v>7.76678314E8</v>
      </c>
      <c r="Q877" s="2" t="s">
        <v>68</v>
      </c>
      <c r="R877" s="4" t="s">
        <v>6892</v>
      </c>
    </row>
    <row r="878">
      <c r="A878" s="4" t="s">
        <v>44</v>
      </c>
      <c r="B878" s="4" t="s">
        <v>44</v>
      </c>
      <c r="C878" s="4">
        <v>877.0</v>
      </c>
      <c r="D878" s="13" t="str">
        <f>HYPERLINK("https://www.linkedin.com/ad-library/detail/776788664","Open Ad")</f>
        <v>Open Ad</v>
      </c>
      <c r="E878" s="4" t="s">
        <v>4653</v>
      </c>
      <c r="F878" s="4" t="s">
        <v>53</v>
      </c>
      <c r="G878" s="4" t="s">
        <v>6838</v>
      </c>
      <c r="H878" s="4" t="s">
        <v>55</v>
      </c>
      <c r="I878" s="4" t="s">
        <v>272</v>
      </c>
      <c r="J878" s="4" t="s">
        <v>4653</v>
      </c>
      <c r="K878" s="13" t="str">
        <f>HYPERLINK("https://media.licdn.com/dms/image/v2/D4E10AQH5gEL4u93U3g/image-shrink_1280/B4EZk4BIlVKoAE-/0/1757581445574?e=1789466400&amp;v=beta&amp;t=XfUzx9hxk-E2T0wE2_Qs2qgidqJrqwDR_d87GVAhkZg","Open Creative")</f>
        <v>Open Creative</v>
      </c>
      <c r="L878" s="4" t="s">
        <v>62</v>
      </c>
      <c r="M878" s="4" t="s">
        <v>63</v>
      </c>
      <c r="N878" s="4" t="s">
        <v>6817</v>
      </c>
      <c r="O878" s="2" t="s">
        <v>132</v>
      </c>
      <c r="P878" s="2">
        <v>7.76788664E8</v>
      </c>
      <c r="Q878" s="2" t="s">
        <v>68</v>
      </c>
      <c r="R878" s="4" t="s">
        <v>6895</v>
      </c>
    </row>
    <row r="879">
      <c r="A879" s="4" t="s">
        <v>44</v>
      </c>
      <c r="B879" s="4" t="s">
        <v>44</v>
      </c>
      <c r="C879" s="4">
        <v>878.0</v>
      </c>
      <c r="D879" s="13" t="str">
        <f>HYPERLINK("https://www.linkedin.com/ad-library/detail/776619354","Open Ad")</f>
        <v>Open Ad</v>
      </c>
      <c r="E879" s="4" t="s">
        <v>91</v>
      </c>
      <c r="F879" s="4" t="s">
        <v>6864</v>
      </c>
      <c r="G879" s="4" t="s">
        <v>6865</v>
      </c>
      <c r="H879" s="4" t="s">
        <v>55</v>
      </c>
      <c r="I879" s="4" t="s">
        <v>228</v>
      </c>
      <c r="J879" s="4" t="s">
        <v>91</v>
      </c>
      <c r="K879" s="13" t="str">
        <f>HYPERLINK("https://media.licdn.com/dms/image/v2/D4E10AQHprf4fDWY1zQ/image-shrink_1280/B4EZl8MCTVKsAQ-/0/1758725155261?e=2147483647&amp;v=beta&amp;t=7YdDUq2uAzWfteqqy5I02zmVW722J8s27coV8xvxni8","Open Creative")</f>
        <v>Open Creative</v>
      </c>
      <c r="L879" s="4" t="s">
        <v>62</v>
      </c>
      <c r="M879" s="4" t="s">
        <v>63</v>
      </c>
      <c r="N879" s="4" t="s">
        <v>6860</v>
      </c>
      <c r="O879" s="2" t="s">
        <v>132</v>
      </c>
      <c r="P879" s="2">
        <v>7.76619354E8</v>
      </c>
      <c r="Q879" s="2" t="s">
        <v>68</v>
      </c>
      <c r="R879" s="4" t="s">
        <v>6897</v>
      </c>
    </row>
    <row r="880">
      <c r="A880" s="4" t="s">
        <v>44</v>
      </c>
      <c r="B880" s="4" t="s">
        <v>44</v>
      </c>
      <c r="C880" s="4">
        <v>879.0</v>
      </c>
      <c r="D880" s="13" t="str">
        <f>HYPERLINK("https://www.linkedin.com/ad-library/detail/776678304","Open Ad")</f>
        <v>Open Ad</v>
      </c>
      <c r="E880" s="4" t="s">
        <v>91</v>
      </c>
      <c r="F880" s="4" t="s">
        <v>6857</v>
      </c>
      <c r="G880" s="4" t="s">
        <v>6858</v>
      </c>
      <c r="H880" s="4" t="s">
        <v>55</v>
      </c>
      <c r="I880" s="4" t="s">
        <v>6859</v>
      </c>
      <c r="J880" s="4" t="s">
        <v>91</v>
      </c>
      <c r="K880" s="13" t="str">
        <f>HYPERLINK("https://media.licdn.com/dms/image/v2/D4E10AQGUyepf2t_uaQ/image-shrink_1280/B4EZl8LNorIIAM-/0/1758724939526?e=2147483647&amp;v=beta&amp;t=DvW2mmO2OC7b_YdKCd8gj36LHp7Dz-nJmlHzSzd6cts","Open Creative")</f>
        <v>Open Creative</v>
      </c>
      <c r="L880" s="4" t="s">
        <v>3498</v>
      </c>
      <c r="M880" s="4" t="s">
        <v>63</v>
      </c>
      <c r="N880" s="4" t="s">
        <v>6860</v>
      </c>
      <c r="O880" s="2" t="s">
        <v>132</v>
      </c>
      <c r="P880" s="2">
        <v>7.76678304E8</v>
      </c>
      <c r="Q880" s="2" t="s">
        <v>68</v>
      </c>
      <c r="R880" s="4" t="s">
        <v>6901</v>
      </c>
    </row>
    <row r="881">
      <c r="A881" s="4" t="s">
        <v>44</v>
      </c>
      <c r="B881" s="4" t="s">
        <v>44</v>
      </c>
      <c r="C881" s="4">
        <v>880.0</v>
      </c>
      <c r="D881" s="13" t="str">
        <f>HYPERLINK("https://www.linkedin.com/ad-library/detail/776499094","Open Ad")</f>
        <v>Open Ad</v>
      </c>
      <c r="E881" s="4" t="s">
        <v>91</v>
      </c>
      <c r="F881" s="4" t="s">
        <v>6875</v>
      </c>
      <c r="G881" s="4" t="s">
        <v>6876</v>
      </c>
      <c r="H881" s="4" t="s">
        <v>55</v>
      </c>
      <c r="I881" s="4" t="s">
        <v>6877</v>
      </c>
      <c r="J881" s="4" t="s">
        <v>91</v>
      </c>
      <c r="K881" s="13" t="str">
        <f>HYPERLINK("https://media.licdn.com/dms/image/v2/D4E10AQHT35Q3XE3T_A/image-shrink_1280/B4EZl8LVx4GYAM-/0/1758724972540?e=2147483647&amp;v=beta&amp;t=g_XMeFZELGaYRZhA7OzMa9rSgQFDiAECx2w-AE_efOA","Open Creative")</f>
        <v>Open Creative</v>
      </c>
      <c r="L881" s="4" t="s">
        <v>3498</v>
      </c>
      <c r="M881" s="4" t="s">
        <v>63</v>
      </c>
      <c r="N881" s="4" t="s">
        <v>6860</v>
      </c>
      <c r="O881" s="2" t="s">
        <v>132</v>
      </c>
      <c r="P881" s="2">
        <v>7.76499094E8</v>
      </c>
      <c r="Q881" s="2" t="s">
        <v>68</v>
      </c>
      <c r="R881" s="4" t="s">
        <v>6903</v>
      </c>
    </row>
    <row r="882">
      <c r="A882" s="4" t="s">
        <v>44</v>
      </c>
      <c r="B882" s="4" t="s">
        <v>44</v>
      </c>
      <c r="C882" s="4">
        <v>881.0</v>
      </c>
      <c r="D882" s="13" t="str">
        <f>HYPERLINK("https://www.linkedin.com/ad-library/detail/776539574","Open Ad")</f>
        <v>Open Ad</v>
      </c>
      <c r="E882" s="4" t="s">
        <v>91</v>
      </c>
      <c r="F882" s="4" t="s">
        <v>6857</v>
      </c>
      <c r="G882" s="4" t="s">
        <v>6858</v>
      </c>
      <c r="H882" s="4" t="s">
        <v>55</v>
      </c>
      <c r="I882" s="4" t="s">
        <v>6859</v>
      </c>
      <c r="J882" s="4" t="s">
        <v>91</v>
      </c>
      <c r="K882" s="13" t="str">
        <f>HYPERLINK("https://media.licdn.com/dms/image/v2/D4E10AQHanw6vnu-WFw/image-shrink_1280/B4EZl8LVyMIoAM-/0/1758724972748?e=2147483647&amp;v=beta&amp;t=D3ZG4yiMDAP2EBZsyFrp5ttPTC7ZymWY6bBWYtYR9WU","Open Creative")</f>
        <v>Open Creative</v>
      </c>
      <c r="L882" s="4" t="s">
        <v>3498</v>
      </c>
      <c r="M882" s="4" t="s">
        <v>63</v>
      </c>
      <c r="N882" s="4" t="s">
        <v>6860</v>
      </c>
      <c r="O882" s="2" t="s">
        <v>132</v>
      </c>
      <c r="P882" s="2">
        <v>7.76539574E8</v>
      </c>
      <c r="Q882" s="2" t="s">
        <v>68</v>
      </c>
      <c r="R882" s="4" t="s">
        <v>6905</v>
      </c>
    </row>
    <row r="883">
      <c r="A883" s="4" t="s">
        <v>44</v>
      </c>
      <c r="B883" s="4" t="s">
        <v>44</v>
      </c>
      <c r="C883" s="4">
        <v>882.0</v>
      </c>
      <c r="D883" s="13" t="str">
        <f>HYPERLINK("https://www.linkedin.com/ad-library/detail/776700284","Open Ad")</f>
        <v>Open Ad</v>
      </c>
      <c r="E883" s="4" t="s">
        <v>91</v>
      </c>
      <c r="F883" s="4" t="s">
        <v>6875</v>
      </c>
      <c r="G883" s="4" t="s">
        <v>6876</v>
      </c>
      <c r="H883" s="4" t="s">
        <v>55</v>
      </c>
      <c r="I883" s="4" t="s">
        <v>6877</v>
      </c>
      <c r="J883" s="4" t="s">
        <v>91</v>
      </c>
      <c r="K883" s="13" t="str">
        <f>HYPERLINK("https://media.licdn.com/dms/image/v2/D4E10AQE6yPfHH7Y7Ww/image-shrink_1280/B4EZl8LV3_KYAQ-/0/1758724973073?e=2147483647&amp;v=beta&amp;t=HlA6kYKlqgJzkoMiojlDYSMj3LCCRRnvLy6Au1BwadU","Open Creative")</f>
        <v>Open Creative</v>
      </c>
      <c r="L883" s="4" t="s">
        <v>3498</v>
      </c>
      <c r="M883" s="4" t="s">
        <v>63</v>
      </c>
      <c r="N883" s="4" t="s">
        <v>6860</v>
      </c>
      <c r="O883" s="2" t="s">
        <v>132</v>
      </c>
      <c r="P883" s="2">
        <v>7.76700284E8</v>
      </c>
      <c r="Q883" s="2" t="s">
        <v>68</v>
      </c>
      <c r="R883" s="4" t="s">
        <v>6908</v>
      </c>
    </row>
    <row r="884">
      <c r="A884" s="4" t="s">
        <v>44</v>
      </c>
      <c r="B884" s="4" t="s">
        <v>44</v>
      </c>
      <c r="C884" s="4">
        <v>883.0</v>
      </c>
      <c r="D884" s="13" t="str">
        <f>HYPERLINK("https://www.linkedin.com/ad-library/detail/776499114","Open Ad")</f>
        <v>Open Ad</v>
      </c>
      <c r="E884" s="4" t="s">
        <v>91</v>
      </c>
      <c r="F884" s="4" t="s">
        <v>6875</v>
      </c>
      <c r="G884" s="4" t="s">
        <v>6876</v>
      </c>
      <c r="H884" s="4" t="s">
        <v>55</v>
      </c>
      <c r="I884" s="4" t="s">
        <v>6877</v>
      </c>
      <c r="J884" s="4" t="s">
        <v>91</v>
      </c>
      <c r="K884" s="13" t="str">
        <f>HYPERLINK("https://media.licdn.com/dms/image/v2/D4E10AQHdxwCdAcrlgQ/image-shrink_1280/B4EZl8LV4SKUAM-/0/1758724973117?e=2147483647&amp;v=beta&amp;t=Uiy6vm9u8aND_QFUtn4Ji1WD1huUaEWKGsZQZ8--Alc","Open Creative")</f>
        <v>Open Creative</v>
      </c>
      <c r="L884" s="4" t="s">
        <v>3498</v>
      </c>
      <c r="M884" s="4" t="s">
        <v>63</v>
      </c>
      <c r="N884" s="4" t="s">
        <v>6860</v>
      </c>
      <c r="O884" s="2" t="s">
        <v>132</v>
      </c>
      <c r="P884" s="2">
        <v>7.76499114E8</v>
      </c>
      <c r="Q884" s="2" t="s">
        <v>68</v>
      </c>
      <c r="R884" s="4" t="s">
        <v>6911</v>
      </c>
    </row>
    <row r="885">
      <c r="A885" s="4" t="s">
        <v>44</v>
      </c>
      <c r="B885" s="4" t="s">
        <v>44</v>
      </c>
      <c r="C885" s="4">
        <v>884.0</v>
      </c>
      <c r="D885" s="13" t="str">
        <f>HYPERLINK("https://www.linkedin.com/ad-library/detail/776589064","Open Ad")</f>
        <v>Open Ad</v>
      </c>
      <c r="E885" s="4" t="s">
        <v>91</v>
      </c>
      <c r="F885" s="4" t="s">
        <v>6864</v>
      </c>
      <c r="G885" s="4" t="s">
        <v>6865</v>
      </c>
      <c r="H885" s="4" t="s">
        <v>55</v>
      </c>
      <c r="I885" s="4" t="s">
        <v>228</v>
      </c>
      <c r="J885" s="4" t="s">
        <v>91</v>
      </c>
      <c r="K885" s="13" t="str">
        <f>HYPERLINK("https://media.licdn.com/dms/image/v2/D4E10AQE9EW50MWStHA/image-shrink_1280/B4EZl8LNR0KoAM-/0/1758724938004?e=2147483647&amp;v=beta&amp;t=BaRgdm1azoybmdJqiQgMLfUrLoeoqHgYKFPP1_m9gHc","Open Creative")</f>
        <v>Open Creative</v>
      </c>
      <c r="L885" s="4" t="s">
        <v>62</v>
      </c>
      <c r="M885" s="4" t="s">
        <v>63</v>
      </c>
      <c r="N885" s="4" t="s">
        <v>6860</v>
      </c>
      <c r="O885" s="2" t="s">
        <v>132</v>
      </c>
      <c r="P885" s="2">
        <v>7.76589064E8</v>
      </c>
      <c r="Q885" s="2" t="s">
        <v>68</v>
      </c>
      <c r="R885" s="4" t="s">
        <v>6913</v>
      </c>
    </row>
    <row r="886">
      <c r="A886" s="4" t="s">
        <v>44</v>
      </c>
      <c r="B886" s="4" t="s">
        <v>44</v>
      </c>
      <c r="C886" s="4">
        <v>885.0</v>
      </c>
      <c r="D886" s="13" t="str">
        <f>HYPERLINK("https://www.linkedin.com/ad-library/detail/776710054","Open Ad")</f>
        <v>Open Ad</v>
      </c>
      <c r="E886" s="4" t="s">
        <v>91</v>
      </c>
      <c r="F886" s="4" t="s">
        <v>53</v>
      </c>
      <c r="G886" s="4" t="s">
        <v>6915</v>
      </c>
      <c r="H886" s="4" t="s">
        <v>55</v>
      </c>
      <c r="I886" s="4" t="s">
        <v>985</v>
      </c>
      <c r="J886" s="4" t="s">
        <v>91</v>
      </c>
      <c r="K886" s="4" t="s">
        <v>60</v>
      </c>
      <c r="L886" s="4" t="s">
        <v>131</v>
      </c>
      <c r="M886" s="4" t="s">
        <v>63</v>
      </c>
      <c r="N886" s="4" t="s">
        <v>132</v>
      </c>
      <c r="O886" s="2" t="s">
        <v>132</v>
      </c>
      <c r="P886" s="2">
        <v>7.76710054E8</v>
      </c>
      <c r="Q886" s="2" t="s">
        <v>68</v>
      </c>
      <c r="R886" s="4" t="s">
        <v>6916</v>
      </c>
    </row>
    <row r="887">
      <c r="A887" s="4" t="s">
        <v>44</v>
      </c>
      <c r="B887" s="4" t="s">
        <v>44</v>
      </c>
      <c r="C887" s="4">
        <v>886.0</v>
      </c>
      <c r="D887" s="13" t="str">
        <f>HYPERLINK("https://www.linkedin.com/ad-library/detail/776838814","Open Ad")</f>
        <v>Open Ad</v>
      </c>
      <c r="E887" s="4" t="s">
        <v>4653</v>
      </c>
      <c r="F887" s="4" t="s">
        <v>53</v>
      </c>
      <c r="G887" s="4" t="s">
        <v>6813</v>
      </c>
      <c r="H887" s="4" t="s">
        <v>55</v>
      </c>
      <c r="I887" s="4" t="s">
        <v>57</v>
      </c>
      <c r="J887" s="4" t="s">
        <v>4653</v>
      </c>
      <c r="K887" s="13" t="str">
        <f>HYPERLINK("https://media.licdn.com/dms/image/v2/D4E10AQHFFMiUzmjyaA/image-shrink_1280/B4EZkUZbXcIkAM-/0/1756983834207?e=1789466400&amp;v=beta&amp;t=7dSIPfAx8UEmCpxJLQ9ODmAUTDpJ5KQUP1NCRuEp3RA","Open Creative")</f>
        <v>Open Creative</v>
      </c>
      <c r="L887" s="4" t="s">
        <v>62</v>
      </c>
      <c r="M887" s="4" t="s">
        <v>63</v>
      </c>
      <c r="N887" s="4" t="s">
        <v>6817</v>
      </c>
      <c r="O887" s="2" t="s">
        <v>132</v>
      </c>
      <c r="P887" s="2">
        <v>7.76838814E8</v>
      </c>
      <c r="Q887" s="2" t="s">
        <v>68</v>
      </c>
      <c r="R887" s="4" t="s">
        <v>6918</v>
      </c>
    </row>
    <row r="888">
      <c r="A888" s="4" t="s">
        <v>44</v>
      </c>
      <c r="B888" s="4" t="s">
        <v>44</v>
      </c>
      <c r="C888" s="4">
        <v>887.0</v>
      </c>
      <c r="D888" s="13" t="str">
        <f>HYPERLINK("https://www.linkedin.com/ad-library/detail/776907884","Open Ad")</f>
        <v>Open Ad</v>
      </c>
      <c r="E888" s="4" t="s">
        <v>4653</v>
      </c>
      <c r="F888" s="4" t="s">
        <v>53</v>
      </c>
      <c r="G888" s="4" t="s">
        <v>6783</v>
      </c>
      <c r="H888" s="4" t="s">
        <v>55</v>
      </c>
      <c r="I888" s="4" t="s">
        <v>6645</v>
      </c>
      <c r="J888" s="4" t="s">
        <v>4653</v>
      </c>
      <c r="K888" s="13" t="str">
        <f>HYPERLINK("https://media.licdn.com/dms/image/v2/D4E10AQH5gEL4u93U3g/image-shrink_1280/B4EZk4BIlVKoAE-/0/1757581445574?e=1789466400&amp;v=beta&amp;t=XfUzx9hxk-E2T0wE2_Qs2qgidqJrqwDR_d87GVAhkZg","Open Creative")</f>
        <v>Open Creative</v>
      </c>
      <c r="L888" s="4" t="s">
        <v>62</v>
      </c>
      <c r="M888" s="4" t="s">
        <v>63</v>
      </c>
      <c r="N888" s="4" t="s">
        <v>6817</v>
      </c>
      <c r="O888" s="2" t="s">
        <v>132</v>
      </c>
      <c r="P888" s="2">
        <v>7.76907884E8</v>
      </c>
      <c r="Q888" s="2" t="s">
        <v>68</v>
      </c>
      <c r="R888" s="4" t="s">
        <v>6920</v>
      </c>
    </row>
    <row r="889">
      <c r="A889" s="4" t="s">
        <v>44</v>
      </c>
      <c r="B889" s="4" t="s">
        <v>44</v>
      </c>
      <c r="C889" s="4">
        <v>888.0</v>
      </c>
      <c r="D889" s="13" t="str">
        <f>HYPERLINK("https://www.linkedin.com/ad-library/detail/776739374","Open Ad")</f>
        <v>Open Ad</v>
      </c>
      <c r="E889" s="4" t="s">
        <v>91</v>
      </c>
      <c r="F889" s="4" t="s">
        <v>53</v>
      </c>
      <c r="G889" s="4" t="s">
        <v>6915</v>
      </c>
      <c r="H889" s="4" t="s">
        <v>55</v>
      </c>
      <c r="I889" s="4" t="s">
        <v>985</v>
      </c>
      <c r="J889" s="4" t="s">
        <v>91</v>
      </c>
      <c r="K889" s="4" t="s">
        <v>60</v>
      </c>
      <c r="L889" s="4" t="s">
        <v>131</v>
      </c>
      <c r="M889" s="4" t="s">
        <v>63</v>
      </c>
      <c r="N889" s="4" t="s">
        <v>132</v>
      </c>
      <c r="O889" s="2" t="s">
        <v>132</v>
      </c>
      <c r="P889" s="2">
        <v>7.76739374E8</v>
      </c>
      <c r="Q889" s="2" t="s">
        <v>68</v>
      </c>
      <c r="R889" s="4" t="s">
        <v>6916</v>
      </c>
    </row>
    <row r="890">
      <c r="A890" s="4" t="s">
        <v>44</v>
      </c>
      <c r="B890" s="4" t="s">
        <v>44</v>
      </c>
      <c r="C890" s="4">
        <v>889.0</v>
      </c>
      <c r="D890" s="13" t="str">
        <f>HYPERLINK("https://www.linkedin.com/ad-library/detail/776680394","Open Ad")</f>
        <v>Open Ad</v>
      </c>
      <c r="E890" s="4" t="s">
        <v>91</v>
      </c>
      <c r="F890" s="4" t="s">
        <v>53</v>
      </c>
      <c r="G890" s="4" t="s">
        <v>6915</v>
      </c>
      <c r="H890" s="4" t="s">
        <v>55</v>
      </c>
      <c r="I890" s="4" t="s">
        <v>985</v>
      </c>
      <c r="J890" s="4" t="s">
        <v>91</v>
      </c>
      <c r="K890" s="4" t="s">
        <v>60</v>
      </c>
      <c r="L890" s="4" t="s">
        <v>131</v>
      </c>
      <c r="M890" s="4" t="s">
        <v>63</v>
      </c>
      <c r="N890" s="4" t="s">
        <v>132</v>
      </c>
      <c r="O890" s="2" t="s">
        <v>132</v>
      </c>
      <c r="P890" s="2">
        <v>7.76680394E8</v>
      </c>
      <c r="Q890" s="2" t="s">
        <v>68</v>
      </c>
      <c r="R890" s="4" t="s">
        <v>6916</v>
      </c>
    </row>
    <row r="891">
      <c r="A891" s="4" t="s">
        <v>44</v>
      </c>
      <c r="B891" s="4" t="s">
        <v>44</v>
      </c>
      <c r="C891" s="4">
        <v>890.0</v>
      </c>
      <c r="D891" s="13" t="str">
        <f>HYPERLINK("https://www.linkedin.com/ad-library/detail/776599044","Open Ad")</f>
        <v>Open Ad</v>
      </c>
      <c r="E891" s="4" t="s">
        <v>91</v>
      </c>
      <c r="F891" s="4" t="s">
        <v>53</v>
      </c>
      <c r="G891" s="4" t="s">
        <v>6915</v>
      </c>
      <c r="H891" s="4" t="s">
        <v>55</v>
      </c>
      <c r="I891" s="4" t="s">
        <v>985</v>
      </c>
      <c r="J891" s="4" t="s">
        <v>91</v>
      </c>
      <c r="K891" s="4" t="s">
        <v>60</v>
      </c>
      <c r="L891" s="4" t="s">
        <v>131</v>
      </c>
      <c r="M891" s="4" t="s">
        <v>63</v>
      </c>
      <c r="N891" s="4" t="s">
        <v>132</v>
      </c>
      <c r="O891" s="2" t="s">
        <v>132</v>
      </c>
      <c r="P891" s="2">
        <v>7.76599044E8</v>
      </c>
      <c r="Q891" s="2" t="s">
        <v>68</v>
      </c>
      <c r="R891" s="4" t="s">
        <v>6916</v>
      </c>
    </row>
    <row r="892">
      <c r="A892" s="4" t="s">
        <v>44</v>
      </c>
      <c r="B892" s="4" t="s">
        <v>44</v>
      </c>
      <c r="C892" s="4">
        <v>891.0</v>
      </c>
      <c r="D892" s="13" t="str">
        <f>HYPERLINK("https://www.linkedin.com/ad-library/detail/776658594","Open Ad")</f>
        <v>Open Ad</v>
      </c>
      <c r="E892" s="4" t="s">
        <v>91</v>
      </c>
      <c r="F892" s="4" t="s">
        <v>53</v>
      </c>
      <c r="G892" s="4" t="s">
        <v>6915</v>
      </c>
      <c r="H892" s="4" t="s">
        <v>55</v>
      </c>
      <c r="I892" s="4" t="s">
        <v>985</v>
      </c>
      <c r="J892" s="4" t="s">
        <v>91</v>
      </c>
      <c r="K892" s="4" t="s">
        <v>60</v>
      </c>
      <c r="L892" s="4" t="s">
        <v>131</v>
      </c>
      <c r="M892" s="4" t="s">
        <v>63</v>
      </c>
      <c r="N892" s="4" t="s">
        <v>132</v>
      </c>
      <c r="O892" s="2" t="s">
        <v>132</v>
      </c>
      <c r="P892" s="2">
        <v>7.76658594E8</v>
      </c>
      <c r="Q892" s="2" t="s">
        <v>68</v>
      </c>
      <c r="R892" s="4" t="s">
        <v>6916</v>
      </c>
    </row>
    <row r="893">
      <c r="A893" s="4" t="s">
        <v>44</v>
      </c>
      <c r="B893" s="4" t="s">
        <v>44</v>
      </c>
      <c r="C893" s="4">
        <v>892.0</v>
      </c>
      <c r="D893" s="13" t="str">
        <f>HYPERLINK("https://www.linkedin.com/ad-library/detail/776599034","Open Ad")</f>
        <v>Open Ad</v>
      </c>
      <c r="E893" s="4" t="s">
        <v>91</v>
      </c>
      <c r="F893" s="4" t="s">
        <v>53</v>
      </c>
      <c r="G893" s="4" t="s">
        <v>6915</v>
      </c>
      <c r="H893" s="4" t="s">
        <v>55</v>
      </c>
      <c r="I893" s="4" t="s">
        <v>985</v>
      </c>
      <c r="J893" s="4" t="s">
        <v>91</v>
      </c>
      <c r="K893" s="4" t="s">
        <v>60</v>
      </c>
      <c r="L893" s="4" t="s">
        <v>131</v>
      </c>
      <c r="M893" s="4" t="s">
        <v>63</v>
      </c>
      <c r="N893" s="4" t="s">
        <v>132</v>
      </c>
      <c r="O893" s="2" t="s">
        <v>132</v>
      </c>
      <c r="P893" s="2">
        <v>7.76599034E8</v>
      </c>
      <c r="Q893" s="2" t="s">
        <v>68</v>
      </c>
      <c r="R893" s="4" t="s">
        <v>6916</v>
      </c>
    </row>
    <row r="894">
      <c r="A894" s="4" t="s">
        <v>44</v>
      </c>
      <c r="B894" s="4" t="s">
        <v>44</v>
      </c>
      <c r="C894" s="4">
        <v>893.0</v>
      </c>
      <c r="D894" s="13" t="str">
        <f>HYPERLINK("https://www.linkedin.com/ad-library/detail/776608954","Open Ad")</f>
        <v>Open Ad</v>
      </c>
      <c r="E894" s="4" t="s">
        <v>91</v>
      </c>
      <c r="F894" s="4" t="s">
        <v>53</v>
      </c>
      <c r="G894" s="4" t="s">
        <v>6915</v>
      </c>
      <c r="H894" s="4" t="s">
        <v>55</v>
      </c>
      <c r="I894" s="4" t="s">
        <v>985</v>
      </c>
      <c r="J894" s="4" t="s">
        <v>91</v>
      </c>
      <c r="K894" s="4" t="s">
        <v>60</v>
      </c>
      <c r="L894" s="4" t="s">
        <v>131</v>
      </c>
      <c r="M894" s="4" t="s">
        <v>63</v>
      </c>
      <c r="N894" s="4" t="s">
        <v>132</v>
      </c>
      <c r="O894" s="2" t="s">
        <v>132</v>
      </c>
      <c r="P894" s="2">
        <v>7.76608954E8</v>
      </c>
      <c r="Q894" s="2" t="s">
        <v>68</v>
      </c>
      <c r="R894" s="4" t="s">
        <v>6916</v>
      </c>
    </row>
    <row r="895">
      <c r="A895" s="4" t="s">
        <v>44</v>
      </c>
      <c r="B895" s="4" t="s">
        <v>44</v>
      </c>
      <c r="C895" s="4">
        <v>894.0</v>
      </c>
      <c r="D895" s="13" t="str">
        <f>HYPERLINK("https://www.linkedin.com/ad-library/detail/776579394","Open Ad")</f>
        <v>Open Ad</v>
      </c>
      <c r="E895" s="4" t="s">
        <v>91</v>
      </c>
      <c r="F895" s="4" t="s">
        <v>53</v>
      </c>
      <c r="G895" s="4" t="s">
        <v>6915</v>
      </c>
      <c r="H895" s="4" t="s">
        <v>55</v>
      </c>
      <c r="I895" s="4" t="s">
        <v>985</v>
      </c>
      <c r="J895" s="4" t="s">
        <v>91</v>
      </c>
      <c r="K895" s="4" t="s">
        <v>60</v>
      </c>
      <c r="L895" s="4" t="s">
        <v>131</v>
      </c>
      <c r="M895" s="4" t="s">
        <v>63</v>
      </c>
      <c r="N895" s="4" t="s">
        <v>132</v>
      </c>
      <c r="O895" s="2" t="s">
        <v>132</v>
      </c>
      <c r="P895" s="2">
        <v>7.76579394E8</v>
      </c>
      <c r="Q895" s="2" t="s">
        <v>68</v>
      </c>
      <c r="R895" s="4" t="s">
        <v>6916</v>
      </c>
    </row>
    <row r="896">
      <c r="A896" s="4" t="s">
        <v>44</v>
      </c>
      <c r="B896" s="4" t="s">
        <v>44</v>
      </c>
      <c r="C896" s="4">
        <v>895.0</v>
      </c>
      <c r="D896" s="13" t="str">
        <f>HYPERLINK("https://www.linkedin.com/ad-library/detail/776549704","Open Ad")</f>
        <v>Open Ad</v>
      </c>
      <c r="E896" s="4" t="s">
        <v>91</v>
      </c>
      <c r="F896" s="4" t="s">
        <v>53</v>
      </c>
      <c r="G896" s="4" t="s">
        <v>6915</v>
      </c>
      <c r="H896" s="4" t="s">
        <v>55</v>
      </c>
      <c r="I896" s="4" t="s">
        <v>985</v>
      </c>
      <c r="J896" s="4" t="s">
        <v>91</v>
      </c>
      <c r="K896" s="4" t="s">
        <v>60</v>
      </c>
      <c r="L896" s="4" t="s">
        <v>131</v>
      </c>
      <c r="M896" s="4" t="s">
        <v>63</v>
      </c>
      <c r="N896" s="4" t="s">
        <v>132</v>
      </c>
      <c r="O896" s="2" t="s">
        <v>132</v>
      </c>
      <c r="P896" s="2">
        <v>7.76549704E8</v>
      </c>
      <c r="Q896" s="2" t="s">
        <v>68</v>
      </c>
      <c r="R896" s="4" t="s">
        <v>6916</v>
      </c>
    </row>
    <row r="897">
      <c r="A897" s="4" t="s">
        <v>44</v>
      </c>
      <c r="B897" s="4" t="s">
        <v>44</v>
      </c>
      <c r="C897" s="4">
        <v>896.0</v>
      </c>
      <c r="D897" s="13" t="str">
        <f>HYPERLINK("https://www.linkedin.com/ad-library/detail/776599064","Open Ad")</f>
        <v>Open Ad</v>
      </c>
      <c r="E897" s="4" t="s">
        <v>91</v>
      </c>
      <c r="F897" s="4" t="s">
        <v>53</v>
      </c>
      <c r="G897" s="4" t="s">
        <v>6915</v>
      </c>
      <c r="H897" s="4" t="s">
        <v>55</v>
      </c>
      <c r="I897" s="4" t="s">
        <v>985</v>
      </c>
      <c r="J897" s="4" t="s">
        <v>91</v>
      </c>
      <c r="K897" s="4" t="s">
        <v>60</v>
      </c>
      <c r="L897" s="4" t="s">
        <v>131</v>
      </c>
      <c r="M897" s="4" t="s">
        <v>63</v>
      </c>
      <c r="N897" s="4" t="s">
        <v>132</v>
      </c>
      <c r="O897" s="2" t="s">
        <v>132</v>
      </c>
      <c r="P897" s="2">
        <v>7.76599064E8</v>
      </c>
      <c r="Q897" s="2" t="s">
        <v>68</v>
      </c>
      <c r="R897" s="4" t="s">
        <v>6916</v>
      </c>
    </row>
    <row r="898">
      <c r="A898" s="4" t="s">
        <v>44</v>
      </c>
      <c r="B898" s="4" t="s">
        <v>44</v>
      </c>
      <c r="C898" s="4">
        <v>897.0</v>
      </c>
      <c r="D898" s="13" t="str">
        <f>HYPERLINK("https://www.linkedin.com/ad-library/detail/776509314","Open Ad")</f>
        <v>Open Ad</v>
      </c>
      <c r="E898" s="4" t="s">
        <v>91</v>
      </c>
      <c r="F898" s="4" t="s">
        <v>53</v>
      </c>
      <c r="G898" s="4" t="s">
        <v>6915</v>
      </c>
      <c r="H898" s="4" t="s">
        <v>55</v>
      </c>
      <c r="I898" s="4" t="s">
        <v>985</v>
      </c>
      <c r="J898" s="4" t="s">
        <v>91</v>
      </c>
      <c r="K898" s="4" t="s">
        <v>60</v>
      </c>
      <c r="L898" s="4" t="s">
        <v>131</v>
      </c>
      <c r="M898" s="4" t="s">
        <v>63</v>
      </c>
      <c r="N898" s="4" t="s">
        <v>132</v>
      </c>
      <c r="O898" s="2" t="s">
        <v>132</v>
      </c>
      <c r="P898" s="2">
        <v>7.76509314E8</v>
      </c>
      <c r="Q898" s="2" t="s">
        <v>68</v>
      </c>
      <c r="R898" s="4" t="s">
        <v>6916</v>
      </c>
    </row>
    <row r="899">
      <c r="A899" s="4" t="s">
        <v>44</v>
      </c>
      <c r="B899" s="4" t="s">
        <v>44</v>
      </c>
      <c r="C899" s="4">
        <v>898.0</v>
      </c>
      <c r="D899" s="13" t="str">
        <f>HYPERLINK("https://www.linkedin.com/ad-library/detail/776549734","Open Ad")</f>
        <v>Open Ad</v>
      </c>
      <c r="E899" s="4" t="s">
        <v>91</v>
      </c>
      <c r="F899" s="4" t="s">
        <v>53</v>
      </c>
      <c r="G899" s="4" t="s">
        <v>6915</v>
      </c>
      <c r="H899" s="4" t="s">
        <v>55</v>
      </c>
      <c r="I899" s="4" t="s">
        <v>985</v>
      </c>
      <c r="J899" s="4" t="s">
        <v>91</v>
      </c>
      <c r="K899" s="4" t="s">
        <v>60</v>
      </c>
      <c r="L899" s="4" t="s">
        <v>131</v>
      </c>
      <c r="M899" s="4" t="s">
        <v>63</v>
      </c>
      <c r="N899" s="4" t="s">
        <v>132</v>
      </c>
      <c r="O899" s="2" t="s">
        <v>132</v>
      </c>
      <c r="P899" s="2">
        <v>7.76549734E8</v>
      </c>
      <c r="Q899" s="2" t="s">
        <v>68</v>
      </c>
      <c r="R899" s="4" t="s">
        <v>6916</v>
      </c>
    </row>
    <row r="900">
      <c r="A900" s="4" t="s">
        <v>44</v>
      </c>
      <c r="B900" s="4" t="s">
        <v>44</v>
      </c>
      <c r="C900" s="4">
        <v>899.0</v>
      </c>
      <c r="D900" s="13" t="str">
        <f>HYPERLINK("https://www.linkedin.com/ad-library/detail/776509324","Open Ad")</f>
        <v>Open Ad</v>
      </c>
      <c r="E900" s="4" t="s">
        <v>91</v>
      </c>
      <c r="F900" s="4" t="s">
        <v>53</v>
      </c>
      <c r="G900" s="4" t="s">
        <v>6915</v>
      </c>
      <c r="H900" s="4" t="s">
        <v>55</v>
      </c>
      <c r="I900" s="4" t="s">
        <v>985</v>
      </c>
      <c r="J900" s="4" t="s">
        <v>91</v>
      </c>
      <c r="K900" s="4" t="s">
        <v>60</v>
      </c>
      <c r="L900" s="4" t="s">
        <v>131</v>
      </c>
      <c r="M900" s="4" t="s">
        <v>63</v>
      </c>
      <c r="N900" s="4" t="s">
        <v>132</v>
      </c>
      <c r="O900" s="2" t="s">
        <v>132</v>
      </c>
      <c r="P900" s="2">
        <v>7.76509324E8</v>
      </c>
      <c r="Q900" s="2" t="s">
        <v>68</v>
      </c>
      <c r="R900" s="4" t="s">
        <v>6916</v>
      </c>
    </row>
    <row r="901">
      <c r="A901" s="4" t="s">
        <v>44</v>
      </c>
      <c r="B901" s="4" t="s">
        <v>44</v>
      </c>
      <c r="C901" s="4">
        <v>900.0</v>
      </c>
      <c r="D901" s="13" t="str">
        <f>HYPERLINK("https://www.linkedin.com/ad-library/detail/776499084","Open Ad")</f>
        <v>Open Ad</v>
      </c>
      <c r="E901" s="4" t="s">
        <v>91</v>
      </c>
      <c r="F901" s="4" t="s">
        <v>53</v>
      </c>
      <c r="G901" s="4" t="s">
        <v>6915</v>
      </c>
      <c r="H901" s="4" t="s">
        <v>55</v>
      </c>
      <c r="I901" s="4" t="s">
        <v>985</v>
      </c>
      <c r="J901" s="4" t="s">
        <v>91</v>
      </c>
      <c r="K901" s="4" t="s">
        <v>60</v>
      </c>
      <c r="L901" s="4" t="s">
        <v>131</v>
      </c>
      <c r="M901" s="4" t="s">
        <v>63</v>
      </c>
      <c r="N901" s="4" t="s">
        <v>132</v>
      </c>
      <c r="O901" s="2" t="s">
        <v>132</v>
      </c>
      <c r="P901" s="2">
        <v>7.76499084E8</v>
      </c>
      <c r="Q901" s="2" t="s">
        <v>68</v>
      </c>
      <c r="R901" s="4" t="s">
        <v>6916</v>
      </c>
    </row>
    <row r="902">
      <c r="A902" s="4" t="s">
        <v>44</v>
      </c>
      <c r="B902" s="4" t="s">
        <v>44</v>
      </c>
      <c r="C902" s="4">
        <v>901.0</v>
      </c>
      <c r="D902" s="13" t="str">
        <f>HYPERLINK("https://www.linkedin.com/ad-library/detail/776539554","Open Ad")</f>
        <v>Open Ad</v>
      </c>
      <c r="E902" s="4" t="s">
        <v>91</v>
      </c>
      <c r="F902" s="4" t="s">
        <v>53</v>
      </c>
      <c r="G902" s="4" t="s">
        <v>6915</v>
      </c>
      <c r="H902" s="4" t="s">
        <v>55</v>
      </c>
      <c r="I902" s="4" t="s">
        <v>985</v>
      </c>
      <c r="J902" s="4" t="s">
        <v>91</v>
      </c>
      <c r="K902" s="4" t="s">
        <v>60</v>
      </c>
      <c r="L902" s="4" t="s">
        <v>131</v>
      </c>
      <c r="M902" s="4" t="s">
        <v>63</v>
      </c>
      <c r="N902" s="4" t="s">
        <v>132</v>
      </c>
      <c r="O902" s="2" t="s">
        <v>132</v>
      </c>
      <c r="P902" s="2">
        <v>7.76539554E8</v>
      </c>
      <c r="Q902" s="2" t="s">
        <v>68</v>
      </c>
      <c r="R902" s="4" t="s">
        <v>6916</v>
      </c>
    </row>
    <row r="903">
      <c r="A903" s="4" t="s">
        <v>44</v>
      </c>
      <c r="B903" s="4" t="s">
        <v>44</v>
      </c>
      <c r="C903" s="4">
        <v>902.0</v>
      </c>
      <c r="D903" s="13" t="str">
        <f>HYPERLINK("https://www.linkedin.com/ad-library/detail/776499064","Open Ad")</f>
        <v>Open Ad</v>
      </c>
      <c r="E903" s="4" t="s">
        <v>91</v>
      </c>
      <c r="F903" s="4" t="s">
        <v>53</v>
      </c>
      <c r="G903" s="4" t="s">
        <v>6915</v>
      </c>
      <c r="H903" s="4" t="s">
        <v>55</v>
      </c>
      <c r="I903" s="4" t="s">
        <v>985</v>
      </c>
      <c r="J903" s="4" t="s">
        <v>91</v>
      </c>
      <c r="K903" s="4" t="s">
        <v>60</v>
      </c>
      <c r="L903" s="4" t="s">
        <v>131</v>
      </c>
      <c r="M903" s="4" t="s">
        <v>63</v>
      </c>
      <c r="N903" s="4" t="s">
        <v>132</v>
      </c>
      <c r="O903" s="2" t="s">
        <v>132</v>
      </c>
      <c r="P903" s="2">
        <v>7.76499064E8</v>
      </c>
      <c r="Q903" s="2" t="s">
        <v>68</v>
      </c>
      <c r="R903" s="4" t="s">
        <v>6916</v>
      </c>
    </row>
    <row r="904">
      <c r="A904" s="4" t="s">
        <v>44</v>
      </c>
      <c r="B904" s="4" t="s">
        <v>44</v>
      </c>
      <c r="C904" s="4">
        <v>903.0</v>
      </c>
      <c r="D904" s="13" t="str">
        <f>HYPERLINK("https://www.linkedin.com/ad-library/detail/776690294","Open Ad")</f>
        <v>Open Ad</v>
      </c>
      <c r="E904" s="4" t="s">
        <v>91</v>
      </c>
      <c r="F904" s="4" t="s">
        <v>53</v>
      </c>
      <c r="G904" s="4" t="s">
        <v>6915</v>
      </c>
      <c r="H904" s="4" t="s">
        <v>55</v>
      </c>
      <c r="I904" s="4" t="s">
        <v>985</v>
      </c>
      <c r="J904" s="4" t="s">
        <v>91</v>
      </c>
      <c r="K904" s="4" t="s">
        <v>60</v>
      </c>
      <c r="L904" s="4" t="s">
        <v>131</v>
      </c>
      <c r="M904" s="4" t="s">
        <v>63</v>
      </c>
      <c r="N904" s="4" t="s">
        <v>132</v>
      </c>
      <c r="O904" s="2" t="s">
        <v>132</v>
      </c>
      <c r="P904" s="2">
        <v>7.76690294E8</v>
      </c>
      <c r="Q904" s="2" t="s">
        <v>68</v>
      </c>
      <c r="R904" s="4" t="s">
        <v>6916</v>
      </c>
    </row>
    <row r="905">
      <c r="A905" s="4" t="s">
        <v>44</v>
      </c>
      <c r="B905" s="4" t="s">
        <v>44</v>
      </c>
      <c r="C905" s="4">
        <v>904.0</v>
      </c>
      <c r="D905" s="13" t="str">
        <f>HYPERLINK("https://www.linkedin.com/ad-library/detail/776559694","Open Ad")</f>
        <v>Open Ad</v>
      </c>
      <c r="E905" s="4" t="s">
        <v>91</v>
      </c>
      <c r="F905" s="4" t="s">
        <v>53</v>
      </c>
      <c r="G905" s="4" t="s">
        <v>6915</v>
      </c>
      <c r="H905" s="4" t="s">
        <v>55</v>
      </c>
      <c r="I905" s="4" t="s">
        <v>985</v>
      </c>
      <c r="J905" s="4" t="s">
        <v>91</v>
      </c>
      <c r="K905" s="4" t="s">
        <v>60</v>
      </c>
      <c r="L905" s="4" t="s">
        <v>131</v>
      </c>
      <c r="M905" s="4" t="s">
        <v>63</v>
      </c>
      <c r="N905" s="4" t="s">
        <v>132</v>
      </c>
      <c r="O905" s="2" t="s">
        <v>132</v>
      </c>
      <c r="P905" s="2">
        <v>7.76559694E8</v>
      </c>
      <c r="Q905" s="2" t="s">
        <v>68</v>
      </c>
      <c r="R905" s="4" t="s">
        <v>6916</v>
      </c>
    </row>
    <row r="906">
      <c r="A906" s="4" t="s">
        <v>44</v>
      </c>
      <c r="B906" s="4" t="s">
        <v>44</v>
      </c>
      <c r="C906" s="4">
        <v>905.0</v>
      </c>
      <c r="D906" s="13" t="str">
        <f>HYPERLINK("https://www.linkedin.com/ad-library/detail/776710034","Open Ad")</f>
        <v>Open Ad</v>
      </c>
      <c r="E906" s="4" t="s">
        <v>91</v>
      </c>
      <c r="F906" s="4" t="s">
        <v>53</v>
      </c>
      <c r="G906" s="4" t="s">
        <v>6915</v>
      </c>
      <c r="H906" s="4" t="s">
        <v>55</v>
      </c>
      <c r="I906" s="4" t="s">
        <v>985</v>
      </c>
      <c r="J906" s="4" t="s">
        <v>91</v>
      </c>
      <c r="K906" s="4" t="s">
        <v>60</v>
      </c>
      <c r="L906" s="4" t="s">
        <v>131</v>
      </c>
      <c r="M906" s="4" t="s">
        <v>63</v>
      </c>
      <c r="N906" s="4" t="s">
        <v>132</v>
      </c>
      <c r="O906" s="2" t="s">
        <v>132</v>
      </c>
      <c r="P906" s="2">
        <v>7.76710034E8</v>
      </c>
      <c r="Q906" s="2" t="s">
        <v>68</v>
      </c>
      <c r="R906" s="4" t="s">
        <v>6916</v>
      </c>
    </row>
    <row r="907">
      <c r="A907" s="4" t="s">
        <v>44</v>
      </c>
      <c r="B907" s="4" t="s">
        <v>44</v>
      </c>
      <c r="C907" s="4">
        <v>906.0</v>
      </c>
      <c r="D907" s="13" t="str">
        <f>HYPERLINK("https://www.linkedin.com/ad-library/detail/776509294","Open Ad")</f>
        <v>Open Ad</v>
      </c>
      <c r="E907" s="4" t="s">
        <v>91</v>
      </c>
      <c r="F907" s="4" t="s">
        <v>53</v>
      </c>
      <c r="G907" s="4" t="s">
        <v>6915</v>
      </c>
      <c r="H907" s="4" t="s">
        <v>55</v>
      </c>
      <c r="I907" s="4" t="s">
        <v>985</v>
      </c>
      <c r="J907" s="4" t="s">
        <v>91</v>
      </c>
      <c r="K907" s="4" t="s">
        <v>60</v>
      </c>
      <c r="L907" s="4" t="s">
        <v>131</v>
      </c>
      <c r="M907" s="4" t="s">
        <v>63</v>
      </c>
      <c r="N907" s="4" t="s">
        <v>132</v>
      </c>
      <c r="O907" s="2" t="s">
        <v>132</v>
      </c>
      <c r="P907" s="2">
        <v>7.76509294E8</v>
      </c>
      <c r="Q907" s="2" t="s">
        <v>68</v>
      </c>
      <c r="R907" s="4" t="s">
        <v>6916</v>
      </c>
    </row>
    <row r="908">
      <c r="A908" s="4" t="s">
        <v>44</v>
      </c>
      <c r="B908" s="4" t="s">
        <v>44</v>
      </c>
      <c r="C908" s="4">
        <v>907.0</v>
      </c>
      <c r="D908" s="13" t="str">
        <f>HYPERLINK("https://www.linkedin.com/ad-library/detail/776589054","Open Ad")</f>
        <v>Open Ad</v>
      </c>
      <c r="E908" s="4" t="s">
        <v>91</v>
      </c>
      <c r="F908" s="4" t="s">
        <v>53</v>
      </c>
      <c r="G908" s="4" t="s">
        <v>6915</v>
      </c>
      <c r="H908" s="4" t="s">
        <v>55</v>
      </c>
      <c r="I908" s="4" t="s">
        <v>985</v>
      </c>
      <c r="J908" s="4" t="s">
        <v>91</v>
      </c>
      <c r="K908" s="4" t="s">
        <v>60</v>
      </c>
      <c r="L908" s="4" t="s">
        <v>131</v>
      </c>
      <c r="M908" s="4" t="s">
        <v>63</v>
      </c>
      <c r="N908" s="4" t="s">
        <v>132</v>
      </c>
      <c r="O908" s="2" t="s">
        <v>132</v>
      </c>
      <c r="P908" s="2">
        <v>7.76589054E8</v>
      </c>
      <c r="Q908" s="2" t="s">
        <v>68</v>
      </c>
      <c r="R908" s="4" t="s">
        <v>6916</v>
      </c>
    </row>
    <row r="909">
      <c r="A909" s="4" t="s">
        <v>44</v>
      </c>
      <c r="B909" s="4" t="s">
        <v>44</v>
      </c>
      <c r="C909" s="4">
        <v>908.0</v>
      </c>
      <c r="D909" s="13" t="str">
        <f>HYPERLINK("https://www.linkedin.com/ad-library/detail/776668504","Open Ad")</f>
        <v>Open Ad</v>
      </c>
      <c r="E909" s="4" t="s">
        <v>91</v>
      </c>
      <c r="F909" s="4" t="s">
        <v>53</v>
      </c>
      <c r="G909" s="4" t="s">
        <v>6915</v>
      </c>
      <c r="H909" s="4" t="s">
        <v>55</v>
      </c>
      <c r="I909" s="4" t="s">
        <v>985</v>
      </c>
      <c r="J909" s="4" t="s">
        <v>91</v>
      </c>
      <c r="K909" s="4" t="s">
        <v>60</v>
      </c>
      <c r="L909" s="4" t="s">
        <v>131</v>
      </c>
      <c r="M909" s="4" t="s">
        <v>63</v>
      </c>
      <c r="N909" s="4" t="s">
        <v>132</v>
      </c>
      <c r="O909" s="2" t="s">
        <v>132</v>
      </c>
      <c r="P909" s="2">
        <v>7.76668504E8</v>
      </c>
      <c r="Q909" s="2" t="s">
        <v>68</v>
      </c>
      <c r="R909" s="4" t="s">
        <v>6916</v>
      </c>
    </row>
    <row r="910">
      <c r="A910" s="4" t="s">
        <v>44</v>
      </c>
      <c r="B910" s="4" t="s">
        <v>44</v>
      </c>
      <c r="C910" s="4">
        <v>909.0</v>
      </c>
      <c r="D910" s="13" t="str">
        <f>HYPERLINK("https://www.linkedin.com/ad-library/detail/776499054","Open Ad")</f>
        <v>Open Ad</v>
      </c>
      <c r="E910" s="4" t="s">
        <v>91</v>
      </c>
      <c r="F910" s="4" t="s">
        <v>53</v>
      </c>
      <c r="G910" s="4" t="s">
        <v>6915</v>
      </c>
      <c r="H910" s="4" t="s">
        <v>55</v>
      </c>
      <c r="I910" s="4" t="s">
        <v>985</v>
      </c>
      <c r="J910" s="4" t="s">
        <v>91</v>
      </c>
      <c r="K910" s="4" t="s">
        <v>60</v>
      </c>
      <c r="L910" s="4" t="s">
        <v>131</v>
      </c>
      <c r="M910" s="4" t="s">
        <v>63</v>
      </c>
      <c r="N910" s="4" t="s">
        <v>132</v>
      </c>
      <c r="O910" s="2" t="s">
        <v>132</v>
      </c>
      <c r="P910" s="2">
        <v>7.76499054E8</v>
      </c>
      <c r="Q910" s="2" t="s">
        <v>68</v>
      </c>
      <c r="R910" s="4" t="s">
        <v>6916</v>
      </c>
    </row>
    <row r="911">
      <c r="A911" s="4" t="s">
        <v>44</v>
      </c>
      <c r="B911" s="4" t="s">
        <v>44</v>
      </c>
      <c r="C911" s="4">
        <v>910.0</v>
      </c>
      <c r="D911" s="13" t="str">
        <f>HYPERLINK("https://www.linkedin.com/ad-library/detail/776628254","Open Ad")</f>
        <v>Open Ad</v>
      </c>
      <c r="E911" s="4" t="s">
        <v>91</v>
      </c>
      <c r="F911" s="4" t="s">
        <v>53</v>
      </c>
      <c r="G911" s="4" t="s">
        <v>6915</v>
      </c>
      <c r="H911" s="4" t="s">
        <v>55</v>
      </c>
      <c r="I911" s="4" t="s">
        <v>985</v>
      </c>
      <c r="J911" s="4" t="s">
        <v>91</v>
      </c>
      <c r="K911" s="4" t="s">
        <v>60</v>
      </c>
      <c r="L911" s="4" t="s">
        <v>131</v>
      </c>
      <c r="M911" s="4" t="s">
        <v>63</v>
      </c>
      <c r="N911" s="4" t="s">
        <v>132</v>
      </c>
      <c r="O911" s="2" t="s">
        <v>132</v>
      </c>
      <c r="P911" s="2">
        <v>7.76628254E8</v>
      </c>
      <c r="Q911" s="2" t="s">
        <v>68</v>
      </c>
      <c r="R911" s="4" t="s">
        <v>6916</v>
      </c>
    </row>
    <row r="912">
      <c r="A912" s="4" t="s">
        <v>44</v>
      </c>
      <c r="B912" s="4" t="s">
        <v>44</v>
      </c>
      <c r="C912" s="4">
        <v>911.0</v>
      </c>
      <c r="D912" s="13" t="str">
        <f>HYPERLINK("https://www.linkedin.com/ad-library/detail/776519424","Open Ad")</f>
        <v>Open Ad</v>
      </c>
      <c r="E912" s="4" t="s">
        <v>91</v>
      </c>
      <c r="F912" s="4" t="s">
        <v>53</v>
      </c>
      <c r="G912" s="4" t="s">
        <v>6915</v>
      </c>
      <c r="H912" s="4" t="s">
        <v>55</v>
      </c>
      <c r="I912" s="4" t="s">
        <v>985</v>
      </c>
      <c r="J912" s="4" t="s">
        <v>91</v>
      </c>
      <c r="K912" s="4" t="s">
        <v>60</v>
      </c>
      <c r="L912" s="4" t="s">
        <v>131</v>
      </c>
      <c r="M912" s="4" t="s">
        <v>63</v>
      </c>
      <c r="N912" s="4" t="s">
        <v>132</v>
      </c>
      <c r="O912" s="2" t="s">
        <v>132</v>
      </c>
      <c r="P912" s="2">
        <v>7.76519424E8</v>
      </c>
      <c r="Q912" s="2" t="s">
        <v>68</v>
      </c>
      <c r="R912" s="4" t="s">
        <v>6916</v>
      </c>
    </row>
    <row r="913">
      <c r="A913" s="4" t="s">
        <v>44</v>
      </c>
      <c r="B913" s="4" t="s">
        <v>44</v>
      </c>
      <c r="C913" s="4">
        <v>912.0</v>
      </c>
      <c r="D913" s="13" t="str">
        <f>HYPERLINK("https://www.linkedin.com/ad-library/detail/776499034","Open Ad")</f>
        <v>Open Ad</v>
      </c>
      <c r="E913" s="4" t="s">
        <v>91</v>
      </c>
      <c r="F913" s="4" t="s">
        <v>53</v>
      </c>
      <c r="G913" s="4" t="s">
        <v>6915</v>
      </c>
      <c r="H913" s="4" t="s">
        <v>55</v>
      </c>
      <c r="I913" s="4" t="s">
        <v>985</v>
      </c>
      <c r="J913" s="4" t="s">
        <v>91</v>
      </c>
      <c r="K913" s="4" t="s">
        <v>60</v>
      </c>
      <c r="L913" s="4" t="s">
        <v>131</v>
      </c>
      <c r="M913" s="4" t="s">
        <v>63</v>
      </c>
      <c r="N913" s="4" t="s">
        <v>132</v>
      </c>
      <c r="O913" s="2" t="s">
        <v>132</v>
      </c>
      <c r="P913" s="2">
        <v>7.76499034E8</v>
      </c>
      <c r="Q913" s="2" t="s">
        <v>68</v>
      </c>
      <c r="R913" s="4" t="s">
        <v>6916</v>
      </c>
    </row>
    <row r="914">
      <c r="A914" s="4" t="s">
        <v>44</v>
      </c>
      <c r="B914" s="4" t="s">
        <v>44</v>
      </c>
      <c r="C914" s="4">
        <v>913.0</v>
      </c>
      <c r="D914" s="13" t="str">
        <f>HYPERLINK("https://www.linkedin.com/ad-library/detail/771522584","Open Ad")</f>
        <v>Open Ad</v>
      </c>
      <c r="E914" s="4" t="s">
        <v>91</v>
      </c>
      <c r="F914" s="4" t="s">
        <v>53</v>
      </c>
      <c r="G914" s="4" t="s">
        <v>6915</v>
      </c>
      <c r="H914" s="4" t="s">
        <v>55</v>
      </c>
      <c r="I914" s="4" t="s">
        <v>985</v>
      </c>
      <c r="J914" s="4" t="s">
        <v>91</v>
      </c>
      <c r="K914" s="4" t="s">
        <v>60</v>
      </c>
      <c r="L914" s="4" t="s">
        <v>131</v>
      </c>
      <c r="M914" s="4" t="s">
        <v>63</v>
      </c>
      <c r="N914" s="4" t="s">
        <v>132</v>
      </c>
      <c r="O914" s="2" t="s">
        <v>132</v>
      </c>
      <c r="P914" s="2">
        <v>7.71522584E8</v>
      </c>
      <c r="Q914" s="2" t="s">
        <v>68</v>
      </c>
      <c r="R914" s="4" t="s">
        <v>6916</v>
      </c>
    </row>
    <row r="915">
      <c r="A915" s="4" t="s">
        <v>44</v>
      </c>
      <c r="B915" s="4" t="s">
        <v>44</v>
      </c>
      <c r="C915" s="4">
        <v>914.0</v>
      </c>
      <c r="D915" s="13" t="str">
        <f>HYPERLINK("https://www.linkedin.com/ad-library/detail/776658584","Open Ad")</f>
        <v>Open Ad</v>
      </c>
      <c r="E915" s="4" t="s">
        <v>91</v>
      </c>
      <c r="F915" s="4" t="s">
        <v>53</v>
      </c>
      <c r="G915" s="4" t="s">
        <v>6915</v>
      </c>
      <c r="H915" s="4" t="s">
        <v>55</v>
      </c>
      <c r="I915" s="4" t="s">
        <v>985</v>
      </c>
      <c r="J915" s="4" t="s">
        <v>91</v>
      </c>
      <c r="K915" s="4" t="s">
        <v>60</v>
      </c>
      <c r="L915" s="4" t="s">
        <v>131</v>
      </c>
      <c r="M915" s="4" t="s">
        <v>63</v>
      </c>
      <c r="N915" s="4" t="s">
        <v>132</v>
      </c>
      <c r="O915" s="2" t="s">
        <v>132</v>
      </c>
      <c r="P915" s="2">
        <v>7.76658584E8</v>
      </c>
      <c r="Q915" s="2" t="s">
        <v>68</v>
      </c>
      <c r="R915" s="4" t="s">
        <v>6916</v>
      </c>
    </row>
    <row r="916">
      <c r="A916" s="4" t="s">
        <v>44</v>
      </c>
      <c r="B916" s="4" t="s">
        <v>44</v>
      </c>
      <c r="C916" s="4">
        <v>915.0</v>
      </c>
      <c r="D916" s="13" t="str">
        <f>HYPERLINK("https://www.linkedin.com/ad-library/detail/771542574","Open Ad")</f>
        <v>Open Ad</v>
      </c>
      <c r="E916" s="4" t="s">
        <v>91</v>
      </c>
      <c r="F916" s="4" t="s">
        <v>53</v>
      </c>
      <c r="G916" s="4" t="s">
        <v>6915</v>
      </c>
      <c r="H916" s="4" t="s">
        <v>55</v>
      </c>
      <c r="I916" s="4" t="s">
        <v>985</v>
      </c>
      <c r="J916" s="4" t="s">
        <v>91</v>
      </c>
      <c r="K916" s="4" t="s">
        <v>60</v>
      </c>
      <c r="L916" s="4" t="s">
        <v>131</v>
      </c>
      <c r="M916" s="4" t="s">
        <v>63</v>
      </c>
      <c r="N916" s="4" t="s">
        <v>132</v>
      </c>
      <c r="O916" s="2" t="s">
        <v>132</v>
      </c>
      <c r="P916" s="2">
        <v>7.71542574E8</v>
      </c>
      <c r="Q916" s="2" t="s">
        <v>68</v>
      </c>
      <c r="R916" s="4" t="s">
        <v>6916</v>
      </c>
    </row>
    <row r="917">
      <c r="A917" s="4" t="s">
        <v>44</v>
      </c>
      <c r="B917" s="4" t="s">
        <v>44</v>
      </c>
      <c r="C917" s="4">
        <v>916.0</v>
      </c>
      <c r="D917" s="13" t="str">
        <f>HYPERLINK("https://www.linkedin.com/ad-library/detail/771572014","Open Ad")</f>
        <v>Open Ad</v>
      </c>
      <c r="E917" s="4" t="s">
        <v>91</v>
      </c>
      <c r="F917" s="4" t="s">
        <v>53</v>
      </c>
      <c r="G917" s="4" t="s">
        <v>6915</v>
      </c>
      <c r="H917" s="4" t="s">
        <v>55</v>
      </c>
      <c r="I917" s="4" t="s">
        <v>985</v>
      </c>
      <c r="J917" s="4" t="s">
        <v>91</v>
      </c>
      <c r="K917" s="4" t="s">
        <v>60</v>
      </c>
      <c r="L917" s="4" t="s">
        <v>131</v>
      </c>
      <c r="M917" s="4" t="s">
        <v>63</v>
      </c>
      <c r="N917" s="4" t="s">
        <v>132</v>
      </c>
      <c r="O917" s="2" t="s">
        <v>132</v>
      </c>
      <c r="P917" s="2">
        <v>7.71572014E8</v>
      </c>
      <c r="Q917" s="2" t="s">
        <v>68</v>
      </c>
      <c r="R917" s="4" t="s">
        <v>6916</v>
      </c>
    </row>
    <row r="918">
      <c r="A918" s="4" t="s">
        <v>44</v>
      </c>
      <c r="B918" s="4" t="s">
        <v>44</v>
      </c>
      <c r="C918" s="4">
        <v>917.0</v>
      </c>
      <c r="D918" s="13" t="str">
        <f>HYPERLINK("https://www.linkedin.com/ad-library/detail/771681594","Open Ad")</f>
        <v>Open Ad</v>
      </c>
      <c r="E918" s="4" t="s">
        <v>91</v>
      </c>
      <c r="F918" s="4" t="s">
        <v>53</v>
      </c>
      <c r="G918" s="4" t="s">
        <v>6915</v>
      </c>
      <c r="H918" s="4" t="s">
        <v>55</v>
      </c>
      <c r="I918" s="4" t="s">
        <v>985</v>
      </c>
      <c r="J918" s="4" t="s">
        <v>91</v>
      </c>
      <c r="K918" s="4" t="s">
        <v>60</v>
      </c>
      <c r="L918" s="4" t="s">
        <v>131</v>
      </c>
      <c r="M918" s="4" t="s">
        <v>63</v>
      </c>
      <c r="N918" s="4" t="s">
        <v>132</v>
      </c>
      <c r="O918" s="2" t="s">
        <v>132</v>
      </c>
      <c r="P918" s="2">
        <v>7.71681594E8</v>
      </c>
      <c r="Q918" s="2" t="s">
        <v>68</v>
      </c>
      <c r="R918" s="4" t="s">
        <v>6916</v>
      </c>
    </row>
    <row r="919">
      <c r="A919" s="4" t="s">
        <v>44</v>
      </c>
      <c r="B919" s="4" t="s">
        <v>44</v>
      </c>
      <c r="C919" s="4">
        <v>918.0</v>
      </c>
      <c r="D919" s="13" t="str">
        <f>HYPERLINK("https://www.linkedin.com/ad-library/detail/776579374","Open Ad")</f>
        <v>Open Ad</v>
      </c>
      <c r="E919" s="4" t="s">
        <v>91</v>
      </c>
      <c r="F919" s="4" t="s">
        <v>53</v>
      </c>
      <c r="G919" s="4" t="s">
        <v>6915</v>
      </c>
      <c r="H919" s="4" t="s">
        <v>55</v>
      </c>
      <c r="I919" s="4" t="s">
        <v>985</v>
      </c>
      <c r="J919" s="4" t="s">
        <v>91</v>
      </c>
      <c r="K919" s="4" t="s">
        <v>60</v>
      </c>
      <c r="L919" s="4" t="s">
        <v>131</v>
      </c>
      <c r="M919" s="4" t="s">
        <v>63</v>
      </c>
      <c r="N919" s="4" t="s">
        <v>132</v>
      </c>
      <c r="O919" s="2" t="s">
        <v>132</v>
      </c>
      <c r="P919" s="2">
        <v>7.76579374E8</v>
      </c>
      <c r="Q919" s="2" t="s">
        <v>68</v>
      </c>
      <c r="R919" s="4" t="s">
        <v>6916</v>
      </c>
    </row>
    <row r="920">
      <c r="A920" s="4" t="s">
        <v>44</v>
      </c>
      <c r="B920" s="4" t="s">
        <v>44</v>
      </c>
      <c r="C920" s="4">
        <v>919.0</v>
      </c>
      <c r="D920" s="13" t="str">
        <f>HYPERLINK("https://www.linkedin.com/ad-library/detail/776529354","Open Ad")</f>
        <v>Open Ad</v>
      </c>
      <c r="E920" s="4" t="s">
        <v>91</v>
      </c>
      <c r="F920" s="4" t="s">
        <v>53</v>
      </c>
      <c r="G920" s="4" t="s">
        <v>6915</v>
      </c>
      <c r="H920" s="4" t="s">
        <v>55</v>
      </c>
      <c r="I920" s="4" t="s">
        <v>985</v>
      </c>
      <c r="J920" s="4" t="s">
        <v>91</v>
      </c>
      <c r="K920" s="4" t="s">
        <v>60</v>
      </c>
      <c r="L920" s="4" t="s">
        <v>131</v>
      </c>
      <c r="M920" s="4" t="s">
        <v>63</v>
      </c>
      <c r="N920" s="4" t="s">
        <v>132</v>
      </c>
      <c r="O920" s="2" t="s">
        <v>132</v>
      </c>
      <c r="P920" s="2">
        <v>7.76529354E8</v>
      </c>
      <c r="Q920" s="2" t="s">
        <v>68</v>
      </c>
      <c r="R920" s="4" t="s">
        <v>6916</v>
      </c>
    </row>
    <row r="921">
      <c r="A921" s="4" t="s">
        <v>44</v>
      </c>
      <c r="B921" s="4" t="s">
        <v>44</v>
      </c>
      <c r="C921" s="4">
        <v>920.0</v>
      </c>
      <c r="D921" s="13" t="str">
        <f>HYPERLINK("https://www.linkedin.com/ad-library/detail/771612164","Open Ad")</f>
        <v>Open Ad</v>
      </c>
      <c r="E921" s="4" t="s">
        <v>91</v>
      </c>
      <c r="F921" s="4" t="s">
        <v>53</v>
      </c>
      <c r="G921" s="4" t="s">
        <v>6915</v>
      </c>
      <c r="H921" s="4" t="s">
        <v>55</v>
      </c>
      <c r="I921" s="4" t="s">
        <v>985</v>
      </c>
      <c r="J921" s="4" t="s">
        <v>91</v>
      </c>
      <c r="K921" s="4" t="s">
        <v>60</v>
      </c>
      <c r="L921" s="4" t="s">
        <v>131</v>
      </c>
      <c r="M921" s="4" t="s">
        <v>63</v>
      </c>
      <c r="N921" s="4" t="s">
        <v>132</v>
      </c>
      <c r="O921" s="2" t="s">
        <v>132</v>
      </c>
      <c r="P921" s="2">
        <v>7.71612164E8</v>
      </c>
      <c r="Q921" s="2" t="s">
        <v>68</v>
      </c>
      <c r="R921" s="4" t="s">
        <v>6916</v>
      </c>
    </row>
    <row r="922">
      <c r="A922" s="4" t="s">
        <v>44</v>
      </c>
      <c r="B922" s="4" t="s">
        <v>44</v>
      </c>
      <c r="C922" s="4">
        <v>921.0</v>
      </c>
      <c r="D922" s="13" t="str">
        <f>HYPERLINK("https://www.linkedin.com/ad-library/detail/771542604","Open Ad")</f>
        <v>Open Ad</v>
      </c>
      <c r="E922" s="4" t="s">
        <v>91</v>
      </c>
      <c r="F922" s="4" t="s">
        <v>53</v>
      </c>
      <c r="G922" s="4" t="s">
        <v>6915</v>
      </c>
      <c r="H922" s="4" t="s">
        <v>55</v>
      </c>
      <c r="I922" s="4" t="s">
        <v>985</v>
      </c>
      <c r="J922" s="4" t="s">
        <v>91</v>
      </c>
      <c r="K922" s="4" t="s">
        <v>60</v>
      </c>
      <c r="L922" s="4" t="s">
        <v>131</v>
      </c>
      <c r="M922" s="4" t="s">
        <v>63</v>
      </c>
      <c r="N922" s="4" t="s">
        <v>6951</v>
      </c>
      <c r="O922" s="2" t="s">
        <v>67</v>
      </c>
      <c r="P922" s="2">
        <v>7.71542604E8</v>
      </c>
      <c r="Q922" s="2" t="s">
        <v>68</v>
      </c>
      <c r="R922" s="4" t="s">
        <v>6916</v>
      </c>
    </row>
    <row r="923">
      <c r="A923" s="4" t="s">
        <v>44</v>
      </c>
      <c r="B923" s="4" t="s">
        <v>44</v>
      </c>
      <c r="C923" s="4">
        <v>922.0</v>
      </c>
      <c r="D923" s="13" t="str">
        <f>HYPERLINK("https://www.linkedin.com/ad-library/detail/776668494","Open Ad")</f>
        <v>Open Ad</v>
      </c>
      <c r="E923" s="4" t="s">
        <v>91</v>
      </c>
      <c r="F923" s="4" t="s">
        <v>53</v>
      </c>
      <c r="G923" s="4" t="s">
        <v>6915</v>
      </c>
      <c r="H923" s="4" t="s">
        <v>55</v>
      </c>
      <c r="I923" s="4" t="s">
        <v>985</v>
      </c>
      <c r="J923" s="4" t="s">
        <v>91</v>
      </c>
      <c r="K923" s="4" t="s">
        <v>60</v>
      </c>
      <c r="L923" s="4" t="s">
        <v>131</v>
      </c>
      <c r="M923" s="4" t="s">
        <v>63</v>
      </c>
      <c r="N923" s="4" t="s">
        <v>132</v>
      </c>
      <c r="O923" s="2" t="s">
        <v>132</v>
      </c>
      <c r="P923" s="2">
        <v>7.76668494E8</v>
      </c>
      <c r="Q923" s="2" t="s">
        <v>68</v>
      </c>
      <c r="R923" s="4" t="s">
        <v>6916</v>
      </c>
    </row>
    <row r="924">
      <c r="A924" s="4" t="s">
        <v>44</v>
      </c>
      <c r="B924" s="4" t="s">
        <v>44</v>
      </c>
      <c r="C924" s="4">
        <v>923.0</v>
      </c>
      <c r="D924" s="13" t="str">
        <f>HYPERLINK("https://www.linkedin.com/ad-library/detail/776619274","Open Ad")</f>
        <v>Open Ad</v>
      </c>
      <c r="E924" s="4" t="s">
        <v>91</v>
      </c>
      <c r="F924" s="4" t="s">
        <v>53</v>
      </c>
      <c r="G924" s="4" t="s">
        <v>6915</v>
      </c>
      <c r="H924" s="4" t="s">
        <v>55</v>
      </c>
      <c r="I924" s="4" t="s">
        <v>985</v>
      </c>
      <c r="J924" s="4" t="s">
        <v>91</v>
      </c>
      <c r="K924" s="4" t="s">
        <v>60</v>
      </c>
      <c r="L924" s="4" t="s">
        <v>131</v>
      </c>
      <c r="M924" s="4" t="s">
        <v>63</v>
      </c>
      <c r="N924" s="4" t="s">
        <v>132</v>
      </c>
      <c r="O924" s="2" t="s">
        <v>132</v>
      </c>
      <c r="P924" s="2">
        <v>7.76619274E8</v>
      </c>
      <c r="Q924" s="2" t="s">
        <v>68</v>
      </c>
      <c r="R924" s="4" t="s">
        <v>6916</v>
      </c>
    </row>
    <row r="925">
      <c r="A925" s="4" t="s">
        <v>44</v>
      </c>
      <c r="B925" s="4" t="s">
        <v>44</v>
      </c>
      <c r="C925" s="4">
        <v>924.0</v>
      </c>
      <c r="D925" s="13" t="str">
        <f>HYPERLINK("https://www.linkedin.com/ad-library/detail/776648644","Open Ad")</f>
        <v>Open Ad</v>
      </c>
      <c r="E925" s="4" t="s">
        <v>91</v>
      </c>
      <c r="F925" s="4" t="s">
        <v>53</v>
      </c>
      <c r="G925" s="4" t="s">
        <v>6915</v>
      </c>
      <c r="H925" s="4" t="s">
        <v>55</v>
      </c>
      <c r="I925" s="4" t="s">
        <v>985</v>
      </c>
      <c r="J925" s="4" t="s">
        <v>91</v>
      </c>
      <c r="K925" s="4" t="s">
        <v>60</v>
      </c>
      <c r="L925" s="4" t="s">
        <v>131</v>
      </c>
      <c r="M925" s="4" t="s">
        <v>63</v>
      </c>
      <c r="N925" s="4" t="s">
        <v>132</v>
      </c>
      <c r="O925" s="2" t="s">
        <v>132</v>
      </c>
      <c r="P925" s="2">
        <v>7.76648644E8</v>
      </c>
      <c r="Q925" s="2" t="s">
        <v>68</v>
      </c>
      <c r="R925" s="4" t="s">
        <v>6916</v>
      </c>
    </row>
    <row r="926">
      <c r="A926" s="4" t="s">
        <v>44</v>
      </c>
      <c r="B926" s="4" t="s">
        <v>44</v>
      </c>
      <c r="C926" s="4">
        <v>925.0</v>
      </c>
      <c r="D926" s="13" t="str">
        <f>HYPERLINK("https://www.linkedin.com/ad-library/detail/771641794","Open Ad")</f>
        <v>Open Ad</v>
      </c>
      <c r="E926" s="4" t="s">
        <v>91</v>
      </c>
      <c r="F926" s="4" t="s">
        <v>53</v>
      </c>
      <c r="G926" s="4" t="s">
        <v>6915</v>
      </c>
      <c r="H926" s="4" t="s">
        <v>55</v>
      </c>
      <c r="I926" s="4" t="s">
        <v>985</v>
      </c>
      <c r="J926" s="4" t="s">
        <v>91</v>
      </c>
      <c r="K926" s="4" t="s">
        <v>60</v>
      </c>
      <c r="L926" s="4" t="s">
        <v>131</v>
      </c>
      <c r="M926" s="4" t="s">
        <v>63</v>
      </c>
      <c r="N926" s="4" t="s">
        <v>132</v>
      </c>
      <c r="O926" s="2" t="s">
        <v>132</v>
      </c>
      <c r="P926" s="2">
        <v>7.71641794E8</v>
      </c>
      <c r="Q926" s="2" t="s">
        <v>68</v>
      </c>
      <c r="R926" s="4" t="s">
        <v>6916</v>
      </c>
    </row>
    <row r="927">
      <c r="A927" s="4" t="s">
        <v>44</v>
      </c>
      <c r="B927" s="4" t="s">
        <v>44</v>
      </c>
      <c r="C927" s="4">
        <v>926.0</v>
      </c>
      <c r="D927" s="13" t="str">
        <f>HYPERLINK("https://www.linkedin.com/ad-library/detail/771612184","Open Ad")</f>
        <v>Open Ad</v>
      </c>
      <c r="E927" s="4" t="s">
        <v>91</v>
      </c>
      <c r="F927" s="4" t="s">
        <v>53</v>
      </c>
      <c r="G927" s="4" t="s">
        <v>6915</v>
      </c>
      <c r="H927" s="4" t="s">
        <v>55</v>
      </c>
      <c r="I927" s="4" t="s">
        <v>985</v>
      </c>
      <c r="J927" s="4" t="s">
        <v>91</v>
      </c>
      <c r="K927" s="4" t="s">
        <v>60</v>
      </c>
      <c r="L927" s="4" t="s">
        <v>131</v>
      </c>
      <c r="M927" s="4" t="s">
        <v>63</v>
      </c>
      <c r="N927" s="4" t="s">
        <v>132</v>
      </c>
      <c r="O927" s="2" t="s">
        <v>132</v>
      </c>
      <c r="P927" s="2">
        <v>7.71612184E8</v>
      </c>
      <c r="Q927" s="2" t="s">
        <v>68</v>
      </c>
      <c r="R927" s="4" t="s">
        <v>6916</v>
      </c>
    </row>
    <row r="928">
      <c r="A928" s="4" t="s">
        <v>44</v>
      </c>
      <c r="B928" s="4" t="s">
        <v>44</v>
      </c>
      <c r="C928" s="4">
        <v>927.0</v>
      </c>
      <c r="D928" s="13" t="str">
        <f>HYPERLINK("https://www.linkedin.com/ad-library/detail/771671934","Open Ad")</f>
        <v>Open Ad</v>
      </c>
      <c r="E928" s="4" t="s">
        <v>91</v>
      </c>
      <c r="F928" s="4" t="s">
        <v>53</v>
      </c>
      <c r="G928" s="4" t="s">
        <v>6915</v>
      </c>
      <c r="H928" s="4" t="s">
        <v>55</v>
      </c>
      <c r="I928" s="4" t="s">
        <v>985</v>
      </c>
      <c r="J928" s="4" t="s">
        <v>91</v>
      </c>
      <c r="K928" s="4" t="s">
        <v>60</v>
      </c>
      <c r="L928" s="4" t="s">
        <v>131</v>
      </c>
      <c r="M928" s="4" t="s">
        <v>63</v>
      </c>
      <c r="N928" s="4" t="s">
        <v>132</v>
      </c>
      <c r="O928" s="2" t="s">
        <v>132</v>
      </c>
      <c r="P928" s="2">
        <v>7.71671934E8</v>
      </c>
      <c r="Q928" s="2" t="s">
        <v>68</v>
      </c>
      <c r="R928" s="4" t="s">
        <v>6916</v>
      </c>
    </row>
    <row r="929">
      <c r="A929" s="4" t="s">
        <v>44</v>
      </c>
      <c r="B929" s="4" t="s">
        <v>44</v>
      </c>
      <c r="C929" s="4">
        <v>928.0</v>
      </c>
      <c r="D929" s="13" t="str">
        <f>HYPERLINK("https://www.linkedin.com/ad-library/detail/771562124","Open Ad")</f>
        <v>Open Ad</v>
      </c>
      <c r="E929" s="4" t="s">
        <v>91</v>
      </c>
      <c r="F929" s="4" t="s">
        <v>53</v>
      </c>
      <c r="G929" s="4" t="s">
        <v>6915</v>
      </c>
      <c r="H929" s="4" t="s">
        <v>55</v>
      </c>
      <c r="I929" s="4" t="s">
        <v>985</v>
      </c>
      <c r="J929" s="4" t="s">
        <v>91</v>
      </c>
      <c r="K929" s="4" t="s">
        <v>60</v>
      </c>
      <c r="L929" s="4" t="s">
        <v>131</v>
      </c>
      <c r="M929" s="4" t="s">
        <v>63</v>
      </c>
      <c r="N929" s="4" t="s">
        <v>132</v>
      </c>
      <c r="O929" s="2" t="s">
        <v>132</v>
      </c>
      <c r="P929" s="2">
        <v>7.71562124E8</v>
      </c>
      <c r="Q929" s="2" t="s">
        <v>68</v>
      </c>
      <c r="R929" s="4" t="s">
        <v>6916</v>
      </c>
    </row>
    <row r="930">
      <c r="A930" s="4" t="s">
        <v>44</v>
      </c>
      <c r="B930" s="4" t="s">
        <v>44</v>
      </c>
      <c r="C930" s="4">
        <v>929.0</v>
      </c>
      <c r="D930" s="13" t="str">
        <f>HYPERLINK("https://www.linkedin.com/ad-library/detail/771483734","Open Ad")</f>
        <v>Open Ad</v>
      </c>
      <c r="E930" s="4" t="s">
        <v>91</v>
      </c>
      <c r="F930" s="4" t="s">
        <v>53</v>
      </c>
      <c r="G930" s="4" t="s">
        <v>6915</v>
      </c>
      <c r="H930" s="4" t="s">
        <v>55</v>
      </c>
      <c r="I930" s="4" t="s">
        <v>985</v>
      </c>
      <c r="J930" s="4" t="s">
        <v>91</v>
      </c>
      <c r="K930" s="4" t="s">
        <v>60</v>
      </c>
      <c r="L930" s="4" t="s">
        <v>131</v>
      </c>
      <c r="M930" s="4" t="s">
        <v>63</v>
      </c>
      <c r="N930" s="4" t="s">
        <v>132</v>
      </c>
      <c r="O930" s="2" t="s">
        <v>132</v>
      </c>
      <c r="P930" s="2">
        <v>7.71483734E8</v>
      </c>
      <c r="Q930" s="2" t="s">
        <v>68</v>
      </c>
      <c r="R930" s="4" t="s">
        <v>6916</v>
      </c>
    </row>
    <row r="931">
      <c r="A931" s="4" t="s">
        <v>44</v>
      </c>
      <c r="B931" s="4" t="s">
        <v>44</v>
      </c>
      <c r="C931" s="4">
        <v>930.0</v>
      </c>
      <c r="D931" s="13" t="str">
        <f>HYPERLINK("https://www.linkedin.com/ad-library/detail/771671904","Open Ad")</f>
        <v>Open Ad</v>
      </c>
      <c r="E931" s="4" t="s">
        <v>91</v>
      </c>
      <c r="F931" s="4" t="s">
        <v>53</v>
      </c>
      <c r="G931" s="4" t="s">
        <v>6915</v>
      </c>
      <c r="H931" s="4" t="s">
        <v>55</v>
      </c>
      <c r="I931" s="4" t="s">
        <v>985</v>
      </c>
      <c r="J931" s="4" t="s">
        <v>91</v>
      </c>
      <c r="K931" s="4" t="s">
        <v>60</v>
      </c>
      <c r="L931" s="4" t="s">
        <v>131</v>
      </c>
      <c r="M931" s="4" t="s">
        <v>63</v>
      </c>
      <c r="N931" s="4" t="s">
        <v>132</v>
      </c>
      <c r="O931" s="2" t="s">
        <v>132</v>
      </c>
      <c r="P931" s="2">
        <v>7.71671904E8</v>
      </c>
      <c r="Q931" s="2" t="s">
        <v>68</v>
      </c>
      <c r="R931" s="4" t="s">
        <v>6916</v>
      </c>
    </row>
    <row r="932">
      <c r="A932" s="4" t="s">
        <v>44</v>
      </c>
      <c r="B932" s="4" t="s">
        <v>44</v>
      </c>
      <c r="C932" s="4">
        <v>931.0</v>
      </c>
      <c r="D932" s="13" t="str">
        <f>HYPERLINK("https://www.linkedin.com/ad-library/detail/776710024","Open Ad")</f>
        <v>Open Ad</v>
      </c>
      <c r="E932" s="4" t="s">
        <v>91</v>
      </c>
      <c r="F932" s="4" t="s">
        <v>53</v>
      </c>
      <c r="G932" s="4" t="s">
        <v>6915</v>
      </c>
      <c r="H932" s="4" t="s">
        <v>55</v>
      </c>
      <c r="I932" s="4" t="s">
        <v>985</v>
      </c>
      <c r="J932" s="4" t="s">
        <v>91</v>
      </c>
      <c r="K932" s="4" t="s">
        <v>60</v>
      </c>
      <c r="L932" s="4" t="s">
        <v>131</v>
      </c>
      <c r="M932" s="4" t="s">
        <v>63</v>
      </c>
      <c r="N932" s="4" t="s">
        <v>132</v>
      </c>
      <c r="O932" s="2" t="s">
        <v>132</v>
      </c>
      <c r="P932" s="2">
        <v>7.76710024E8</v>
      </c>
      <c r="Q932" s="2" t="s">
        <v>68</v>
      </c>
      <c r="R932" s="4" t="s">
        <v>6916</v>
      </c>
    </row>
    <row r="933">
      <c r="A933" s="4" t="s">
        <v>44</v>
      </c>
      <c r="B933" s="4" t="s">
        <v>44</v>
      </c>
      <c r="C933" s="4">
        <v>932.0</v>
      </c>
      <c r="D933" s="13" t="str">
        <f>HYPERLINK("https://www.linkedin.com/ad-library/detail/771701444","Open Ad")</f>
        <v>Open Ad</v>
      </c>
      <c r="E933" s="4" t="s">
        <v>91</v>
      </c>
      <c r="F933" s="4" t="s">
        <v>53</v>
      </c>
      <c r="G933" s="4" t="s">
        <v>6915</v>
      </c>
      <c r="H933" s="4" t="s">
        <v>55</v>
      </c>
      <c r="I933" s="4" t="s">
        <v>985</v>
      </c>
      <c r="J933" s="4" t="s">
        <v>91</v>
      </c>
      <c r="K933" s="4" t="s">
        <v>60</v>
      </c>
      <c r="L933" s="4" t="s">
        <v>131</v>
      </c>
      <c r="M933" s="4" t="s">
        <v>63</v>
      </c>
      <c r="N933" s="4" t="s">
        <v>132</v>
      </c>
      <c r="O933" s="2" t="s">
        <v>132</v>
      </c>
      <c r="P933" s="2">
        <v>7.71701444E8</v>
      </c>
      <c r="Q933" s="2" t="s">
        <v>68</v>
      </c>
      <c r="R933" s="4" t="s">
        <v>6916</v>
      </c>
    </row>
    <row r="934">
      <c r="A934" s="4" t="s">
        <v>44</v>
      </c>
      <c r="B934" s="4" t="s">
        <v>44</v>
      </c>
      <c r="C934" s="4">
        <v>933.0</v>
      </c>
      <c r="D934" s="13" t="str">
        <f>HYPERLINK("https://www.linkedin.com/ad-library/detail/771562134","Open Ad")</f>
        <v>Open Ad</v>
      </c>
      <c r="E934" s="4" t="s">
        <v>91</v>
      </c>
      <c r="F934" s="4" t="s">
        <v>53</v>
      </c>
      <c r="G934" s="4" t="s">
        <v>6915</v>
      </c>
      <c r="H934" s="4" t="s">
        <v>55</v>
      </c>
      <c r="I934" s="4" t="s">
        <v>985</v>
      </c>
      <c r="J934" s="4" t="s">
        <v>91</v>
      </c>
      <c r="K934" s="4" t="s">
        <v>60</v>
      </c>
      <c r="L934" s="4" t="s">
        <v>131</v>
      </c>
      <c r="M934" s="4" t="s">
        <v>63</v>
      </c>
      <c r="N934" s="4" t="s">
        <v>132</v>
      </c>
      <c r="O934" s="2" t="s">
        <v>132</v>
      </c>
      <c r="P934" s="2">
        <v>7.71562134E8</v>
      </c>
      <c r="Q934" s="2" t="s">
        <v>68</v>
      </c>
      <c r="R934" s="4" t="s">
        <v>6916</v>
      </c>
    </row>
    <row r="935">
      <c r="A935" s="4" t="s">
        <v>44</v>
      </c>
      <c r="B935" s="4" t="s">
        <v>44</v>
      </c>
      <c r="C935" s="4">
        <v>934.0</v>
      </c>
      <c r="D935" s="13" t="str">
        <f>HYPERLINK("https://www.linkedin.com/ad-library/detail/771641784","Open Ad")</f>
        <v>Open Ad</v>
      </c>
      <c r="E935" s="4" t="s">
        <v>91</v>
      </c>
      <c r="F935" s="4" t="s">
        <v>53</v>
      </c>
      <c r="G935" s="4" t="s">
        <v>6915</v>
      </c>
      <c r="H935" s="4" t="s">
        <v>55</v>
      </c>
      <c r="I935" s="4" t="s">
        <v>985</v>
      </c>
      <c r="J935" s="4" t="s">
        <v>91</v>
      </c>
      <c r="K935" s="4" t="s">
        <v>60</v>
      </c>
      <c r="L935" s="4" t="s">
        <v>131</v>
      </c>
      <c r="M935" s="4" t="s">
        <v>63</v>
      </c>
      <c r="N935" s="4" t="s">
        <v>132</v>
      </c>
      <c r="O935" s="2" t="s">
        <v>132</v>
      </c>
      <c r="P935" s="2">
        <v>7.71641784E8</v>
      </c>
      <c r="Q935" s="2" t="s">
        <v>68</v>
      </c>
      <c r="R935" s="4" t="s">
        <v>6916</v>
      </c>
    </row>
    <row r="936">
      <c r="A936" s="4" t="s">
        <v>44</v>
      </c>
      <c r="B936" s="4" t="s">
        <v>44</v>
      </c>
      <c r="C936" s="4">
        <v>935.0</v>
      </c>
      <c r="D936" s="13" t="str">
        <f>HYPERLINK("https://www.linkedin.com/ad-library/detail/771641774","Open Ad")</f>
        <v>Open Ad</v>
      </c>
      <c r="E936" s="4" t="s">
        <v>91</v>
      </c>
      <c r="F936" s="4" t="s">
        <v>53</v>
      </c>
      <c r="G936" s="4" t="s">
        <v>6915</v>
      </c>
      <c r="H936" s="4" t="s">
        <v>55</v>
      </c>
      <c r="I936" s="4" t="s">
        <v>985</v>
      </c>
      <c r="J936" s="4" t="s">
        <v>91</v>
      </c>
      <c r="K936" s="4" t="s">
        <v>60</v>
      </c>
      <c r="L936" s="4" t="s">
        <v>131</v>
      </c>
      <c r="M936" s="4" t="s">
        <v>63</v>
      </c>
      <c r="N936" s="4" t="s">
        <v>132</v>
      </c>
      <c r="O936" s="2" t="s">
        <v>132</v>
      </c>
      <c r="P936" s="2">
        <v>7.71641774E8</v>
      </c>
      <c r="Q936" s="2" t="s">
        <v>68</v>
      </c>
      <c r="R936" s="4" t="s">
        <v>6916</v>
      </c>
    </row>
    <row r="937">
      <c r="A937" s="4" t="s">
        <v>44</v>
      </c>
      <c r="B937" s="4" t="s">
        <v>44</v>
      </c>
      <c r="C937" s="4">
        <v>936.0</v>
      </c>
      <c r="D937" s="13" t="str">
        <f>HYPERLINK("https://www.linkedin.com/ad-library/detail/771512754","Open Ad")</f>
        <v>Open Ad</v>
      </c>
      <c r="E937" s="4" t="s">
        <v>91</v>
      </c>
      <c r="F937" s="4" t="s">
        <v>53</v>
      </c>
      <c r="G937" s="4" t="s">
        <v>6915</v>
      </c>
      <c r="H937" s="4" t="s">
        <v>55</v>
      </c>
      <c r="I937" s="4" t="s">
        <v>985</v>
      </c>
      <c r="J937" s="4" t="s">
        <v>91</v>
      </c>
      <c r="K937" s="4" t="s">
        <v>60</v>
      </c>
      <c r="L937" s="4" t="s">
        <v>131</v>
      </c>
      <c r="M937" s="4" t="s">
        <v>63</v>
      </c>
      <c r="N937" s="4" t="s">
        <v>132</v>
      </c>
      <c r="O937" s="2" t="s">
        <v>132</v>
      </c>
      <c r="P937" s="2">
        <v>7.71512754E8</v>
      </c>
      <c r="Q937" s="2" t="s">
        <v>68</v>
      </c>
      <c r="R937" s="4" t="s">
        <v>6916</v>
      </c>
    </row>
    <row r="938">
      <c r="A938" s="4" t="s">
        <v>44</v>
      </c>
      <c r="B938" s="4" t="s">
        <v>44</v>
      </c>
      <c r="C938" s="4">
        <v>937.0</v>
      </c>
      <c r="D938" s="13" t="str">
        <f>HYPERLINK("https://www.linkedin.com/ad-library/detail/771572004","Open Ad")</f>
        <v>Open Ad</v>
      </c>
      <c r="E938" s="4" t="s">
        <v>91</v>
      </c>
      <c r="F938" s="4" t="s">
        <v>53</v>
      </c>
      <c r="G938" s="4" t="s">
        <v>6915</v>
      </c>
      <c r="H938" s="4" t="s">
        <v>55</v>
      </c>
      <c r="I938" s="4" t="s">
        <v>985</v>
      </c>
      <c r="J938" s="4" t="s">
        <v>91</v>
      </c>
      <c r="K938" s="4" t="s">
        <v>60</v>
      </c>
      <c r="L938" s="4" t="s">
        <v>131</v>
      </c>
      <c r="M938" s="4" t="s">
        <v>63</v>
      </c>
      <c r="N938" s="4" t="s">
        <v>132</v>
      </c>
      <c r="O938" s="2" t="s">
        <v>132</v>
      </c>
      <c r="P938" s="2">
        <v>7.71572004E8</v>
      </c>
      <c r="Q938" s="2" t="s">
        <v>68</v>
      </c>
      <c r="R938" s="4" t="s">
        <v>6916</v>
      </c>
    </row>
    <row r="939">
      <c r="A939" s="4" t="s">
        <v>44</v>
      </c>
      <c r="B939" s="4" t="s">
        <v>44</v>
      </c>
      <c r="C939" s="4">
        <v>938.0</v>
      </c>
      <c r="D939" s="13" t="str">
        <f>HYPERLINK("https://www.linkedin.com/ad-library/detail/771592274","Open Ad")</f>
        <v>Open Ad</v>
      </c>
      <c r="E939" s="4" t="s">
        <v>91</v>
      </c>
      <c r="F939" s="4" t="s">
        <v>53</v>
      </c>
      <c r="G939" s="4" t="s">
        <v>6915</v>
      </c>
      <c r="H939" s="4" t="s">
        <v>55</v>
      </c>
      <c r="I939" s="4" t="s">
        <v>985</v>
      </c>
      <c r="J939" s="4" t="s">
        <v>91</v>
      </c>
      <c r="K939" s="4" t="s">
        <v>60</v>
      </c>
      <c r="L939" s="4" t="s">
        <v>131</v>
      </c>
      <c r="M939" s="4" t="s">
        <v>63</v>
      </c>
      <c r="N939" s="4" t="s">
        <v>132</v>
      </c>
      <c r="O939" s="2" t="s">
        <v>132</v>
      </c>
      <c r="P939" s="2">
        <v>7.71592274E8</v>
      </c>
      <c r="Q939" s="2" t="s">
        <v>68</v>
      </c>
      <c r="R939" s="4" t="s">
        <v>6916</v>
      </c>
    </row>
    <row r="940">
      <c r="A940" s="4" t="s">
        <v>44</v>
      </c>
      <c r="B940" s="4" t="s">
        <v>44</v>
      </c>
      <c r="C940" s="4">
        <v>939.0</v>
      </c>
      <c r="D940" s="13" t="str">
        <f>HYPERLINK("https://www.linkedin.com/ad-library/detail/771592264","Open Ad")</f>
        <v>Open Ad</v>
      </c>
      <c r="E940" s="4" t="s">
        <v>91</v>
      </c>
      <c r="F940" s="4" t="s">
        <v>53</v>
      </c>
      <c r="G940" s="4" t="s">
        <v>6915</v>
      </c>
      <c r="H940" s="4" t="s">
        <v>55</v>
      </c>
      <c r="I940" s="4" t="s">
        <v>985</v>
      </c>
      <c r="J940" s="4" t="s">
        <v>91</v>
      </c>
      <c r="K940" s="4" t="s">
        <v>60</v>
      </c>
      <c r="L940" s="4" t="s">
        <v>131</v>
      </c>
      <c r="M940" s="4" t="s">
        <v>63</v>
      </c>
      <c r="N940" s="4" t="s">
        <v>132</v>
      </c>
      <c r="O940" s="2" t="s">
        <v>132</v>
      </c>
      <c r="P940" s="2">
        <v>7.71592264E8</v>
      </c>
      <c r="Q940" s="2" t="s">
        <v>68</v>
      </c>
      <c r="R940" s="4" t="s">
        <v>6916</v>
      </c>
    </row>
    <row r="941">
      <c r="A941" s="4" t="s">
        <v>44</v>
      </c>
      <c r="B941" s="4" t="s">
        <v>44</v>
      </c>
      <c r="C941" s="4">
        <v>940.0</v>
      </c>
      <c r="D941" s="13" t="str">
        <f>HYPERLINK("https://www.linkedin.com/ad-library/detail/771681564","Open Ad")</f>
        <v>Open Ad</v>
      </c>
      <c r="E941" s="4" t="s">
        <v>91</v>
      </c>
      <c r="F941" s="4" t="s">
        <v>53</v>
      </c>
      <c r="G941" s="4" t="s">
        <v>6915</v>
      </c>
      <c r="H941" s="4" t="s">
        <v>55</v>
      </c>
      <c r="I941" s="4" t="s">
        <v>985</v>
      </c>
      <c r="J941" s="4" t="s">
        <v>91</v>
      </c>
      <c r="K941" s="4" t="s">
        <v>60</v>
      </c>
      <c r="L941" s="4" t="s">
        <v>131</v>
      </c>
      <c r="M941" s="4" t="s">
        <v>63</v>
      </c>
      <c r="N941" s="4" t="s">
        <v>132</v>
      </c>
      <c r="O941" s="2" t="s">
        <v>132</v>
      </c>
      <c r="P941" s="2">
        <v>7.71681564E8</v>
      </c>
      <c r="Q941" s="2" t="s">
        <v>68</v>
      </c>
      <c r="R941" s="4" t="s">
        <v>6916</v>
      </c>
    </row>
    <row r="942">
      <c r="A942" s="4" t="s">
        <v>44</v>
      </c>
      <c r="B942" s="4" t="s">
        <v>44</v>
      </c>
      <c r="C942" s="4">
        <v>941.0</v>
      </c>
      <c r="D942" s="13" t="str">
        <f>HYPERLINK("https://www.linkedin.com/ad-library/detail/771711144","Open Ad")</f>
        <v>Open Ad</v>
      </c>
      <c r="E942" s="4" t="s">
        <v>91</v>
      </c>
      <c r="F942" s="4" t="s">
        <v>53</v>
      </c>
      <c r="G942" s="4" t="s">
        <v>6915</v>
      </c>
      <c r="H942" s="4" t="s">
        <v>55</v>
      </c>
      <c r="I942" s="4" t="s">
        <v>985</v>
      </c>
      <c r="J942" s="4" t="s">
        <v>91</v>
      </c>
      <c r="K942" s="4" t="s">
        <v>60</v>
      </c>
      <c r="L942" s="4" t="s">
        <v>131</v>
      </c>
      <c r="M942" s="4" t="s">
        <v>63</v>
      </c>
      <c r="N942" s="4" t="s">
        <v>132</v>
      </c>
      <c r="O942" s="2" t="s">
        <v>132</v>
      </c>
      <c r="P942" s="2">
        <v>7.71711144E8</v>
      </c>
      <c r="Q942" s="2" t="s">
        <v>68</v>
      </c>
      <c r="R942" s="4" t="s">
        <v>6916</v>
      </c>
    </row>
    <row r="943">
      <c r="A943" s="4" t="s">
        <v>44</v>
      </c>
      <c r="B943" s="4" t="s">
        <v>44</v>
      </c>
      <c r="C943" s="4">
        <v>942.0</v>
      </c>
      <c r="D943" s="13" t="str">
        <f>HYPERLINK("https://www.linkedin.com/ad-library/detail/771661834","Open Ad")</f>
        <v>Open Ad</v>
      </c>
      <c r="E943" s="4" t="s">
        <v>91</v>
      </c>
      <c r="F943" s="4" t="s">
        <v>53</v>
      </c>
      <c r="G943" s="4" t="s">
        <v>6915</v>
      </c>
      <c r="H943" s="4" t="s">
        <v>55</v>
      </c>
      <c r="I943" s="4" t="s">
        <v>985</v>
      </c>
      <c r="J943" s="4" t="s">
        <v>91</v>
      </c>
      <c r="K943" s="4" t="s">
        <v>60</v>
      </c>
      <c r="L943" s="4" t="s">
        <v>131</v>
      </c>
      <c r="M943" s="4" t="s">
        <v>63</v>
      </c>
      <c r="N943" s="4" t="s">
        <v>132</v>
      </c>
      <c r="O943" s="2" t="s">
        <v>132</v>
      </c>
      <c r="P943" s="2">
        <v>7.71661834E8</v>
      </c>
      <c r="Q943" s="2" t="s">
        <v>68</v>
      </c>
      <c r="R943" s="4" t="s">
        <v>6916</v>
      </c>
    </row>
    <row r="944">
      <c r="A944" s="4" t="s">
        <v>44</v>
      </c>
      <c r="B944" s="4" t="s">
        <v>44</v>
      </c>
      <c r="C944" s="4">
        <v>943.0</v>
      </c>
      <c r="D944" s="13" t="str">
        <f>HYPERLINK("https://www.linkedin.com/ad-library/detail/771522564","Open Ad")</f>
        <v>Open Ad</v>
      </c>
      <c r="E944" s="4" t="s">
        <v>91</v>
      </c>
      <c r="F944" s="4" t="s">
        <v>53</v>
      </c>
      <c r="G944" s="4" t="s">
        <v>6915</v>
      </c>
      <c r="H944" s="4" t="s">
        <v>55</v>
      </c>
      <c r="I944" s="4" t="s">
        <v>985</v>
      </c>
      <c r="J944" s="4" t="s">
        <v>91</v>
      </c>
      <c r="K944" s="4" t="s">
        <v>60</v>
      </c>
      <c r="L944" s="4" t="s">
        <v>131</v>
      </c>
      <c r="M944" s="4" t="s">
        <v>63</v>
      </c>
      <c r="N944" s="4" t="s">
        <v>132</v>
      </c>
      <c r="O944" s="2" t="s">
        <v>132</v>
      </c>
      <c r="P944" s="2">
        <v>7.71522564E8</v>
      </c>
      <c r="Q944" s="2" t="s">
        <v>68</v>
      </c>
      <c r="R944" s="4" t="s">
        <v>6916</v>
      </c>
    </row>
    <row r="945">
      <c r="A945" s="4" t="s">
        <v>44</v>
      </c>
      <c r="B945" s="4" t="s">
        <v>44</v>
      </c>
      <c r="C945" s="4">
        <v>944.0</v>
      </c>
      <c r="D945" s="13" t="str">
        <f>HYPERLINK("https://www.linkedin.com/ad-library/detail/771711124","Open Ad")</f>
        <v>Open Ad</v>
      </c>
      <c r="E945" s="4" t="s">
        <v>91</v>
      </c>
      <c r="F945" s="4" t="s">
        <v>53</v>
      </c>
      <c r="G945" s="4" t="s">
        <v>6915</v>
      </c>
      <c r="H945" s="4" t="s">
        <v>55</v>
      </c>
      <c r="I945" s="4" t="s">
        <v>985</v>
      </c>
      <c r="J945" s="4" t="s">
        <v>91</v>
      </c>
      <c r="K945" s="4" t="s">
        <v>60</v>
      </c>
      <c r="L945" s="4" t="s">
        <v>131</v>
      </c>
      <c r="M945" s="4" t="s">
        <v>63</v>
      </c>
      <c r="N945" s="4" t="s">
        <v>132</v>
      </c>
      <c r="O945" s="2" t="s">
        <v>132</v>
      </c>
      <c r="P945" s="2">
        <v>7.71711124E8</v>
      </c>
      <c r="Q945" s="2" t="s">
        <v>68</v>
      </c>
      <c r="R945" s="4" t="s">
        <v>6916</v>
      </c>
    </row>
    <row r="946">
      <c r="A946" s="4" t="s">
        <v>44</v>
      </c>
      <c r="B946" s="4" t="s">
        <v>44</v>
      </c>
      <c r="C946" s="4">
        <v>945.0</v>
      </c>
      <c r="D946" s="13" t="str">
        <f>HYPERLINK("https://www.linkedin.com/ad-library/detail/771571974","Open Ad")</f>
        <v>Open Ad</v>
      </c>
      <c r="E946" s="4" t="s">
        <v>91</v>
      </c>
      <c r="F946" s="4" t="s">
        <v>53</v>
      </c>
      <c r="G946" s="4" t="s">
        <v>6915</v>
      </c>
      <c r="H946" s="4" t="s">
        <v>55</v>
      </c>
      <c r="I946" s="4" t="s">
        <v>985</v>
      </c>
      <c r="J946" s="4" t="s">
        <v>91</v>
      </c>
      <c r="K946" s="4" t="s">
        <v>60</v>
      </c>
      <c r="L946" s="4" t="s">
        <v>131</v>
      </c>
      <c r="M946" s="4" t="s">
        <v>63</v>
      </c>
      <c r="N946" s="4" t="s">
        <v>132</v>
      </c>
      <c r="O946" s="2" t="s">
        <v>132</v>
      </c>
      <c r="P946" s="2">
        <v>7.71571974E8</v>
      </c>
      <c r="Q946" s="2" t="s">
        <v>68</v>
      </c>
      <c r="R946" s="4" t="s">
        <v>6916</v>
      </c>
    </row>
    <row r="947">
      <c r="A947" s="4" t="s">
        <v>44</v>
      </c>
      <c r="B947" s="4" t="s">
        <v>44</v>
      </c>
      <c r="C947" s="4">
        <v>946.0</v>
      </c>
      <c r="D947" s="13" t="str">
        <f>HYPERLINK("https://www.linkedin.com/ad-library/detail/771592244","Open Ad")</f>
        <v>Open Ad</v>
      </c>
      <c r="E947" s="4" t="s">
        <v>91</v>
      </c>
      <c r="F947" s="4" t="s">
        <v>53</v>
      </c>
      <c r="G947" s="4" t="s">
        <v>6915</v>
      </c>
      <c r="H947" s="4" t="s">
        <v>55</v>
      </c>
      <c r="I947" s="4" t="s">
        <v>985</v>
      </c>
      <c r="J947" s="4" t="s">
        <v>91</v>
      </c>
      <c r="K947" s="4" t="s">
        <v>60</v>
      </c>
      <c r="L947" s="4" t="s">
        <v>131</v>
      </c>
      <c r="M947" s="4" t="s">
        <v>63</v>
      </c>
      <c r="N947" s="4" t="s">
        <v>132</v>
      </c>
      <c r="O947" s="2" t="s">
        <v>132</v>
      </c>
      <c r="P947" s="2">
        <v>7.71592244E8</v>
      </c>
      <c r="Q947" s="2" t="s">
        <v>68</v>
      </c>
      <c r="R947" s="4" t="s">
        <v>6916</v>
      </c>
    </row>
    <row r="948">
      <c r="A948" s="4" t="s">
        <v>44</v>
      </c>
      <c r="B948" s="4" t="s">
        <v>44</v>
      </c>
      <c r="C948" s="4">
        <v>947.0</v>
      </c>
      <c r="D948" s="13" t="str">
        <f>HYPERLINK("https://www.linkedin.com/ad-library/detail/771671894","Open Ad")</f>
        <v>Open Ad</v>
      </c>
      <c r="E948" s="4" t="s">
        <v>91</v>
      </c>
      <c r="F948" s="4" t="s">
        <v>53</v>
      </c>
      <c r="G948" s="4" t="s">
        <v>6915</v>
      </c>
      <c r="H948" s="4" t="s">
        <v>55</v>
      </c>
      <c r="I948" s="4" t="s">
        <v>985</v>
      </c>
      <c r="J948" s="4" t="s">
        <v>91</v>
      </c>
      <c r="K948" s="4" t="s">
        <v>60</v>
      </c>
      <c r="L948" s="4" t="s">
        <v>131</v>
      </c>
      <c r="M948" s="4" t="s">
        <v>63</v>
      </c>
      <c r="N948" s="4" t="s">
        <v>132</v>
      </c>
      <c r="O948" s="2" t="s">
        <v>132</v>
      </c>
      <c r="P948" s="2">
        <v>7.71671894E8</v>
      </c>
      <c r="Q948" s="2" t="s">
        <v>68</v>
      </c>
      <c r="R948" s="4" t="s">
        <v>6916</v>
      </c>
    </row>
    <row r="949">
      <c r="A949" s="4" t="s">
        <v>44</v>
      </c>
      <c r="B949" s="4" t="s">
        <v>44</v>
      </c>
      <c r="C949" s="4">
        <v>948.0</v>
      </c>
      <c r="D949" s="13" t="str">
        <f>HYPERLINK("https://www.linkedin.com/ad-library/detail/771671884","Open Ad")</f>
        <v>Open Ad</v>
      </c>
      <c r="E949" s="4" t="s">
        <v>91</v>
      </c>
      <c r="F949" s="4" t="s">
        <v>53</v>
      </c>
      <c r="G949" s="4" t="s">
        <v>6915</v>
      </c>
      <c r="H949" s="4" t="s">
        <v>55</v>
      </c>
      <c r="I949" s="4" t="s">
        <v>985</v>
      </c>
      <c r="J949" s="4" t="s">
        <v>91</v>
      </c>
      <c r="K949" s="4" t="s">
        <v>60</v>
      </c>
      <c r="L949" s="4" t="s">
        <v>131</v>
      </c>
      <c r="M949" s="4" t="s">
        <v>63</v>
      </c>
      <c r="N949" s="4" t="s">
        <v>132</v>
      </c>
      <c r="O949" s="2" t="s">
        <v>132</v>
      </c>
      <c r="P949" s="2">
        <v>7.71671884E8</v>
      </c>
      <c r="Q949" s="2" t="s">
        <v>68</v>
      </c>
      <c r="R949" s="4" t="s">
        <v>6916</v>
      </c>
    </row>
    <row r="950">
      <c r="A950" s="4" t="s">
        <v>44</v>
      </c>
      <c r="B950" s="4" t="s">
        <v>44</v>
      </c>
      <c r="C950" s="4">
        <v>949.0</v>
      </c>
      <c r="D950" s="13" t="str">
        <f>HYPERLINK("https://www.linkedin.com/ad-library/detail/771691644","Open Ad")</f>
        <v>Open Ad</v>
      </c>
      <c r="E950" s="4" t="s">
        <v>91</v>
      </c>
      <c r="F950" s="4" t="s">
        <v>53</v>
      </c>
      <c r="G950" s="4" t="s">
        <v>6915</v>
      </c>
      <c r="H950" s="4" t="s">
        <v>55</v>
      </c>
      <c r="I950" s="4" t="s">
        <v>985</v>
      </c>
      <c r="J950" s="4" t="s">
        <v>91</v>
      </c>
      <c r="K950" s="4" t="s">
        <v>60</v>
      </c>
      <c r="L950" s="4" t="s">
        <v>131</v>
      </c>
      <c r="M950" s="4" t="s">
        <v>63</v>
      </c>
      <c r="N950" s="4" t="s">
        <v>132</v>
      </c>
      <c r="O950" s="2" t="s">
        <v>132</v>
      </c>
      <c r="P950" s="2">
        <v>7.71691644E8</v>
      </c>
      <c r="Q950" s="2" t="s">
        <v>68</v>
      </c>
      <c r="R950" s="4" t="s">
        <v>6916</v>
      </c>
    </row>
    <row r="951">
      <c r="A951" s="4" t="s">
        <v>44</v>
      </c>
      <c r="B951" s="4" t="s">
        <v>44</v>
      </c>
      <c r="C951" s="4">
        <v>950.0</v>
      </c>
      <c r="D951" s="13" t="str">
        <f>HYPERLINK("https://www.linkedin.com/ad-library/detail/771632024","Open Ad")</f>
        <v>Open Ad</v>
      </c>
      <c r="E951" s="4" t="s">
        <v>91</v>
      </c>
      <c r="F951" s="4" t="s">
        <v>53</v>
      </c>
      <c r="G951" s="4" t="s">
        <v>6915</v>
      </c>
      <c r="H951" s="4" t="s">
        <v>55</v>
      </c>
      <c r="I951" s="4" t="s">
        <v>985</v>
      </c>
      <c r="J951" s="4" t="s">
        <v>91</v>
      </c>
      <c r="K951" s="4" t="s">
        <v>60</v>
      </c>
      <c r="L951" s="4" t="s">
        <v>131</v>
      </c>
      <c r="M951" s="4" t="s">
        <v>63</v>
      </c>
      <c r="N951" s="4" t="s">
        <v>132</v>
      </c>
      <c r="O951" s="2" t="s">
        <v>132</v>
      </c>
      <c r="P951" s="2">
        <v>7.71632024E8</v>
      </c>
      <c r="Q951" s="2" t="s">
        <v>68</v>
      </c>
      <c r="R951" s="4" t="s">
        <v>6916</v>
      </c>
    </row>
    <row r="952">
      <c r="A952" s="4" t="s">
        <v>44</v>
      </c>
      <c r="B952" s="4" t="s">
        <v>44</v>
      </c>
      <c r="C952" s="4">
        <v>951.0</v>
      </c>
      <c r="D952" s="13" t="str">
        <f>HYPERLINK("https://www.linkedin.com/ad-library/detail/771612154","Open Ad")</f>
        <v>Open Ad</v>
      </c>
      <c r="E952" s="4" t="s">
        <v>91</v>
      </c>
      <c r="F952" s="4" t="s">
        <v>53</v>
      </c>
      <c r="G952" s="4" t="s">
        <v>6915</v>
      </c>
      <c r="H952" s="4" t="s">
        <v>55</v>
      </c>
      <c r="I952" s="4" t="s">
        <v>985</v>
      </c>
      <c r="J952" s="4" t="s">
        <v>91</v>
      </c>
      <c r="K952" s="4" t="s">
        <v>60</v>
      </c>
      <c r="L952" s="4" t="s">
        <v>131</v>
      </c>
      <c r="M952" s="4" t="s">
        <v>63</v>
      </c>
      <c r="N952" s="4" t="s">
        <v>132</v>
      </c>
      <c r="O952" s="2" t="s">
        <v>132</v>
      </c>
      <c r="P952" s="2">
        <v>7.71612154E8</v>
      </c>
      <c r="Q952" s="2" t="s">
        <v>68</v>
      </c>
      <c r="R952" s="4" t="s">
        <v>6916</v>
      </c>
    </row>
    <row r="953">
      <c r="A953" s="4" t="s">
        <v>44</v>
      </c>
      <c r="B953" s="4" t="s">
        <v>44</v>
      </c>
      <c r="C953" s="4">
        <v>952.0</v>
      </c>
      <c r="D953" s="13" t="str">
        <f>HYPERLINK("https://www.linkedin.com/ad-library/detail/771601904","Open Ad")</f>
        <v>Open Ad</v>
      </c>
      <c r="E953" s="4" t="s">
        <v>91</v>
      </c>
      <c r="F953" s="4" t="s">
        <v>53</v>
      </c>
      <c r="G953" s="4" t="s">
        <v>6915</v>
      </c>
      <c r="H953" s="4" t="s">
        <v>55</v>
      </c>
      <c r="I953" s="4" t="s">
        <v>985</v>
      </c>
      <c r="J953" s="4" t="s">
        <v>91</v>
      </c>
      <c r="K953" s="4" t="s">
        <v>60</v>
      </c>
      <c r="L953" s="4" t="s">
        <v>131</v>
      </c>
      <c r="M953" s="4" t="s">
        <v>63</v>
      </c>
      <c r="N953" s="4" t="s">
        <v>132</v>
      </c>
      <c r="O953" s="2" t="s">
        <v>132</v>
      </c>
      <c r="P953" s="2">
        <v>7.71601904E8</v>
      </c>
      <c r="Q953" s="2" t="s">
        <v>68</v>
      </c>
      <c r="R953" s="4" t="s">
        <v>6916</v>
      </c>
    </row>
    <row r="954">
      <c r="A954" s="4" t="s">
        <v>44</v>
      </c>
      <c r="B954" s="4" t="s">
        <v>44</v>
      </c>
      <c r="C954" s="4">
        <v>953.0</v>
      </c>
      <c r="D954" s="13" t="str">
        <f>HYPERLINK("https://www.linkedin.com/ad-library/detail/771621984","Open Ad")</f>
        <v>Open Ad</v>
      </c>
      <c r="E954" s="4" t="s">
        <v>91</v>
      </c>
      <c r="F954" s="4" t="s">
        <v>53</v>
      </c>
      <c r="G954" s="4" t="s">
        <v>6915</v>
      </c>
      <c r="H954" s="4" t="s">
        <v>55</v>
      </c>
      <c r="I954" s="4" t="s">
        <v>985</v>
      </c>
      <c r="J954" s="4" t="s">
        <v>91</v>
      </c>
      <c r="K954" s="4" t="s">
        <v>60</v>
      </c>
      <c r="L954" s="4" t="s">
        <v>131</v>
      </c>
      <c r="M954" s="4" t="s">
        <v>63</v>
      </c>
      <c r="N954" s="4" t="s">
        <v>132</v>
      </c>
      <c r="O954" s="2" t="s">
        <v>132</v>
      </c>
      <c r="P954" s="2">
        <v>7.71621984E8</v>
      </c>
      <c r="Q954" s="2" t="s">
        <v>68</v>
      </c>
      <c r="R954" s="4" t="s">
        <v>6916</v>
      </c>
    </row>
    <row r="955">
      <c r="A955" s="4" t="s">
        <v>44</v>
      </c>
      <c r="B955" s="4" t="s">
        <v>44</v>
      </c>
      <c r="C955" s="4">
        <v>954.0</v>
      </c>
      <c r="D955" s="13" t="str">
        <f>HYPERLINK("https://www.linkedin.com/ad-library/detail/771562114","Open Ad")</f>
        <v>Open Ad</v>
      </c>
      <c r="E955" s="4" t="s">
        <v>91</v>
      </c>
      <c r="F955" s="4" t="s">
        <v>53</v>
      </c>
      <c r="G955" s="4" t="s">
        <v>6915</v>
      </c>
      <c r="H955" s="4" t="s">
        <v>55</v>
      </c>
      <c r="I955" s="4" t="s">
        <v>985</v>
      </c>
      <c r="J955" s="4" t="s">
        <v>91</v>
      </c>
      <c r="K955" s="4" t="s">
        <v>60</v>
      </c>
      <c r="L955" s="4" t="s">
        <v>131</v>
      </c>
      <c r="M955" s="4" t="s">
        <v>63</v>
      </c>
      <c r="N955" s="4" t="s">
        <v>132</v>
      </c>
      <c r="O955" s="2" t="s">
        <v>132</v>
      </c>
      <c r="P955" s="2">
        <v>7.71562114E8</v>
      </c>
      <c r="Q955" s="2" t="s">
        <v>68</v>
      </c>
      <c r="R955" s="4" t="s">
        <v>6916</v>
      </c>
    </row>
    <row r="956">
      <c r="A956" s="4" t="s">
        <v>44</v>
      </c>
      <c r="B956" s="4" t="s">
        <v>44</v>
      </c>
      <c r="C956" s="4">
        <v>955.0</v>
      </c>
      <c r="D956" s="13" t="str">
        <f>HYPERLINK("https://www.linkedin.com/ad-library/detail/771552344","Open Ad")</f>
        <v>Open Ad</v>
      </c>
      <c r="E956" s="4" t="s">
        <v>91</v>
      </c>
      <c r="F956" s="4" t="s">
        <v>53</v>
      </c>
      <c r="G956" s="4" t="s">
        <v>6915</v>
      </c>
      <c r="H956" s="4" t="s">
        <v>55</v>
      </c>
      <c r="I956" s="4" t="s">
        <v>985</v>
      </c>
      <c r="J956" s="4" t="s">
        <v>91</v>
      </c>
      <c r="K956" s="4" t="s">
        <v>60</v>
      </c>
      <c r="L956" s="4" t="s">
        <v>131</v>
      </c>
      <c r="M956" s="4" t="s">
        <v>63</v>
      </c>
      <c r="N956" s="4" t="s">
        <v>132</v>
      </c>
      <c r="O956" s="2" t="s">
        <v>132</v>
      </c>
      <c r="P956" s="2">
        <v>7.71552344E8</v>
      </c>
      <c r="Q956" s="2" t="s">
        <v>68</v>
      </c>
      <c r="R956" s="4" t="s">
        <v>6916</v>
      </c>
    </row>
    <row r="957">
      <c r="A957" s="4" t="s">
        <v>44</v>
      </c>
      <c r="B957" s="4" t="s">
        <v>44</v>
      </c>
      <c r="C957" s="4">
        <v>956.0</v>
      </c>
      <c r="D957" s="13" t="str">
        <f>HYPERLINK("https://www.linkedin.com/ad-library/detail/771532544","Open Ad")</f>
        <v>Open Ad</v>
      </c>
      <c r="E957" s="4" t="s">
        <v>91</v>
      </c>
      <c r="F957" s="4" t="s">
        <v>53</v>
      </c>
      <c r="G957" s="4" t="s">
        <v>6915</v>
      </c>
      <c r="H957" s="4" t="s">
        <v>55</v>
      </c>
      <c r="I957" s="4" t="s">
        <v>985</v>
      </c>
      <c r="J957" s="4" t="s">
        <v>91</v>
      </c>
      <c r="K957" s="4" t="s">
        <v>60</v>
      </c>
      <c r="L957" s="4" t="s">
        <v>131</v>
      </c>
      <c r="M957" s="4" t="s">
        <v>63</v>
      </c>
      <c r="N957" s="4" t="s">
        <v>132</v>
      </c>
      <c r="O957" s="2" t="s">
        <v>132</v>
      </c>
      <c r="P957" s="2">
        <v>7.71532544E8</v>
      </c>
      <c r="Q957" s="2" t="s">
        <v>68</v>
      </c>
      <c r="R957" s="4" t="s">
        <v>6916</v>
      </c>
    </row>
    <row r="958">
      <c r="A958" s="4" t="s">
        <v>44</v>
      </c>
      <c r="B958" s="4" t="s">
        <v>44</v>
      </c>
      <c r="C958" s="4">
        <v>957.0</v>
      </c>
      <c r="D958" s="13" t="str">
        <f>HYPERLINK("https://www.linkedin.com/ad-library/detail/771532554","Open Ad")</f>
        <v>Open Ad</v>
      </c>
      <c r="E958" s="4" t="s">
        <v>91</v>
      </c>
      <c r="F958" s="4" t="s">
        <v>53</v>
      </c>
      <c r="G958" s="4" t="s">
        <v>6915</v>
      </c>
      <c r="H958" s="4" t="s">
        <v>55</v>
      </c>
      <c r="I958" s="4" t="s">
        <v>985</v>
      </c>
      <c r="J958" s="4" t="s">
        <v>91</v>
      </c>
      <c r="K958" s="4" t="s">
        <v>60</v>
      </c>
      <c r="L958" s="4" t="s">
        <v>131</v>
      </c>
      <c r="M958" s="4" t="s">
        <v>63</v>
      </c>
      <c r="N958" s="4" t="s">
        <v>132</v>
      </c>
      <c r="O958" s="2" t="s">
        <v>132</v>
      </c>
      <c r="P958" s="2">
        <v>7.71532554E8</v>
      </c>
      <c r="Q958" s="2" t="s">
        <v>68</v>
      </c>
      <c r="R958" s="4" t="s">
        <v>6916</v>
      </c>
    </row>
    <row r="959">
      <c r="A959" s="4" t="s">
        <v>44</v>
      </c>
      <c r="B959" s="4" t="s">
        <v>44</v>
      </c>
      <c r="C959" s="4">
        <v>958.0</v>
      </c>
      <c r="D959" s="13" t="str">
        <f>HYPERLINK("https://www.linkedin.com/ad-library/detail/771601884","Open Ad")</f>
        <v>Open Ad</v>
      </c>
      <c r="E959" s="4" t="s">
        <v>91</v>
      </c>
      <c r="F959" s="4" t="s">
        <v>53</v>
      </c>
      <c r="G959" s="4" t="s">
        <v>6915</v>
      </c>
      <c r="H959" s="4" t="s">
        <v>55</v>
      </c>
      <c r="I959" s="4" t="s">
        <v>985</v>
      </c>
      <c r="J959" s="4" t="s">
        <v>91</v>
      </c>
      <c r="K959" s="4" t="s">
        <v>60</v>
      </c>
      <c r="L959" s="4" t="s">
        <v>131</v>
      </c>
      <c r="M959" s="4" t="s">
        <v>63</v>
      </c>
      <c r="N959" s="4" t="s">
        <v>132</v>
      </c>
      <c r="O959" s="2" t="s">
        <v>132</v>
      </c>
      <c r="P959" s="2">
        <v>7.71601884E8</v>
      </c>
      <c r="Q959" s="2" t="s">
        <v>68</v>
      </c>
      <c r="R959" s="4" t="s">
        <v>6916</v>
      </c>
    </row>
    <row r="960">
      <c r="A960" s="4" t="s">
        <v>44</v>
      </c>
      <c r="B960" s="4" t="s">
        <v>44</v>
      </c>
      <c r="C960" s="4">
        <v>959.0</v>
      </c>
      <c r="D960" s="13" t="str">
        <f>HYPERLINK("https://www.linkedin.com/ad-library/detail/771661844","Open Ad")</f>
        <v>Open Ad</v>
      </c>
      <c r="E960" s="4" t="s">
        <v>91</v>
      </c>
      <c r="F960" s="4" t="s">
        <v>53</v>
      </c>
      <c r="G960" s="4" t="s">
        <v>6915</v>
      </c>
      <c r="H960" s="4" t="s">
        <v>55</v>
      </c>
      <c r="I960" s="4" t="s">
        <v>985</v>
      </c>
      <c r="J960" s="4" t="s">
        <v>91</v>
      </c>
      <c r="K960" s="4" t="s">
        <v>60</v>
      </c>
      <c r="L960" s="4" t="s">
        <v>131</v>
      </c>
      <c r="M960" s="4" t="s">
        <v>63</v>
      </c>
      <c r="N960" s="4" t="s">
        <v>132</v>
      </c>
      <c r="O960" s="2" t="s">
        <v>132</v>
      </c>
      <c r="P960" s="2">
        <v>7.71661844E8</v>
      </c>
      <c r="Q960" s="2" t="s">
        <v>68</v>
      </c>
      <c r="R960" s="4" t="s">
        <v>6916</v>
      </c>
    </row>
    <row r="961">
      <c r="A961" s="4" t="s">
        <v>44</v>
      </c>
      <c r="B961" s="4" t="s">
        <v>44</v>
      </c>
      <c r="C961" s="4">
        <v>960.0</v>
      </c>
      <c r="D961" s="13" t="str">
        <f>HYPERLINK("https://www.linkedin.com/ad-library/detail/771512734","Open Ad")</f>
        <v>Open Ad</v>
      </c>
      <c r="E961" s="4" t="s">
        <v>91</v>
      </c>
      <c r="F961" s="4" t="s">
        <v>53</v>
      </c>
      <c r="G961" s="4" t="s">
        <v>6915</v>
      </c>
      <c r="H961" s="4" t="s">
        <v>55</v>
      </c>
      <c r="I961" s="4" t="s">
        <v>985</v>
      </c>
      <c r="J961" s="4" t="s">
        <v>91</v>
      </c>
      <c r="K961" s="4" t="s">
        <v>60</v>
      </c>
      <c r="L961" s="4" t="s">
        <v>131</v>
      </c>
      <c r="M961" s="4" t="s">
        <v>63</v>
      </c>
      <c r="N961" s="4" t="s">
        <v>132</v>
      </c>
      <c r="O961" s="2" t="s">
        <v>132</v>
      </c>
      <c r="P961" s="2">
        <v>7.71512734E8</v>
      </c>
      <c r="Q961" s="2" t="s">
        <v>68</v>
      </c>
      <c r="R961" s="4" t="s">
        <v>6916</v>
      </c>
    </row>
    <row r="962">
      <c r="A962" s="4" t="s">
        <v>44</v>
      </c>
      <c r="B962" s="4" t="s">
        <v>44</v>
      </c>
      <c r="C962" s="4">
        <v>961.0</v>
      </c>
      <c r="D962" s="13" t="str">
        <f>HYPERLINK("https://www.linkedin.com/ad-library/detail/771661814","Open Ad")</f>
        <v>Open Ad</v>
      </c>
      <c r="E962" s="4" t="s">
        <v>91</v>
      </c>
      <c r="F962" s="4" t="s">
        <v>53</v>
      </c>
      <c r="G962" s="4" t="s">
        <v>6915</v>
      </c>
      <c r="H962" s="4" t="s">
        <v>55</v>
      </c>
      <c r="I962" s="4" t="s">
        <v>985</v>
      </c>
      <c r="J962" s="4" t="s">
        <v>91</v>
      </c>
      <c r="K962" s="4" t="s">
        <v>60</v>
      </c>
      <c r="L962" s="4" t="s">
        <v>131</v>
      </c>
      <c r="M962" s="4" t="s">
        <v>63</v>
      </c>
      <c r="N962" s="4" t="s">
        <v>132</v>
      </c>
      <c r="O962" s="2" t="s">
        <v>132</v>
      </c>
      <c r="P962" s="2">
        <v>7.71661814E8</v>
      </c>
      <c r="Q962" s="2" t="s">
        <v>68</v>
      </c>
      <c r="R962" s="4" t="s">
        <v>6916</v>
      </c>
    </row>
    <row r="963">
      <c r="A963" s="4" t="s">
        <v>44</v>
      </c>
      <c r="B963" s="4" t="s">
        <v>44</v>
      </c>
      <c r="C963" s="4">
        <v>962.0</v>
      </c>
      <c r="D963" s="13" t="str">
        <f>HYPERLINK("https://www.linkedin.com/ad-library/detail/771522554","Open Ad")</f>
        <v>Open Ad</v>
      </c>
      <c r="E963" s="4" t="s">
        <v>91</v>
      </c>
      <c r="F963" s="4" t="s">
        <v>53</v>
      </c>
      <c r="G963" s="4" t="s">
        <v>6915</v>
      </c>
      <c r="H963" s="4" t="s">
        <v>55</v>
      </c>
      <c r="I963" s="4" t="s">
        <v>985</v>
      </c>
      <c r="J963" s="4" t="s">
        <v>91</v>
      </c>
      <c r="K963" s="4" t="s">
        <v>60</v>
      </c>
      <c r="L963" s="4" t="s">
        <v>131</v>
      </c>
      <c r="M963" s="4" t="s">
        <v>63</v>
      </c>
      <c r="N963" s="4" t="s">
        <v>132</v>
      </c>
      <c r="O963" s="2" t="s">
        <v>132</v>
      </c>
      <c r="P963" s="2">
        <v>7.71522554E8</v>
      </c>
      <c r="Q963" s="2" t="s">
        <v>68</v>
      </c>
      <c r="R963" s="4" t="s">
        <v>6916</v>
      </c>
    </row>
    <row r="964">
      <c r="A964" s="4" t="s">
        <v>44</v>
      </c>
      <c r="B964" s="4" t="s">
        <v>44</v>
      </c>
      <c r="C964" s="4">
        <v>963.0</v>
      </c>
      <c r="D964" s="13" t="str">
        <f>HYPERLINK("https://www.linkedin.com/ad-library/detail/771493424","Open Ad")</f>
        <v>Open Ad</v>
      </c>
      <c r="E964" s="4" t="s">
        <v>91</v>
      </c>
      <c r="F964" s="4" t="s">
        <v>53</v>
      </c>
      <c r="G964" s="4" t="s">
        <v>6915</v>
      </c>
      <c r="H964" s="4" t="s">
        <v>55</v>
      </c>
      <c r="I964" s="4" t="s">
        <v>985</v>
      </c>
      <c r="J964" s="4" t="s">
        <v>91</v>
      </c>
      <c r="K964" s="4" t="s">
        <v>60</v>
      </c>
      <c r="L964" s="4" t="s">
        <v>131</v>
      </c>
      <c r="M964" s="4" t="s">
        <v>63</v>
      </c>
      <c r="N964" s="4" t="s">
        <v>132</v>
      </c>
      <c r="O964" s="2" t="s">
        <v>132</v>
      </c>
      <c r="P964" s="2">
        <v>7.71493424E8</v>
      </c>
      <c r="Q964" s="2" t="s">
        <v>68</v>
      </c>
      <c r="R964" s="4" t="s">
        <v>6916</v>
      </c>
    </row>
    <row r="965">
      <c r="A965" s="4" t="s">
        <v>44</v>
      </c>
      <c r="B965" s="4" t="s">
        <v>44</v>
      </c>
      <c r="C965" s="4">
        <v>964.0</v>
      </c>
      <c r="D965" s="13" t="str">
        <f>HYPERLINK("https://www.linkedin.com/ad-library/detail/771661824","Open Ad")</f>
        <v>Open Ad</v>
      </c>
      <c r="E965" s="4" t="s">
        <v>91</v>
      </c>
      <c r="F965" s="4" t="s">
        <v>53</v>
      </c>
      <c r="G965" s="4" t="s">
        <v>6915</v>
      </c>
      <c r="H965" s="4" t="s">
        <v>55</v>
      </c>
      <c r="I965" s="4" t="s">
        <v>985</v>
      </c>
      <c r="J965" s="4" t="s">
        <v>91</v>
      </c>
      <c r="K965" s="4" t="s">
        <v>60</v>
      </c>
      <c r="L965" s="4" t="s">
        <v>131</v>
      </c>
      <c r="M965" s="4" t="s">
        <v>63</v>
      </c>
      <c r="N965" s="4" t="s">
        <v>132</v>
      </c>
      <c r="O965" s="2" t="s">
        <v>132</v>
      </c>
      <c r="P965" s="2">
        <v>7.71661824E8</v>
      </c>
      <c r="Q965" s="2" t="s">
        <v>68</v>
      </c>
      <c r="R965" s="4" t="s">
        <v>6916</v>
      </c>
    </row>
    <row r="966">
      <c r="A966" s="4" t="s">
        <v>44</v>
      </c>
      <c r="B966" s="4" t="s">
        <v>44</v>
      </c>
      <c r="C966" s="4">
        <v>965.0</v>
      </c>
      <c r="D966" s="13" t="str">
        <f>HYPERLINK("https://www.linkedin.com/ad-library/detail/771592234","Open Ad")</f>
        <v>Open Ad</v>
      </c>
      <c r="E966" s="4" t="s">
        <v>91</v>
      </c>
      <c r="F966" s="4" t="s">
        <v>53</v>
      </c>
      <c r="G966" s="4" t="s">
        <v>6915</v>
      </c>
      <c r="H966" s="4" t="s">
        <v>55</v>
      </c>
      <c r="I966" s="4" t="s">
        <v>985</v>
      </c>
      <c r="J966" s="4" t="s">
        <v>91</v>
      </c>
      <c r="K966" s="4" t="s">
        <v>60</v>
      </c>
      <c r="L966" s="4" t="s">
        <v>131</v>
      </c>
      <c r="M966" s="4" t="s">
        <v>63</v>
      </c>
      <c r="N966" s="4" t="s">
        <v>132</v>
      </c>
      <c r="O966" s="2" t="s">
        <v>132</v>
      </c>
      <c r="P966" s="2">
        <v>7.71592234E8</v>
      </c>
      <c r="Q966" s="2" t="s">
        <v>68</v>
      </c>
      <c r="R966" s="4" t="s">
        <v>6916</v>
      </c>
    </row>
    <row r="967">
      <c r="A967" s="4" t="s">
        <v>44</v>
      </c>
      <c r="B967" s="4" t="s">
        <v>44</v>
      </c>
      <c r="C967" s="4">
        <v>966.0</v>
      </c>
      <c r="D967" s="13" t="str">
        <f>HYPERLINK("https://www.linkedin.com/ad-library/detail/771592214","Open Ad")</f>
        <v>Open Ad</v>
      </c>
      <c r="E967" s="4" t="s">
        <v>91</v>
      </c>
      <c r="F967" s="4" t="s">
        <v>53</v>
      </c>
      <c r="G967" s="4" t="s">
        <v>6915</v>
      </c>
      <c r="H967" s="4" t="s">
        <v>55</v>
      </c>
      <c r="I967" s="4" t="s">
        <v>985</v>
      </c>
      <c r="J967" s="4" t="s">
        <v>91</v>
      </c>
      <c r="K967" s="4" t="s">
        <v>60</v>
      </c>
      <c r="L967" s="4" t="s">
        <v>131</v>
      </c>
      <c r="M967" s="4" t="s">
        <v>63</v>
      </c>
      <c r="N967" s="4" t="s">
        <v>132</v>
      </c>
      <c r="O967" s="2" t="s">
        <v>132</v>
      </c>
      <c r="P967" s="2">
        <v>7.71592214E8</v>
      </c>
      <c r="Q967" s="2" t="s">
        <v>68</v>
      </c>
      <c r="R967" s="4" t="s">
        <v>6916</v>
      </c>
    </row>
    <row r="968">
      <c r="A968" s="4" t="s">
        <v>44</v>
      </c>
      <c r="B968" s="4" t="s">
        <v>44</v>
      </c>
      <c r="C968" s="4">
        <v>967.0</v>
      </c>
      <c r="D968" s="13" t="str">
        <f>HYPERLINK("https://www.linkedin.com/ad-library/detail/771651864","Open Ad")</f>
        <v>Open Ad</v>
      </c>
      <c r="E968" s="4" t="s">
        <v>91</v>
      </c>
      <c r="F968" s="4" t="s">
        <v>53</v>
      </c>
      <c r="G968" s="4" t="s">
        <v>6915</v>
      </c>
      <c r="H968" s="4" t="s">
        <v>55</v>
      </c>
      <c r="I968" s="4" t="s">
        <v>985</v>
      </c>
      <c r="J968" s="4" t="s">
        <v>91</v>
      </c>
      <c r="K968" s="4" t="s">
        <v>60</v>
      </c>
      <c r="L968" s="4" t="s">
        <v>131</v>
      </c>
      <c r="M968" s="4" t="s">
        <v>63</v>
      </c>
      <c r="N968" s="4" t="s">
        <v>132</v>
      </c>
      <c r="O968" s="2" t="s">
        <v>132</v>
      </c>
      <c r="P968" s="2">
        <v>7.71651864E8</v>
      </c>
      <c r="Q968" s="2" t="s">
        <v>68</v>
      </c>
      <c r="R968" s="4" t="s">
        <v>6916</v>
      </c>
    </row>
    <row r="969">
      <c r="A969" s="4" t="s">
        <v>44</v>
      </c>
      <c r="B969" s="4" t="s">
        <v>44</v>
      </c>
      <c r="C969" s="4">
        <v>968.0</v>
      </c>
      <c r="D969" s="13" t="str">
        <f>HYPERLINK("https://www.linkedin.com/ad-library/detail/771651834","Open Ad")</f>
        <v>Open Ad</v>
      </c>
      <c r="E969" s="4" t="s">
        <v>91</v>
      </c>
      <c r="F969" s="4" t="s">
        <v>53</v>
      </c>
      <c r="G969" s="4" t="s">
        <v>6915</v>
      </c>
      <c r="H969" s="4" t="s">
        <v>55</v>
      </c>
      <c r="I969" s="4" t="s">
        <v>985</v>
      </c>
      <c r="J969" s="4" t="s">
        <v>91</v>
      </c>
      <c r="K969" s="4" t="s">
        <v>60</v>
      </c>
      <c r="L969" s="4" t="s">
        <v>131</v>
      </c>
      <c r="M969" s="4" t="s">
        <v>63</v>
      </c>
      <c r="N969" s="4" t="s">
        <v>132</v>
      </c>
      <c r="O969" s="2" t="s">
        <v>132</v>
      </c>
      <c r="P969" s="2">
        <v>7.71651834E8</v>
      </c>
      <c r="Q969" s="2" t="s">
        <v>68</v>
      </c>
      <c r="R969" s="4" t="s">
        <v>6916</v>
      </c>
    </row>
    <row r="970">
      <c r="A970" s="4" t="s">
        <v>44</v>
      </c>
      <c r="B970" s="4" t="s">
        <v>44</v>
      </c>
      <c r="C970" s="4">
        <v>969.0</v>
      </c>
      <c r="D970" s="13" t="str">
        <f>HYPERLINK("https://www.linkedin.com/ad-library/detail/771542544","Open Ad")</f>
        <v>Open Ad</v>
      </c>
      <c r="E970" s="4" t="s">
        <v>91</v>
      </c>
      <c r="F970" s="4" t="s">
        <v>53</v>
      </c>
      <c r="G970" s="4" t="s">
        <v>6915</v>
      </c>
      <c r="H970" s="4" t="s">
        <v>55</v>
      </c>
      <c r="I970" s="4" t="s">
        <v>985</v>
      </c>
      <c r="J970" s="4" t="s">
        <v>91</v>
      </c>
      <c r="K970" s="4" t="s">
        <v>60</v>
      </c>
      <c r="L970" s="4" t="s">
        <v>131</v>
      </c>
      <c r="M970" s="4" t="s">
        <v>63</v>
      </c>
      <c r="N970" s="4" t="s">
        <v>132</v>
      </c>
      <c r="O970" s="2" t="s">
        <v>132</v>
      </c>
      <c r="P970" s="2">
        <v>7.71542544E8</v>
      </c>
      <c r="Q970" s="2" t="s">
        <v>68</v>
      </c>
      <c r="R970" s="4" t="s">
        <v>6916</v>
      </c>
    </row>
    <row r="971">
      <c r="A971" s="4" t="s">
        <v>44</v>
      </c>
      <c r="B971" s="4" t="s">
        <v>44</v>
      </c>
      <c r="C971" s="4">
        <v>970.0</v>
      </c>
      <c r="D971" s="13" t="str">
        <f>HYPERLINK("https://www.linkedin.com/ad-library/detail/771522534","Open Ad")</f>
        <v>Open Ad</v>
      </c>
      <c r="E971" s="4" t="s">
        <v>91</v>
      </c>
      <c r="F971" s="4" t="s">
        <v>53</v>
      </c>
      <c r="G971" s="4" t="s">
        <v>6915</v>
      </c>
      <c r="H971" s="4" t="s">
        <v>55</v>
      </c>
      <c r="I971" s="4" t="s">
        <v>985</v>
      </c>
      <c r="J971" s="4" t="s">
        <v>91</v>
      </c>
      <c r="K971" s="4" t="s">
        <v>60</v>
      </c>
      <c r="L971" s="4" t="s">
        <v>131</v>
      </c>
      <c r="M971" s="4" t="s">
        <v>63</v>
      </c>
      <c r="N971" s="4" t="s">
        <v>132</v>
      </c>
      <c r="O971" s="2" t="s">
        <v>132</v>
      </c>
      <c r="P971" s="2">
        <v>7.71522534E8</v>
      </c>
      <c r="Q971" s="2" t="s">
        <v>68</v>
      </c>
      <c r="R971" s="4" t="s">
        <v>6916</v>
      </c>
    </row>
    <row r="972">
      <c r="A972" s="4" t="s">
        <v>44</v>
      </c>
      <c r="B972" s="4" t="s">
        <v>44</v>
      </c>
      <c r="C972" s="4">
        <v>971.0</v>
      </c>
      <c r="D972" s="13" t="str">
        <f>HYPERLINK("https://www.linkedin.com/ad-library/detail/771522544","Open Ad")</f>
        <v>Open Ad</v>
      </c>
      <c r="E972" s="4" t="s">
        <v>91</v>
      </c>
      <c r="F972" s="4" t="s">
        <v>53</v>
      </c>
      <c r="G972" s="4" t="s">
        <v>6915</v>
      </c>
      <c r="H972" s="4" t="s">
        <v>55</v>
      </c>
      <c r="I972" s="4" t="s">
        <v>985</v>
      </c>
      <c r="J972" s="4" t="s">
        <v>91</v>
      </c>
      <c r="K972" s="4" t="s">
        <v>60</v>
      </c>
      <c r="L972" s="4" t="s">
        <v>131</v>
      </c>
      <c r="M972" s="4" t="s">
        <v>63</v>
      </c>
      <c r="N972" s="4" t="s">
        <v>132</v>
      </c>
      <c r="O972" s="2" t="s">
        <v>132</v>
      </c>
      <c r="P972" s="2">
        <v>7.71522544E8</v>
      </c>
      <c r="Q972" s="2" t="s">
        <v>68</v>
      </c>
      <c r="R972" s="4" t="s">
        <v>6916</v>
      </c>
    </row>
    <row r="973">
      <c r="A973" s="4" t="s">
        <v>44</v>
      </c>
      <c r="B973" s="4" t="s">
        <v>44</v>
      </c>
      <c r="C973" s="4">
        <v>972.0</v>
      </c>
      <c r="D973" s="13" t="str">
        <f>HYPERLINK("https://www.linkedin.com/ad-library/detail/771522514","Open Ad")</f>
        <v>Open Ad</v>
      </c>
      <c r="E973" s="4" t="s">
        <v>91</v>
      </c>
      <c r="F973" s="4" t="s">
        <v>53</v>
      </c>
      <c r="G973" s="4" t="s">
        <v>6915</v>
      </c>
      <c r="H973" s="4" t="s">
        <v>55</v>
      </c>
      <c r="I973" s="4" t="s">
        <v>985</v>
      </c>
      <c r="J973" s="4" t="s">
        <v>91</v>
      </c>
      <c r="K973" s="4" t="s">
        <v>60</v>
      </c>
      <c r="L973" s="4" t="s">
        <v>131</v>
      </c>
      <c r="M973" s="4" t="s">
        <v>63</v>
      </c>
      <c r="N973" s="4" t="s">
        <v>132</v>
      </c>
      <c r="O973" s="2" t="s">
        <v>132</v>
      </c>
      <c r="P973" s="2">
        <v>7.71522514E8</v>
      </c>
      <c r="Q973" s="2" t="s">
        <v>68</v>
      </c>
      <c r="R973" s="4" t="s">
        <v>6916</v>
      </c>
    </row>
    <row r="974">
      <c r="A974" s="4" t="s">
        <v>44</v>
      </c>
      <c r="B974" s="4" t="s">
        <v>44</v>
      </c>
      <c r="C974" s="4">
        <v>973.0</v>
      </c>
      <c r="D974" s="13" t="str">
        <f>HYPERLINK("https://www.linkedin.com/ad-library/detail/771651874","Open Ad")</f>
        <v>Open Ad</v>
      </c>
      <c r="E974" s="4" t="s">
        <v>91</v>
      </c>
      <c r="F974" s="4" t="s">
        <v>53</v>
      </c>
      <c r="G974" s="4" t="s">
        <v>6915</v>
      </c>
      <c r="H974" s="4" t="s">
        <v>55</v>
      </c>
      <c r="I974" s="4" t="s">
        <v>985</v>
      </c>
      <c r="J974" s="4" t="s">
        <v>91</v>
      </c>
      <c r="K974" s="4" t="s">
        <v>60</v>
      </c>
      <c r="L974" s="4" t="s">
        <v>131</v>
      </c>
      <c r="M974" s="4" t="s">
        <v>63</v>
      </c>
      <c r="N974" s="4" t="s">
        <v>132</v>
      </c>
      <c r="O974" s="2" t="s">
        <v>132</v>
      </c>
      <c r="P974" s="2">
        <v>7.71651874E8</v>
      </c>
      <c r="Q974" s="2" t="s">
        <v>68</v>
      </c>
      <c r="R974" s="4" t="s">
        <v>6916</v>
      </c>
    </row>
    <row r="975">
      <c r="A975" s="4" t="s">
        <v>44</v>
      </c>
      <c r="B975" s="4" t="s">
        <v>44</v>
      </c>
      <c r="C975" s="4">
        <v>974.0</v>
      </c>
      <c r="D975" s="13" t="str">
        <f>HYPERLINK("https://www.linkedin.com/ad-library/detail/771483694","Open Ad")</f>
        <v>Open Ad</v>
      </c>
      <c r="E975" s="4" t="s">
        <v>91</v>
      </c>
      <c r="F975" s="4" t="s">
        <v>53</v>
      </c>
      <c r="G975" s="4" t="s">
        <v>6915</v>
      </c>
      <c r="H975" s="4" t="s">
        <v>55</v>
      </c>
      <c r="I975" s="4" t="s">
        <v>985</v>
      </c>
      <c r="J975" s="4" t="s">
        <v>91</v>
      </c>
      <c r="K975" s="4" t="s">
        <v>60</v>
      </c>
      <c r="L975" s="4" t="s">
        <v>131</v>
      </c>
      <c r="M975" s="4" t="s">
        <v>63</v>
      </c>
      <c r="N975" s="4" t="s">
        <v>132</v>
      </c>
      <c r="O975" s="2" t="s">
        <v>132</v>
      </c>
      <c r="P975" s="2">
        <v>7.71483694E8</v>
      </c>
      <c r="Q975" s="2" t="s">
        <v>68</v>
      </c>
      <c r="R975" s="4" t="s">
        <v>6916</v>
      </c>
    </row>
    <row r="976">
      <c r="A976" s="4" t="s">
        <v>44</v>
      </c>
      <c r="B976" s="4" t="s">
        <v>44</v>
      </c>
      <c r="C976" s="4">
        <v>975.0</v>
      </c>
      <c r="D976" s="13" t="str">
        <f>HYPERLINK("https://www.linkedin.com/ad-library/detail/771621964","Open Ad")</f>
        <v>Open Ad</v>
      </c>
      <c r="E976" s="4" t="s">
        <v>91</v>
      </c>
      <c r="F976" s="4" t="s">
        <v>53</v>
      </c>
      <c r="G976" s="4" t="s">
        <v>6915</v>
      </c>
      <c r="H976" s="4" t="s">
        <v>55</v>
      </c>
      <c r="I976" s="4" t="s">
        <v>985</v>
      </c>
      <c r="J976" s="4" t="s">
        <v>91</v>
      </c>
      <c r="K976" s="4" t="s">
        <v>60</v>
      </c>
      <c r="L976" s="4" t="s">
        <v>131</v>
      </c>
      <c r="M976" s="4" t="s">
        <v>63</v>
      </c>
      <c r="N976" s="4" t="s">
        <v>132</v>
      </c>
      <c r="O976" s="2" t="s">
        <v>132</v>
      </c>
      <c r="P976" s="2">
        <v>7.71621964E8</v>
      </c>
      <c r="Q976" s="2" t="s">
        <v>68</v>
      </c>
      <c r="R976" s="4" t="s">
        <v>6916</v>
      </c>
    </row>
    <row r="977">
      <c r="A977" s="4" t="s">
        <v>44</v>
      </c>
      <c r="B977" s="4" t="s">
        <v>44</v>
      </c>
      <c r="C977" s="4">
        <v>976.0</v>
      </c>
      <c r="D977" s="13" t="str">
        <f>HYPERLINK("https://www.linkedin.com/ad-library/detail/771621954","Open Ad")</f>
        <v>Open Ad</v>
      </c>
      <c r="E977" s="4" t="s">
        <v>91</v>
      </c>
      <c r="F977" s="4" t="s">
        <v>53</v>
      </c>
      <c r="G977" s="4" t="s">
        <v>6915</v>
      </c>
      <c r="H977" s="4" t="s">
        <v>55</v>
      </c>
      <c r="I977" s="4" t="s">
        <v>985</v>
      </c>
      <c r="J977" s="4" t="s">
        <v>91</v>
      </c>
      <c r="K977" s="4" t="s">
        <v>60</v>
      </c>
      <c r="L977" s="4" t="s">
        <v>131</v>
      </c>
      <c r="M977" s="4" t="s">
        <v>63</v>
      </c>
      <c r="N977" s="4" t="s">
        <v>132</v>
      </c>
      <c r="O977" s="2" t="s">
        <v>132</v>
      </c>
      <c r="P977" s="2">
        <v>7.71621954E8</v>
      </c>
      <c r="Q977" s="2" t="s">
        <v>68</v>
      </c>
      <c r="R977" s="4" t="s">
        <v>6916</v>
      </c>
    </row>
    <row r="978">
      <c r="A978" s="4" t="s">
        <v>44</v>
      </c>
      <c r="B978" s="4" t="s">
        <v>44</v>
      </c>
      <c r="C978" s="4">
        <v>977.0</v>
      </c>
      <c r="D978" s="13" t="str">
        <f>HYPERLINK("https://www.linkedin.com/ad-library/detail/771621974","Open Ad")</f>
        <v>Open Ad</v>
      </c>
      <c r="E978" s="4" t="s">
        <v>91</v>
      </c>
      <c r="F978" s="4" t="s">
        <v>53</v>
      </c>
      <c r="G978" s="4" t="s">
        <v>6915</v>
      </c>
      <c r="H978" s="4" t="s">
        <v>55</v>
      </c>
      <c r="I978" s="4" t="s">
        <v>985</v>
      </c>
      <c r="J978" s="4" t="s">
        <v>91</v>
      </c>
      <c r="K978" s="4" t="s">
        <v>60</v>
      </c>
      <c r="L978" s="4" t="s">
        <v>131</v>
      </c>
      <c r="M978" s="4" t="s">
        <v>63</v>
      </c>
      <c r="N978" s="4" t="s">
        <v>132</v>
      </c>
      <c r="O978" s="2" t="s">
        <v>132</v>
      </c>
      <c r="P978" s="2">
        <v>7.71621974E8</v>
      </c>
      <c r="Q978" s="2" t="s">
        <v>68</v>
      </c>
      <c r="R978" s="4" t="s">
        <v>6916</v>
      </c>
    </row>
    <row r="979">
      <c r="A979" s="4" t="s">
        <v>44</v>
      </c>
      <c r="B979" s="4" t="s">
        <v>44</v>
      </c>
      <c r="C979" s="4">
        <v>978.0</v>
      </c>
      <c r="D979" s="13" t="str">
        <f>HYPERLINK("https://www.linkedin.com/ad-library/detail/771512684","Open Ad")</f>
        <v>Open Ad</v>
      </c>
      <c r="E979" s="4" t="s">
        <v>91</v>
      </c>
      <c r="F979" s="4" t="s">
        <v>53</v>
      </c>
      <c r="G979" s="4" t="s">
        <v>6915</v>
      </c>
      <c r="H979" s="4" t="s">
        <v>55</v>
      </c>
      <c r="I979" s="4" t="s">
        <v>985</v>
      </c>
      <c r="J979" s="4" t="s">
        <v>91</v>
      </c>
      <c r="K979" s="4" t="s">
        <v>60</v>
      </c>
      <c r="L979" s="4" t="s">
        <v>131</v>
      </c>
      <c r="M979" s="4" t="s">
        <v>63</v>
      </c>
      <c r="N979" s="4" t="s">
        <v>132</v>
      </c>
      <c r="O979" s="2" t="s">
        <v>132</v>
      </c>
      <c r="P979" s="2">
        <v>7.71512684E8</v>
      </c>
      <c r="Q979" s="2" t="s">
        <v>68</v>
      </c>
      <c r="R979" s="4" t="s">
        <v>6916</v>
      </c>
    </row>
    <row r="980">
      <c r="A980" s="4" t="s">
        <v>44</v>
      </c>
      <c r="B980" s="4" t="s">
        <v>44</v>
      </c>
      <c r="C980" s="4">
        <v>979.0</v>
      </c>
      <c r="D980" s="13" t="str">
        <f>HYPERLINK("https://www.linkedin.com/ad-library/detail/771651824","Open Ad")</f>
        <v>Open Ad</v>
      </c>
      <c r="E980" s="4" t="s">
        <v>91</v>
      </c>
      <c r="F980" s="4" t="s">
        <v>53</v>
      </c>
      <c r="G980" s="4" t="s">
        <v>6915</v>
      </c>
      <c r="H980" s="4" t="s">
        <v>55</v>
      </c>
      <c r="I980" s="4" t="s">
        <v>985</v>
      </c>
      <c r="J980" s="4" t="s">
        <v>91</v>
      </c>
      <c r="K980" s="4" t="s">
        <v>60</v>
      </c>
      <c r="L980" s="4" t="s">
        <v>131</v>
      </c>
      <c r="M980" s="4" t="s">
        <v>63</v>
      </c>
      <c r="N980" s="4" t="s">
        <v>132</v>
      </c>
      <c r="O980" s="2" t="s">
        <v>132</v>
      </c>
      <c r="P980" s="2">
        <v>7.71651824E8</v>
      </c>
      <c r="Q980" s="2" t="s">
        <v>68</v>
      </c>
      <c r="R980" s="4" t="s">
        <v>6916</v>
      </c>
    </row>
    <row r="981">
      <c r="A981" s="4" t="s">
        <v>44</v>
      </c>
      <c r="B981" s="4" t="s">
        <v>44</v>
      </c>
      <c r="C981" s="4">
        <v>980.0</v>
      </c>
      <c r="D981" s="13" t="str">
        <f>HYPERLINK("https://www.linkedin.com/ad-library/detail/771601874","Open Ad")</f>
        <v>Open Ad</v>
      </c>
      <c r="E981" s="4" t="s">
        <v>91</v>
      </c>
      <c r="F981" s="4" t="s">
        <v>53</v>
      </c>
      <c r="G981" s="4" t="s">
        <v>6915</v>
      </c>
      <c r="H981" s="4" t="s">
        <v>55</v>
      </c>
      <c r="I981" s="4" t="s">
        <v>985</v>
      </c>
      <c r="J981" s="4" t="s">
        <v>91</v>
      </c>
      <c r="K981" s="4" t="s">
        <v>60</v>
      </c>
      <c r="L981" s="4" t="s">
        <v>131</v>
      </c>
      <c r="M981" s="4" t="s">
        <v>63</v>
      </c>
      <c r="N981" s="4" t="s">
        <v>132</v>
      </c>
      <c r="O981" s="2" t="s">
        <v>132</v>
      </c>
      <c r="P981" s="2">
        <v>7.71601874E8</v>
      </c>
      <c r="Q981" s="2" t="s">
        <v>68</v>
      </c>
      <c r="R981" s="4" t="s">
        <v>6916</v>
      </c>
    </row>
    <row r="982">
      <c r="A982" s="4" t="s">
        <v>44</v>
      </c>
      <c r="B982" s="4" t="s">
        <v>44</v>
      </c>
      <c r="C982" s="4">
        <v>981.0</v>
      </c>
      <c r="D982" s="13" t="str">
        <f>HYPERLINK("https://www.linkedin.com/ad-library/detail/771532524","Open Ad")</f>
        <v>Open Ad</v>
      </c>
      <c r="E982" s="4" t="s">
        <v>91</v>
      </c>
      <c r="F982" s="4" t="s">
        <v>53</v>
      </c>
      <c r="G982" s="4" t="s">
        <v>6915</v>
      </c>
      <c r="H982" s="4" t="s">
        <v>55</v>
      </c>
      <c r="I982" s="4" t="s">
        <v>985</v>
      </c>
      <c r="J982" s="4" t="s">
        <v>91</v>
      </c>
      <c r="K982" s="4" t="s">
        <v>60</v>
      </c>
      <c r="L982" s="4" t="s">
        <v>131</v>
      </c>
      <c r="M982" s="4" t="s">
        <v>63</v>
      </c>
      <c r="N982" s="4" t="s">
        <v>132</v>
      </c>
      <c r="O982" s="2" t="s">
        <v>132</v>
      </c>
      <c r="P982" s="2">
        <v>7.71532524E8</v>
      </c>
      <c r="Q982" s="2" t="s">
        <v>68</v>
      </c>
      <c r="R982" s="4" t="s">
        <v>6916</v>
      </c>
    </row>
    <row r="983">
      <c r="A983" s="4" t="s">
        <v>44</v>
      </c>
      <c r="B983" s="4" t="s">
        <v>44</v>
      </c>
      <c r="C983" s="4">
        <v>982.0</v>
      </c>
      <c r="D983" s="13" t="str">
        <f>HYPERLINK("https://www.linkedin.com/ad-library/detail/771571944","Open Ad")</f>
        <v>Open Ad</v>
      </c>
      <c r="E983" s="4" t="s">
        <v>91</v>
      </c>
      <c r="F983" s="4" t="s">
        <v>53</v>
      </c>
      <c r="G983" s="4" t="s">
        <v>6915</v>
      </c>
      <c r="H983" s="4" t="s">
        <v>55</v>
      </c>
      <c r="I983" s="4" t="s">
        <v>985</v>
      </c>
      <c r="J983" s="4" t="s">
        <v>91</v>
      </c>
      <c r="K983" s="4" t="s">
        <v>60</v>
      </c>
      <c r="L983" s="4" t="s">
        <v>131</v>
      </c>
      <c r="M983" s="4" t="s">
        <v>63</v>
      </c>
      <c r="N983" s="4" t="s">
        <v>132</v>
      </c>
      <c r="O983" s="2" t="s">
        <v>132</v>
      </c>
      <c r="P983" s="2">
        <v>7.71571944E8</v>
      </c>
      <c r="Q983" s="2" t="s">
        <v>68</v>
      </c>
      <c r="R983" s="4" t="s">
        <v>6916</v>
      </c>
    </row>
    <row r="984">
      <c r="A984" s="4" t="s">
        <v>44</v>
      </c>
      <c r="B984" s="4" t="s">
        <v>44</v>
      </c>
      <c r="C984" s="4">
        <v>983.0</v>
      </c>
      <c r="D984" s="13" t="str">
        <f>HYPERLINK("https://www.linkedin.com/ad-library/detail/771571954","Open Ad")</f>
        <v>Open Ad</v>
      </c>
      <c r="E984" s="4" t="s">
        <v>91</v>
      </c>
      <c r="F984" s="4" t="s">
        <v>53</v>
      </c>
      <c r="G984" s="4" t="s">
        <v>6915</v>
      </c>
      <c r="H984" s="4" t="s">
        <v>55</v>
      </c>
      <c r="I984" s="4" t="s">
        <v>985</v>
      </c>
      <c r="J984" s="4" t="s">
        <v>91</v>
      </c>
      <c r="K984" s="4" t="s">
        <v>60</v>
      </c>
      <c r="L984" s="4" t="s">
        <v>131</v>
      </c>
      <c r="M984" s="4" t="s">
        <v>63</v>
      </c>
      <c r="N984" s="4" t="s">
        <v>132</v>
      </c>
      <c r="O984" s="2" t="s">
        <v>132</v>
      </c>
      <c r="P984" s="2">
        <v>7.71571954E8</v>
      </c>
      <c r="Q984" s="2" t="s">
        <v>68</v>
      </c>
      <c r="R984" s="4" t="s">
        <v>6916</v>
      </c>
    </row>
    <row r="985">
      <c r="A985" s="4" t="s">
        <v>44</v>
      </c>
      <c r="B985" s="4" t="s">
        <v>44</v>
      </c>
      <c r="C985" s="4">
        <v>984.0</v>
      </c>
      <c r="D985" s="13" t="str">
        <f>HYPERLINK("https://www.linkedin.com/ad-library/detail/771582094","Open Ad")</f>
        <v>Open Ad</v>
      </c>
      <c r="E985" s="4" t="s">
        <v>91</v>
      </c>
      <c r="F985" s="4" t="s">
        <v>53</v>
      </c>
      <c r="G985" s="4" t="s">
        <v>6915</v>
      </c>
      <c r="H985" s="4" t="s">
        <v>55</v>
      </c>
      <c r="I985" s="4" t="s">
        <v>985</v>
      </c>
      <c r="J985" s="4" t="s">
        <v>91</v>
      </c>
      <c r="K985" s="4" t="s">
        <v>60</v>
      </c>
      <c r="L985" s="4" t="s">
        <v>131</v>
      </c>
      <c r="M985" s="4" t="s">
        <v>63</v>
      </c>
      <c r="N985" s="4" t="s">
        <v>132</v>
      </c>
      <c r="O985" s="2" t="s">
        <v>132</v>
      </c>
      <c r="P985" s="2">
        <v>7.71582094E8</v>
      </c>
      <c r="Q985" s="2" t="s">
        <v>68</v>
      </c>
      <c r="R985" s="4" t="s">
        <v>6916</v>
      </c>
    </row>
    <row r="986">
      <c r="A986" s="4" t="s">
        <v>44</v>
      </c>
      <c r="B986" s="4" t="s">
        <v>44</v>
      </c>
      <c r="C986" s="4">
        <v>985.0</v>
      </c>
      <c r="D986" s="13" t="str">
        <f>HYPERLINK("https://www.linkedin.com/ad-library/detail/771631994","Open Ad")</f>
        <v>Open Ad</v>
      </c>
      <c r="E986" s="4" t="s">
        <v>91</v>
      </c>
      <c r="F986" s="4" t="s">
        <v>53</v>
      </c>
      <c r="G986" s="4" t="s">
        <v>6915</v>
      </c>
      <c r="H986" s="4" t="s">
        <v>55</v>
      </c>
      <c r="I986" s="4" t="s">
        <v>985</v>
      </c>
      <c r="J986" s="4" t="s">
        <v>91</v>
      </c>
      <c r="K986" s="4" t="s">
        <v>60</v>
      </c>
      <c r="L986" s="4" t="s">
        <v>131</v>
      </c>
      <c r="M986" s="4" t="s">
        <v>63</v>
      </c>
      <c r="N986" s="4" t="s">
        <v>132</v>
      </c>
      <c r="O986" s="2" t="s">
        <v>132</v>
      </c>
      <c r="P986" s="2">
        <v>7.71631994E8</v>
      </c>
      <c r="Q986" s="2" t="s">
        <v>68</v>
      </c>
      <c r="R986" s="4" t="s">
        <v>6916</v>
      </c>
    </row>
    <row r="987">
      <c r="A987" s="4" t="s">
        <v>44</v>
      </c>
      <c r="B987" s="4" t="s">
        <v>44</v>
      </c>
      <c r="C987" s="4">
        <v>986.0</v>
      </c>
      <c r="D987" s="13" t="str">
        <f>HYPERLINK("https://www.linkedin.com/ad-library/detail/771661804","Open Ad")</f>
        <v>Open Ad</v>
      </c>
      <c r="E987" s="4" t="s">
        <v>91</v>
      </c>
      <c r="F987" s="4" t="s">
        <v>53</v>
      </c>
      <c r="G987" s="4" t="s">
        <v>6915</v>
      </c>
      <c r="H987" s="4" t="s">
        <v>55</v>
      </c>
      <c r="I987" s="4" t="s">
        <v>985</v>
      </c>
      <c r="J987" s="4" t="s">
        <v>91</v>
      </c>
      <c r="K987" s="4" t="s">
        <v>60</v>
      </c>
      <c r="L987" s="4" t="s">
        <v>131</v>
      </c>
      <c r="M987" s="4" t="s">
        <v>63</v>
      </c>
      <c r="N987" s="4" t="s">
        <v>132</v>
      </c>
      <c r="O987" s="2" t="s">
        <v>132</v>
      </c>
      <c r="P987" s="2">
        <v>7.71661804E8</v>
      </c>
      <c r="Q987" s="2" t="s">
        <v>68</v>
      </c>
      <c r="R987" s="4" t="s">
        <v>6916</v>
      </c>
    </row>
    <row r="988">
      <c r="A988" s="4" t="s">
        <v>44</v>
      </c>
      <c r="B988" s="4" t="s">
        <v>44</v>
      </c>
      <c r="C988" s="4">
        <v>987.0</v>
      </c>
      <c r="D988" s="13" t="str">
        <f>HYPERLINK("https://www.linkedin.com/ad-library/detail/771483674","Open Ad")</f>
        <v>Open Ad</v>
      </c>
      <c r="E988" s="4" t="s">
        <v>91</v>
      </c>
      <c r="F988" s="4" t="s">
        <v>53</v>
      </c>
      <c r="G988" s="4" t="s">
        <v>6915</v>
      </c>
      <c r="H988" s="4" t="s">
        <v>55</v>
      </c>
      <c r="I988" s="4" t="s">
        <v>985</v>
      </c>
      <c r="J988" s="4" t="s">
        <v>91</v>
      </c>
      <c r="K988" s="4" t="s">
        <v>60</v>
      </c>
      <c r="L988" s="4" t="s">
        <v>131</v>
      </c>
      <c r="M988" s="4" t="s">
        <v>63</v>
      </c>
      <c r="N988" s="4" t="s">
        <v>132</v>
      </c>
      <c r="O988" s="2" t="s">
        <v>132</v>
      </c>
      <c r="P988" s="2">
        <v>7.71483674E8</v>
      </c>
      <c r="Q988" s="2" t="s">
        <v>68</v>
      </c>
      <c r="R988" s="4" t="s">
        <v>6916</v>
      </c>
    </row>
    <row r="989">
      <c r="A989" s="4" t="s">
        <v>44</v>
      </c>
      <c r="B989" s="4" t="s">
        <v>44</v>
      </c>
      <c r="C989" s="4">
        <v>988.0</v>
      </c>
      <c r="D989" s="13" t="str">
        <f>HYPERLINK("https://www.linkedin.com/ad-library/detail/771542534","Open Ad")</f>
        <v>Open Ad</v>
      </c>
      <c r="E989" s="4" t="s">
        <v>91</v>
      </c>
      <c r="F989" s="4" t="s">
        <v>53</v>
      </c>
      <c r="G989" s="4" t="s">
        <v>6915</v>
      </c>
      <c r="H989" s="4" t="s">
        <v>55</v>
      </c>
      <c r="I989" s="4" t="s">
        <v>985</v>
      </c>
      <c r="J989" s="4" t="s">
        <v>91</v>
      </c>
      <c r="K989" s="4" t="s">
        <v>60</v>
      </c>
      <c r="L989" s="4" t="s">
        <v>131</v>
      </c>
      <c r="M989" s="4" t="s">
        <v>63</v>
      </c>
      <c r="N989" s="4" t="s">
        <v>132</v>
      </c>
      <c r="O989" s="2" t="s">
        <v>132</v>
      </c>
      <c r="P989" s="2">
        <v>7.71542534E8</v>
      </c>
      <c r="Q989" s="2" t="s">
        <v>68</v>
      </c>
      <c r="R989" s="4" t="s">
        <v>6916</v>
      </c>
    </row>
    <row r="990">
      <c r="A990" s="4" t="s">
        <v>44</v>
      </c>
      <c r="B990" s="4" t="s">
        <v>44</v>
      </c>
      <c r="C990" s="4">
        <v>989.0</v>
      </c>
      <c r="D990" s="13" t="str">
        <f>HYPERLINK("https://www.linkedin.com/ad-library/detail/771502464","Open Ad")</f>
        <v>Open Ad</v>
      </c>
      <c r="E990" s="4" t="s">
        <v>91</v>
      </c>
      <c r="F990" s="4" t="s">
        <v>53</v>
      </c>
      <c r="G990" s="4" t="s">
        <v>6915</v>
      </c>
      <c r="H990" s="4" t="s">
        <v>55</v>
      </c>
      <c r="I990" s="4" t="s">
        <v>985</v>
      </c>
      <c r="J990" s="4" t="s">
        <v>91</v>
      </c>
      <c r="K990" s="4" t="s">
        <v>60</v>
      </c>
      <c r="L990" s="4" t="s">
        <v>131</v>
      </c>
      <c r="M990" s="4" t="s">
        <v>63</v>
      </c>
      <c r="N990" s="4" t="s">
        <v>132</v>
      </c>
      <c r="O990" s="2" t="s">
        <v>132</v>
      </c>
      <c r="P990" s="2">
        <v>7.71502464E8</v>
      </c>
      <c r="Q990" s="2" t="s">
        <v>68</v>
      </c>
      <c r="R990" s="4" t="s">
        <v>6916</v>
      </c>
    </row>
    <row r="991">
      <c r="A991" s="4" t="s">
        <v>44</v>
      </c>
      <c r="B991" s="4" t="s">
        <v>44</v>
      </c>
      <c r="C991" s="4">
        <v>990.0</v>
      </c>
      <c r="D991" s="13" t="str">
        <f>HYPERLINK("https://www.linkedin.com/ad-library/detail/771502474","Open Ad")</f>
        <v>Open Ad</v>
      </c>
      <c r="E991" s="4" t="s">
        <v>91</v>
      </c>
      <c r="F991" s="4" t="s">
        <v>53</v>
      </c>
      <c r="G991" s="4" t="s">
        <v>6915</v>
      </c>
      <c r="H991" s="4" t="s">
        <v>55</v>
      </c>
      <c r="I991" s="4" t="s">
        <v>985</v>
      </c>
      <c r="J991" s="4" t="s">
        <v>91</v>
      </c>
      <c r="K991" s="4" t="s">
        <v>60</v>
      </c>
      <c r="L991" s="4" t="s">
        <v>131</v>
      </c>
      <c r="M991" s="4" t="s">
        <v>63</v>
      </c>
      <c r="N991" s="4" t="s">
        <v>132</v>
      </c>
      <c r="O991" s="2" t="s">
        <v>132</v>
      </c>
      <c r="P991" s="2">
        <v>7.71502474E8</v>
      </c>
      <c r="Q991" s="2" t="s">
        <v>68</v>
      </c>
      <c r="R991" s="4" t="s">
        <v>6916</v>
      </c>
    </row>
    <row r="992">
      <c r="A992" s="4" t="s">
        <v>44</v>
      </c>
      <c r="B992" s="4" t="s">
        <v>44</v>
      </c>
      <c r="C992" s="4">
        <v>991.0</v>
      </c>
      <c r="D992" s="13" t="str">
        <f>HYPERLINK("https://www.linkedin.com/ad-library/detail/771483654","Open Ad")</f>
        <v>Open Ad</v>
      </c>
      <c r="E992" s="4" t="s">
        <v>91</v>
      </c>
      <c r="F992" s="4" t="s">
        <v>53</v>
      </c>
      <c r="G992" s="4" t="s">
        <v>6915</v>
      </c>
      <c r="H992" s="4" t="s">
        <v>55</v>
      </c>
      <c r="I992" s="4" t="s">
        <v>985</v>
      </c>
      <c r="J992" s="4" t="s">
        <v>91</v>
      </c>
      <c r="K992" s="4" t="s">
        <v>60</v>
      </c>
      <c r="L992" s="4" t="s">
        <v>131</v>
      </c>
      <c r="M992" s="4" t="s">
        <v>63</v>
      </c>
      <c r="N992" s="4" t="s">
        <v>132</v>
      </c>
      <c r="O992" s="2" t="s">
        <v>132</v>
      </c>
      <c r="P992" s="2">
        <v>7.71483654E8</v>
      </c>
      <c r="Q992" s="2" t="s">
        <v>68</v>
      </c>
      <c r="R992" s="4" t="s">
        <v>6916</v>
      </c>
    </row>
    <row r="993">
      <c r="A993" s="4" t="s">
        <v>44</v>
      </c>
      <c r="B993" s="4" t="s">
        <v>44</v>
      </c>
      <c r="C993" s="4">
        <v>992.0</v>
      </c>
      <c r="D993" s="13" t="str">
        <f>HYPERLINK("https://www.linkedin.com/ad-library/detail/771701394","Open Ad")</f>
        <v>Open Ad</v>
      </c>
      <c r="E993" s="4" t="s">
        <v>91</v>
      </c>
      <c r="F993" s="4" t="s">
        <v>53</v>
      </c>
      <c r="G993" s="4" t="s">
        <v>6915</v>
      </c>
      <c r="H993" s="4" t="s">
        <v>55</v>
      </c>
      <c r="I993" s="4" t="s">
        <v>985</v>
      </c>
      <c r="J993" s="4" t="s">
        <v>91</v>
      </c>
      <c r="K993" s="4" t="s">
        <v>60</v>
      </c>
      <c r="L993" s="4" t="s">
        <v>131</v>
      </c>
      <c r="M993" s="4" t="s">
        <v>63</v>
      </c>
      <c r="N993" s="4" t="s">
        <v>132</v>
      </c>
      <c r="O993" s="2" t="s">
        <v>132</v>
      </c>
      <c r="P993" s="2">
        <v>7.71701394E8</v>
      </c>
      <c r="Q993" s="2" t="s">
        <v>68</v>
      </c>
      <c r="R993" s="4" t="s">
        <v>6916</v>
      </c>
    </row>
    <row r="994">
      <c r="A994" s="4" t="s">
        <v>44</v>
      </c>
      <c r="B994" s="4" t="s">
        <v>44</v>
      </c>
      <c r="C994" s="4">
        <v>993.0</v>
      </c>
      <c r="D994" s="13" t="str">
        <f>HYPERLINK("https://www.linkedin.com/ad-library/detail/771502454","Open Ad")</f>
        <v>Open Ad</v>
      </c>
      <c r="E994" s="4" t="s">
        <v>91</v>
      </c>
      <c r="F994" s="4" t="s">
        <v>53</v>
      </c>
      <c r="G994" s="4" t="s">
        <v>6915</v>
      </c>
      <c r="H994" s="4" t="s">
        <v>55</v>
      </c>
      <c r="I994" s="4" t="s">
        <v>985</v>
      </c>
      <c r="J994" s="4" t="s">
        <v>91</v>
      </c>
      <c r="K994" s="4" t="s">
        <v>60</v>
      </c>
      <c r="L994" s="4" t="s">
        <v>131</v>
      </c>
      <c r="M994" s="4" t="s">
        <v>63</v>
      </c>
      <c r="N994" s="4" t="s">
        <v>132</v>
      </c>
      <c r="O994" s="2" t="s">
        <v>132</v>
      </c>
      <c r="P994" s="2">
        <v>7.71502454E8</v>
      </c>
      <c r="Q994" s="2" t="s">
        <v>68</v>
      </c>
      <c r="R994" s="4" t="s">
        <v>6916</v>
      </c>
    </row>
    <row r="995">
      <c r="A995" s="4" t="s">
        <v>44</v>
      </c>
      <c r="B995" s="4" t="s">
        <v>44</v>
      </c>
      <c r="C995" s="4">
        <v>994.0</v>
      </c>
      <c r="D995" s="13" t="str">
        <f>HYPERLINK("https://www.linkedin.com/ad-library/detail/771542524","Open Ad")</f>
        <v>Open Ad</v>
      </c>
      <c r="E995" s="4" t="s">
        <v>91</v>
      </c>
      <c r="F995" s="4" t="s">
        <v>53</v>
      </c>
      <c r="G995" s="4" t="s">
        <v>6915</v>
      </c>
      <c r="H995" s="4" t="s">
        <v>55</v>
      </c>
      <c r="I995" s="4" t="s">
        <v>985</v>
      </c>
      <c r="J995" s="4" t="s">
        <v>91</v>
      </c>
      <c r="K995" s="4" t="s">
        <v>60</v>
      </c>
      <c r="L995" s="4" t="s">
        <v>131</v>
      </c>
      <c r="M995" s="4" t="s">
        <v>63</v>
      </c>
      <c r="N995" s="4" t="s">
        <v>132</v>
      </c>
      <c r="O995" s="2" t="s">
        <v>132</v>
      </c>
      <c r="P995" s="2">
        <v>7.71542524E8</v>
      </c>
      <c r="Q995" s="2" t="s">
        <v>68</v>
      </c>
      <c r="R995" s="4" t="s">
        <v>6916</v>
      </c>
    </row>
    <row r="996">
      <c r="A996" s="4" t="s">
        <v>44</v>
      </c>
      <c r="B996" s="4" t="s">
        <v>44</v>
      </c>
      <c r="C996" s="4">
        <v>995.0</v>
      </c>
      <c r="D996" s="13" t="str">
        <f>HYPERLINK("https://www.linkedin.com/ad-library/detail/771671844","Open Ad")</f>
        <v>Open Ad</v>
      </c>
      <c r="E996" s="4" t="s">
        <v>91</v>
      </c>
      <c r="F996" s="4" t="s">
        <v>53</v>
      </c>
      <c r="G996" s="4" t="s">
        <v>6915</v>
      </c>
      <c r="H996" s="4" t="s">
        <v>55</v>
      </c>
      <c r="I996" s="4" t="s">
        <v>985</v>
      </c>
      <c r="J996" s="4" t="s">
        <v>91</v>
      </c>
      <c r="K996" s="4" t="s">
        <v>60</v>
      </c>
      <c r="L996" s="4" t="s">
        <v>131</v>
      </c>
      <c r="M996" s="4" t="s">
        <v>63</v>
      </c>
      <c r="N996" s="4" t="s">
        <v>132</v>
      </c>
      <c r="O996" s="2" t="s">
        <v>132</v>
      </c>
      <c r="P996" s="2">
        <v>7.71671844E8</v>
      </c>
      <c r="Q996" s="2" t="s">
        <v>68</v>
      </c>
      <c r="R996" s="4" t="s">
        <v>6916</v>
      </c>
    </row>
    <row r="997">
      <c r="A997" s="4" t="s">
        <v>44</v>
      </c>
      <c r="B997" s="4" t="s">
        <v>44</v>
      </c>
      <c r="C997" s="4">
        <v>996.0</v>
      </c>
      <c r="D997" s="13" t="str">
        <f>HYPERLINK("https://www.linkedin.com/ad-library/detail/771512674","Open Ad")</f>
        <v>Open Ad</v>
      </c>
      <c r="E997" s="4" t="s">
        <v>91</v>
      </c>
      <c r="F997" s="4" t="s">
        <v>53</v>
      </c>
      <c r="G997" s="4" t="s">
        <v>6915</v>
      </c>
      <c r="H997" s="4" t="s">
        <v>55</v>
      </c>
      <c r="I997" s="4" t="s">
        <v>985</v>
      </c>
      <c r="J997" s="4" t="s">
        <v>91</v>
      </c>
      <c r="K997" s="4" t="s">
        <v>60</v>
      </c>
      <c r="L997" s="4" t="s">
        <v>131</v>
      </c>
      <c r="M997" s="4" t="s">
        <v>63</v>
      </c>
      <c r="N997" s="4" t="s">
        <v>132</v>
      </c>
      <c r="O997" s="2" t="s">
        <v>132</v>
      </c>
      <c r="P997" s="2">
        <v>7.71512674E8</v>
      </c>
      <c r="Q997" s="2" t="s">
        <v>68</v>
      </c>
      <c r="R997" s="4" t="s">
        <v>6916</v>
      </c>
    </row>
    <row r="998">
      <c r="A998" s="4" t="s">
        <v>44</v>
      </c>
      <c r="B998" s="4" t="s">
        <v>44</v>
      </c>
      <c r="C998" s="4">
        <v>997.0</v>
      </c>
      <c r="D998" s="13" t="str">
        <f>HYPERLINK("https://www.linkedin.com/ad-library/detail/771562104","Open Ad")</f>
        <v>Open Ad</v>
      </c>
      <c r="E998" s="4" t="s">
        <v>91</v>
      </c>
      <c r="F998" s="4" t="s">
        <v>53</v>
      </c>
      <c r="G998" s="4" t="s">
        <v>6915</v>
      </c>
      <c r="H998" s="4" t="s">
        <v>55</v>
      </c>
      <c r="I998" s="4" t="s">
        <v>985</v>
      </c>
      <c r="J998" s="4" t="s">
        <v>91</v>
      </c>
      <c r="K998" s="4" t="s">
        <v>60</v>
      </c>
      <c r="L998" s="4" t="s">
        <v>131</v>
      </c>
      <c r="M998" s="4" t="s">
        <v>63</v>
      </c>
      <c r="N998" s="4" t="s">
        <v>132</v>
      </c>
      <c r="O998" s="2" t="s">
        <v>132</v>
      </c>
      <c r="P998" s="2">
        <v>7.71562104E8</v>
      </c>
      <c r="Q998" s="2" t="s">
        <v>68</v>
      </c>
      <c r="R998" s="4" t="s">
        <v>6916</v>
      </c>
    </row>
    <row r="999">
      <c r="A999" s="4" t="s">
        <v>44</v>
      </c>
      <c r="B999" s="4" t="s">
        <v>44</v>
      </c>
      <c r="C999" s="4">
        <v>998.0</v>
      </c>
      <c r="D999" s="13" t="str">
        <f>HYPERLINK("https://www.linkedin.com/ad-library/detail/771621944","Open Ad")</f>
        <v>Open Ad</v>
      </c>
      <c r="E999" s="4" t="s">
        <v>91</v>
      </c>
      <c r="F999" s="4" t="s">
        <v>53</v>
      </c>
      <c r="G999" s="4" t="s">
        <v>6915</v>
      </c>
      <c r="H999" s="4" t="s">
        <v>55</v>
      </c>
      <c r="I999" s="4" t="s">
        <v>985</v>
      </c>
      <c r="J999" s="4" t="s">
        <v>91</v>
      </c>
      <c r="K999" s="4" t="s">
        <v>60</v>
      </c>
      <c r="L999" s="4" t="s">
        <v>131</v>
      </c>
      <c r="M999" s="4" t="s">
        <v>63</v>
      </c>
      <c r="N999" s="4" t="s">
        <v>132</v>
      </c>
      <c r="O999" s="2" t="s">
        <v>132</v>
      </c>
      <c r="P999" s="2">
        <v>7.71621944E8</v>
      </c>
      <c r="Q999" s="2" t="s">
        <v>68</v>
      </c>
      <c r="R999" s="4" t="s">
        <v>6916</v>
      </c>
    </row>
    <row r="1000">
      <c r="A1000" s="4" t="s">
        <v>44</v>
      </c>
      <c r="B1000" s="4" t="s">
        <v>44</v>
      </c>
      <c r="C1000" s="4">
        <v>999.0</v>
      </c>
      <c r="D1000" s="13" t="str">
        <f>HYPERLINK("https://www.linkedin.com/ad-library/detail/771621934","Open Ad")</f>
        <v>Open Ad</v>
      </c>
      <c r="E1000" s="4" t="s">
        <v>91</v>
      </c>
      <c r="F1000" s="4" t="s">
        <v>53</v>
      </c>
      <c r="G1000" s="4" t="s">
        <v>6915</v>
      </c>
      <c r="H1000" s="4" t="s">
        <v>55</v>
      </c>
      <c r="I1000" s="4" t="s">
        <v>985</v>
      </c>
      <c r="J1000" s="4" t="s">
        <v>91</v>
      </c>
      <c r="K1000" s="4" t="s">
        <v>60</v>
      </c>
      <c r="L1000" s="4" t="s">
        <v>131</v>
      </c>
      <c r="M1000" s="4" t="s">
        <v>63</v>
      </c>
      <c r="N1000" s="4" t="s">
        <v>132</v>
      </c>
      <c r="O1000" s="2" t="s">
        <v>132</v>
      </c>
      <c r="P1000" s="2">
        <v>7.71621934E8</v>
      </c>
      <c r="Q1000" s="2" t="s">
        <v>68</v>
      </c>
      <c r="R1000" s="4" t="s">
        <v>6916</v>
      </c>
    </row>
    <row r="1001">
      <c r="A1001" s="4" t="s">
        <v>44</v>
      </c>
      <c r="B1001" s="4" t="s">
        <v>44</v>
      </c>
      <c r="C1001" s="4">
        <v>1000.0</v>
      </c>
      <c r="D1001" s="13" t="str">
        <f>HYPERLINK("https://www.linkedin.com/ad-library/detail/771592204","Open Ad")</f>
        <v>Open Ad</v>
      </c>
      <c r="E1001" s="4" t="s">
        <v>91</v>
      </c>
      <c r="F1001" s="4" t="s">
        <v>53</v>
      </c>
      <c r="G1001" s="4" t="s">
        <v>6915</v>
      </c>
      <c r="H1001" s="4" t="s">
        <v>55</v>
      </c>
      <c r="I1001" s="4" t="s">
        <v>985</v>
      </c>
      <c r="J1001" s="4" t="s">
        <v>91</v>
      </c>
      <c r="K1001" s="4" t="s">
        <v>60</v>
      </c>
      <c r="L1001" s="4" t="s">
        <v>131</v>
      </c>
      <c r="M1001" s="4" t="s">
        <v>63</v>
      </c>
      <c r="N1001" s="4" t="s">
        <v>132</v>
      </c>
      <c r="O1001" s="2" t="s">
        <v>132</v>
      </c>
      <c r="P1001" s="2">
        <v>7.71592204E8</v>
      </c>
      <c r="Q1001" s="2" t="s">
        <v>68</v>
      </c>
      <c r="R1001" s="4" t="s">
        <v>6916</v>
      </c>
    </row>
    <row r="1002">
      <c r="A1002" s="4" t="s">
        <v>44</v>
      </c>
      <c r="B1002" s="4" t="s">
        <v>44</v>
      </c>
      <c r="C1002" s="4">
        <v>1001.0</v>
      </c>
      <c r="D1002" s="13" t="str">
        <f>HYPERLINK("https://www.linkedin.com/ad-library/detail/771493384","Open Ad")</f>
        <v>Open Ad</v>
      </c>
      <c r="E1002" s="4" t="s">
        <v>91</v>
      </c>
      <c r="F1002" s="4" t="s">
        <v>53</v>
      </c>
      <c r="G1002" s="4" t="s">
        <v>6915</v>
      </c>
      <c r="H1002" s="4" t="s">
        <v>55</v>
      </c>
      <c r="I1002" s="4" t="s">
        <v>985</v>
      </c>
      <c r="J1002" s="4" t="s">
        <v>91</v>
      </c>
      <c r="K1002" s="4" t="s">
        <v>60</v>
      </c>
      <c r="L1002" s="4" t="s">
        <v>131</v>
      </c>
      <c r="M1002" s="4" t="s">
        <v>63</v>
      </c>
      <c r="N1002" s="4" t="s">
        <v>132</v>
      </c>
      <c r="O1002" s="2" t="s">
        <v>132</v>
      </c>
      <c r="P1002" s="2">
        <v>7.71493384E8</v>
      </c>
      <c r="Q1002" s="2" t="s">
        <v>68</v>
      </c>
      <c r="R1002" s="4" t="s">
        <v>6916</v>
      </c>
    </row>
    <row r="1003">
      <c r="A1003" s="4" t="s">
        <v>44</v>
      </c>
      <c r="B1003" s="4" t="s">
        <v>44</v>
      </c>
      <c r="C1003" s="4">
        <v>1002.0</v>
      </c>
      <c r="D1003" s="13" t="str">
        <f>HYPERLINK("https://www.linkedin.com/ad-library/detail/771562094","Open Ad")</f>
        <v>Open Ad</v>
      </c>
      <c r="E1003" s="4" t="s">
        <v>91</v>
      </c>
      <c r="F1003" s="4" t="s">
        <v>53</v>
      </c>
      <c r="G1003" s="4" t="s">
        <v>6915</v>
      </c>
      <c r="H1003" s="4" t="s">
        <v>55</v>
      </c>
      <c r="I1003" s="4" t="s">
        <v>985</v>
      </c>
      <c r="J1003" s="4" t="s">
        <v>91</v>
      </c>
      <c r="K1003" s="4" t="s">
        <v>60</v>
      </c>
      <c r="L1003" s="4" t="s">
        <v>131</v>
      </c>
      <c r="M1003" s="4" t="s">
        <v>63</v>
      </c>
      <c r="N1003" s="4" t="s">
        <v>132</v>
      </c>
      <c r="O1003" s="2" t="s">
        <v>132</v>
      </c>
      <c r="P1003" s="2">
        <v>7.71562094E8</v>
      </c>
      <c r="Q1003" s="2" t="s">
        <v>68</v>
      </c>
      <c r="R1003" s="4" t="s">
        <v>6916</v>
      </c>
    </row>
    <row r="1004">
      <c r="A1004" s="4" t="s">
        <v>44</v>
      </c>
      <c r="B1004" s="4" t="s">
        <v>44</v>
      </c>
      <c r="C1004" s="4">
        <v>1003.0</v>
      </c>
      <c r="D1004" s="13" t="str">
        <f>HYPERLINK("https://www.linkedin.com/ad-library/detail/771571904","Open Ad")</f>
        <v>Open Ad</v>
      </c>
      <c r="E1004" s="4" t="s">
        <v>91</v>
      </c>
      <c r="F1004" s="4" t="s">
        <v>53</v>
      </c>
      <c r="G1004" s="4" t="s">
        <v>6915</v>
      </c>
      <c r="H1004" s="4" t="s">
        <v>55</v>
      </c>
      <c r="I1004" s="4" t="s">
        <v>985</v>
      </c>
      <c r="J1004" s="4" t="s">
        <v>91</v>
      </c>
      <c r="K1004" s="4" t="s">
        <v>60</v>
      </c>
      <c r="L1004" s="4" t="s">
        <v>131</v>
      </c>
      <c r="M1004" s="4" t="s">
        <v>63</v>
      </c>
      <c r="N1004" s="4" t="s">
        <v>132</v>
      </c>
      <c r="O1004" s="2" t="s">
        <v>132</v>
      </c>
      <c r="P1004" s="2">
        <v>7.71571904E8</v>
      </c>
      <c r="Q1004" s="2" t="s">
        <v>68</v>
      </c>
      <c r="R1004" s="4" t="s">
        <v>6916</v>
      </c>
    </row>
    <row r="1005">
      <c r="A1005" s="4" t="s">
        <v>44</v>
      </c>
      <c r="B1005" s="4" t="s">
        <v>44</v>
      </c>
      <c r="C1005" s="4">
        <v>1004.0</v>
      </c>
      <c r="D1005" s="13" t="str">
        <f>HYPERLINK("https://www.linkedin.com/ad-library/detail/771571914","Open Ad")</f>
        <v>Open Ad</v>
      </c>
      <c r="E1005" s="4" t="s">
        <v>91</v>
      </c>
      <c r="F1005" s="4" t="s">
        <v>53</v>
      </c>
      <c r="G1005" s="4" t="s">
        <v>6915</v>
      </c>
      <c r="H1005" s="4" t="s">
        <v>55</v>
      </c>
      <c r="I1005" s="4" t="s">
        <v>985</v>
      </c>
      <c r="J1005" s="4" t="s">
        <v>91</v>
      </c>
      <c r="K1005" s="4" t="s">
        <v>60</v>
      </c>
      <c r="L1005" s="4" t="s">
        <v>131</v>
      </c>
      <c r="M1005" s="4" t="s">
        <v>63</v>
      </c>
      <c r="N1005" s="4" t="s">
        <v>132</v>
      </c>
      <c r="O1005" s="2" t="s">
        <v>132</v>
      </c>
      <c r="P1005" s="2">
        <v>7.71571914E8</v>
      </c>
      <c r="Q1005" s="2" t="s">
        <v>68</v>
      </c>
      <c r="R1005" s="4" t="s">
        <v>6916</v>
      </c>
    </row>
    <row r="1006">
      <c r="A1006" s="4" t="s">
        <v>44</v>
      </c>
      <c r="B1006" s="4" t="s">
        <v>44</v>
      </c>
      <c r="C1006" s="4">
        <v>1005.0</v>
      </c>
      <c r="D1006" s="13" t="str">
        <f>HYPERLINK("https://www.linkedin.com/ad-library/detail/771711074","Open Ad")</f>
        <v>Open Ad</v>
      </c>
      <c r="E1006" s="4" t="s">
        <v>91</v>
      </c>
      <c r="F1006" s="4" t="s">
        <v>53</v>
      </c>
      <c r="G1006" s="4" t="s">
        <v>6915</v>
      </c>
      <c r="H1006" s="4" t="s">
        <v>55</v>
      </c>
      <c r="I1006" s="4" t="s">
        <v>985</v>
      </c>
      <c r="J1006" s="4" t="s">
        <v>91</v>
      </c>
      <c r="K1006" s="4" t="s">
        <v>60</v>
      </c>
      <c r="L1006" s="4" t="s">
        <v>131</v>
      </c>
      <c r="M1006" s="4" t="s">
        <v>63</v>
      </c>
      <c r="N1006" s="4" t="s">
        <v>132</v>
      </c>
      <c r="O1006" s="2" t="s">
        <v>132</v>
      </c>
      <c r="P1006" s="2">
        <v>7.71711074E8</v>
      </c>
      <c r="Q1006" s="2" t="s">
        <v>68</v>
      </c>
      <c r="R1006" s="4" t="s">
        <v>6916</v>
      </c>
    </row>
    <row r="1007">
      <c r="A1007" s="4" t="s">
        <v>44</v>
      </c>
      <c r="B1007" s="4" t="s">
        <v>44</v>
      </c>
      <c r="C1007" s="4">
        <v>1006.0</v>
      </c>
      <c r="D1007" s="13" t="str">
        <f>HYPERLINK("https://www.linkedin.com/ad-library/detail/771681524","Open Ad")</f>
        <v>Open Ad</v>
      </c>
      <c r="E1007" s="4" t="s">
        <v>91</v>
      </c>
      <c r="F1007" s="4" t="s">
        <v>53</v>
      </c>
      <c r="G1007" s="4" t="s">
        <v>6915</v>
      </c>
      <c r="H1007" s="4" t="s">
        <v>55</v>
      </c>
      <c r="I1007" s="4" t="s">
        <v>985</v>
      </c>
      <c r="J1007" s="4" t="s">
        <v>91</v>
      </c>
      <c r="K1007" s="4" t="s">
        <v>60</v>
      </c>
      <c r="L1007" s="4" t="s">
        <v>131</v>
      </c>
      <c r="M1007" s="4" t="s">
        <v>63</v>
      </c>
      <c r="N1007" s="4" t="s">
        <v>132</v>
      </c>
      <c r="O1007" s="2" t="s">
        <v>132</v>
      </c>
      <c r="P1007" s="2">
        <v>7.71681524E8</v>
      </c>
      <c r="Q1007" s="2" t="s">
        <v>68</v>
      </c>
      <c r="R1007" s="4" t="s">
        <v>6916</v>
      </c>
    </row>
    <row r="1008">
      <c r="A1008" s="4" t="s">
        <v>44</v>
      </c>
      <c r="B1008" s="4" t="s">
        <v>44</v>
      </c>
      <c r="C1008" s="4">
        <v>1007.0</v>
      </c>
      <c r="D1008" s="13" t="str">
        <f>HYPERLINK("https://www.linkedin.com/ad-library/detail/771582084","Open Ad")</f>
        <v>Open Ad</v>
      </c>
      <c r="E1008" s="4" t="s">
        <v>91</v>
      </c>
      <c r="F1008" s="4" t="s">
        <v>53</v>
      </c>
      <c r="G1008" s="4" t="s">
        <v>6915</v>
      </c>
      <c r="H1008" s="4" t="s">
        <v>55</v>
      </c>
      <c r="I1008" s="4" t="s">
        <v>985</v>
      </c>
      <c r="J1008" s="4" t="s">
        <v>91</v>
      </c>
      <c r="K1008" s="4" t="s">
        <v>60</v>
      </c>
      <c r="L1008" s="4" t="s">
        <v>131</v>
      </c>
      <c r="M1008" s="4" t="s">
        <v>63</v>
      </c>
      <c r="N1008" s="4" t="s">
        <v>132</v>
      </c>
      <c r="O1008" s="2" t="s">
        <v>132</v>
      </c>
      <c r="P1008" s="2">
        <v>7.71582084E8</v>
      </c>
      <c r="Q1008" s="2" t="s">
        <v>68</v>
      </c>
      <c r="R1008" s="4" t="s">
        <v>6916</v>
      </c>
    </row>
    <row r="1009">
      <c r="A1009" s="4" t="s">
        <v>44</v>
      </c>
      <c r="B1009" s="4" t="s">
        <v>44</v>
      </c>
      <c r="C1009" s="4">
        <v>1008.0</v>
      </c>
      <c r="D1009" s="13" t="str">
        <f>HYPERLINK("https://www.linkedin.com/ad-library/detail/771711064","Open Ad")</f>
        <v>Open Ad</v>
      </c>
      <c r="E1009" s="4" t="s">
        <v>91</v>
      </c>
      <c r="F1009" s="4" t="s">
        <v>53</v>
      </c>
      <c r="G1009" s="4" t="s">
        <v>6915</v>
      </c>
      <c r="H1009" s="4" t="s">
        <v>55</v>
      </c>
      <c r="I1009" s="4" t="s">
        <v>985</v>
      </c>
      <c r="J1009" s="4" t="s">
        <v>91</v>
      </c>
      <c r="K1009" s="4" t="s">
        <v>60</v>
      </c>
      <c r="L1009" s="4" t="s">
        <v>131</v>
      </c>
      <c r="M1009" s="4" t="s">
        <v>63</v>
      </c>
      <c r="N1009" s="4" t="s">
        <v>132</v>
      </c>
      <c r="O1009" s="2" t="s">
        <v>132</v>
      </c>
      <c r="P1009" s="2">
        <v>7.71711064E8</v>
      </c>
      <c r="Q1009" s="2" t="s">
        <v>68</v>
      </c>
      <c r="R1009" s="4" t="s">
        <v>6916</v>
      </c>
    </row>
    <row r="1010">
      <c r="A1010" s="4" t="s">
        <v>44</v>
      </c>
      <c r="B1010" s="4" t="s">
        <v>44</v>
      </c>
      <c r="C1010" s="4">
        <v>1009.0</v>
      </c>
      <c r="D1010" s="13" t="str">
        <f>HYPERLINK("https://www.linkedin.com/ad-library/detail/771522464","Open Ad")</f>
        <v>Open Ad</v>
      </c>
      <c r="E1010" s="4" t="s">
        <v>91</v>
      </c>
      <c r="F1010" s="4" t="s">
        <v>53</v>
      </c>
      <c r="G1010" s="4" t="s">
        <v>6915</v>
      </c>
      <c r="H1010" s="4" t="s">
        <v>55</v>
      </c>
      <c r="I1010" s="4" t="s">
        <v>985</v>
      </c>
      <c r="J1010" s="4" t="s">
        <v>91</v>
      </c>
      <c r="K1010" s="4" t="s">
        <v>60</v>
      </c>
      <c r="L1010" s="4" t="s">
        <v>131</v>
      </c>
      <c r="M1010" s="4" t="s">
        <v>63</v>
      </c>
      <c r="N1010" s="4" t="s">
        <v>132</v>
      </c>
      <c r="O1010" s="2" t="s">
        <v>132</v>
      </c>
      <c r="P1010" s="2">
        <v>7.71522464E8</v>
      </c>
      <c r="Q1010" s="2" t="s">
        <v>68</v>
      </c>
      <c r="R1010" s="4" t="s">
        <v>6916</v>
      </c>
    </row>
    <row r="1011">
      <c r="A1011" s="4" t="s">
        <v>44</v>
      </c>
      <c r="B1011" s="4" t="s">
        <v>44</v>
      </c>
      <c r="C1011" s="4">
        <v>1010.0</v>
      </c>
      <c r="D1011" s="13" t="str">
        <f>HYPERLINK("https://www.linkedin.com/ad-library/detail/771711054","Open Ad")</f>
        <v>Open Ad</v>
      </c>
      <c r="E1011" s="4" t="s">
        <v>91</v>
      </c>
      <c r="F1011" s="4" t="s">
        <v>53</v>
      </c>
      <c r="G1011" s="4" t="s">
        <v>6915</v>
      </c>
      <c r="H1011" s="4" t="s">
        <v>55</v>
      </c>
      <c r="I1011" s="4" t="s">
        <v>985</v>
      </c>
      <c r="J1011" s="4" t="s">
        <v>91</v>
      </c>
      <c r="K1011" s="4" t="s">
        <v>60</v>
      </c>
      <c r="L1011" s="4" t="s">
        <v>131</v>
      </c>
      <c r="M1011" s="4" t="s">
        <v>63</v>
      </c>
      <c r="N1011" s="4" t="s">
        <v>132</v>
      </c>
      <c r="O1011" s="2" t="s">
        <v>132</v>
      </c>
      <c r="P1011" s="2">
        <v>7.71711054E8</v>
      </c>
      <c r="Q1011" s="2" t="s">
        <v>68</v>
      </c>
      <c r="R1011" s="4" t="s">
        <v>6916</v>
      </c>
    </row>
    <row r="1012">
      <c r="A1012" s="4" t="s">
        <v>44</v>
      </c>
      <c r="B1012" s="4" t="s">
        <v>44</v>
      </c>
      <c r="C1012" s="4">
        <v>1011.0</v>
      </c>
      <c r="D1012" s="13" t="str">
        <f>HYPERLINK("https://www.linkedin.com/ad-library/detail/771522454","Open Ad")</f>
        <v>Open Ad</v>
      </c>
      <c r="E1012" s="4" t="s">
        <v>91</v>
      </c>
      <c r="F1012" s="4" t="s">
        <v>53</v>
      </c>
      <c r="G1012" s="4" t="s">
        <v>6915</v>
      </c>
      <c r="H1012" s="4" t="s">
        <v>55</v>
      </c>
      <c r="I1012" s="4" t="s">
        <v>985</v>
      </c>
      <c r="J1012" s="4" t="s">
        <v>91</v>
      </c>
      <c r="K1012" s="4" t="s">
        <v>60</v>
      </c>
      <c r="L1012" s="4" t="s">
        <v>131</v>
      </c>
      <c r="M1012" s="4" t="s">
        <v>63</v>
      </c>
      <c r="N1012" s="4" t="s">
        <v>132</v>
      </c>
      <c r="O1012" s="2" t="s">
        <v>132</v>
      </c>
      <c r="P1012" s="2">
        <v>7.71522454E8</v>
      </c>
      <c r="Q1012" s="2" t="s">
        <v>68</v>
      </c>
      <c r="R1012" s="4" t="s">
        <v>6916</v>
      </c>
    </row>
    <row r="1013">
      <c r="A1013" s="4" t="s">
        <v>44</v>
      </c>
      <c r="B1013" s="4" t="s">
        <v>44</v>
      </c>
      <c r="C1013" s="4">
        <v>1012.0</v>
      </c>
      <c r="D1013" s="13" t="str">
        <f>HYPERLINK("https://www.linkedin.com/ad-library/detail/771522484","Open Ad")</f>
        <v>Open Ad</v>
      </c>
      <c r="E1013" s="4" t="s">
        <v>91</v>
      </c>
      <c r="F1013" s="4" t="s">
        <v>53</v>
      </c>
      <c r="G1013" s="4" t="s">
        <v>6915</v>
      </c>
      <c r="H1013" s="4" t="s">
        <v>55</v>
      </c>
      <c r="I1013" s="4" t="s">
        <v>985</v>
      </c>
      <c r="J1013" s="4" t="s">
        <v>91</v>
      </c>
      <c r="K1013" s="4" t="s">
        <v>60</v>
      </c>
      <c r="L1013" s="4" t="s">
        <v>131</v>
      </c>
      <c r="M1013" s="4" t="s">
        <v>63</v>
      </c>
      <c r="N1013" s="4" t="s">
        <v>132</v>
      </c>
      <c r="O1013" s="2" t="s">
        <v>132</v>
      </c>
      <c r="P1013" s="2">
        <v>7.71522484E8</v>
      </c>
      <c r="Q1013" s="2" t="s">
        <v>68</v>
      </c>
      <c r="R1013" s="4" t="s">
        <v>6916</v>
      </c>
    </row>
    <row r="1014">
      <c r="A1014" s="4" t="s">
        <v>44</v>
      </c>
      <c r="B1014" s="4" t="s">
        <v>44</v>
      </c>
      <c r="C1014" s="4">
        <v>1013.0</v>
      </c>
      <c r="D1014" s="13" t="str">
        <f>HYPERLINK("https://www.linkedin.com/ad-library/detail/771571884","Open Ad")</f>
        <v>Open Ad</v>
      </c>
      <c r="E1014" s="4" t="s">
        <v>91</v>
      </c>
      <c r="F1014" s="4" t="s">
        <v>53</v>
      </c>
      <c r="G1014" s="4" t="s">
        <v>6915</v>
      </c>
      <c r="H1014" s="4" t="s">
        <v>55</v>
      </c>
      <c r="I1014" s="4" t="s">
        <v>985</v>
      </c>
      <c r="J1014" s="4" t="s">
        <v>91</v>
      </c>
      <c r="K1014" s="4" t="s">
        <v>60</v>
      </c>
      <c r="L1014" s="4" t="s">
        <v>131</v>
      </c>
      <c r="M1014" s="4" t="s">
        <v>63</v>
      </c>
      <c r="N1014" s="4" t="s">
        <v>132</v>
      </c>
      <c r="O1014" s="2" t="s">
        <v>132</v>
      </c>
      <c r="P1014" s="2">
        <v>7.71571884E8</v>
      </c>
      <c r="Q1014" s="2" t="s">
        <v>68</v>
      </c>
      <c r="R1014" s="4" t="s">
        <v>6916</v>
      </c>
    </row>
    <row r="1015">
      <c r="A1015" s="4" t="s">
        <v>44</v>
      </c>
      <c r="B1015" s="4" t="s">
        <v>44</v>
      </c>
      <c r="C1015" s="4">
        <v>1014.0</v>
      </c>
      <c r="D1015" s="13" t="str">
        <f>HYPERLINK("https://www.linkedin.com/ad-library/detail/771571894","Open Ad")</f>
        <v>Open Ad</v>
      </c>
      <c r="E1015" s="4" t="s">
        <v>91</v>
      </c>
      <c r="F1015" s="4" t="s">
        <v>53</v>
      </c>
      <c r="G1015" s="4" t="s">
        <v>6915</v>
      </c>
      <c r="H1015" s="4" t="s">
        <v>55</v>
      </c>
      <c r="I1015" s="4" t="s">
        <v>985</v>
      </c>
      <c r="J1015" s="4" t="s">
        <v>91</v>
      </c>
      <c r="K1015" s="4" t="s">
        <v>60</v>
      </c>
      <c r="L1015" s="4" t="s">
        <v>131</v>
      </c>
      <c r="M1015" s="4" t="s">
        <v>63</v>
      </c>
      <c r="N1015" s="4" t="s">
        <v>132</v>
      </c>
      <c r="O1015" s="2" t="s">
        <v>132</v>
      </c>
      <c r="P1015" s="2">
        <v>7.71571894E8</v>
      </c>
      <c r="Q1015" s="2" t="s">
        <v>68</v>
      </c>
      <c r="R1015" s="4" t="s">
        <v>6916</v>
      </c>
    </row>
    <row r="1016">
      <c r="A1016" s="4" t="s">
        <v>44</v>
      </c>
      <c r="B1016" s="4" t="s">
        <v>44</v>
      </c>
      <c r="C1016" s="4">
        <v>1015.0</v>
      </c>
      <c r="D1016" s="13" t="str">
        <f>HYPERLINK("https://www.linkedin.com/ad-library/detail/771522494","Open Ad")</f>
        <v>Open Ad</v>
      </c>
      <c r="E1016" s="4" t="s">
        <v>91</v>
      </c>
      <c r="F1016" s="4" t="s">
        <v>53</v>
      </c>
      <c r="G1016" s="4" t="s">
        <v>6915</v>
      </c>
      <c r="H1016" s="4" t="s">
        <v>55</v>
      </c>
      <c r="I1016" s="4" t="s">
        <v>985</v>
      </c>
      <c r="J1016" s="4" t="s">
        <v>91</v>
      </c>
      <c r="K1016" s="4" t="s">
        <v>60</v>
      </c>
      <c r="L1016" s="4" t="s">
        <v>131</v>
      </c>
      <c r="M1016" s="4" t="s">
        <v>63</v>
      </c>
      <c r="N1016" s="4" t="s">
        <v>132</v>
      </c>
      <c r="O1016" s="2" t="s">
        <v>132</v>
      </c>
      <c r="P1016" s="2">
        <v>7.71522494E8</v>
      </c>
      <c r="Q1016" s="2" t="s">
        <v>68</v>
      </c>
      <c r="R1016" s="4" t="s">
        <v>6916</v>
      </c>
    </row>
    <row r="1017">
      <c r="A1017" s="4" t="s">
        <v>44</v>
      </c>
      <c r="B1017" s="4" t="s">
        <v>44</v>
      </c>
      <c r="C1017" s="4">
        <v>1016.0</v>
      </c>
      <c r="D1017" s="13" t="str">
        <f>HYPERLINK("https://www.linkedin.com/ad-library/detail/771612124","Open Ad")</f>
        <v>Open Ad</v>
      </c>
      <c r="E1017" s="4" t="s">
        <v>91</v>
      </c>
      <c r="F1017" s="4" t="s">
        <v>53</v>
      </c>
      <c r="G1017" s="4" t="s">
        <v>6915</v>
      </c>
      <c r="H1017" s="4" t="s">
        <v>55</v>
      </c>
      <c r="I1017" s="4" t="s">
        <v>985</v>
      </c>
      <c r="J1017" s="4" t="s">
        <v>91</v>
      </c>
      <c r="K1017" s="4" t="s">
        <v>60</v>
      </c>
      <c r="L1017" s="4" t="s">
        <v>131</v>
      </c>
      <c r="M1017" s="4" t="s">
        <v>63</v>
      </c>
      <c r="N1017" s="4" t="s">
        <v>132</v>
      </c>
      <c r="O1017" s="2" t="s">
        <v>132</v>
      </c>
      <c r="P1017" s="2">
        <v>7.71612124E8</v>
      </c>
      <c r="Q1017" s="2" t="s">
        <v>68</v>
      </c>
      <c r="R1017" s="4" t="s">
        <v>6916</v>
      </c>
    </row>
    <row r="1018">
      <c r="A1018" s="4" t="s">
        <v>44</v>
      </c>
      <c r="B1018" s="4" t="s">
        <v>44</v>
      </c>
      <c r="C1018" s="4">
        <v>1017.0</v>
      </c>
      <c r="D1018" s="13" t="str">
        <f>HYPERLINK("https://www.linkedin.com/ad-library/detail/771612114","Open Ad")</f>
        <v>Open Ad</v>
      </c>
      <c r="E1018" s="4" t="s">
        <v>91</v>
      </c>
      <c r="F1018" s="4" t="s">
        <v>53</v>
      </c>
      <c r="G1018" s="4" t="s">
        <v>6915</v>
      </c>
      <c r="H1018" s="4" t="s">
        <v>55</v>
      </c>
      <c r="I1018" s="4" t="s">
        <v>985</v>
      </c>
      <c r="J1018" s="4" t="s">
        <v>91</v>
      </c>
      <c r="K1018" s="4" t="s">
        <v>60</v>
      </c>
      <c r="L1018" s="4" t="s">
        <v>131</v>
      </c>
      <c r="M1018" s="4" t="s">
        <v>63</v>
      </c>
      <c r="N1018" s="4" t="s">
        <v>132</v>
      </c>
      <c r="O1018" s="2" t="s">
        <v>132</v>
      </c>
      <c r="P1018" s="2">
        <v>7.71612114E8</v>
      </c>
      <c r="Q1018" s="2" t="s">
        <v>68</v>
      </c>
      <c r="R1018" s="4" t="s">
        <v>6916</v>
      </c>
    </row>
    <row r="1019">
      <c r="A1019" s="4" t="s">
        <v>44</v>
      </c>
      <c r="B1019" s="4" t="s">
        <v>44</v>
      </c>
      <c r="C1019" s="4">
        <v>1018.0</v>
      </c>
      <c r="D1019" s="13" t="str">
        <f>HYPERLINK("https://www.linkedin.com/ad-library/detail/771542514","Open Ad")</f>
        <v>Open Ad</v>
      </c>
      <c r="E1019" s="4" t="s">
        <v>91</v>
      </c>
      <c r="F1019" s="4" t="s">
        <v>53</v>
      </c>
      <c r="G1019" s="4" t="s">
        <v>6915</v>
      </c>
      <c r="H1019" s="4" t="s">
        <v>55</v>
      </c>
      <c r="I1019" s="4" t="s">
        <v>985</v>
      </c>
      <c r="J1019" s="4" t="s">
        <v>91</v>
      </c>
      <c r="K1019" s="4" t="s">
        <v>60</v>
      </c>
      <c r="L1019" s="4" t="s">
        <v>131</v>
      </c>
      <c r="M1019" s="4" t="s">
        <v>63</v>
      </c>
      <c r="N1019" s="4" t="s">
        <v>132</v>
      </c>
      <c r="O1019" s="2" t="s">
        <v>132</v>
      </c>
      <c r="P1019" s="2">
        <v>7.71542514E8</v>
      </c>
      <c r="Q1019" s="2" t="s">
        <v>68</v>
      </c>
      <c r="R1019" s="4" t="s">
        <v>6916</v>
      </c>
    </row>
    <row r="1020">
      <c r="A1020" s="4" t="s">
        <v>44</v>
      </c>
      <c r="B1020" s="4" t="s">
        <v>44</v>
      </c>
      <c r="C1020" s="4">
        <v>1019.0</v>
      </c>
      <c r="D1020" s="13" t="str">
        <f>HYPERLINK("https://www.linkedin.com/ad-library/detail/771701384","Open Ad")</f>
        <v>Open Ad</v>
      </c>
      <c r="E1020" s="4" t="s">
        <v>91</v>
      </c>
      <c r="F1020" s="4" t="s">
        <v>53</v>
      </c>
      <c r="G1020" s="4" t="s">
        <v>6915</v>
      </c>
      <c r="H1020" s="4" t="s">
        <v>55</v>
      </c>
      <c r="I1020" s="4" t="s">
        <v>985</v>
      </c>
      <c r="J1020" s="4" t="s">
        <v>91</v>
      </c>
      <c r="K1020" s="4" t="s">
        <v>60</v>
      </c>
      <c r="L1020" s="4" t="s">
        <v>131</v>
      </c>
      <c r="M1020" s="4" t="s">
        <v>63</v>
      </c>
      <c r="N1020" s="4" t="s">
        <v>132</v>
      </c>
      <c r="O1020" s="2" t="s">
        <v>132</v>
      </c>
      <c r="P1020" s="2">
        <v>7.71701384E8</v>
      </c>
      <c r="Q1020" s="2" t="s">
        <v>68</v>
      </c>
      <c r="R1020" s="4" t="s">
        <v>6916</v>
      </c>
    </row>
    <row r="1021">
      <c r="A1021" s="4" t="s">
        <v>44</v>
      </c>
      <c r="B1021" s="4" t="s">
        <v>44</v>
      </c>
      <c r="C1021" s="4">
        <v>1020.0</v>
      </c>
      <c r="D1021" s="13" t="str">
        <f>HYPERLINK("https://www.linkedin.com/ad-library/detail/771502424","Open Ad")</f>
        <v>Open Ad</v>
      </c>
      <c r="E1021" s="4" t="s">
        <v>91</v>
      </c>
      <c r="F1021" s="4" t="s">
        <v>53</v>
      </c>
      <c r="G1021" s="4" t="s">
        <v>6915</v>
      </c>
      <c r="H1021" s="4" t="s">
        <v>55</v>
      </c>
      <c r="I1021" s="4" t="s">
        <v>985</v>
      </c>
      <c r="J1021" s="4" t="s">
        <v>91</v>
      </c>
      <c r="K1021" s="4" t="s">
        <v>60</v>
      </c>
      <c r="L1021" s="4" t="s">
        <v>131</v>
      </c>
      <c r="M1021" s="4" t="s">
        <v>63</v>
      </c>
      <c r="N1021" s="4" t="s">
        <v>132</v>
      </c>
      <c r="O1021" s="2" t="s">
        <v>132</v>
      </c>
      <c r="P1021" s="2">
        <v>7.71502424E8</v>
      </c>
      <c r="Q1021" s="2" t="s">
        <v>68</v>
      </c>
      <c r="R1021" s="4" t="s">
        <v>6916</v>
      </c>
    </row>
    <row r="1022">
      <c r="A1022" s="4" t="s">
        <v>44</v>
      </c>
      <c r="B1022" s="4" t="s">
        <v>44</v>
      </c>
      <c r="C1022" s="4">
        <v>1021.0</v>
      </c>
      <c r="D1022" s="13" t="str">
        <f>HYPERLINK("https://www.linkedin.com/ad-library/detail/771502434","Open Ad")</f>
        <v>Open Ad</v>
      </c>
      <c r="E1022" s="4" t="s">
        <v>91</v>
      </c>
      <c r="F1022" s="4" t="s">
        <v>53</v>
      </c>
      <c r="G1022" s="4" t="s">
        <v>6915</v>
      </c>
      <c r="H1022" s="4" t="s">
        <v>55</v>
      </c>
      <c r="I1022" s="4" t="s">
        <v>985</v>
      </c>
      <c r="J1022" s="4" t="s">
        <v>91</v>
      </c>
      <c r="K1022" s="4" t="s">
        <v>60</v>
      </c>
      <c r="L1022" s="4" t="s">
        <v>131</v>
      </c>
      <c r="M1022" s="4" t="s">
        <v>63</v>
      </c>
      <c r="N1022" s="4" t="s">
        <v>132</v>
      </c>
      <c r="O1022" s="2" t="s">
        <v>132</v>
      </c>
      <c r="P1022" s="2">
        <v>7.71502434E8</v>
      </c>
      <c r="Q1022" s="2" t="s">
        <v>68</v>
      </c>
      <c r="R1022" s="4" t="s">
        <v>6916</v>
      </c>
    </row>
    <row r="1023">
      <c r="A1023" s="4" t="s">
        <v>44</v>
      </c>
      <c r="B1023" s="4" t="s">
        <v>44</v>
      </c>
      <c r="C1023" s="4">
        <v>1022.0</v>
      </c>
      <c r="D1023" s="13" t="str">
        <f>HYPERLINK("https://www.linkedin.com/ad-library/detail/771512654","Open Ad")</f>
        <v>Open Ad</v>
      </c>
      <c r="E1023" s="4" t="s">
        <v>91</v>
      </c>
      <c r="F1023" s="4" t="s">
        <v>53</v>
      </c>
      <c r="G1023" s="4" t="s">
        <v>6915</v>
      </c>
      <c r="H1023" s="4" t="s">
        <v>55</v>
      </c>
      <c r="I1023" s="4" t="s">
        <v>985</v>
      </c>
      <c r="J1023" s="4" t="s">
        <v>91</v>
      </c>
      <c r="K1023" s="4" t="s">
        <v>60</v>
      </c>
      <c r="L1023" s="4" t="s">
        <v>131</v>
      </c>
      <c r="M1023" s="4" t="s">
        <v>63</v>
      </c>
      <c r="N1023" s="4" t="s">
        <v>132</v>
      </c>
      <c r="O1023" s="2" t="s">
        <v>132</v>
      </c>
      <c r="P1023" s="2">
        <v>7.71512654E8</v>
      </c>
      <c r="Q1023" s="2" t="s">
        <v>68</v>
      </c>
      <c r="R1023" s="4" t="s">
        <v>6916</v>
      </c>
    </row>
    <row r="1024">
      <c r="A1024" s="4" t="s">
        <v>44</v>
      </c>
      <c r="B1024" s="4" t="s">
        <v>44</v>
      </c>
      <c r="C1024" s="4">
        <v>1023.0</v>
      </c>
      <c r="D1024" s="13" t="str">
        <f>HYPERLINK("https://www.linkedin.com/ad-library/detail/771671814","Open Ad")</f>
        <v>Open Ad</v>
      </c>
      <c r="E1024" s="4" t="s">
        <v>91</v>
      </c>
      <c r="F1024" s="4" t="s">
        <v>53</v>
      </c>
      <c r="G1024" s="4" t="s">
        <v>6915</v>
      </c>
      <c r="H1024" s="4" t="s">
        <v>55</v>
      </c>
      <c r="I1024" s="4" t="s">
        <v>985</v>
      </c>
      <c r="J1024" s="4" t="s">
        <v>91</v>
      </c>
      <c r="K1024" s="4" t="s">
        <v>60</v>
      </c>
      <c r="L1024" s="4" t="s">
        <v>131</v>
      </c>
      <c r="M1024" s="4" t="s">
        <v>63</v>
      </c>
      <c r="N1024" s="4" t="s">
        <v>132</v>
      </c>
      <c r="O1024" s="2" t="s">
        <v>132</v>
      </c>
      <c r="P1024" s="2">
        <v>7.71671814E8</v>
      </c>
      <c r="Q1024" s="2" t="s">
        <v>68</v>
      </c>
      <c r="R1024" s="4" t="s">
        <v>6916</v>
      </c>
    </row>
    <row r="1025">
      <c r="A1025" s="4" t="s">
        <v>44</v>
      </c>
      <c r="B1025" s="4" t="s">
        <v>44</v>
      </c>
      <c r="C1025" s="4">
        <v>1024.0</v>
      </c>
      <c r="D1025" s="13" t="str">
        <f>HYPERLINK("https://www.linkedin.com/ad-library/detail/771621924","Open Ad")</f>
        <v>Open Ad</v>
      </c>
      <c r="E1025" s="4" t="s">
        <v>91</v>
      </c>
      <c r="F1025" s="4" t="s">
        <v>53</v>
      </c>
      <c r="G1025" s="4" t="s">
        <v>6915</v>
      </c>
      <c r="H1025" s="4" t="s">
        <v>55</v>
      </c>
      <c r="I1025" s="4" t="s">
        <v>985</v>
      </c>
      <c r="J1025" s="4" t="s">
        <v>91</v>
      </c>
      <c r="K1025" s="4" t="s">
        <v>60</v>
      </c>
      <c r="L1025" s="4" t="s">
        <v>131</v>
      </c>
      <c r="M1025" s="4" t="s">
        <v>63</v>
      </c>
      <c r="N1025" s="4" t="s">
        <v>132</v>
      </c>
      <c r="O1025" s="2" t="s">
        <v>132</v>
      </c>
      <c r="P1025" s="2">
        <v>7.71621924E8</v>
      </c>
      <c r="Q1025" s="2" t="s">
        <v>68</v>
      </c>
      <c r="R1025" s="4" t="s">
        <v>6916</v>
      </c>
    </row>
    <row r="1026">
      <c r="A1026" s="4" t="s">
        <v>44</v>
      </c>
      <c r="B1026" s="4" t="s">
        <v>44</v>
      </c>
      <c r="C1026" s="4">
        <v>1025.0</v>
      </c>
      <c r="D1026" s="13" t="str">
        <f>HYPERLINK("https://www.linkedin.com/ad-library/detail/771601844","Open Ad")</f>
        <v>Open Ad</v>
      </c>
      <c r="E1026" s="4" t="s">
        <v>91</v>
      </c>
      <c r="F1026" s="4" t="s">
        <v>53</v>
      </c>
      <c r="G1026" s="4" t="s">
        <v>6915</v>
      </c>
      <c r="H1026" s="4" t="s">
        <v>55</v>
      </c>
      <c r="I1026" s="4" t="s">
        <v>985</v>
      </c>
      <c r="J1026" s="4" t="s">
        <v>91</v>
      </c>
      <c r="K1026" s="4" t="s">
        <v>60</v>
      </c>
      <c r="L1026" s="4" t="s">
        <v>131</v>
      </c>
      <c r="M1026" s="4" t="s">
        <v>63</v>
      </c>
      <c r="N1026" s="4" t="s">
        <v>132</v>
      </c>
      <c r="O1026" s="2" t="s">
        <v>132</v>
      </c>
      <c r="P1026" s="2">
        <v>7.71601844E8</v>
      </c>
      <c r="Q1026" s="2" t="s">
        <v>68</v>
      </c>
      <c r="R1026" s="4" t="s">
        <v>6916</v>
      </c>
    </row>
    <row r="1027">
      <c r="A1027" s="4" t="s">
        <v>44</v>
      </c>
      <c r="B1027" s="4" t="s">
        <v>44</v>
      </c>
      <c r="C1027" s="4">
        <v>1026.0</v>
      </c>
      <c r="D1027" s="13" t="str">
        <f>HYPERLINK("https://www.linkedin.com/ad-library/detail/771661794","Open Ad")</f>
        <v>Open Ad</v>
      </c>
      <c r="E1027" s="4" t="s">
        <v>91</v>
      </c>
      <c r="F1027" s="4" t="s">
        <v>53</v>
      </c>
      <c r="G1027" s="4" t="s">
        <v>6915</v>
      </c>
      <c r="H1027" s="4" t="s">
        <v>55</v>
      </c>
      <c r="I1027" s="4" t="s">
        <v>985</v>
      </c>
      <c r="J1027" s="4" t="s">
        <v>91</v>
      </c>
      <c r="K1027" s="4" t="s">
        <v>60</v>
      </c>
      <c r="L1027" s="4" t="s">
        <v>131</v>
      </c>
      <c r="M1027" s="4" t="s">
        <v>63</v>
      </c>
      <c r="N1027" s="4" t="s">
        <v>132</v>
      </c>
      <c r="O1027" s="2" t="s">
        <v>132</v>
      </c>
      <c r="P1027" s="2">
        <v>7.71661794E8</v>
      </c>
      <c r="Q1027" s="2" t="s">
        <v>68</v>
      </c>
      <c r="R1027" s="4" t="s">
        <v>6916</v>
      </c>
    </row>
    <row r="1028">
      <c r="A1028" s="4" t="s">
        <v>44</v>
      </c>
      <c r="B1028" s="4" t="s">
        <v>44</v>
      </c>
      <c r="C1028" s="4">
        <v>1027.0</v>
      </c>
      <c r="D1028" s="13" t="str">
        <f>HYPERLINK("https://www.linkedin.com/ad-library/detail/771641734","Open Ad")</f>
        <v>Open Ad</v>
      </c>
      <c r="E1028" s="4" t="s">
        <v>91</v>
      </c>
      <c r="F1028" s="4" t="s">
        <v>53</v>
      </c>
      <c r="G1028" s="4" t="s">
        <v>6915</v>
      </c>
      <c r="H1028" s="4" t="s">
        <v>55</v>
      </c>
      <c r="I1028" s="4" t="s">
        <v>985</v>
      </c>
      <c r="J1028" s="4" t="s">
        <v>91</v>
      </c>
      <c r="K1028" s="4" t="s">
        <v>60</v>
      </c>
      <c r="L1028" s="4" t="s">
        <v>131</v>
      </c>
      <c r="M1028" s="4" t="s">
        <v>63</v>
      </c>
      <c r="N1028" s="4" t="s">
        <v>132</v>
      </c>
      <c r="O1028" s="2" t="s">
        <v>132</v>
      </c>
      <c r="P1028" s="2">
        <v>7.71641734E8</v>
      </c>
      <c r="Q1028" s="2" t="s">
        <v>68</v>
      </c>
      <c r="R1028" s="4" t="s">
        <v>6916</v>
      </c>
    </row>
    <row r="1029">
      <c r="A1029" s="4" t="s">
        <v>44</v>
      </c>
      <c r="B1029" s="4" t="s">
        <v>44</v>
      </c>
      <c r="C1029" s="4">
        <v>1028.0</v>
      </c>
      <c r="D1029" s="13" t="str">
        <f>HYPERLINK("https://www.linkedin.com/ad-library/detail/771582074","Open Ad")</f>
        <v>Open Ad</v>
      </c>
      <c r="E1029" s="4" t="s">
        <v>91</v>
      </c>
      <c r="F1029" s="4" t="s">
        <v>53</v>
      </c>
      <c r="G1029" s="4" t="s">
        <v>6915</v>
      </c>
      <c r="H1029" s="4" t="s">
        <v>55</v>
      </c>
      <c r="I1029" s="4" t="s">
        <v>985</v>
      </c>
      <c r="J1029" s="4" t="s">
        <v>91</v>
      </c>
      <c r="K1029" s="4" t="s">
        <v>60</v>
      </c>
      <c r="L1029" s="4" t="s">
        <v>131</v>
      </c>
      <c r="M1029" s="4" t="s">
        <v>63</v>
      </c>
      <c r="N1029" s="4" t="s">
        <v>132</v>
      </c>
      <c r="O1029" s="2" t="s">
        <v>132</v>
      </c>
      <c r="P1029" s="2">
        <v>7.71582074E8</v>
      </c>
      <c r="Q1029" s="2" t="s">
        <v>68</v>
      </c>
      <c r="R1029" s="4" t="s">
        <v>6916</v>
      </c>
    </row>
    <row r="1030">
      <c r="A1030" s="4" t="s">
        <v>44</v>
      </c>
      <c r="B1030" s="4" t="s">
        <v>44</v>
      </c>
      <c r="C1030" s="4">
        <v>1029.0</v>
      </c>
      <c r="D1030" s="13" t="str">
        <f>HYPERLINK("https://www.linkedin.com/ad-library/detail/771552314","Open Ad")</f>
        <v>Open Ad</v>
      </c>
      <c r="E1030" s="4" t="s">
        <v>91</v>
      </c>
      <c r="F1030" s="4" t="s">
        <v>53</v>
      </c>
      <c r="G1030" s="4" t="s">
        <v>6915</v>
      </c>
      <c r="H1030" s="4" t="s">
        <v>55</v>
      </c>
      <c r="I1030" s="4" t="s">
        <v>985</v>
      </c>
      <c r="J1030" s="4" t="s">
        <v>91</v>
      </c>
      <c r="K1030" s="4" t="s">
        <v>60</v>
      </c>
      <c r="L1030" s="4" t="s">
        <v>131</v>
      </c>
      <c r="M1030" s="4" t="s">
        <v>63</v>
      </c>
      <c r="N1030" s="4" t="s">
        <v>132</v>
      </c>
      <c r="O1030" s="2" t="s">
        <v>132</v>
      </c>
      <c r="P1030" s="2">
        <v>7.71552314E8</v>
      </c>
      <c r="Q1030" s="2" t="s">
        <v>68</v>
      </c>
      <c r="R1030" s="4" t="s">
        <v>6916</v>
      </c>
    </row>
    <row r="1031">
      <c r="A1031" s="4" t="s">
        <v>44</v>
      </c>
      <c r="B1031" s="4" t="s">
        <v>44</v>
      </c>
      <c r="C1031" s="4">
        <v>1030.0</v>
      </c>
      <c r="D1031" s="13" t="str">
        <f>HYPERLINK("https://www.linkedin.com/ad-library/detail/771582064","Open Ad")</f>
        <v>Open Ad</v>
      </c>
      <c r="E1031" s="4" t="s">
        <v>91</v>
      </c>
      <c r="F1031" s="4" t="s">
        <v>53</v>
      </c>
      <c r="G1031" s="4" t="s">
        <v>6915</v>
      </c>
      <c r="H1031" s="4" t="s">
        <v>55</v>
      </c>
      <c r="I1031" s="4" t="s">
        <v>985</v>
      </c>
      <c r="J1031" s="4" t="s">
        <v>91</v>
      </c>
      <c r="K1031" s="4" t="s">
        <v>60</v>
      </c>
      <c r="L1031" s="4" t="s">
        <v>131</v>
      </c>
      <c r="M1031" s="4" t="s">
        <v>63</v>
      </c>
      <c r="N1031" s="4" t="s">
        <v>132</v>
      </c>
      <c r="O1031" s="2" t="s">
        <v>132</v>
      </c>
      <c r="P1031" s="2">
        <v>7.71582064E8</v>
      </c>
      <c r="Q1031" s="2" t="s">
        <v>68</v>
      </c>
      <c r="R1031" s="4" t="s">
        <v>6916</v>
      </c>
    </row>
    <row r="1032">
      <c r="A1032" s="4" t="s">
        <v>44</v>
      </c>
      <c r="B1032" s="4" t="s">
        <v>44</v>
      </c>
      <c r="C1032" s="4">
        <v>1031.0</v>
      </c>
      <c r="D1032" s="13" t="str">
        <f>HYPERLINK("https://www.linkedin.com/ad-library/detail/771512624","Open Ad")</f>
        <v>Open Ad</v>
      </c>
      <c r="E1032" s="4" t="s">
        <v>91</v>
      </c>
      <c r="F1032" s="4" t="s">
        <v>53</v>
      </c>
      <c r="G1032" s="4" t="s">
        <v>6915</v>
      </c>
      <c r="H1032" s="4" t="s">
        <v>55</v>
      </c>
      <c r="I1032" s="4" t="s">
        <v>985</v>
      </c>
      <c r="J1032" s="4" t="s">
        <v>91</v>
      </c>
      <c r="K1032" s="4" t="s">
        <v>60</v>
      </c>
      <c r="L1032" s="4" t="s">
        <v>131</v>
      </c>
      <c r="M1032" s="4" t="s">
        <v>63</v>
      </c>
      <c r="N1032" s="4" t="s">
        <v>132</v>
      </c>
      <c r="O1032" s="2" t="s">
        <v>132</v>
      </c>
      <c r="P1032" s="2">
        <v>7.71512624E8</v>
      </c>
      <c r="Q1032" s="2" t="s">
        <v>68</v>
      </c>
      <c r="R1032" s="4" t="s">
        <v>6916</v>
      </c>
    </row>
    <row r="1033">
      <c r="A1033" s="4" t="s">
        <v>44</v>
      </c>
      <c r="B1033" s="4" t="s">
        <v>44</v>
      </c>
      <c r="C1033" s="4">
        <v>1032.0</v>
      </c>
      <c r="D1033" s="13" t="str">
        <f>HYPERLINK("https://www.linkedin.com/ad-library/detail/771512644","Open Ad")</f>
        <v>Open Ad</v>
      </c>
      <c r="E1033" s="4" t="s">
        <v>91</v>
      </c>
      <c r="F1033" s="4" t="s">
        <v>53</v>
      </c>
      <c r="G1033" s="4" t="s">
        <v>6915</v>
      </c>
      <c r="H1033" s="4" t="s">
        <v>55</v>
      </c>
      <c r="I1033" s="4" t="s">
        <v>985</v>
      </c>
      <c r="J1033" s="4" t="s">
        <v>91</v>
      </c>
      <c r="K1033" s="4" t="s">
        <v>60</v>
      </c>
      <c r="L1033" s="4" t="s">
        <v>131</v>
      </c>
      <c r="M1033" s="4" t="s">
        <v>63</v>
      </c>
      <c r="N1033" s="4" t="s">
        <v>132</v>
      </c>
      <c r="O1033" s="2" t="s">
        <v>132</v>
      </c>
      <c r="P1033" s="2">
        <v>7.71512644E8</v>
      </c>
      <c r="Q1033" s="2" t="s">
        <v>68</v>
      </c>
      <c r="R1033" s="4" t="s">
        <v>6916</v>
      </c>
    </row>
    <row r="1034">
      <c r="A1034" s="4" t="s">
        <v>44</v>
      </c>
      <c r="B1034" s="4" t="s">
        <v>44</v>
      </c>
      <c r="C1034" s="4">
        <v>1033.0</v>
      </c>
      <c r="D1034" s="13" t="str">
        <f>HYPERLINK("https://www.linkedin.com/ad-library/detail/771592174","Open Ad")</f>
        <v>Open Ad</v>
      </c>
      <c r="E1034" s="4" t="s">
        <v>91</v>
      </c>
      <c r="F1034" s="4" t="s">
        <v>53</v>
      </c>
      <c r="G1034" s="4" t="s">
        <v>6915</v>
      </c>
      <c r="H1034" s="4" t="s">
        <v>55</v>
      </c>
      <c r="I1034" s="4" t="s">
        <v>985</v>
      </c>
      <c r="J1034" s="4" t="s">
        <v>91</v>
      </c>
      <c r="K1034" s="4" t="s">
        <v>60</v>
      </c>
      <c r="L1034" s="4" t="s">
        <v>131</v>
      </c>
      <c r="M1034" s="4" t="s">
        <v>63</v>
      </c>
      <c r="N1034" s="4" t="s">
        <v>132</v>
      </c>
      <c r="O1034" s="2" t="s">
        <v>132</v>
      </c>
      <c r="P1034" s="2">
        <v>7.71592174E8</v>
      </c>
      <c r="Q1034" s="2" t="s">
        <v>68</v>
      </c>
      <c r="R1034" s="4" t="s">
        <v>6916</v>
      </c>
    </row>
    <row r="1035">
      <c r="A1035" s="4" t="s">
        <v>44</v>
      </c>
      <c r="B1035" s="4" t="s">
        <v>44</v>
      </c>
      <c r="C1035" s="4">
        <v>1034.0</v>
      </c>
      <c r="D1035" s="13" t="str">
        <f>HYPERLINK("https://www.linkedin.com/ad-library/detail/771502404","Open Ad")</f>
        <v>Open Ad</v>
      </c>
      <c r="E1035" s="4" t="s">
        <v>91</v>
      </c>
      <c r="F1035" s="4" t="s">
        <v>53</v>
      </c>
      <c r="G1035" s="4" t="s">
        <v>6915</v>
      </c>
      <c r="H1035" s="4" t="s">
        <v>55</v>
      </c>
      <c r="I1035" s="4" t="s">
        <v>985</v>
      </c>
      <c r="J1035" s="4" t="s">
        <v>91</v>
      </c>
      <c r="K1035" s="4" t="s">
        <v>60</v>
      </c>
      <c r="L1035" s="4" t="s">
        <v>131</v>
      </c>
      <c r="M1035" s="4" t="s">
        <v>63</v>
      </c>
      <c r="N1035" s="4" t="s">
        <v>132</v>
      </c>
      <c r="O1035" s="2" t="s">
        <v>132</v>
      </c>
      <c r="P1035" s="2">
        <v>7.71502404E8</v>
      </c>
      <c r="Q1035" s="2" t="s">
        <v>68</v>
      </c>
      <c r="R1035" s="4" t="s">
        <v>6916</v>
      </c>
    </row>
    <row r="1036">
      <c r="A1036" s="4" t="s">
        <v>44</v>
      </c>
      <c r="B1036" s="4" t="s">
        <v>44</v>
      </c>
      <c r="C1036" s="4">
        <v>1035.0</v>
      </c>
      <c r="D1036" s="13" t="str">
        <f>HYPERLINK("https://www.linkedin.com/ad-library/detail/771542484","Open Ad")</f>
        <v>Open Ad</v>
      </c>
      <c r="E1036" s="4" t="s">
        <v>91</v>
      </c>
      <c r="F1036" s="4" t="s">
        <v>53</v>
      </c>
      <c r="G1036" s="4" t="s">
        <v>6915</v>
      </c>
      <c r="H1036" s="4" t="s">
        <v>55</v>
      </c>
      <c r="I1036" s="4" t="s">
        <v>985</v>
      </c>
      <c r="J1036" s="4" t="s">
        <v>91</v>
      </c>
      <c r="K1036" s="4" t="s">
        <v>60</v>
      </c>
      <c r="L1036" s="4" t="s">
        <v>131</v>
      </c>
      <c r="M1036" s="4" t="s">
        <v>63</v>
      </c>
      <c r="N1036" s="4" t="s">
        <v>132</v>
      </c>
      <c r="O1036" s="2" t="s">
        <v>132</v>
      </c>
      <c r="P1036" s="2">
        <v>7.71542484E8</v>
      </c>
      <c r="Q1036" s="2" t="s">
        <v>68</v>
      </c>
      <c r="R1036" s="4" t="s">
        <v>6916</v>
      </c>
    </row>
    <row r="1037">
      <c r="A1037" s="4" t="s">
        <v>44</v>
      </c>
      <c r="B1037" s="4" t="s">
        <v>44</v>
      </c>
      <c r="C1037" s="4">
        <v>1036.0</v>
      </c>
      <c r="D1037" s="13" t="str">
        <f>HYPERLINK("https://www.linkedin.com/ad-library/detail/771571864","Open Ad")</f>
        <v>Open Ad</v>
      </c>
      <c r="E1037" s="4" t="s">
        <v>91</v>
      </c>
      <c r="F1037" s="4" t="s">
        <v>53</v>
      </c>
      <c r="G1037" s="4" t="s">
        <v>6915</v>
      </c>
      <c r="H1037" s="4" t="s">
        <v>55</v>
      </c>
      <c r="I1037" s="4" t="s">
        <v>985</v>
      </c>
      <c r="J1037" s="4" t="s">
        <v>91</v>
      </c>
      <c r="K1037" s="4" t="s">
        <v>60</v>
      </c>
      <c r="L1037" s="4" t="s">
        <v>131</v>
      </c>
      <c r="M1037" s="4" t="s">
        <v>63</v>
      </c>
      <c r="N1037" s="4" t="s">
        <v>132</v>
      </c>
      <c r="O1037" s="2" t="s">
        <v>132</v>
      </c>
      <c r="P1037" s="2">
        <v>7.71571864E8</v>
      </c>
      <c r="Q1037" s="2" t="s">
        <v>68</v>
      </c>
      <c r="R1037" s="4" t="s">
        <v>6916</v>
      </c>
    </row>
    <row r="1038">
      <c r="A1038" s="4" t="s">
        <v>44</v>
      </c>
      <c r="B1038" s="4" t="s">
        <v>44</v>
      </c>
      <c r="C1038" s="4">
        <v>1037.0</v>
      </c>
      <c r="D1038" s="13" t="str">
        <f>HYPERLINK("https://www.linkedin.com/ad-library/detail/771571874","Open Ad")</f>
        <v>Open Ad</v>
      </c>
      <c r="E1038" s="4" t="s">
        <v>91</v>
      </c>
      <c r="F1038" s="4" t="s">
        <v>53</v>
      </c>
      <c r="G1038" s="4" t="s">
        <v>6915</v>
      </c>
      <c r="H1038" s="4" t="s">
        <v>55</v>
      </c>
      <c r="I1038" s="4" t="s">
        <v>985</v>
      </c>
      <c r="J1038" s="4" t="s">
        <v>91</v>
      </c>
      <c r="K1038" s="4" t="s">
        <v>60</v>
      </c>
      <c r="L1038" s="4" t="s">
        <v>131</v>
      </c>
      <c r="M1038" s="4" t="s">
        <v>63</v>
      </c>
      <c r="N1038" s="4" t="s">
        <v>132</v>
      </c>
      <c r="O1038" s="2" t="s">
        <v>132</v>
      </c>
      <c r="P1038" s="2">
        <v>7.71571874E8</v>
      </c>
      <c r="Q1038" s="2" t="s">
        <v>68</v>
      </c>
      <c r="R1038" s="4" t="s">
        <v>6916</v>
      </c>
    </row>
    <row r="1039">
      <c r="A1039" s="4" t="s">
        <v>44</v>
      </c>
      <c r="B1039" s="4" t="s">
        <v>44</v>
      </c>
      <c r="C1039" s="4">
        <v>1038.0</v>
      </c>
      <c r="D1039" s="13" t="str">
        <f>HYPERLINK("https://www.linkedin.com/ad-library/detail/771542474","Open Ad")</f>
        <v>Open Ad</v>
      </c>
      <c r="E1039" s="4" t="s">
        <v>91</v>
      </c>
      <c r="F1039" s="4" t="s">
        <v>53</v>
      </c>
      <c r="G1039" s="4" t="s">
        <v>6915</v>
      </c>
      <c r="H1039" s="4" t="s">
        <v>55</v>
      </c>
      <c r="I1039" s="4" t="s">
        <v>985</v>
      </c>
      <c r="J1039" s="4" t="s">
        <v>91</v>
      </c>
      <c r="K1039" s="4" t="s">
        <v>60</v>
      </c>
      <c r="L1039" s="4" t="s">
        <v>131</v>
      </c>
      <c r="M1039" s="4" t="s">
        <v>63</v>
      </c>
      <c r="N1039" s="4" t="s">
        <v>132</v>
      </c>
      <c r="O1039" s="2" t="s">
        <v>132</v>
      </c>
      <c r="P1039" s="2">
        <v>7.71542474E8</v>
      </c>
      <c r="Q1039" s="2" t="s">
        <v>68</v>
      </c>
      <c r="R1039" s="4" t="s">
        <v>6916</v>
      </c>
    </row>
    <row r="1040">
      <c r="A1040" s="4" t="s">
        <v>44</v>
      </c>
      <c r="B1040" s="4" t="s">
        <v>44</v>
      </c>
      <c r="C1040" s="4">
        <v>1039.0</v>
      </c>
      <c r="D1040" s="13" t="str">
        <f>HYPERLINK("https://www.linkedin.com/ad-library/detail/771631924","Open Ad")</f>
        <v>Open Ad</v>
      </c>
      <c r="E1040" s="4" t="s">
        <v>91</v>
      </c>
      <c r="F1040" s="4" t="s">
        <v>53</v>
      </c>
      <c r="G1040" s="4" t="s">
        <v>6915</v>
      </c>
      <c r="H1040" s="4" t="s">
        <v>55</v>
      </c>
      <c r="I1040" s="4" t="s">
        <v>985</v>
      </c>
      <c r="J1040" s="4" t="s">
        <v>91</v>
      </c>
      <c r="K1040" s="4" t="s">
        <v>60</v>
      </c>
      <c r="L1040" s="4" t="s">
        <v>131</v>
      </c>
      <c r="M1040" s="4" t="s">
        <v>63</v>
      </c>
      <c r="N1040" s="4" t="s">
        <v>132</v>
      </c>
      <c r="O1040" s="2" t="s">
        <v>132</v>
      </c>
      <c r="P1040" s="2">
        <v>7.71631924E8</v>
      </c>
      <c r="Q1040" s="2" t="s">
        <v>68</v>
      </c>
      <c r="R1040" s="4" t="s">
        <v>6916</v>
      </c>
    </row>
    <row r="1041">
      <c r="A1041" s="4" t="s">
        <v>44</v>
      </c>
      <c r="B1041" s="4" t="s">
        <v>44</v>
      </c>
      <c r="C1041" s="4">
        <v>1040.0</v>
      </c>
      <c r="D1041" s="13" t="str">
        <f>HYPERLINK("https://www.linkedin.com/ad-library/detail/771552274","Open Ad")</f>
        <v>Open Ad</v>
      </c>
      <c r="E1041" s="4" t="s">
        <v>91</v>
      </c>
      <c r="F1041" s="4" t="s">
        <v>53</v>
      </c>
      <c r="G1041" s="4" t="s">
        <v>6915</v>
      </c>
      <c r="H1041" s="4" t="s">
        <v>55</v>
      </c>
      <c r="I1041" s="4" t="s">
        <v>985</v>
      </c>
      <c r="J1041" s="4" t="s">
        <v>91</v>
      </c>
      <c r="K1041" s="4" t="s">
        <v>60</v>
      </c>
      <c r="L1041" s="4" t="s">
        <v>131</v>
      </c>
      <c r="M1041" s="4" t="s">
        <v>63</v>
      </c>
      <c r="N1041" s="4" t="s">
        <v>132</v>
      </c>
      <c r="O1041" s="2" t="s">
        <v>132</v>
      </c>
      <c r="P1041" s="2">
        <v>7.71552274E8</v>
      </c>
      <c r="Q1041" s="2" t="s">
        <v>68</v>
      </c>
      <c r="R1041" s="4" t="s">
        <v>6916</v>
      </c>
    </row>
    <row r="1042">
      <c r="A1042" s="4" t="s">
        <v>44</v>
      </c>
      <c r="B1042" s="4" t="s">
        <v>44</v>
      </c>
      <c r="C1042" s="4">
        <v>1041.0</v>
      </c>
      <c r="D1042" s="13" t="str">
        <f>HYPERLINK("https://www.linkedin.com/ad-library/detail/771671794","Open Ad")</f>
        <v>Open Ad</v>
      </c>
      <c r="E1042" s="4" t="s">
        <v>91</v>
      </c>
      <c r="F1042" s="4" t="s">
        <v>53</v>
      </c>
      <c r="G1042" s="4" t="s">
        <v>6915</v>
      </c>
      <c r="H1042" s="4" t="s">
        <v>55</v>
      </c>
      <c r="I1042" s="4" t="s">
        <v>985</v>
      </c>
      <c r="J1042" s="4" t="s">
        <v>91</v>
      </c>
      <c r="K1042" s="4" t="s">
        <v>60</v>
      </c>
      <c r="L1042" s="4" t="s">
        <v>131</v>
      </c>
      <c r="M1042" s="4" t="s">
        <v>63</v>
      </c>
      <c r="N1042" s="4" t="s">
        <v>132</v>
      </c>
      <c r="O1042" s="2" t="s">
        <v>132</v>
      </c>
      <c r="P1042" s="2">
        <v>7.71671794E8</v>
      </c>
      <c r="Q1042" s="2" t="s">
        <v>68</v>
      </c>
      <c r="R1042" s="4" t="s">
        <v>6916</v>
      </c>
    </row>
    <row r="1043">
      <c r="A1043" s="4" t="s">
        <v>44</v>
      </c>
      <c r="B1043" s="4" t="s">
        <v>44</v>
      </c>
      <c r="C1043" s="4">
        <v>1042.0</v>
      </c>
      <c r="D1043" s="13" t="str">
        <f>HYPERLINK("https://www.linkedin.com/ad-library/detail/771552284","Open Ad")</f>
        <v>Open Ad</v>
      </c>
      <c r="E1043" s="4" t="s">
        <v>91</v>
      </c>
      <c r="F1043" s="4" t="s">
        <v>53</v>
      </c>
      <c r="G1043" s="4" t="s">
        <v>6915</v>
      </c>
      <c r="H1043" s="4" t="s">
        <v>55</v>
      </c>
      <c r="I1043" s="4" t="s">
        <v>985</v>
      </c>
      <c r="J1043" s="4" t="s">
        <v>91</v>
      </c>
      <c r="K1043" s="4" t="s">
        <v>60</v>
      </c>
      <c r="L1043" s="4" t="s">
        <v>131</v>
      </c>
      <c r="M1043" s="4" t="s">
        <v>63</v>
      </c>
      <c r="N1043" s="4" t="s">
        <v>132</v>
      </c>
      <c r="O1043" s="2" t="s">
        <v>132</v>
      </c>
      <c r="P1043" s="2">
        <v>7.71552284E8</v>
      </c>
      <c r="Q1043" s="2" t="s">
        <v>68</v>
      </c>
      <c r="R1043" s="4" t="s">
        <v>6916</v>
      </c>
    </row>
    <row r="1044">
      <c r="A1044" s="4" t="s">
        <v>44</v>
      </c>
      <c r="B1044" s="4" t="s">
        <v>44</v>
      </c>
      <c r="C1044" s="4">
        <v>1043.0</v>
      </c>
      <c r="D1044" s="13" t="str">
        <f>HYPERLINK("https://www.linkedin.com/ad-library/detail/771552294","Open Ad")</f>
        <v>Open Ad</v>
      </c>
      <c r="E1044" s="4" t="s">
        <v>91</v>
      </c>
      <c r="F1044" s="4" t="s">
        <v>53</v>
      </c>
      <c r="G1044" s="4" t="s">
        <v>6915</v>
      </c>
      <c r="H1044" s="4" t="s">
        <v>55</v>
      </c>
      <c r="I1044" s="4" t="s">
        <v>985</v>
      </c>
      <c r="J1044" s="4" t="s">
        <v>91</v>
      </c>
      <c r="K1044" s="4" t="s">
        <v>60</v>
      </c>
      <c r="L1044" s="4" t="s">
        <v>131</v>
      </c>
      <c r="M1044" s="4" t="s">
        <v>63</v>
      </c>
      <c r="N1044" s="4" t="s">
        <v>132</v>
      </c>
      <c r="O1044" s="2" t="s">
        <v>132</v>
      </c>
      <c r="P1044" s="2">
        <v>7.71552294E8</v>
      </c>
      <c r="Q1044" s="2" t="s">
        <v>68</v>
      </c>
      <c r="R1044" s="4" t="s">
        <v>6916</v>
      </c>
    </row>
    <row r="1045">
      <c r="A1045" s="4" t="s">
        <v>44</v>
      </c>
      <c r="B1045" s="4" t="s">
        <v>44</v>
      </c>
      <c r="C1045" s="4">
        <v>1044.0</v>
      </c>
      <c r="D1045" s="13" t="str">
        <f>HYPERLINK("https://www.linkedin.com/ad-library/detail/771522434","Open Ad")</f>
        <v>Open Ad</v>
      </c>
      <c r="E1045" s="4" t="s">
        <v>91</v>
      </c>
      <c r="F1045" s="4" t="s">
        <v>53</v>
      </c>
      <c r="G1045" s="4" t="s">
        <v>6915</v>
      </c>
      <c r="H1045" s="4" t="s">
        <v>55</v>
      </c>
      <c r="I1045" s="4" t="s">
        <v>985</v>
      </c>
      <c r="J1045" s="4" t="s">
        <v>91</v>
      </c>
      <c r="K1045" s="4" t="s">
        <v>60</v>
      </c>
      <c r="L1045" s="4" t="s">
        <v>131</v>
      </c>
      <c r="M1045" s="4" t="s">
        <v>63</v>
      </c>
      <c r="N1045" s="4" t="s">
        <v>132</v>
      </c>
      <c r="O1045" s="2" t="s">
        <v>132</v>
      </c>
      <c r="P1045" s="2">
        <v>7.71522434E8</v>
      </c>
      <c r="Q1045" s="2" t="s">
        <v>68</v>
      </c>
      <c r="R1045" s="4" t="s">
        <v>6916</v>
      </c>
    </row>
    <row r="1046">
      <c r="A1046" s="4" t="s">
        <v>44</v>
      </c>
      <c r="B1046" s="4" t="s">
        <v>44</v>
      </c>
      <c r="C1046" s="4">
        <v>1045.0</v>
      </c>
      <c r="D1046" s="13" t="str">
        <f>HYPERLINK("https://www.linkedin.com/ad-library/detail/771701354","Open Ad")</f>
        <v>Open Ad</v>
      </c>
      <c r="E1046" s="4" t="s">
        <v>91</v>
      </c>
      <c r="F1046" s="4" t="s">
        <v>53</v>
      </c>
      <c r="G1046" s="4" t="s">
        <v>6915</v>
      </c>
      <c r="H1046" s="4" t="s">
        <v>55</v>
      </c>
      <c r="I1046" s="4" t="s">
        <v>985</v>
      </c>
      <c r="J1046" s="4" t="s">
        <v>91</v>
      </c>
      <c r="K1046" s="4" t="s">
        <v>60</v>
      </c>
      <c r="L1046" s="4" t="s">
        <v>131</v>
      </c>
      <c r="M1046" s="4" t="s">
        <v>63</v>
      </c>
      <c r="N1046" s="4" t="s">
        <v>132</v>
      </c>
      <c r="O1046" s="2" t="s">
        <v>132</v>
      </c>
      <c r="P1046" s="2">
        <v>7.71701354E8</v>
      </c>
      <c r="Q1046" s="2" t="s">
        <v>68</v>
      </c>
      <c r="R1046" s="4" t="s">
        <v>6916</v>
      </c>
    </row>
    <row r="1047">
      <c r="A1047" s="4" t="s">
        <v>44</v>
      </c>
      <c r="B1047" s="4" t="s">
        <v>44</v>
      </c>
      <c r="C1047" s="4">
        <v>1046.0</v>
      </c>
      <c r="D1047" s="13" t="str">
        <f>HYPERLINK("https://www.linkedin.com/ad-library/detail/771701374","Open Ad")</f>
        <v>Open Ad</v>
      </c>
      <c r="E1047" s="4" t="s">
        <v>91</v>
      </c>
      <c r="F1047" s="4" t="s">
        <v>53</v>
      </c>
      <c r="G1047" s="4" t="s">
        <v>6915</v>
      </c>
      <c r="H1047" s="4" t="s">
        <v>55</v>
      </c>
      <c r="I1047" s="4" t="s">
        <v>985</v>
      </c>
      <c r="J1047" s="4" t="s">
        <v>91</v>
      </c>
      <c r="K1047" s="4" t="s">
        <v>60</v>
      </c>
      <c r="L1047" s="4" t="s">
        <v>131</v>
      </c>
      <c r="M1047" s="4" t="s">
        <v>63</v>
      </c>
      <c r="N1047" s="4" t="s">
        <v>132</v>
      </c>
      <c r="O1047" s="2" t="s">
        <v>132</v>
      </c>
      <c r="P1047" s="2">
        <v>7.71701374E8</v>
      </c>
      <c r="Q1047" s="2" t="s">
        <v>68</v>
      </c>
      <c r="R1047" s="4" t="s">
        <v>6916</v>
      </c>
    </row>
    <row r="1048">
      <c r="A1048" s="4" t="s">
        <v>44</v>
      </c>
      <c r="B1048" s="4" t="s">
        <v>44</v>
      </c>
      <c r="C1048" s="4">
        <v>1047.0</v>
      </c>
      <c r="D1048" s="13" t="str">
        <f>HYPERLINK("https://www.linkedin.com/ad-library/detail/771601824","Open Ad")</f>
        <v>Open Ad</v>
      </c>
      <c r="E1048" s="4" t="s">
        <v>91</v>
      </c>
      <c r="F1048" s="4" t="s">
        <v>53</v>
      </c>
      <c r="G1048" s="4" t="s">
        <v>6915</v>
      </c>
      <c r="H1048" s="4" t="s">
        <v>55</v>
      </c>
      <c r="I1048" s="4" t="s">
        <v>985</v>
      </c>
      <c r="J1048" s="4" t="s">
        <v>91</v>
      </c>
      <c r="K1048" s="4" t="s">
        <v>60</v>
      </c>
      <c r="L1048" s="4" t="s">
        <v>131</v>
      </c>
      <c r="M1048" s="4" t="s">
        <v>63</v>
      </c>
      <c r="N1048" s="4" t="s">
        <v>132</v>
      </c>
      <c r="O1048" s="2" t="s">
        <v>132</v>
      </c>
      <c r="P1048" s="2">
        <v>7.71601824E8</v>
      </c>
      <c r="Q1048" s="2" t="s">
        <v>68</v>
      </c>
      <c r="R1048" s="4" t="s">
        <v>6916</v>
      </c>
    </row>
    <row r="1049">
      <c r="A1049" s="4" t="s">
        <v>44</v>
      </c>
      <c r="B1049" s="4" t="s">
        <v>44</v>
      </c>
      <c r="C1049" s="4">
        <v>1048.0</v>
      </c>
      <c r="D1049" s="13" t="str">
        <f>HYPERLINK("https://www.linkedin.com/ad-library/detail/771621914","Open Ad")</f>
        <v>Open Ad</v>
      </c>
      <c r="E1049" s="4" t="s">
        <v>91</v>
      </c>
      <c r="F1049" s="4" t="s">
        <v>53</v>
      </c>
      <c r="G1049" s="4" t="s">
        <v>6915</v>
      </c>
      <c r="H1049" s="4" t="s">
        <v>55</v>
      </c>
      <c r="I1049" s="4" t="s">
        <v>985</v>
      </c>
      <c r="J1049" s="4" t="s">
        <v>91</v>
      </c>
      <c r="K1049" s="4" t="s">
        <v>60</v>
      </c>
      <c r="L1049" s="4" t="s">
        <v>131</v>
      </c>
      <c r="M1049" s="4" t="s">
        <v>63</v>
      </c>
      <c r="N1049" s="4" t="s">
        <v>132</v>
      </c>
      <c r="O1049" s="2" t="s">
        <v>132</v>
      </c>
      <c r="P1049" s="2">
        <v>7.71621914E8</v>
      </c>
      <c r="Q1049" s="2" t="s">
        <v>68</v>
      </c>
      <c r="R1049" s="4" t="s">
        <v>6916</v>
      </c>
    </row>
    <row r="1050">
      <c r="A1050" s="4" t="s">
        <v>44</v>
      </c>
      <c r="B1050" s="4" t="s">
        <v>44</v>
      </c>
      <c r="C1050" s="4">
        <v>1049.0</v>
      </c>
      <c r="D1050" s="13" t="str">
        <f>HYPERLINK("https://www.linkedin.com/ad-library/detail/771320854","Open Ad")</f>
        <v>Open Ad</v>
      </c>
      <c r="E1050" s="4" t="s">
        <v>91</v>
      </c>
      <c r="F1050" s="4" t="s">
        <v>53</v>
      </c>
      <c r="G1050" s="4" t="s">
        <v>6915</v>
      </c>
      <c r="H1050" s="4" t="s">
        <v>55</v>
      </c>
      <c r="I1050" s="4" t="s">
        <v>985</v>
      </c>
      <c r="J1050" s="4" t="s">
        <v>91</v>
      </c>
      <c r="K1050" s="4" t="s">
        <v>60</v>
      </c>
      <c r="L1050" s="4" t="s">
        <v>131</v>
      </c>
      <c r="M1050" s="4" t="s">
        <v>63</v>
      </c>
      <c r="N1050" s="4" t="s">
        <v>132</v>
      </c>
      <c r="O1050" s="2" t="s">
        <v>132</v>
      </c>
      <c r="P1050" s="2">
        <v>7.71320854E8</v>
      </c>
      <c r="Q1050" s="2" t="s">
        <v>68</v>
      </c>
      <c r="R1050" s="4" t="s">
        <v>6916</v>
      </c>
    </row>
    <row r="1051">
      <c r="A1051" s="4" t="s">
        <v>44</v>
      </c>
      <c r="B1051" s="4" t="s">
        <v>44</v>
      </c>
      <c r="C1051" s="4">
        <v>1050.0</v>
      </c>
      <c r="D1051" s="13" t="str">
        <f>HYPERLINK("https://www.linkedin.com/ad-library/detail/771502394","Open Ad")</f>
        <v>Open Ad</v>
      </c>
      <c r="E1051" s="4" t="s">
        <v>91</v>
      </c>
      <c r="F1051" s="4" t="s">
        <v>53</v>
      </c>
      <c r="G1051" s="4" t="s">
        <v>6915</v>
      </c>
      <c r="H1051" s="4" t="s">
        <v>55</v>
      </c>
      <c r="I1051" s="4" t="s">
        <v>985</v>
      </c>
      <c r="J1051" s="4" t="s">
        <v>91</v>
      </c>
      <c r="K1051" s="4" t="s">
        <v>60</v>
      </c>
      <c r="L1051" s="4" t="s">
        <v>131</v>
      </c>
      <c r="M1051" s="4" t="s">
        <v>63</v>
      </c>
      <c r="N1051" s="4" t="s">
        <v>132</v>
      </c>
      <c r="O1051" s="2" t="s">
        <v>132</v>
      </c>
      <c r="P1051" s="2">
        <v>7.71502394E8</v>
      </c>
      <c r="Q1051" s="2" t="s">
        <v>68</v>
      </c>
      <c r="R1051" s="4" t="s">
        <v>6916</v>
      </c>
    </row>
    <row r="1052">
      <c r="A1052" s="4" t="s">
        <v>44</v>
      </c>
      <c r="B1052" s="4" t="s">
        <v>44</v>
      </c>
      <c r="C1052" s="4">
        <v>1051.0</v>
      </c>
      <c r="D1052" s="13" t="str">
        <f>HYPERLINK("https://www.linkedin.com/ad-library/detail/771691584","Open Ad")</f>
        <v>Open Ad</v>
      </c>
      <c r="E1052" s="4" t="s">
        <v>91</v>
      </c>
      <c r="F1052" s="4" t="s">
        <v>53</v>
      </c>
      <c r="G1052" s="4" t="s">
        <v>6915</v>
      </c>
      <c r="H1052" s="4" t="s">
        <v>55</v>
      </c>
      <c r="I1052" s="4" t="s">
        <v>985</v>
      </c>
      <c r="J1052" s="4" t="s">
        <v>91</v>
      </c>
      <c r="K1052" s="4" t="s">
        <v>60</v>
      </c>
      <c r="L1052" s="4" t="s">
        <v>131</v>
      </c>
      <c r="M1052" s="4" t="s">
        <v>63</v>
      </c>
      <c r="N1052" s="4" t="s">
        <v>132</v>
      </c>
      <c r="O1052" s="2" t="s">
        <v>132</v>
      </c>
      <c r="P1052" s="2">
        <v>7.71691584E8</v>
      </c>
      <c r="Q1052" s="2" t="s">
        <v>68</v>
      </c>
      <c r="R1052" s="4" t="s">
        <v>6916</v>
      </c>
    </row>
    <row r="1053">
      <c r="A1053" s="4" t="s">
        <v>44</v>
      </c>
      <c r="B1053" s="4" t="s">
        <v>44</v>
      </c>
      <c r="C1053" s="4">
        <v>1052.0</v>
      </c>
      <c r="D1053" s="13" t="str">
        <f>HYPERLINK("https://www.linkedin.com/ad-library/detail/771562054","Open Ad")</f>
        <v>Open Ad</v>
      </c>
      <c r="E1053" s="4" t="s">
        <v>91</v>
      </c>
      <c r="F1053" s="4" t="s">
        <v>53</v>
      </c>
      <c r="G1053" s="4" t="s">
        <v>6915</v>
      </c>
      <c r="H1053" s="4" t="s">
        <v>55</v>
      </c>
      <c r="I1053" s="4" t="s">
        <v>985</v>
      </c>
      <c r="J1053" s="4" t="s">
        <v>91</v>
      </c>
      <c r="K1053" s="4" t="s">
        <v>60</v>
      </c>
      <c r="L1053" s="4" t="s">
        <v>131</v>
      </c>
      <c r="M1053" s="4" t="s">
        <v>63</v>
      </c>
      <c r="N1053" s="4" t="s">
        <v>132</v>
      </c>
      <c r="O1053" s="2" t="s">
        <v>132</v>
      </c>
      <c r="P1053" s="2">
        <v>7.71562054E8</v>
      </c>
      <c r="Q1053" s="2" t="s">
        <v>68</v>
      </c>
      <c r="R1053" s="4" t="s">
        <v>6916</v>
      </c>
    </row>
    <row r="1054">
      <c r="A1054" s="4" t="s">
        <v>44</v>
      </c>
      <c r="B1054" s="4" t="s">
        <v>44</v>
      </c>
      <c r="C1054" s="4">
        <v>1053.0</v>
      </c>
      <c r="D1054" s="13" t="str">
        <f>HYPERLINK("https://www.linkedin.com/ad-library/detail/771641724","Open Ad")</f>
        <v>Open Ad</v>
      </c>
      <c r="E1054" s="4" t="s">
        <v>91</v>
      </c>
      <c r="F1054" s="4" t="s">
        <v>53</v>
      </c>
      <c r="G1054" s="4" t="s">
        <v>6915</v>
      </c>
      <c r="H1054" s="4" t="s">
        <v>55</v>
      </c>
      <c r="I1054" s="4" t="s">
        <v>985</v>
      </c>
      <c r="J1054" s="4" t="s">
        <v>91</v>
      </c>
      <c r="K1054" s="4" t="s">
        <v>60</v>
      </c>
      <c r="L1054" s="4" t="s">
        <v>131</v>
      </c>
      <c r="M1054" s="4" t="s">
        <v>63</v>
      </c>
      <c r="N1054" s="4" t="s">
        <v>132</v>
      </c>
      <c r="O1054" s="2" t="s">
        <v>132</v>
      </c>
      <c r="P1054" s="2">
        <v>7.71641724E8</v>
      </c>
      <c r="Q1054" s="2" t="s">
        <v>68</v>
      </c>
      <c r="R1054" s="4" t="s">
        <v>6916</v>
      </c>
    </row>
    <row r="1055">
      <c r="A1055" s="4" t="s">
        <v>44</v>
      </c>
      <c r="B1055" s="4" t="s">
        <v>44</v>
      </c>
      <c r="C1055" s="4">
        <v>1054.0</v>
      </c>
      <c r="D1055" s="13" t="str">
        <f>HYPERLINK("https://www.linkedin.com/ad-library/detail/771562074","Open Ad")</f>
        <v>Open Ad</v>
      </c>
      <c r="E1055" s="4" t="s">
        <v>91</v>
      </c>
      <c r="F1055" s="4" t="s">
        <v>53</v>
      </c>
      <c r="G1055" s="4" t="s">
        <v>6915</v>
      </c>
      <c r="H1055" s="4" t="s">
        <v>55</v>
      </c>
      <c r="I1055" s="4" t="s">
        <v>985</v>
      </c>
      <c r="J1055" s="4" t="s">
        <v>91</v>
      </c>
      <c r="K1055" s="4" t="s">
        <v>60</v>
      </c>
      <c r="L1055" s="4" t="s">
        <v>131</v>
      </c>
      <c r="M1055" s="4" t="s">
        <v>63</v>
      </c>
      <c r="N1055" s="4" t="s">
        <v>132</v>
      </c>
      <c r="O1055" s="2" t="s">
        <v>132</v>
      </c>
      <c r="P1055" s="2">
        <v>7.71562074E8</v>
      </c>
      <c r="Q1055" s="2" t="s">
        <v>68</v>
      </c>
      <c r="R1055" s="4" t="s">
        <v>6916</v>
      </c>
    </row>
    <row r="1056">
      <c r="A1056" s="4" t="s">
        <v>44</v>
      </c>
      <c r="B1056" s="4" t="s">
        <v>44</v>
      </c>
      <c r="C1056" s="4">
        <v>1055.0</v>
      </c>
      <c r="D1056" s="13" t="str">
        <f>HYPERLINK("https://www.linkedin.com/ad-library/detail/771552304","Open Ad")</f>
        <v>Open Ad</v>
      </c>
      <c r="E1056" s="4" t="s">
        <v>91</v>
      </c>
      <c r="F1056" s="4" t="s">
        <v>53</v>
      </c>
      <c r="G1056" s="4" t="s">
        <v>6915</v>
      </c>
      <c r="H1056" s="4" t="s">
        <v>55</v>
      </c>
      <c r="I1056" s="4" t="s">
        <v>985</v>
      </c>
      <c r="J1056" s="4" t="s">
        <v>91</v>
      </c>
      <c r="K1056" s="4" t="s">
        <v>60</v>
      </c>
      <c r="L1056" s="4" t="s">
        <v>131</v>
      </c>
      <c r="M1056" s="4" t="s">
        <v>63</v>
      </c>
      <c r="N1056" s="4" t="s">
        <v>132</v>
      </c>
      <c r="O1056" s="2" t="s">
        <v>132</v>
      </c>
      <c r="P1056" s="2">
        <v>7.71552304E8</v>
      </c>
      <c r="Q1056" s="2" t="s">
        <v>68</v>
      </c>
      <c r="R1056" s="4" t="s">
        <v>6916</v>
      </c>
    </row>
    <row r="1057">
      <c r="A1057" s="4" t="s">
        <v>44</v>
      </c>
      <c r="B1057" s="4" t="s">
        <v>44</v>
      </c>
      <c r="C1057" s="4">
        <v>1056.0</v>
      </c>
      <c r="D1057" s="13" t="str">
        <f>HYPERLINK("https://www.linkedin.com/ad-library/detail/771493354","Open Ad")</f>
        <v>Open Ad</v>
      </c>
      <c r="E1057" s="4" t="s">
        <v>91</v>
      </c>
      <c r="F1057" s="4" t="s">
        <v>53</v>
      </c>
      <c r="G1057" s="4" t="s">
        <v>6915</v>
      </c>
      <c r="H1057" s="4" t="s">
        <v>55</v>
      </c>
      <c r="I1057" s="4" t="s">
        <v>985</v>
      </c>
      <c r="J1057" s="4" t="s">
        <v>91</v>
      </c>
      <c r="K1057" s="4" t="s">
        <v>60</v>
      </c>
      <c r="L1057" s="4" t="s">
        <v>131</v>
      </c>
      <c r="M1057" s="4" t="s">
        <v>63</v>
      </c>
      <c r="N1057" s="4" t="s">
        <v>132</v>
      </c>
      <c r="O1057" s="2" t="s">
        <v>132</v>
      </c>
      <c r="P1057" s="2">
        <v>7.71493354E8</v>
      </c>
      <c r="Q1057" s="2" t="s">
        <v>68</v>
      </c>
      <c r="R1057" s="4" t="s">
        <v>6916</v>
      </c>
    </row>
    <row r="1058">
      <c r="A1058" s="4" t="s">
        <v>44</v>
      </c>
      <c r="B1058" s="4" t="s">
        <v>44</v>
      </c>
      <c r="C1058" s="4">
        <v>1057.0</v>
      </c>
      <c r="D1058" s="13" t="str">
        <f>HYPERLINK("https://www.linkedin.com/ad-library/detail/771330694","Open Ad")</f>
        <v>Open Ad</v>
      </c>
      <c r="E1058" s="4" t="s">
        <v>91</v>
      </c>
      <c r="F1058" s="4" t="s">
        <v>53</v>
      </c>
      <c r="G1058" s="4" t="s">
        <v>6915</v>
      </c>
      <c r="H1058" s="4" t="s">
        <v>55</v>
      </c>
      <c r="I1058" s="4" t="s">
        <v>985</v>
      </c>
      <c r="J1058" s="4" t="s">
        <v>91</v>
      </c>
      <c r="K1058" s="4" t="s">
        <v>60</v>
      </c>
      <c r="L1058" s="4" t="s">
        <v>131</v>
      </c>
      <c r="M1058" s="4" t="s">
        <v>63</v>
      </c>
      <c r="N1058" s="4" t="s">
        <v>132</v>
      </c>
      <c r="O1058" s="2" t="s">
        <v>132</v>
      </c>
      <c r="P1058" s="2">
        <v>7.71330694E8</v>
      </c>
      <c r="Q1058" s="2" t="s">
        <v>68</v>
      </c>
      <c r="R1058" s="4" t="s">
        <v>6916</v>
      </c>
    </row>
    <row r="1059">
      <c r="A1059" s="4" t="s">
        <v>44</v>
      </c>
      <c r="B1059" s="4" t="s">
        <v>44</v>
      </c>
      <c r="C1059" s="4">
        <v>1058.0</v>
      </c>
      <c r="D1059" s="13" t="str">
        <f>HYPERLINK("https://www.linkedin.com/ad-library/detail/771251314","Open Ad")</f>
        <v>Open Ad</v>
      </c>
      <c r="E1059" s="4" t="s">
        <v>91</v>
      </c>
      <c r="F1059" s="4" t="s">
        <v>53</v>
      </c>
      <c r="G1059" s="4" t="s">
        <v>6915</v>
      </c>
      <c r="H1059" s="4" t="s">
        <v>55</v>
      </c>
      <c r="I1059" s="4" t="s">
        <v>985</v>
      </c>
      <c r="J1059" s="4" t="s">
        <v>91</v>
      </c>
      <c r="K1059" s="4" t="s">
        <v>60</v>
      </c>
      <c r="L1059" s="4" t="s">
        <v>131</v>
      </c>
      <c r="M1059" s="4" t="s">
        <v>63</v>
      </c>
      <c r="N1059" s="4" t="s">
        <v>132</v>
      </c>
      <c r="O1059" s="2" t="s">
        <v>132</v>
      </c>
      <c r="P1059" s="2">
        <v>7.71251314E8</v>
      </c>
      <c r="Q1059" s="2" t="s">
        <v>68</v>
      </c>
      <c r="R1059" s="4" t="s">
        <v>6916</v>
      </c>
    </row>
    <row r="1060">
      <c r="A1060" s="4" t="s">
        <v>44</v>
      </c>
      <c r="B1060" s="4" t="s">
        <v>44</v>
      </c>
      <c r="C1060" s="4">
        <v>1059.0</v>
      </c>
      <c r="D1060" s="13" t="str">
        <f>HYPERLINK("https://www.linkedin.com/ad-library/detail/771440314","Open Ad")</f>
        <v>Open Ad</v>
      </c>
      <c r="E1060" s="4" t="s">
        <v>91</v>
      </c>
      <c r="F1060" s="4" t="s">
        <v>53</v>
      </c>
      <c r="G1060" s="4" t="s">
        <v>6915</v>
      </c>
      <c r="H1060" s="4" t="s">
        <v>55</v>
      </c>
      <c r="I1060" s="4" t="s">
        <v>985</v>
      </c>
      <c r="J1060" s="4" t="s">
        <v>91</v>
      </c>
      <c r="K1060" s="4" t="s">
        <v>60</v>
      </c>
      <c r="L1060" s="4" t="s">
        <v>131</v>
      </c>
      <c r="M1060" s="4" t="s">
        <v>63</v>
      </c>
      <c r="N1060" s="4" t="s">
        <v>132</v>
      </c>
      <c r="O1060" s="2" t="s">
        <v>132</v>
      </c>
      <c r="P1060" s="2">
        <v>7.71440314E8</v>
      </c>
      <c r="Q1060" s="2" t="s">
        <v>68</v>
      </c>
      <c r="R1060" s="4" t="s">
        <v>6916</v>
      </c>
    </row>
    <row r="1061">
      <c r="A1061" s="4" t="s">
        <v>44</v>
      </c>
      <c r="B1061" s="4" t="s">
        <v>44</v>
      </c>
      <c r="C1061" s="4">
        <v>1060.0</v>
      </c>
      <c r="D1061" s="13" t="str">
        <f>HYPERLINK("https://www.linkedin.com/ad-library/detail/771440304","Open Ad")</f>
        <v>Open Ad</v>
      </c>
      <c r="E1061" s="4" t="s">
        <v>91</v>
      </c>
      <c r="F1061" s="4" t="s">
        <v>53</v>
      </c>
      <c r="G1061" s="4" t="s">
        <v>6915</v>
      </c>
      <c r="H1061" s="4" t="s">
        <v>55</v>
      </c>
      <c r="I1061" s="4" t="s">
        <v>985</v>
      </c>
      <c r="J1061" s="4" t="s">
        <v>91</v>
      </c>
      <c r="K1061" s="4" t="s">
        <v>60</v>
      </c>
      <c r="L1061" s="4" t="s">
        <v>131</v>
      </c>
      <c r="M1061" s="4" t="s">
        <v>63</v>
      </c>
      <c r="N1061" s="4" t="s">
        <v>132</v>
      </c>
      <c r="O1061" s="2" t="s">
        <v>132</v>
      </c>
      <c r="P1061" s="2">
        <v>7.71440304E8</v>
      </c>
      <c r="Q1061" s="2" t="s">
        <v>68</v>
      </c>
      <c r="R1061" s="4" t="s">
        <v>6916</v>
      </c>
    </row>
    <row r="1062">
      <c r="A1062" s="4" t="s">
        <v>44</v>
      </c>
      <c r="B1062" s="4" t="s">
        <v>44</v>
      </c>
      <c r="C1062" s="4">
        <v>1061.0</v>
      </c>
      <c r="D1062" s="13" t="str">
        <f>HYPERLINK("https://www.linkedin.com/ad-library/detail/771330684","Open Ad")</f>
        <v>Open Ad</v>
      </c>
      <c r="E1062" s="4" t="s">
        <v>91</v>
      </c>
      <c r="F1062" s="4" t="s">
        <v>53</v>
      </c>
      <c r="G1062" s="4" t="s">
        <v>6915</v>
      </c>
      <c r="H1062" s="4" t="s">
        <v>55</v>
      </c>
      <c r="I1062" s="4" t="s">
        <v>985</v>
      </c>
      <c r="J1062" s="4" t="s">
        <v>91</v>
      </c>
      <c r="K1062" s="4" t="s">
        <v>60</v>
      </c>
      <c r="L1062" s="4" t="s">
        <v>131</v>
      </c>
      <c r="M1062" s="4" t="s">
        <v>63</v>
      </c>
      <c r="N1062" s="4" t="s">
        <v>132</v>
      </c>
      <c r="O1062" s="2" t="s">
        <v>132</v>
      </c>
      <c r="P1062" s="2">
        <v>7.71330684E8</v>
      </c>
      <c r="Q1062" s="2" t="s">
        <v>68</v>
      </c>
      <c r="R1062" s="4" t="s">
        <v>6916</v>
      </c>
    </row>
    <row r="1063">
      <c r="A1063" s="4" t="s">
        <v>44</v>
      </c>
      <c r="B1063" s="4" t="s">
        <v>44</v>
      </c>
      <c r="C1063" s="4">
        <v>1062.0</v>
      </c>
      <c r="D1063" s="13" t="str">
        <f>HYPERLINK("https://www.linkedin.com/ad-library/detail/771440264","Open Ad")</f>
        <v>Open Ad</v>
      </c>
      <c r="E1063" s="4" t="s">
        <v>91</v>
      </c>
      <c r="F1063" s="4" t="s">
        <v>53</v>
      </c>
      <c r="G1063" s="4" t="s">
        <v>6915</v>
      </c>
      <c r="H1063" s="4" t="s">
        <v>55</v>
      </c>
      <c r="I1063" s="4" t="s">
        <v>985</v>
      </c>
      <c r="J1063" s="4" t="s">
        <v>91</v>
      </c>
      <c r="K1063" s="4" t="s">
        <v>60</v>
      </c>
      <c r="L1063" s="4" t="s">
        <v>131</v>
      </c>
      <c r="M1063" s="4" t="s">
        <v>63</v>
      </c>
      <c r="N1063" s="4" t="s">
        <v>132</v>
      </c>
      <c r="O1063" s="2" t="s">
        <v>132</v>
      </c>
      <c r="P1063" s="2">
        <v>7.71440264E8</v>
      </c>
      <c r="Q1063" s="2" t="s">
        <v>68</v>
      </c>
      <c r="R1063" s="4" t="s">
        <v>6916</v>
      </c>
    </row>
    <row r="1064">
      <c r="A1064" s="4" t="s">
        <v>44</v>
      </c>
      <c r="B1064" s="4" t="s">
        <v>44</v>
      </c>
      <c r="C1064" s="4">
        <v>1063.0</v>
      </c>
      <c r="D1064" s="13" t="str">
        <f>HYPERLINK("https://www.linkedin.com/ad-library/detail/771360714","Open Ad")</f>
        <v>Open Ad</v>
      </c>
      <c r="E1064" s="4" t="s">
        <v>91</v>
      </c>
      <c r="F1064" s="4" t="s">
        <v>53</v>
      </c>
      <c r="G1064" s="4" t="s">
        <v>6915</v>
      </c>
      <c r="H1064" s="4" t="s">
        <v>55</v>
      </c>
      <c r="I1064" s="4" t="s">
        <v>985</v>
      </c>
      <c r="J1064" s="4" t="s">
        <v>91</v>
      </c>
      <c r="K1064" s="4" t="s">
        <v>60</v>
      </c>
      <c r="L1064" s="4" t="s">
        <v>131</v>
      </c>
      <c r="M1064" s="4" t="s">
        <v>63</v>
      </c>
      <c r="N1064" s="4" t="s">
        <v>132</v>
      </c>
      <c r="O1064" s="2" t="s">
        <v>132</v>
      </c>
      <c r="P1064" s="2">
        <v>7.71360714E8</v>
      </c>
      <c r="Q1064" s="2" t="s">
        <v>68</v>
      </c>
      <c r="R1064" s="4" t="s">
        <v>6916</v>
      </c>
    </row>
    <row r="1065">
      <c r="A1065" s="4" t="s">
        <v>44</v>
      </c>
      <c r="B1065" s="4" t="s">
        <v>44</v>
      </c>
      <c r="C1065" s="4">
        <v>1064.0</v>
      </c>
      <c r="D1065" s="13" t="str">
        <f>HYPERLINK("https://www.linkedin.com/ad-library/detail/771390424","Open Ad")</f>
        <v>Open Ad</v>
      </c>
      <c r="E1065" s="4" t="s">
        <v>91</v>
      </c>
      <c r="F1065" s="4" t="s">
        <v>53</v>
      </c>
      <c r="G1065" s="4" t="s">
        <v>6915</v>
      </c>
      <c r="H1065" s="4" t="s">
        <v>55</v>
      </c>
      <c r="I1065" s="4" t="s">
        <v>985</v>
      </c>
      <c r="J1065" s="4" t="s">
        <v>91</v>
      </c>
      <c r="K1065" s="4" t="s">
        <v>60</v>
      </c>
      <c r="L1065" s="4" t="s">
        <v>131</v>
      </c>
      <c r="M1065" s="4" t="s">
        <v>63</v>
      </c>
      <c r="N1065" s="4" t="s">
        <v>132</v>
      </c>
      <c r="O1065" s="2" t="s">
        <v>132</v>
      </c>
      <c r="P1065" s="2">
        <v>7.71390424E8</v>
      </c>
      <c r="Q1065" s="2" t="s">
        <v>68</v>
      </c>
      <c r="R1065" s="4" t="s">
        <v>6916</v>
      </c>
    </row>
    <row r="1066">
      <c r="A1066" s="4" t="s">
        <v>44</v>
      </c>
      <c r="B1066" s="4" t="s">
        <v>44</v>
      </c>
      <c r="C1066" s="4">
        <v>1065.0</v>
      </c>
      <c r="D1066" s="13" t="str">
        <f>HYPERLINK("https://www.linkedin.com/ad-library/detail/771241464","Open Ad")</f>
        <v>Open Ad</v>
      </c>
      <c r="E1066" s="4" t="s">
        <v>91</v>
      </c>
      <c r="F1066" s="4" t="s">
        <v>53</v>
      </c>
      <c r="G1066" s="4" t="s">
        <v>6915</v>
      </c>
      <c r="H1066" s="4" t="s">
        <v>55</v>
      </c>
      <c r="I1066" s="4" t="s">
        <v>985</v>
      </c>
      <c r="J1066" s="4" t="s">
        <v>91</v>
      </c>
      <c r="K1066" s="4" t="s">
        <v>60</v>
      </c>
      <c r="L1066" s="4" t="s">
        <v>131</v>
      </c>
      <c r="M1066" s="4" t="s">
        <v>63</v>
      </c>
      <c r="N1066" s="4" t="s">
        <v>132</v>
      </c>
      <c r="O1066" s="2" t="s">
        <v>132</v>
      </c>
      <c r="P1066" s="2">
        <v>7.71241464E8</v>
      </c>
      <c r="Q1066" s="2" t="s">
        <v>68</v>
      </c>
      <c r="R1066" s="4" t="s">
        <v>6916</v>
      </c>
    </row>
    <row r="1067">
      <c r="A1067" s="4" t="s">
        <v>44</v>
      </c>
      <c r="B1067" s="4" t="s">
        <v>44</v>
      </c>
      <c r="C1067" s="4">
        <v>1066.0</v>
      </c>
      <c r="D1067" s="13" t="str">
        <f>HYPERLINK("https://www.linkedin.com/ad-library/detail/771241494","Open Ad")</f>
        <v>Open Ad</v>
      </c>
      <c r="E1067" s="4" t="s">
        <v>91</v>
      </c>
      <c r="F1067" s="4" t="s">
        <v>53</v>
      </c>
      <c r="G1067" s="4" t="s">
        <v>6915</v>
      </c>
      <c r="H1067" s="4" t="s">
        <v>55</v>
      </c>
      <c r="I1067" s="4" t="s">
        <v>985</v>
      </c>
      <c r="J1067" s="4" t="s">
        <v>91</v>
      </c>
      <c r="K1067" s="4" t="s">
        <v>60</v>
      </c>
      <c r="L1067" s="4" t="s">
        <v>131</v>
      </c>
      <c r="M1067" s="4" t="s">
        <v>63</v>
      </c>
      <c r="N1067" s="4" t="s">
        <v>132</v>
      </c>
      <c r="O1067" s="2" t="s">
        <v>132</v>
      </c>
      <c r="P1067" s="2">
        <v>7.71241494E8</v>
      </c>
      <c r="Q1067" s="2" t="s">
        <v>68</v>
      </c>
      <c r="R1067" s="4" t="s">
        <v>6916</v>
      </c>
    </row>
    <row r="1068">
      <c r="A1068" s="4" t="s">
        <v>44</v>
      </c>
      <c r="B1068" s="4" t="s">
        <v>44</v>
      </c>
      <c r="C1068" s="4">
        <v>1067.0</v>
      </c>
      <c r="D1068" s="13" t="str">
        <f>HYPERLINK("https://www.linkedin.com/ad-library/detail/771410424","Open Ad")</f>
        <v>Open Ad</v>
      </c>
      <c r="E1068" s="4" t="s">
        <v>91</v>
      </c>
      <c r="F1068" s="4" t="s">
        <v>53</v>
      </c>
      <c r="G1068" s="4" t="s">
        <v>6915</v>
      </c>
      <c r="H1068" s="4" t="s">
        <v>55</v>
      </c>
      <c r="I1068" s="4" t="s">
        <v>985</v>
      </c>
      <c r="J1068" s="4" t="s">
        <v>91</v>
      </c>
      <c r="K1068" s="4" t="s">
        <v>60</v>
      </c>
      <c r="L1068" s="4" t="s">
        <v>131</v>
      </c>
      <c r="M1068" s="4" t="s">
        <v>63</v>
      </c>
      <c r="N1068" s="4" t="s">
        <v>132</v>
      </c>
      <c r="O1068" s="2" t="s">
        <v>132</v>
      </c>
      <c r="P1068" s="2">
        <v>7.71410424E8</v>
      </c>
      <c r="Q1068" s="2" t="s">
        <v>68</v>
      </c>
      <c r="R1068" s="4" t="s">
        <v>6916</v>
      </c>
    </row>
    <row r="1069">
      <c r="A1069" s="4" t="s">
        <v>44</v>
      </c>
      <c r="B1069" s="4" t="s">
        <v>44</v>
      </c>
      <c r="C1069" s="4">
        <v>1068.0</v>
      </c>
      <c r="D1069" s="13" t="str">
        <f>HYPERLINK("https://www.linkedin.com/ad-library/detail/771410434","Open Ad")</f>
        <v>Open Ad</v>
      </c>
      <c r="E1069" s="4" t="s">
        <v>91</v>
      </c>
      <c r="F1069" s="4" t="s">
        <v>53</v>
      </c>
      <c r="G1069" s="4" t="s">
        <v>6915</v>
      </c>
      <c r="H1069" s="4" t="s">
        <v>55</v>
      </c>
      <c r="I1069" s="4" t="s">
        <v>985</v>
      </c>
      <c r="J1069" s="4" t="s">
        <v>91</v>
      </c>
      <c r="K1069" s="4" t="s">
        <v>60</v>
      </c>
      <c r="L1069" s="4" t="s">
        <v>131</v>
      </c>
      <c r="M1069" s="4" t="s">
        <v>63</v>
      </c>
      <c r="N1069" s="4" t="s">
        <v>132</v>
      </c>
      <c r="O1069" s="2" t="s">
        <v>132</v>
      </c>
      <c r="P1069" s="2">
        <v>7.71410434E8</v>
      </c>
      <c r="Q1069" s="2" t="s">
        <v>68</v>
      </c>
      <c r="R1069" s="4" t="s">
        <v>6916</v>
      </c>
    </row>
    <row r="1070">
      <c r="A1070" s="4" t="s">
        <v>44</v>
      </c>
      <c r="B1070" s="4" t="s">
        <v>44</v>
      </c>
      <c r="C1070" s="4">
        <v>1069.0</v>
      </c>
      <c r="D1070" s="13" t="str">
        <f>HYPERLINK("https://www.linkedin.com/ad-library/detail/771350694","Open Ad")</f>
        <v>Open Ad</v>
      </c>
      <c r="E1070" s="4" t="s">
        <v>91</v>
      </c>
      <c r="F1070" s="4" t="s">
        <v>53</v>
      </c>
      <c r="G1070" s="4" t="s">
        <v>6915</v>
      </c>
      <c r="H1070" s="4" t="s">
        <v>55</v>
      </c>
      <c r="I1070" s="4" t="s">
        <v>985</v>
      </c>
      <c r="J1070" s="4" t="s">
        <v>91</v>
      </c>
      <c r="K1070" s="4" t="s">
        <v>60</v>
      </c>
      <c r="L1070" s="4" t="s">
        <v>131</v>
      </c>
      <c r="M1070" s="4" t="s">
        <v>63</v>
      </c>
      <c r="N1070" s="4" t="s">
        <v>132</v>
      </c>
      <c r="O1070" s="2" t="s">
        <v>132</v>
      </c>
      <c r="P1070" s="2">
        <v>7.71350694E8</v>
      </c>
      <c r="Q1070" s="2" t="s">
        <v>68</v>
      </c>
      <c r="R1070" s="4" t="s">
        <v>6916</v>
      </c>
    </row>
    <row r="1071">
      <c r="A1071" s="4" t="s">
        <v>44</v>
      </c>
      <c r="B1071" s="4" t="s">
        <v>44</v>
      </c>
      <c r="C1071" s="4">
        <v>1070.0</v>
      </c>
      <c r="D1071" s="13" t="str">
        <f>HYPERLINK("https://www.linkedin.com/ad-library/detail/771390434","Open Ad")</f>
        <v>Open Ad</v>
      </c>
      <c r="E1071" s="4" t="s">
        <v>91</v>
      </c>
      <c r="F1071" s="4" t="s">
        <v>53</v>
      </c>
      <c r="G1071" s="4" t="s">
        <v>6915</v>
      </c>
      <c r="H1071" s="4" t="s">
        <v>55</v>
      </c>
      <c r="I1071" s="4" t="s">
        <v>985</v>
      </c>
      <c r="J1071" s="4" t="s">
        <v>91</v>
      </c>
      <c r="K1071" s="4" t="s">
        <v>60</v>
      </c>
      <c r="L1071" s="4" t="s">
        <v>131</v>
      </c>
      <c r="M1071" s="4" t="s">
        <v>63</v>
      </c>
      <c r="N1071" s="4" t="s">
        <v>132</v>
      </c>
      <c r="O1071" s="2" t="s">
        <v>132</v>
      </c>
      <c r="P1071" s="2">
        <v>7.71390434E8</v>
      </c>
      <c r="Q1071" s="2" t="s">
        <v>68</v>
      </c>
      <c r="R1071" s="4" t="s">
        <v>6916</v>
      </c>
    </row>
    <row r="1072">
      <c r="A1072" s="4" t="s">
        <v>44</v>
      </c>
      <c r="B1072" s="4" t="s">
        <v>44</v>
      </c>
      <c r="C1072" s="4">
        <v>1071.0</v>
      </c>
      <c r="D1072" s="13" t="str">
        <f>HYPERLINK("https://www.linkedin.com/ad-library/detail/771290934","Open Ad")</f>
        <v>Open Ad</v>
      </c>
      <c r="E1072" s="4" t="s">
        <v>91</v>
      </c>
      <c r="F1072" s="4" t="s">
        <v>53</v>
      </c>
      <c r="G1072" s="4" t="s">
        <v>6915</v>
      </c>
      <c r="H1072" s="4" t="s">
        <v>55</v>
      </c>
      <c r="I1072" s="4" t="s">
        <v>985</v>
      </c>
      <c r="J1072" s="4" t="s">
        <v>91</v>
      </c>
      <c r="K1072" s="4" t="s">
        <v>60</v>
      </c>
      <c r="L1072" s="4" t="s">
        <v>131</v>
      </c>
      <c r="M1072" s="4" t="s">
        <v>63</v>
      </c>
      <c r="N1072" s="4" t="s">
        <v>132</v>
      </c>
      <c r="O1072" s="2" t="s">
        <v>132</v>
      </c>
      <c r="P1072" s="2">
        <v>7.71290934E8</v>
      </c>
      <c r="Q1072" s="2" t="s">
        <v>68</v>
      </c>
      <c r="R1072" s="4" t="s">
        <v>6916</v>
      </c>
    </row>
    <row r="1073">
      <c r="A1073" s="4" t="s">
        <v>44</v>
      </c>
      <c r="B1073" s="4" t="s">
        <v>44</v>
      </c>
      <c r="C1073" s="4">
        <v>1072.0</v>
      </c>
      <c r="D1073" s="13" t="str">
        <f>HYPERLINK("https://www.linkedin.com/ad-library/detail/771290944","Open Ad")</f>
        <v>Open Ad</v>
      </c>
      <c r="E1073" s="4" t="s">
        <v>91</v>
      </c>
      <c r="F1073" s="4" t="s">
        <v>53</v>
      </c>
      <c r="G1073" s="4" t="s">
        <v>6915</v>
      </c>
      <c r="H1073" s="4" t="s">
        <v>55</v>
      </c>
      <c r="I1073" s="4" t="s">
        <v>985</v>
      </c>
      <c r="J1073" s="4" t="s">
        <v>91</v>
      </c>
      <c r="K1073" s="4" t="s">
        <v>60</v>
      </c>
      <c r="L1073" s="4" t="s">
        <v>131</v>
      </c>
      <c r="M1073" s="4" t="s">
        <v>63</v>
      </c>
      <c r="N1073" s="4" t="s">
        <v>132</v>
      </c>
      <c r="O1073" s="2" t="s">
        <v>132</v>
      </c>
      <c r="P1073" s="2">
        <v>7.71290944E8</v>
      </c>
      <c r="Q1073" s="2" t="s">
        <v>68</v>
      </c>
      <c r="R1073" s="4" t="s">
        <v>6916</v>
      </c>
    </row>
    <row r="1074">
      <c r="A1074" s="4" t="s">
        <v>44</v>
      </c>
      <c r="B1074" s="4" t="s">
        <v>44</v>
      </c>
      <c r="C1074" s="4">
        <v>1073.0</v>
      </c>
      <c r="D1074" s="13" t="str">
        <f>HYPERLINK("https://www.linkedin.com/ad-library/detail/771370754","Open Ad")</f>
        <v>Open Ad</v>
      </c>
      <c r="E1074" s="4" t="s">
        <v>91</v>
      </c>
      <c r="F1074" s="4" t="s">
        <v>53</v>
      </c>
      <c r="G1074" s="4" t="s">
        <v>6915</v>
      </c>
      <c r="H1074" s="4" t="s">
        <v>55</v>
      </c>
      <c r="I1074" s="4" t="s">
        <v>985</v>
      </c>
      <c r="J1074" s="4" t="s">
        <v>91</v>
      </c>
      <c r="K1074" s="4" t="s">
        <v>60</v>
      </c>
      <c r="L1074" s="4" t="s">
        <v>131</v>
      </c>
      <c r="M1074" s="4" t="s">
        <v>63</v>
      </c>
      <c r="N1074" s="4" t="s">
        <v>132</v>
      </c>
      <c r="O1074" s="2" t="s">
        <v>132</v>
      </c>
      <c r="P1074" s="2">
        <v>7.71370754E8</v>
      </c>
      <c r="Q1074" s="2" t="s">
        <v>68</v>
      </c>
      <c r="R1074" s="4" t="s">
        <v>6916</v>
      </c>
    </row>
    <row r="1075">
      <c r="A1075" s="4" t="s">
        <v>44</v>
      </c>
      <c r="B1075" s="4" t="s">
        <v>44</v>
      </c>
      <c r="C1075" s="4">
        <v>1074.0</v>
      </c>
      <c r="D1075" s="13" t="str">
        <f>HYPERLINK("https://www.linkedin.com/ad-library/detail/771300854","Open Ad")</f>
        <v>Open Ad</v>
      </c>
      <c r="E1075" s="4" t="s">
        <v>91</v>
      </c>
      <c r="F1075" s="4" t="s">
        <v>53</v>
      </c>
      <c r="G1075" s="4" t="s">
        <v>6915</v>
      </c>
      <c r="H1075" s="4" t="s">
        <v>55</v>
      </c>
      <c r="I1075" s="4" t="s">
        <v>985</v>
      </c>
      <c r="J1075" s="4" t="s">
        <v>91</v>
      </c>
      <c r="K1075" s="4" t="s">
        <v>60</v>
      </c>
      <c r="L1075" s="4" t="s">
        <v>131</v>
      </c>
      <c r="M1075" s="4" t="s">
        <v>63</v>
      </c>
      <c r="N1075" s="4" t="s">
        <v>132</v>
      </c>
      <c r="O1075" s="2" t="s">
        <v>132</v>
      </c>
      <c r="P1075" s="2">
        <v>7.71300854E8</v>
      </c>
      <c r="Q1075" s="2" t="s">
        <v>68</v>
      </c>
      <c r="R1075" s="4" t="s">
        <v>6916</v>
      </c>
    </row>
    <row r="1076">
      <c r="A1076" s="4" t="s">
        <v>44</v>
      </c>
      <c r="B1076" s="4" t="s">
        <v>44</v>
      </c>
      <c r="C1076" s="4">
        <v>1075.0</v>
      </c>
      <c r="D1076" s="13" t="str">
        <f>HYPERLINK("https://www.linkedin.com/ad-library/detail/771320844","Open Ad")</f>
        <v>Open Ad</v>
      </c>
      <c r="E1076" s="4" t="s">
        <v>91</v>
      </c>
      <c r="F1076" s="4" t="s">
        <v>53</v>
      </c>
      <c r="G1076" s="4" t="s">
        <v>6915</v>
      </c>
      <c r="H1076" s="4" t="s">
        <v>55</v>
      </c>
      <c r="I1076" s="4" t="s">
        <v>985</v>
      </c>
      <c r="J1076" s="4" t="s">
        <v>91</v>
      </c>
      <c r="K1076" s="4" t="s">
        <v>60</v>
      </c>
      <c r="L1076" s="4" t="s">
        <v>131</v>
      </c>
      <c r="M1076" s="4" t="s">
        <v>63</v>
      </c>
      <c r="N1076" s="4" t="s">
        <v>132</v>
      </c>
      <c r="O1076" s="2" t="s">
        <v>132</v>
      </c>
      <c r="P1076" s="2">
        <v>7.71320844E8</v>
      </c>
      <c r="Q1076" s="2" t="s">
        <v>68</v>
      </c>
      <c r="R1076" s="4" t="s">
        <v>6916</v>
      </c>
    </row>
    <row r="1077">
      <c r="A1077" s="4" t="s">
        <v>44</v>
      </c>
      <c r="B1077" s="4" t="s">
        <v>44</v>
      </c>
      <c r="C1077" s="4">
        <v>1076.0</v>
      </c>
      <c r="D1077" s="13" t="str">
        <f>HYPERLINK("https://www.linkedin.com/ad-library/detail/771290974","Open Ad")</f>
        <v>Open Ad</v>
      </c>
      <c r="E1077" s="4" t="s">
        <v>91</v>
      </c>
      <c r="F1077" s="4" t="s">
        <v>53</v>
      </c>
      <c r="G1077" s="4" t="s">
        <v>6915</v>
      </c>
      <c r="H1077" s="4" t="s">
        <v>55</v>
      </c>
      <c r="I1077" s="4" t="s">
        <v>985</v>
      </c>
      <c r="J1077" s="4" t="s">
        <v>91</v>
      </c>
      <c r="K1077" s="4" t="s">
        <v>60</v>
      </c>
      <c r="L1077" s="4" t="s">
        <v>131</v>
      </c>
      <c r="M1077" s="4" t="s">
        <v>63</v>
      </c>
      <c r="N1077" s="4" t="s">
        <v>132</v>
      </c>
      <c r="O1077" s="2" t="s">
        <v>132</v>
      </c>
      <c r="P1077" s="2">
        <v>7.71290974E8</v>
      </c>
      <c r="Q1077" s="2" t="s">
        <v>68</v>
      </c>
      <c r="R1077" s="4" t="s">
        <v>6916</v>
      </c>
    </row>
    <row r="1078">
      <c r="A1078" s="4" t="s">
        <v>44</v>
      </c>
      <c r="B1078" s="4" t="s">
        <v>44</v>
      </c>
      <c r="C1078" s="4">
        <v>1077.0</v>
      </c>
      <c r="D1078" s="13" t="str">
        <f>HYPERLINK("https://www.linkedin.com/ad-library/detail/771290954","Open Ad")</f>
        <v>Open Ad</v>
      </c>
      <c r="E1078" s="4" t="s">
        <v>91</v>
      </c>
      <c r="F1078" s="4" t="s">
        <v>53</v>
      </c>
      <c r="G1078" s="4" t="s">
        <v>6915</v>
      </c>
      <c r="H1078" s="4" t="s">
        <v>55</v>
      </c>
      <c r="I1078" s="4" t="s">
        <v>985</v>
      </c>
      <c r="J1078" s="4" t="s">
        <v>91</v>
      </c>
      <c r="K1078" s="4" t="s">
        <v>60</v>
      </c>
      <c r="L1078" s="4" t="s">
        <v>131</v>
      </c>
      <c r="M1078" s="4" t="s">
        <v>63</v>
      </c>
      <c r="N1078" s="4" t="s">
        <v>132</v>
      </c>
      <c r="O1078" s="2" t="s">
        <v>132</v>
      </c>
      <c r="P1078" s="2">
        <v>7.71290954E8</v>
      </c>
      <c r="Q1078" s="2" t="s">
        <v>68</v>
      </c>
      <c r="R1078" s="4" t="s">
        <v>6916</v>
      </c>
    </row>
    <row r="1079">
      <c r="A1079" s="4" t="s">
        <v>44</v>
      </c>
      <c r="B1079" s="4" t="s">
        <v>44</v>
      </c>
      <c r="C1079" s="4">
        <v>1078.0</v>
      </c>
      <c r="D1079" s="13" t="str">
        <f>HYPERLINK("https://www.linkedin.com/ad-library/detail/771270874","Open Ad")</f>
        <v>Open Ad</v>
      </c>
      <c r="E1079" s="4" t="s">
        <v>91</v>
      </c>
      <c r="F1079" s="4" t="s">
        <v>53</v>
      </c>
      <c r="G1079" s="4" t="s">
        <v>6915</v>
      </c>
      <c r="H1079" s="4" t="s">
        <v>55</v>
      </c>
      <c r="I1079" s="4" t="s">
        <v>985</v>
      </c>
      <c r="J1079" s="4" t="s">
        <v>91</v>
      </c>
      <c r="K1079" s="4" t="s">
        <v>60</v>
      </c>
      <c r="L1079" s="4" t="s">
        <v>131</v>
      </c>
      <c r="M1079" s="4" t="s">
        <v>63</v>
      </c>
      <c r="N1079" s="4" t="s">
        <v>132</v>
      </c>
      <c r="O1079" s="2" t="s">
        <v>132</v>
      </c>
      <c r="P1079" s="2">
        <v>7.71270874E8</v>
      </c>
      <c r="Q1079" s="2" t="s">
        <v>68</v>
      </c>
      <c r="R1079" s="4" t="s">
        <v>6916</v>
      </c>
    </row>
    <row r="1080">
      <c r="A1080" s="4" t="s">
        <v>44</v>
      </c>
      <c r="B1080" s="4" t="s">
        <v>44</v>
      </c>
      <c r="C1080" s="4">
        <v>1079.0</v>
      </c>
      <c r="D1080" s="13" t="str">
        <f>HYPERLINK("https://www.linkedin.com/ad-library/detail/771310804","Open Ad")</f>
        <v>Open Ad</v>
      </c>
      <c r="E1080" s="4" t="s">
        <v>91</v>
      </c>
      <c r="F1080" s="4" t="s">
        <v>53</v>
      </c>
      <c r="G1080" s="4" t="s">
        <v>6915</v>
      </c>
      <c r="H1080" s="4" t="s">
        <v>55</v>
      </c>
      <c r="I1080" s="4" t="s">
        <v>985</v>
      </c>
      <c r="J1080" s="4" t="s">
        <v>91</v>
      </c>
      <c r="K1080" s="4" t="s">
        <v>60</v>
      </c>
      <c r="L1080" s="4" t="s">
        <v>131</v>
      </c>
      <c r="M1080" s="4" t="s">
        <v>63</v>
      </c>
      <c r="N1080" s="4" t="s">
        <v>132</v>
      </c>
      <c r="O1080" s="2" t="s">
        <v>132</v>
      </c>
      <c r="P1080" s="2">
        <v>7.71310804E8</v>
      </c>
      <c r="Q1080" s="2" t="s">
        <v>68</v>
      </c>
      <c r="R1080" s="4" t="s">
        <v>6916</v>
      </c>
    </row>
    <row r="1081">
      <c r="A1081" s="4" t="s">
        <v>44</v>
      </c>
      <c r="B1081" s="4" t="s">
        <v>44</v>
      </c>
      <c r="C1081" s="4">
        <v>1080.0</v>
      </c>
      <c r="D1081" s="13" t="str">
        <f>HYPERLINK("https://www.linkedin.com/ad-library/detail/771290964","Open Ad")</f>
        <v>Open Ad</v>
      </c>
      <c r="E1081" s="4" t="s">
        <v>91</v>
      </c>
      <c r="F1081" s="4" t="s">
        <v>53</v>
      </c>
      <c r="G1081" s="4" t="s">
        <v>6915</v>
      </c>
      <c r="H1081" s="4" t="s">
        <v>55</v>
      </c>
      <c r="I1081" s="4" t="s">
        <v>985</v>
      </c>
      <c r="J1081" s="4" t="s">
        <v>91</v>
      </c>
      <c r="K1081" s="4" t="s">
        <v>60</v>
      </c>
      <c r="L1081" s="4" t="s">
        <v>131</v>
      </c>
      <c r="M1081" s="4" t="s">
        <v>63</v>
      </c>
      <c r="N1081" s="4" t="s">
        <v>132</v>
      </c>
      <c r="O1081" s="2" t="s">
        <v>132</v>
      </c>
      <c r="P1081" s="2">
        <v>7.71290964E8</v>
      </c>
      <c r="Q1081" s="2" t="s">
        <v>68</v>
      </c>
      <c r="R1081" s="4" t="s">
        <v>6916</v>
      </c>
    </row>
    <row r="1082">
      <c r="A1082" s="4" t="s">
        <v>44</v>
      </c>
      <c r="B1082" s="4" t="s">
        <v>44</v>
      </c>
      <c r="C1082" s="4">
        <v>1081.0</v>
      </c>
      <c r="D1082" s="13" t="str">
        <f>HYPERLINK("https://www.linkedin.com/ad-library/detail/771440224","Open Ad")</f>
        <v>Open Ad</v>
      </c>
      <c r="E1082" s="4" t="s">
        <v>91</v>
      </c>
      <c r="F1082" s="4" t="s">
        <v>53</v>
      </c>
      <c r="G1082" s="4" t="s">
        <v>6915</v>
      </c>
      <c r="H1082" s="4" t="s">
        <v>55</v>
      </c>
      <c r="I1082" s="4" t="s">
        <v>985</v>
      </c>
      <c r="J1082" s="4" t="s">
        <v>91</v>
      </c>
      <c r="K1082" s="4" t="s">
        <v>60</v>
      </c>
      <c r="L1082" s="4" t="s">
        <v>131</v>
      </c>
      <c r="M1082" s="4" t="s">
        <v>63</v>
      </c>
      <c r="N1082" s="4" t="s">
        <v>132</v>
      </c>
      <c r="O1082" s="2" t="s">
        <v>132</v>
      </c>
      <c r="P1082" s="2">
        <v>7.71440224E8</v>
      </c>
      <c r="Q1082" s="2" t="s">
        <v>68</v>
      </c>
      <c r="R1082" s="4" t="s">
        <v>6916</v>
      </c>
    </row>
    <row r="1083">
      <c r="A1083" s="4" t="s">
        <v>44</v>
      </c>
      <c r="B1083" s="4" t="s">
        <v>44</v>
      </c>
      <c r="C1083" s="4">
        <v>1082.0</v>
      </c>
      <c r="D1083" s="13" t="str">
        <f>HYPERLINK("https://www.linkedin.com/ad-library/detail/771420334","Open Ad")</f>
        <v>Open Ad</v>
      </c>
      <c r="E1083" s="4" t="s">
        <v>91</v>
      </c>
      <c r="F1083" s="4" t="s">
        <v>53</v>
      </c>
      <c r="G1083" s="4" t="s">
        <v>6915</v>
      </c>
      <c r="H1083" s="4" t="s">
        <v>55</v>
      </c>
      <c r="I1083" s="4" t="s">
        <v>985</v>
      </c>
      <c r="J1083" s="4" t="s">
        <v>91</v>
      </c>
      <c r="K1083" s="4" t="s">
        <v>60</v>
      </c>
      <c r="L1083" s="4" t="s">
        <v>131</v>
      </c>
      <c r="M1083" s="4" t="s">
        <v>63</v>
      </c>
      <c r="N1083" s="4" t="s">
        <v>132</v>
      </c>
      <c r="O1083" s="2" t="s">
        <v>132</v>
      </c>
      <c r="P1083" s="2">
        <v>7.71420334E8</v>
      </c>
      <c r="Q1083" s="2" t="s">
        <v>68</v>
      </c>
      <c r="R1083" s="4" t="s">
        <v>6916</v>
      </c>
    </row>
    <row r="1084">
      <c r="A1084" s="4" t="s">
        <v>44</v>
      </c>
      <c r="B1084" s="4" t="s">
        <v>44</v>
      </c>
      <c r="C1084" s="4">
        <v>1083.0</v>
      </c>
      <c r="D1084" s="13" t="str">
        <f>HYPERLINK("https://www.linkedin.com/ad-library/detail/771420344","Open Ad")</f>
        <v>Open Ad</v>
      </c>
      <c r="E1084" s="4" t="s">
        <v>91</v>
      </c>
      <c r="F1084" s="4" t="s">
        <v>53</v>
      </c>
      <c r="G1084" s="4" t="s">
        <v>6915</v>
      </c>
      <c r="H1084" s="4" t="s">
        <v>55</v>
      </c>
      <c r="I1084" s="4" t="s">
        <v>985</v>
      </c>
      <c r="J1084" s="4" t="s">
        <v>91</v>
      </c>
      <c r="K1084" s="4" t="s">
        <v>60</v>
      </c>
      <c r="L1084" s="4" t="s">
        <v>131</v>
      </c>
      <c r="M1084" s="4" t="s">
        <v>63</v>
      </c>
      <c r="N1084" s="4" t="s">
        <v>132</v>
      </c>
      <c r="O1084" s="2" t="s">
        <v>132</v>
      </c>
      <c r="P1084" s="2">
        <v>7.71420344E8</v>
      </c>
      <c r="Q1084" s="2" t="s">
        <v>68</v>
      </c>
      <c r="R1084" s="4" t="s">
        <v>6916</v>
      </c>
    </row>
    <row r="1085">
      <c r="A1085" s="4" t="s">
        <v>44</v>
      </c>
      <c r="B1085" s="4" t="s">
        <v>44</v>
      </c>
      <c r="C1085" s="4">
        <v>1084.0</v>
      </c>
      <c r="D1085" s="13" t="str">
        <f>HYPERLINK("https://www.linkedin.com/ad-library/detail/771350674","Open Ad")</f>
        <v>Open Ad</v>
      </c>
      <c r="E1085" s="4" t="s">
        <v>91</v>
      </c>
      <c r="F1085" s="4" t="s">
        <v>6643</v>
      </c>
      <c r="G1085" s="4" t="s">
        <v>6644</v>
      </c>
      <c r="H1085" s="4" t="s">
        <v>55</v>
      </c>
      <c r="I1085" s="4" t="s">
        <v>6645</v>
      </c>
      <c r="J1085" s="4" t="s">
        <v>91</v>
      </c>
      <c r="K1085" s="13" t="str">
        <f>HYPERLINK("https://media.licdn.com/dms/image/v2/D4E10AQE55Q5GFFve1g/image-shrink_1280/B4EZlwmOXxGoAM-/0/1758530693269?e=2147483647&amp;v=beta&amp;t=rKPcLditPdhvgXca9yYZh7ZaVYCFiUboiQTNeeTlll0","Open Creative")</f>
        <v>Open Creative</v>
      </c>
      <c r="L1085" s="4" t="s">
        <v>62</v>
      </c>
      <c r="M1085" s="4" t="s">
        <v>63</v>
      </c>
      <c r="N1085" s="4" t="s">
        <v>7080</v>
      </c>
      <c r="O1085" s="2" t="s">
        <v>132</v>
      </c>
      <c r="P1085" s="2">
        <v>7.71350674E8</v>
      </c>
      <c r="Q1085" s="2" t="s">
        <v>68</v>
      </c>
      <c r="R1085" s="4" t="s">
        <v>7081</v>
      </c>
    </row>
    <row r="1086">
      <c r="A1086" s="4" t="s">
        <v>44</v>
      </c>
      <c r="B1086" s="4" t="s">
        <v>44</v>
      </c>
      <c r="C1086" s="4">
        <v>1085.0</v>
      </c>
      <c r="D1086" s="13" t="str">
        <f>HYPERLINK("https://www.linkedin.com/ad-library/detail/771390414","Open Ad")</f>
        <v>Open Ad</v>
      </c>
      <c r="E1086" s="4" t="s">
        <v>91</v>
      </c>
      <c r="F1086" s="4" t="s">
        <v>53</v>
      </c>
      <c r="G1086" s="4" t="s">
        <v>6915</v>
      </c>
      <c r="H1086" s="4" t="s">
        <v>55</v>
      </c>
      <c r="I1086" s="4" t="s">
        <v>985</v>
      </c>
      <c r="J1086" s="4" t="s">
        <v>91</v>
      </c>
      <c r="K1086" s="4" t="s">
        <v>60</v>
      </c>
      <c r="L1086" s="4" t="s">
        <v>131</v>
      </c>
      <c r="M1086" s="4" t="s">
        <v>63</v>
      </c>
      <c r="N1086" s="4" t="s">
        <v>132</v>
      </c>
      <c r="O1086" s="2" t="s">
        <v>132</v>
      </c>
      <c r="P1086" s="2">
        <v>7.71390414E8</v>
      </c>
      <c r="Q1086" s="2" t="s">
        <v>68</v>
      </c>
      <c r="R1086" s="4" t="s">
        <v>6916</v>
      </c>
    </row>
    <row r="1087">
      <c r="A1087" s="4" t="s">
        <v>44</v>
      </c>
      <c r="B1087" s="4" t="s">
        <v>44</v>
      </c>
      <c r="C1087" s="4">
        <v>1086.0</v>
      </c>
      <c r="D1087" s="13" t="str">
        <f>HYPERLINK("https://www.linkedin.com/ad-library/detail/771350654","Open Ad")</f>
        <v>Open Ad</v>
      </c>
      <c r="E1087" s="4" t="s">
        <v>91</v>
      </c>
      <c r="F1087" s="4" t="s">
        <v>53</v>
      </c>
      <c r="G1087" s="4" t="s">
        <v>6915</v>
      </c>
      <c r="H1087" s="4" t="s">
        <v>55</v>
      </c>
      <c r="I1087" s="4" t="s">
        <v>985</v>
      </c>
      <c r="J1087" s="4" t="s">
        <v>91</v>
      </c>
      <c r="K1087" s="4" t="s">
        <v>60</v>
      </c>
      <c r="L1087" s="4" t="s">
        <v>131</v>
      </c>
      <c r="M1087" s="4" t="s">
        <v>63</v>
      </c>
      <c r="N1087" s="4" t="s">
        <v>132</v>
      </c>
      <c r="O1087" s="2" t="s">
        <v>132</v>
      </c>
      <c r="P1087" s="2">
        <v>7.71350654E8</v>
      </c>
      <c r="Q1087" s="2" t="s">
        <v>68</v>
      </c>
      <c r="R1087" s="4" t="s">
        <v>6916</v>
      </c>
    </row>
    <row r="1088">
      <c r="A1088" s="4" t="s">
        <v>44</v>
      </c>
      <c r="B1088" s="4" t="s">
        <v>44</v>
      </c>
      <c r="C1088" s="4">
        <v>1087.0</v>
      </c>
      <c r="D1088" s="13" t="str">
        <f>HYPERLINK("https://www.linkedin.com/ad-library/detail/771410404","Open Ad")</f>
        <v>Open Ad</v>
      </c>
      <c r="E1088" s="4" t="s">
        <v>91</v>
      </c>
      <c r="F1088" s="4" t="s">
        <v>53</v>
      </c>
      <c r="G1088" s="4" t="s">
        <v>6915</v>
      </c>
      <c r="H1088" s="4" t="s">
        <v>55</v>
      </c>
      <c r="I1088" s="4" t="s">
        <v>985</v>
      </c>
      <c r="J1088" s="4" t="s">
        <v>91</v>
      </c>
      <c r="K1088" s="4" t="s">
        <v>60</v>
      </c>
      <c r="L1088" s="4" t="s">
        <v>131</v>
      </c>
      <c r="M1088" s="4" t="s">
        <v>63</v>
      </c>
      <c r="N1088" s="4" t="s">
        <v>132</v>
      </c>
      <c r="O1088" s="2" t="s">
        <v>132</v>
      </c>
      <c r="P1088" s="2">
        <v>7.71410404E8</v>
      </c>
      <c r="Q1088" s="2" t="s">
        <v>68</v>
      </c>
      <c r="R1088" s="4" t="s">
        <v>6916</v>
      </c>
    </row>
    <row r="1089">
      <c r="A1089" s="4" t="s">
        <v>44</v>
      </c>
      <c r="B1089" s="4" t="s">
        <v>44</v>
      </c>
      <c r="C1089" s="4">
        <v>1088.0</v>
      </c>
      <c r="D1089" s="13" t="str">
        <f>HYPERLINK("https://www.linkedin.com/ad-library/detail/771410414","Open Ad")</f>
        <v>Open Ad</v>
      </c>
      <c r="E1089" s="4" t="s">
        <v>91</v>
      </c>
      <c r="F1089" s="4" t="s">
        <v>53</v>
      </c>
      <c r="G1089" s="4" t="s">
        <v>6915</v>
      </c>
      <c r="H1089" s="4" t="s">
        <v>55</v>
      </c>
      <c r="I1089" s="4" t="s">
        <v>985</v>
      </c>
      <c r="J1089" s="4" t="s">
        <v>91</v>
      </c>
      <c r="K1089" s="4" t="s">
        <v>60</v>
      </c>
      <c r="L1089" s="4" t="s">
        <v>131</v>
      </c>
      <c r="M1089" s="4" t="s">
        <v>63</v>
      </c>
      <c r="N1089" s="4" t="s">
        <v>132</v>
      </c>
      <c r="O1089" s="2" t="s">
        <v>132</v>
      </c>
      <c r="P1089" s="2">
        <v>7.71410414E8</v>
      </c>
      <c r="Q1089" s="2" t="s">
        <v>68</v>
      </c>
      <c r="R1089" s="4" t="s">
        <v>6916</v>
      </c>
    </row>
    <row r="1090">
      <c r="A1090" s="4" t="s">
        <v>44</v>
      </c>
      <c r="B1090" s="4" t="s">
        <v>44</v>
      </c>
      <c r="C1090" s="4">
        <v>1089.0</v>
      </c>
      <c r="D1090" s="13" t="str">
        <f>HYPERLINK("https://www.linkedin.com/ad-library/detail/771261304","Open Ad")</f>
        <v>Open Ad</v>
      </c>
      <c r="E1090" s="4" t="s">
        <v>91</v>
      </c>
      <c r="F1090" s="4" t="s">
        <v>53</v>
      </c>
      <c r="G1090" s="4" t="s">
        <v>6915</v>
      </c>
      <c r="H1090" s="4" t="s">
        <v>55</v>
      </c>
      <c r="I1090" s="4" t="s">
        <v>985</v>
      </c>
      <c r="J1090" s="4" t="s">
        <v>91</v>
      </c>
      <c r="K1090" s="4" t="s">
        <v>60</v>
      </c>
      <c r="L1090" s="4" t="s">
        <v>131</v>
      </c>
      <c r="M1090" s="4" t="s">
        <v>63</v>
      </c>
      <c r="N1090" s="4" t="s">
        <v>132</v>
      </c>
      <c r="O1090" s="2" t="s">
        <v>132</v>
      </c>
      <c r="P1090" s="2">
        <v>7.71261304E8</v>
      </c>
      <c r="Q1090" s="2" t="s">
        <v>68</v>
      </c>
      <c r="R1090" s="4" t="s">
        <v>6916</v>
      </c>
    </row>
    <row r="1091">
      <c r="A1091" s="4" t="s">
        <v>44</v>
      </c>
      <c r="B1091" s="4" t="s">
        <v>44</v>
      </c>
      <c r="C1091" s="4">
        <v>1090.0</v>
      </c>
      <c r="D1091" s="13" t="str">
        <f>HYPERLINK("https://www.linkedin.com/ad-library/detail/771261314","Open Ad")</f>
        <v>Open Ad</v>
      </c>
      <c r="E1091" s="4" t="s">
        <v>91</v>
      </c>
      <c r="F1091" s="4" t="s">
        <v>53</v>
      </c>
      <c r="G1091" s="4" t="s">
        <v>6915</v>
      </c>
      <c r="H1091" s="4" t="s">
        <v>55</v>
      </c>
      <c r="I1091" s="4" t="s">
        <v>985</v>
      </c>
      <c r="J1091" s="4" t="s">
        <v>91</v>
      </c>
      <c r="K1091" s="4" t="s">
        <v>60</v>
      </c>
      <c r="L1091" s="4" t="s">
        <v>131</v>
      </c>
      <c r="M1091" s="4" t="s">
        <v>63</v>
      </c>
      <c r="N1091" s="4" t="s">
        <v>132</v>
      </c>
      <c r="O1091" s="2" t="s">
        <v>132</v>
      </c>
      <c r="P1091" s="2">
        <v>7.71261314E8</v>
      </c>
      <c r="Q1091" s="2" t="s">
        <v>68</v>
      </c>
      <c r="R1091" s="4" t="s">
        <v>6916</v>
      </c>
    </row>
    <row r="1092">
      <c r="A1092" s="4" t="s">
        <v>44</v>
      </c>
      <c r="B1092" s="4" t="s">
        <v>44</v>
      </c>
      <c r="C1092" s="4">
        <v>1091.0</v>
      </c>
      <c r="D1092" s="13" t="str">
        <f>HYPERLINK("https://www.linkedin.com/ad-library/detail/771400494","Open Ad")</f>
        <v>Open Ad</v>
      </c>
      <c r="E1092" s="4" t="s">
        <v>91</v>
      </c>
      <c r="F1092" s="4" t="s">
        <v>53</v>
      </c>
      <c r="G1092" s="4" t="s">
        <v>6915</v>
      </c>
      <c r="H1092" s="4" t="s">
        <v>55</v>
      </c>
      <c r="I1092" s="4" t="s">
        <v>985</v>
      </c>
      <c r="J1092" s="4" t="s">
        <v>91</v>
      </c>
      <c r="K1092" s="4" t="s">
        <v>60</v>
      </c>
      <c r="L1092" s="4" t="s">
        <v>131</v>
      </c>
      <c r="M1092" s="4" t="s">
        <v>63</v>
      </c>
      <c r="N1092" s="4" t="s">
        <v>132</v>
      </c>
      <c r="O1092" s="2" t="s">
        <v>132</v>
      </c>
      <c r="P1092" s="2">
        <v>7.71400494E8</v>
      </c>
      <c r="Q1092" s="2" t="s">
        <v>68</v>
      </c>
      <c r="R1092" s="4" t="s">
        <v>6916</v>
      </c>
    </row>
    <row r="1093">
      <c r="A1093" s="4" t="s">
        <v>44</v>
      </c>
      <c r="B1093" s="4" t="s">
        <v>44</v>
      </c>
      <c r="C1093" s="4">
        <v>1092.0</v>
      </c>
      <c r="D1093" s="13" t="str">
        <f>HYPERLINK("https://www.linkedin.com/ad-library/detail/771430304","Open Ad")</f>
        <v>Open Ad</v>
      </c>
      <c r="E1093" s="4" t="s">
        <v>91</v>
      </c>
      <c r="F1093" s="4" t="s">
        <v>53</v>
      </c>
      <c r="G1093" s="4" t="s">
        <v>6915</v>
      </c>
      <c r="H1093" s="4" t="s">
        <v>55</v>
      </c>
      <c r="I1093" s="4" t="s">
        <v>985</v>
      </c>
      <c r="J1093" s="4" t="s">
        <v>91</v>
      </c>
      <c r="K1093" s="4" t="s">
        <v>60</v>
      </c>
      <c r="L1093" s="4" t="s">
        <v>131</v>
      </c>
      <c r="M1093" s="4" t="s">
        <v>63</v>
      </c>
      <c r="N1093" s="4" t="s">
        <v>132</v>
      </c>
      <c r="O1093" s="2" t="s">
        <v>132</v>
      </c>
      <c r="P1093" s="2">
        <v>7.71430304E8</v>
      </c>
      <c r="Q1093" s="2" t="s">
        <v>68</v>
      </c>
      <c r="R1093" s="4" t="s">
        <v>6916</v>
      </c>
    </row>
    <row r="1094">
      <c r="A1094" s="4" t="s">
        <v>44</v>
      </c>
      <c r="B1094" s="4" t="s">
        <v>44</v>
      </c>
      <c r="C1094" s="4">
        <v>1093.0</v>
      </c>
      <c r="D1094" s="13" t="str">
        <f>HYPERLINK("https://www.linkedin.com/ad-library/detail/771320774","Open Ad")</f>
        <v>Open Ad</v>
      </c>
      <c r="E1094" s="4" t="s">
        <v>91</v>
      </c>
      <c r="F1094" s="4" t="s">
        <v>53</v>
      </c>
      <c r="G1094" s="4" t="s">
        <v>6915</v>
      </c>
      <c r="H1094" s="4" t="s">
        <v>55</v>
      </c>
      <c r="I1094" s="4" t="s">
        <v>985</v>
      </c>
      <c r="J1094" s="4" t="s">
        <v>91</v>
      </c>
      <c r="K1094" s="4" t="s">
        <v>60</v>
      </c>
      <c r="L1094" s="4" t="s">
        <v>131</v>
      </c>
      <c r="M1094" s="4" t="s">
        <v>63</v>
      </c>
      <c r="N1094" s="4" t="s">
        <v>132</v>
      </c>
      <c r="O1094" s="2" t="s">
        <v>132</v>
      </c>
      <c r="P1094" s="2">
        <v>7.71320774E8</v>
      </c>
      <c r="Q1094" s="2" t="s">
        <v>68</v>
      </c>
      <c r="R1094" s="4" t="s">
        <v>6916</v>
      </c>
    </row>
    <row r="1095">
      <c r="A1095" s="4" t="s">
        <v>44</v>
      </c>
      <c r="B1095" s="4" t="s">
        <v>44</v>
      </c>
      <c r="C1095" s="4">
        <v>1094.0</v>
      </c>
      <c r="D1095" s="13" t="str">
        <f>HYPERLINK("https://www.linkedin.com/ad-library/detail/771290914","Open Ad")</f>
        <v>Open Ad</v>
      </c>
      <c r="E1095" s="4" t="s">
        <v>91</v>
      </c>
      <c r="F1095" s="4" t="s">
        <v>53</v>
      </c>
      <c r="G1095" s="4" t="s">
        <v>6915</v>
      </c>
      <c r="H1095" s="4" t="s">
        <v>55</v>
      </c>
      <c r="I1095" s="4" t="s">
        <v>985</v>
      </c>
      <c r="J1095" s="4" t="s">
        <v>91</v>
      </c>
      <c r="K1095" s="4" t="s">
        <v>60</v>
      </c>
      <c r="L1095" s="4" t="s">
        <v>131</v>
      </c>
      <c r="M1095" s="4" t="s">
        <v>63</v>
      </c>
      <c r="N1095" s="4" t="s">
        <v>132</v>
      </c>
      <c r="O1095" s="2" t="s">
        <v>132</v>
      </c>
      <c r="P1095" s="2">
        <v>7.71290914E8</v>
      </c>
      <c r="Q1095" s="2" t="s">
        <v>68</v>
      </c>
      <c r="R1095" s="4" t="s">
        <v>6916</v>
      </c>
    </row>
    <row r="1096">
      <c r="A1096" s="4" t="s">
        <v>44</v>
      </c>
      <c r="B1096" s="4" t="s">
        <v>44</v>
      </c>
      <c r="C1096" s="4">
        <v>1095.0</v>
      </c>
      <c r="D1096" s="13" t="str">
        <f>HYPERLINK("https://www.linkedin.com/ad-library/detail/771320794","Open Ad")</f>
        <v>Open Ad</v>
      </c>
      <c r="E1096" s="4" t="s">
        <v>91</v>
      </c>
      <c r="F1096" s="4" t="s">
        <v>53</v>
      </c>
      <c r="G1096" s="4" t="s">
        <v>6915</v>
      </c>
      <c r="H1096" s="4" t="s">
        <v>55</v>
      </c>
      <c r="I1096" s="4" t="s">
        <v>985</v>
      </c>
      <c r="J1096" s="4" t="s">
        <v>91</v>
      </c>
      <c r="K1096" s="4" t="s">
        <v>60</v>
      </c>
      <c r="L1096" s="4" t="s">
        <v>131</v>
      </c>
      <c r="M1096" s="4" t="s">
        <v>63</v>
      </c>
      <c r="N1096" s="4" t="s">
        <v>132</v>
      </c>
      <c r="O1096" s="2" t="s">
        <v>132</v>
      </c>
      <c r="P1096" s="2">
        <v>7.71320794E8</v>
      </c>
      <c r="Q1096" s="2" t="s">
        <v>68</v>
      </c>
      <c r="R1096" s="4" t="s">
        <v>6916</v>
      </c>
    </row>
    <row r="1097">
      <c r="A1097" s="4" t="s">
        <v>44</v>
      </c>
      <c r="B1097" s="4" t="s">
        <v>44</v>
      </c>
      <c r="C1097" s="4">
        <v>1096.0</v>
      </c>
      <c r="D1097" s="13" t="str">
        <f>HYPERLINK("https://www.linkedin.com/ad-library/detail/771290924","Open Ad")</f>
        <v>Open Ad</v>
      </c>
      <c r="E1097" s="4" t="s">
        <v>91</v>
      </c>
      <c r="F1097" s="4" t="s">
        <v>53</v>
      </c>
      <c r="G1097" s="4" t="s">
        <v>6915</v>
      </c>
      <c r="H1097" s="4" t="s">
        <v>55</v>
      </c>
      <c r="I1097" s="4" t="s">
        <v>985</v>
      </c>
      <c r="J1097" s="4" t="s">
        <v>91</v>
      </c>
      <c r="K1097" s="4" t="s">
        <v>60</v>
      </c>
      <c r="L1097" s="4" t="s">
        <v>131</v>
      </c>
      <c r="M1097" s="4" t="s">
        <v>63</v>
      </c>
      <c r="N1097" s="4" t="s">
        <v>132</v>
      </c>
      <c r="O1097" s="2" t="s">
        <v>132</v>
      </c>
      <c r="P1097" s="2">
        <v>7.71290924E8</v>
      </c>
      <c r="Q1097" s="2" t="s">
        <v>68</v>
      </c>
      <c r="R1097" s="4" t="s">
        <v>6916</v>
      </c>
    </row>
    <row r="1098">
      <c r="A1098" s="4" t="s">
        <v>44</v>
      </c>
      <c r="B1098" s="4" t="s">
        <v>44</v>
      </c>
      <c r="C1098" s="4">
        <v>1097.0</v>
      </c>
      <c r="D1098" s="13" t="str">
        <f>HYPERLINK("https://www.linkedin.com/ad-library/detail/771290904","Open Ad")</f>
        <v>Open Ad</v>
      </c>
      <c r="E1098" s="4" t="s">
        <v>91</v>
      </c>
      <c r="F1098" s="4" t="s">
        <v>53</v>
      </c>
      <c r="G1098" s="4" t="s">
        <v>6915</v>
      </c>
      <c r="H1098" s="4" t="s">
        <v>55</v>
      </c>
      <c r="I1098" s="4" t="s">
        <v>985</v>
      </c>
      <c r="J1098" s="4" t="s">
        <v>91</v>
      </c>
      <c r="K1098" s="4" t="s">
        <v>60</v>
      </c>
      <c r="L1098" s="4" t="s">
        <v>131</v>
      </c>
      <c r="M1098" s="4" t="s">
        <v>63</v>
      </c>
      <c r="N1098" s="4" t="s">
        <v>132</v>
      </c>
      <c r="O1098" s="2" t="s">
        <v>132</v>
      </c>
      <c r="P1098" s="2">
        <v>7.71290904E8</v>
      </c>
      <c r="Q1098" s="2" t="s">
        <v>68</v>
      </c>
      <c r="R1098" s="4" t="s">
        <v>6916</v>
      </c>
    </row>
    <row r="1099">
      <c r="A1099" s="4" t="s">
        <v>44</v>
      </c>
      <c r="B1099" s="4" t="s">
        <v>44</v>
      </c>
      <c r="C1099" s="4">
        <v>1098.0</v>
      </c>
      <c r="D1099" s="13" t="str">
        <f>HYPERLINK("https://www.linkedin.com/ad-library/detail/771400484","Open Ad")</f>
        <v>Open Ad</v>
      </c>
      <c r="E1099" s="4" t="s">
        <v>91</v>
      </c>
      <c r="F1099" s="4" t="s">
        <v>53</v>
      </c>
      <c r="G1099" s="4" t="s">
        <v>6915</v>
      </c>
      <c r="H1099" s="4" t="s">
        <v>55</v>
      </c>
      <c r="I1099" s="4" t="s">
        <v>985</v>
      </c>
      <c r="J1099" s="4" t="s">
        <v>91</v>
      </c>
      <c r="K1099" s="4" t="s">
        <v>60</v>
      </c>
      <c r="L1099" s="4" t="s">
        <v>131</v>
      </c>
      <c r="M1099" s="4" t="s">
        <v>63</v>
      </c>
      <c r="N1099" s="4" t="s">
        <v>132</v>
      </c>
      <c r="O1099" s="2" t="s">
        <v>132</v>
      </c>
      <c r="P1099" s="2">
        <v>7.71400484E8</v>
      </c>
      <c r="Q1099" s="2" t="s">
        <v>68</v>
      </c>
      <c r="R1099" s="4" t="s">
        <v>6916</v>
      </c>
    </row>
    <row r="1100">
      <c r="A1100" s="4" t="s">
        <v>44</v>
      </c>
      <c r="B1100" s="4" t="s">
        <v>44</v>
      </c>
      <c r="C1100" s="4">
        <v>1099.0</v>
      </c>
      <c r="D1100" s="13" t="str">
        <f>HYPERLINK("https://www.linkedin.com/ad-library/detail/771430274","Open Ad")</f>
        <v>Open Ad</v>
      </c>
      <c r="E1100" s="4" t="s">
        <v>91</v>
      </c>
      <c r="F1100" s="4" t="s">
        <v>53</v>
      </c>
      <c r="G1100" s="4" t="s">
        <v>6915</v>
      </c>
      <c r="H1100" s="4" t="s">
        <v>55</v>
      </c>
      <c r="I1100" s="4" t="s">
        <v>985</v>
      </c>
      <c r="J1100" s="4" t="s">
        <v>91</v>
      </c>
      <c r="K1100" s="4" t="s">
        <v>60</v>
      </c>
      <c r="L1100" s="4" t="s">
        <v>131</v>
      </c>
      <c r="M1100" s="4" t="s">
        <v>63</v>
      </c>
      <c r="N1100" s="4" t="s">
        <v>7080</v>
      </c>
      <c r="O1100" s="2" t="s">
        <v>67</v>
      </c>
      <c r="P1100" s="2">
        <v>7.71430274E8</v>
      </c>
      <c r="Q1100" s="2" t="s">
        <v>68</v>
      </c>
      <c r="R1100" s="4" t="s">
        <v>6916</v>
      </c>
    </row>
    <row r="1101">
      <c r="A1101" s="4" t="s">
        <v>44</v>
      </c>
      <c r="B1101" s="4" t="s">
        <v>44</v>
      </c>
      <c r="C1101" s="4">
        <v>1100.0</v>
      </c>
      <c r="D1101" s="13" t="str">
        <f>HYPERLINK("https://www.linkedin.com/ad-library/detail/771380504","Open Ad")</f>
        <v>Open Ad</v>
      </c>
      <c r="E1101" s="4" t="s">
        <v>91</v>
      </c>
      <c r="F1101" s="4" t="s">
        <v>53</v>
      </c>
      <c r="G1101" s="4" t="s">
        <v>6915</v>
      </c>
      <c r="H1101" s="4" t="s">
        <v>55</v>
      </c>
      <c r="I1101" s="4" t="s">
        <v>985</v>
      </c>
      <c r="J1101" s="4" t="s">
        <v>91</v>
      </c>
      <c r="K1101" s="4" t="s">
        <v>60</v>
      </c>
      <c r="L1101" s="4" t="s">
        <v>131</v>
      </c>
      <c r="M1101" s="4" t="s">
        <v>63</v>
      </c>
      <c r="N1101" s="4" t="s">
        <v>132</v>
      </c>
      <c r="O1101" s="2" t="s">
        <v>132</v>
      </c>
      <c r="P1101" s="2">
        <v>7.71380504E8</v>
      </c>
      <c r="Q1101" s="2" t="s">
        <v>68</v>
      </c>
      <c r="R1101" s="4" t="s">
        <v>6916</v>
      </c>
    </row>
    <row r="1102">
      <c r="A1102" s="4" t="s">
        <v>44</v>
      </c>
      <c r="B1102" s="4" t="s">
        <v>44</v>
      </c>
      <c r="C1102" s="4">
        <v>1101.0</v>
      </c>
      <c r="D1102" s="13" t="str">
        <f>HYPERLINK("https://www.linkedin.com/ad-library/detail/771430294","Open Ad")</f>
        <v>Open Ad</v>
      </c>
      <c r="E1102" s="4" t="s">
        <v>91</v>
      </c>
      <c r="F1102" s="4" t="s">
        <v>53</v>
      </c>
      <c r="G1102" s="4" t="s">
        <v>6915</v>
      </c>
      <c r="H1102" s="4" t="s">
        <v>55</v>
      </c>
      <c r="I1102" s="4" t="s">
        <v>985</v>
      </c>
      <c r="J1102" s="4" t="s">
        <v>91</v>
      </c>
      <c r="K1102" s="4" t="s">
        <v>60</v>
      </c>
      <c r="L1102" s="4" t="s">
        <v>131</v>
      </c>
      <c r="M1102" s="4" t="s">
        <v>63</v>
      </c>
      <c r="N1102" s="4" t="s">
        <v>132</v>
      </c>
      <c r="O1102" s="2" t="s">
        <v>132</v>
      </c>
      <c r="P1102" s="2">
        <v>7.71430294E8</v>
      </c>
      <c r="Q1102" s="2" t="s">
        <v>68</v>
      </c>
      <c r="R1102" s="4" t="s">
        <v>6916</v>
      </c>
    </row>
    <row r="1103">
      <c r="A1103" s="4" t="s">
        <v>44</v>
      </c>
      <c r="B1103" s="4" t="s">
        <v>44</v>
      </c>
      <c r="C1103" s="4">
        <v>1102.0</v>
      </c>
      <c r="D1103" s="13" t="str">
        <f>HYPERLINK("https://www.linkedin.com/ad-library/detail/771340564","Open Ad")</f>
        <v>Open Ad</v>
      </c>
      <c r="E1103" s="4" t="s">
        <v>91</v>
      </c>
      <c r="F1103" s="4" t="s">
        <v>53</v>
      </c>
      <c r="G1103" s="4" t="s">
        <v>6915</v>
      </c>
      <c r="H1103" s="4" t="s">
        <v>55</v>
      </c>
      <c r="I1103" s="4" t="s">
        <v>985</v>
      </c>
      <c r="J1103" s="4" t="s">
        <v>91</v>
      </c>
      <c r="K1103" s="4" t="s">
        <v>60</v>
      </c>
      <c r="L1103" s="4" t="s">
        <v>131</v>
      </c>
      <c r="M1103" s="4" t="s">
        <v>63</v>
      </c>
      <c r="N1103" s="4" t="s">
        <v>132</v>
      </c>
      <c r="O1103" s="2" t="s">
        <v>132</v>
      </c>
      <c r="P1103" s="2">
        <v>7.71340564E8</v>
      </c>
      <c r="Q1103" s="2" t="s">
        <v>68</v>
      </c>
      <c r="R1103" s="4" t="s">
        <v>6916</v>
      </c>
    </row>
    <row r="1104">
      <c r="A1104" s="4" t="s">
        <v>44</v>
      </c>
      <c r="B1104" s="4" t="s">
        <v>44</v>
      </c>
      <c r="C1104" s="4">
        <v>1103.0</v>
      </c>
      <c r="D1104" s="13" t="str">
        <f>HYPERLINK("https://www.linkedin.com/ad-library/detail/771430284","Open Ad")</f>
        <v>Open Ad</v>
      </c>
      <c r="E1104" s="4" t="s">
        <v>91</v>
      </c>
      <c r="F1104" s="4" t="s">
        <v>53</v>
      </c>
      <c r="G1104" s="4" t="s">
        <v>6915</v>
      </c>
      <c r="H1104" s="4" t="s">
        <v>55</v>
      </c>
      <c r="I1104" s="4" t="s">
        <v>985</v>
      </c>
      <c r="J1104" s="4" t="s">
        <v>91</v>
      </c>
      <c r="K1104" s="4" t="s">
        <v>60</v>
      </c>
      <c r="L1104" s="4" t="s">
        <v>131</v>
      </c>
      <c r="M1104" s="4" t="s">
        <v>63</v>
      </c>
      <c r="N1104" s="4" t="s">
        <v>132</v>
      </c>
      <c r="O1104" s="2" t="s">
        <v>132</v>
      </c>
      <c r="P1104" s="2">
        <v>7.71430284E8</v>
      </c>
      <c r="Q1104" s="2" t="s">
        <v>68</v>
      </c>
      <c r="R1104" s="4" t="s">
        <v>6916</v>
      </c>
    </row>
    <row r="1105">
      <c r="A1105" s="4" t="s">
        <v>44</v>
      </c>
      <c r="B1105" s="4" t="s">
        <v>44</v>
      </c>
      <c r="C1105" s="4">
        <v>1104.0</v>
      </c>
      <c r="D1105" s="13" t="str">
        <f>HYPERLINK("https://www.linkedin.com/ad-library/detail/771470024","Open Ad")</f>
        <v>Open Ad</v>
      </c>
      <c r="E1105" s="4" t="s">
        <v>91</v>
      </c>
      <c r="F1105" s="4" t="s">
        <v>53</v>
      </c>
      <c r="G1105" s="4" t="s">
        <v>6915</v>
      </c>
      <c r="H1105" s="4" t="s">
        <v>55</v>
      </c>
      <c r="I1105" s="4" t="s">
        <v>985</v>
      </c>
      <c r="J1105" s="4" t="s">
        <v>91</v>
      </c>
      <c r="K1105" s="4" t="s">
        <v>60</v>
      </c>
      <c r="L1105" s="4" t="s">
        <v>131</v>
      </c>
      <c r="M1105" s="4" t="s">
        <v>63</v>
      </c>
      <c r="N1105" s="4" t="s">
        <v>132</v>
      </c>
      <c r="O1105" s="2" t="s">
        <v>132</v>
      </c>
      <c r="P1105" s="2">
        <v>7.71470024E8</v>
      </c>
      <c r="Q1105" s="2" t="s">
        <v>68</v>
      </c>
      <c r="R1105" s="4" t="s">
        <v>6916</v>
      </c>
    </row>
    <row r="1106">
      <c r="A1106" s="4" t="s">
        <v>44</v>
      </c>
      <c r="B1106" s="4" t="s">
        <v>44</v>
      </c>
      <c r="C1106" s="4">
        <v>1105.0</v>
      </c>
      <c r="D1106" s="13" t="str">
        <f>HYPERLINK("https://www.linkedin.com/ad-library/detail/771439994","Open Ad")</f>
        <v>Open Ad</v>
      </c>
      <c r="E1106" s="4" t="s">
        <v>91</v>
      </c>
      <c r="F1106" s="4" t="s">
        <v>53</v>
      </c>
      <c r="G1106" s="4" t="s">
        <v>6915</v>
      </c>
      <c r="H1106" s="4" t="s">
        <v>55</v>
      </c>
      <c r="I1106" s="4" t="s">
        <v>985</v>
      </c>
      <c r="J1106" s="4" t="s">
        <v>91</v>
      </c>
      <c r="K1106" s="4" t="s">
        <v>60</v>
      </c>
      <c r="L1106" s="4" t="s">
        <v>131</v>
      </c>
      <c r="M1106" s="4" t="s">
        <v>63</v>
      </c>
      <c r="N1106" s="4" t="s">
        <v>132</v>
      </c>
      <c r="O1106" s="2" t="s">
        <v>132</v>
      </c>
      <c r="P1106" s="2">
        <v>7.71439994E8</v>
      </c>
      <c r="Q1106" s="2" t="s">
        <v>68</v>
      </c>
      <c r="R1106" s="4" t="s">
        <v>6916</v>
      </c>
    </row>
    <row r="1107">
      <c r="A1107" s="4" t="s">
        <v>44</v>
      </c>
      <c r="B1107" s="4" t="s">
        <v>44</v>
      </c>
      <c r="C1107" s="4">
        <v>1106.0</v>
      </c>
      <c r="D1107" s="13" t="str">
        <f>HYPERLINK("https://www.linkedin.com/ad-library/detail/771310754","Open Ad")</f>
        <v>Open Ad</v>
      </c>
      <c r="E1107" s="4" t="s">
        <v>91</v>
      </c>
      <c r="F1107" s="4" t="s">
        <v>53</v>
      </c>
      <c r="G1107" s="4" t="s">
        <v>6915</v>
      </c>
      <c r="H1107" s="4" t="s">
        <v>55</v>
      </c>
      <c r="I1107" s="4" t="s">
        <v>985</v>
      </c>
      <c r="J1107" s="4" t="s">
        <v>91</v>
      </c>
      <c r="K1107" s="4" t="s">
        <v>60</v>
      </c>
      <c r="L1107" s="4" t="s">
        <v>131</v>
      </c>
      <c r="M1107" s="4" t="s">
        <v>63</v>
      </c>
      <c r="N1107" s="4" t="s">
        <v>132</v>
      </c>
      <c r="O1107" s="2" t="s">
        <v>132</v>
      </c>
      <c r="P1107" s="2">
        <v>7.71310754E8</v>
      </c>
      <c r="Q1107" s="2" t="s">
        <v>68</v>
      </c>
      <c r="R1107" s="4" t="s">
        <v>6916</v>
      </c>
    </row>
    <row r="1108">
      <c r="A1108" s="4" t="s">
        <v>44</v>
      </c>
      <c r="B1108" s="4" t="s">
        <v>44</v>
      </c>
      <c r="C1108" s="4">
        <v>1107.0</v>
      </c>
      <c r="D1108" s="13" t="str">
        <f>HYPERLINK("https://www.linkedin.com/ad-library/detail/758593694","Open Ad")</f>
        <v>Open Ad</v>
      </c>
      <c r="E1108" s="4" t="s">
        <v>91</v>
      </c>
      <c r="F1108" s="4" t="s">
        <v>53</v>
      </c>
      <c r="G1108" s="4" t="s">
        <v>6915</v>
      </c>
      <c r="H1108" s="4" t="s">
        <v>55</v>
      </c>
      <c r="I1108" s="4" t="s">
        <v>985</v>
      </c>
      <c r="J1108" s="4" t="s">
        <v>91</v>
      </c>
      <c r="K1108" s="4" t="s">
        <v>60</v>
      </c>
      <c r="L1108" s="4" t="s">
        <v>131</v>
      </c>
      <c r="M1108" s="4" t="s">
        <v>63</v>
      </c>
      <c r="N1108" s="4" t="s">
        <v>132</v>
      </c>
      <c r="O1108" s="2" t="s">
        <v>132</v>
      </c>
      <c r="P1108" s="2">
        <v>7.58593694E8</v>
      </c>
      <c r="Q1108" s="2" t="s">
        <v>68</v>
      </c>
      <c r="R1108" s="4" t="s">
        <v>6916</v>
      </c>
    </row>
    <row r="1109">
      <c r="A1109" s="4" t="s">
        <v>44</v>
      </c>
      <c r="B1109" s="4" t="s">
        <v>44</v>
      </c>
      <c r="C1109" s="4">
        <v>1108.0</v>
      </c>
      <c r="D1109" s="13" t="str">
        <f>HYPERLINK("https://www.linkedin.com/ad-library/detail/771440204","Open Ad")</f>
        <v>Open Ad</v>
      </c>
      <c r="E1109" s="4" t="s">
        <v>91</v>
      </c>
      <c r="F1109" s="4" t="s">
        <v>53</v>
      </c>
      <c r="G1109" s="4" t="s">
        <v>6915</v>
      </c>
      <c r="H1109" s="4" t="s">
        <v>55</v>
      </c>
      <c r="I1109" s="4" t="s">
        <v>985</v>
      </c>
      <c r="J1109" s="4" t="s">
        <v>91</v>
      </c>
      <c r="K1109" s="4" t="s">
        <v>60</v>
      </c>
      <c r="L1109" s="4" t="s">
        <v>131</v>
      </c>
      <c r="M1109" s="4" t="s">
        <v>63</v>
      </c>
      <c r="N1109" s="4" t="s">
        <v>132</v>
      </c>
      <c r="O1109" s="2" t="s">
        <v>132</v>
      </c>
      <c r="P1109" s="2">
        <v>7.71440204E8</v>
      </c>
      <c r="Q1109" s="2" t="s">
        <v>68</v>
      </c>
      <c r="R1109" s="4" t="s">
        <v>6916</v>
      </c>
    </row>
    <row r="1110">
      <c r="A1110" s="4" t="s">
        <v>44</v>
      </c>
      <c r="B1110" s="4" t="s">
        <v>44</v>
      </c>
      <c r="C1110" s="4">
        <v>1109.0</v>
      </c>
      <c r="D1110" s="13" t="str">
        <f>HYPERLINK("https://www.linkedin.com/ad-library/detail/771420314","Open Ad")</f>
        <v>Open Ad</v>
      </c>
      <c r="E1110" s="4" t="s">
        <v>91</v>
      </c>
      <c r="F1110" s="4" t="s">
        <v>53</v>
      </c>
      <c r="G1110" s="4" t="s">
        <v>6915</v>
      </c>
      <c r="H1110" s="4" t="s">
        <v>55</v>
      </c>
      <c r="I1110" s="4" t="s">
        <v>985</v>
      </c>
      <c r="J1110" s="4" t="s">
        <v>91</v>
      </c>
      <c r="K1110" s="4" t="s">
        <v>60</v>
      </c>
      <c r="L1110" s="4" t="s">
        <v>131</v>
      </c>
      <c r="M1110" s="4" t="s">
        <v>63</v>
      </c>
      <c r="N1110" s="4" t="s">
        <v>132</v>
      </c>
      <c r="O1110" s="2" t="s">
        <v>132</v>
      </c>
      <c r="P1110" s="2">
        <v>7.71420314E8</v>
      </c>
      <c r="Q1110" s="2" t="s">
        <v>68</v>
      </c>
      <c r="R1110" s="4" t="s">
        <v>6916</v>
      </c>
    </row>
    <row r="1111">
      <c r="A1111" s="4" t="s">
        <v>44</v>
      </c>
      <c r="B1111" s="4" t="s">
        <v>44</v>
      </c>
      <c r="C1111" s="4">
        <v>1110.0</v>
      </c>
      <c r="D1111" s="13" t="str">
        <f>HYPERLINK("https://www.linkedin.com/ad-library/detail/771330444","Open Ad")</f>
        <v>Open Ad</v>
      </c>
      <c r="E1111" s="4" t="s">
        <v>91</v>
      </c>
      <c r="F1111" s="4" t="s">
        <v>53</v>
      </c>
      <c r="G1111" s="4" t="s">
        <v>6915</v>
      </c>
      <c r="H1111" s="4" t="s">
        <v>55</v>
      </c>
      <c r="I1111" s="4" t="s">
        <v>985</v>
      </c>
      <c r="J1111" s="4" t="s">
        <v>91</v>
      </c>
      <c r="K1111" s="4" t="s">
        <v>60</v>
      </c>
      <c r="L1111" s="4" t="s">
        <v>131</v>
      </c>
      <c r="M1111" s="4" t="s">
        <v>63</v>
      </c>
      <c r="N1111" s="4" t="s">
        <v>132</v>
      </c>
      <c r="O1111" s="2" t="s">
        <v>132</v>
      </c>
      <c r="P1111" s="2">
        <v>7.71330444E8</v>
      </c>
      <c r="Q1111" s="2" t="s">
        <v>68</v>
      </c>
      <c r="R1111" s="4" t="s">
        <v>6916</v>
      </c>
    </row>
    <row r="1112">
      <c r="A1112" s="4" t="s">
        <v>44</v>
      </c>
      <c r="B1112" s="4" t="s">
        <v>44</v>
      </c>
      <c r="C1112" s="4">
        <v>1111.0</v>
      </c>
      <c r="D1112" s="13" t="str">
        <f>HYPERLINK("https://www.linkedin.com/ad-library/detail/771310764","Open Ad")</f>
        <v>Open Ad</v>
      </c>
      <c r="E1112" s="4" t="s">
        <v>91</v>
      </c>
      <c r="F1112" s="4" t="s">
        <v>53</v>
      </c>
      <c r="G1112" s="4" t="s">
        <v>6915</v>
      </c>
      <c r="H1112" s="4" t="s">
        <v>55</v>
      </c>
      <c r="I1112" s="4" t="s">
        <v>985</v>
      </c>
      <c r="J1112" s="4" t="s">
        <v>91</v>
      </c>
      <c r="K1112" s="4" t="s">
        <v>60</v>
      </c>
      <c r="L1112" s="4" t="s">
        <v>131</v>
      </c>
      <c r="M1112" s="4" t="s">
        <v>63</v>
      </c>
      <c r="N1112" s="4" t="s">
        <v>132</v>
      </c>
      <c r="O1112" s="2" t="s">
        <v>132</v>
      </c>
      <c r="P1112" s="2">
        <v>7.71310764E8</v>
      </c>
      <c r="Q1112" s="2" t="s">
        <v>68</v>
      </c>
      <c r="R1112" s="4" t="s">
        <v>6916</v>
      </c>
    </row>
    <row r="1113">
      <c r="A1113" s="4" t="s">
        <v>44</v>
      </c>
      <c r="B1113" s="4" t="s">
        <v>44</v>
      </c>
      <c r="C1113" s="4">
        <v>1112.0</v>
      </c>
      <c r="D1113" s="13" t="str">
        <f>HYPERLINK("https://www.linkedin.com/ad-library/detail/758623354","Open Ad")</f>
        <v>Open Ad</v>
      </c>
      <c r="E1113" s="4" t="s">
        <v>91</v>
      </c>
      <c r="F1113" s="4" t="s">
        <v>53</v>
      </c>
      <c r="G1113" s="4" t="s">
        <v>6915</v>
      </c>
      <c r="H1113" s="4" t="s">
        <v>55</v>
      </c>
      <c r="I1113" s="4" t="s">
        <v>985</v>
      </c>
      <c r="J1113" s="4" t="s">
        <v>91</v>
      </c>
      <c r="K1113" s="4" t="s">
        <v>60</v>
      </c>
      <c r="L1113" s="4" t="s">
        <v>131</v>
      </c>
      <c r="M1113" s="4" t="s">
        <v>63</v>
      </c>
      <c r="N1113" s="4" t="s">
        <v>132</v>
      </c>
      <c r="O1113" s="2" t="s">
        <v>132</v>
      </c>
      <c r="P1113" s="2">
        <v>7.58623354E8</v>
      </c>
      <c r="Q1113" s="2" t="s">
        <v>68</v>
      </c>
      <c r="R1113" s="4" t="s">
        <v>6916</v>
      </c>
    </row>
    <row r="1114">
      <c r="A1114" s="4" t="s">
        <v>44</v>
      </c>
      <c r="B1114" s="4" t="s">
        <v>44</v>
      </c>
      <c r="C1114" s="4">
        <v>1113.0</v>
      </c>
      <c r="D1114" s="13" t="str">
        <f>HYPERLINK("https://www.linkedin.com/ad-library/detail/771390404","Open Ad")</f>
        <v>Open Ad</v>
      </c>
      <c r="E1114" s="4" t="s">
        <v>91</v>
      </c>
      <c r="F1114" s="4" t="s">
        <v>53</v>
      </c>
      <c r="G1114" s="4" t="s">
        <v>6915</v>
      </c>
      <c r="H1114" s="4" t="s">
        <v>55</v>
      </c>
      <c r="I1114" s="4" t="s">
        <v>985</v>
      </c>
      <c r="J1114" s="4" t="s">
        <v>91</v>
      </c>
      <c r="K1114" s="4" t="s">
        <v>60</v>
      </c>
      <c r="L1114" s="4" t="s">
        <v>131</v>
      </c>
      <c r="M1114" s="4" t="s">
        <v>63</v>
      </c>
      <c r="N1114" s="4" t="s">
        <v>132</v>
      </c>
      <c r="O1114" s="2" t="s">
        <v>132</v>
      </c>
      <c r="P1114" s="2">
        <v>7.71390404E8</v>
      </c>
      <c r="Q1114" s="2" t="s">
        <v>68</v>
      </c>
      <c r="R1114" s="4" t="s">
        <v>6916</v>
      </c>
    </row>
    <row r="1115">
      <c r="A1115" s="4" t="s">
        <v>44</v>
      </c>
      <c r="B1115" s="4" t="s">
        <v>44</v>
      </c>
      <c r="C1115" s="4">
        <v>1114.0</v>
      </c>
      <c r="D1115" s="13" t="str">
        <f>HYPERLINK("https://www.linkedin.com/ad-library/detail/771241444","Open Ad")</f>
        <v>Open Ad</v>
      </c>
      <c r="E1115" s="4" t="s">
        <v>91</v>
      </c>
      <c r="F1115" s="4" t="s">
        <v>53</v>
      </c>
      <c r="G1115" s="4" t="s">
        <v>6915</v>
      </c>
      <c r="H1115" s="4" t="s">
        <v>55</v>
      </c>
      <c r="I1115" s="4" t="s">
        <v>985</v>
      </c>
      <c r="J1115" s="4" t="s">
        <v>91</v>
      </c>
      <c r="K1115" s="4" t="s">
        <v>60</v>
      </c>
      <c r="L1115" s="4" t="s">
        <v>131</v>
      </c>
      <c r="M1115" s="4" t="s">
        <v>63</v>
      </c>
      <c r="N1115" s="4" t="s">
        <v>132</v>
      </c>
      <c r="O1115" s="2" t="s">
        <v>132</v>
      </c>
      <c r="P1115" s="2">
        <v>7.71241444E8</v>
      </c>
      <c r="Q1115" s="2" t="s">
        <v>68</v>
      </c>
      <c r="R1115" s="4" t="s">
        <v>6916</v>
      </c>
    </row>
    <row r="1116">
      <c r="A1116" s="4" t="s">
        <v>44</v>
      </c>
      <c r="B1116" s="4" t="s">
        <v>44</v>
      </c>
      <c r="C1116" s="4">
        <v>1115.0</v>
      </c>
      <c r="D1116" s="13" t="str">
        <f>HYPERLINK("https://www.linkedin.com/ad-library/detail/771280634","Open Ad")</f>
        <v>Open Ad</v>
      </c>
      <c r="E1116" s="4" t="s">
        <v>91</v>
      </c>
      <c r="F1116" s="4" t="s">
        <v>53</v>
      </c>
      <c r="G1116" s="4" t="s">
        <v>6915</v>
      </c>
      <c r="H1116" s="4" t="s">
        <v>55</v>
      </c>
      <c r="I1116" s="4" t="s">
        <v>985</v>
      </c>
      <c r="J1116" s="4" t="s">
        <v>91</v>
      </c>
      <c r="K1116" s="4" t="s">
        <v>60</v>
      </c>
      <c r="L1116" s="4" t="s">
        <v>131</v>
      </c>
      <c r="M1116" s="4" t="s">
        <v>63</v>
      </c>
      <c r="N1116" s="4" t="s">
        <v>132</v>
      </c>
      <c r="O1116" s="2" t="s">
        <v>132</v>
      </c>
      <c r="P1116" s="2">
        <v>7.71280634E8</v>
      </c>
      <c r="Q1116" s="2" t="s">
        <v>68</v>
      </c>
      <c r="R1116" s="4" t="s">
        <v>6916</v>
      </c>
    </row>
    <row r="1117">
      <c r="A1117" s="4" t="s">
        <v>44</v>
      </c>
      <c r="B1117" s="4" t="s">
        <v>44</v>
      </c>
      <c r="C1117" s="4">
        <v>1116.0</v>
      </c>
      <c r="D1117" s="13" t="str">
        <f>HYPERLINK("https://www.linkedin.com/ad-library/detail/758702554","Open Ad")</f>
        <v>Open Ad</v>
      </c>
      <c r="E1117" s="4" t="s">
        <v>91</v>
      </c>
      <c r="F1117" s="4" t="s">
        <v>53</v>
      </c>
      <c r="G1117" s="4" t="s">
        <v>6915</v>
      </c>
      <c r="H1117" s="4" t="s">
        <v>55</v>
      </c>
      <c r="I1117" s="4" t="s">
        <v>985</v>
      </c>
      <c r="J1117" s="4" t="s">
        <v>91</v>
      </c>
      <c r="K1117" s="4" t="s">
        <v>60</v>
      </c>
      <c r="L1117" s="4" t="s">
        <v>131</v>
      </c>
      <c r="M1117" s="4" t="s">
        <v>63</v>
      </c>
      <c r="N1117" s="4" t="s">
        <v>132</v>
      </c>
      <c r="O1117" s="2" t="s">
        <v>132</v>
      </c>
      <c r="P1117" s="2">
        <v>7.58702554E8</v>
      </c>
      <c r="Q1117" s="2" t="s">
        <v>68</v>
      </c>
      <c r="R1117" s="4" t="s">
        <v>6916</v>
      </c>
    </row>
    <row r="1118">
      <c r="A1118" s="4" t="s">
        <v>44</v>
      </c>
      <c r="B1118" s="4" t="s">
        <v>44</v>
      </c>
      <c r="C1118" s="4">
        <v>1117.0</v>
      </c>
      <c r="D1118" s="13" t="str">
        <f>HYPERLINK("https://www.linkedin.com/ad-library/detail/771261134","Open Ad")</f>
        <v>Open Ad</v>
      </c>
      <c r="E1118" s="4" t="s">
        <v>91</v>
      </c>
      <c r="F1118" s="4" t="s">
        <v>53</v>
      </c>
      <c r="G1118" s="4" t="s">
        <v>6915</v>
      </c>
      <c r="H1118" s="4" t="s">
        <v>55</v>
      </c>
      <c r="I1118" s="4" t="s">
        <v>985</v>
      </c>
      <c r="J1118" s="4" t="s">
        <v>91</v>
      </c>
      <c r="K1118" s="4" t="s">
        <v>60</v>
      </c>
      <c r="L1118" s="4" t="s">
        <v>131</v>
      </c>
      <c r="M1118" s="4" t="s">
        <v>63</v>
      </c>
      <c r="N1118" s="4" t="s">
        <v>132</v>
      </c>
      <c r="O1118" s="2" t="s">
        <v>132</v>
      </c>
      <c r="P1118" s="2">
        <v>7.71261134E8</v>
      </c>
      <c r="Q1118" s="2" t="s">
        <v>68</v>
      </c>
      <c r="R1118" s="4" t="s">
        <v>6916</v>
      </c>
    </row>
    <row r="1119">
      <c r="A1119" s="4" t="s">
        <v>44</v>
      </c>
      <c r="B1119" s="4" t="s">
        <v>44</v>
      </c>
      <c r="C1119" s="4">
        <v>1118.0</v>
      </c>
      <c r="D1119" s="13" t="str">
        <f>HYPERLINK("https://www.linkedin.com/ad-library/detail/758672734","Open Ad")</f>
        <v>Open Ad</v>
      </c>
      <c r="E1119" s="4" t="s">
        <v>91</v>
      </c>
      <c r="F1119" s="4" t="s">
        <v>53</v>
      </c>
      <c r="G1119" s="4" t="s">
        <v>6915</v>
      </c>
      <c r="H1119" s="4" t="s">
        <v>55</v>
      </c>
      <c r="I1119" s="4" t="s">
        <v>985</v>
      </c>
      <c r="J1119" s="4" t="s">
        <v>91</v>
      </c>
      <c r="K1119" s="4" t="s">
        <v>60</v>
      </c>
      <c r="L1119" s="4" t="s">
        <v>131</v>
      </c>
      <c r="M1119" s="4" t="s">
        <v>63</v>
      </c>
      <c r="N1119" s="4" t="s">
        <v>132</v>
      </c>
      <c r="O1119" s="2" t="s">
        <v>132</v>
      </c>
      <c r="P1119" s="2">
        <v>7.58672734E8</v>
      </c>
      <c r="Q1119" s="2" t="s">
        <v>68</v>
      </c>
      <c r="R1119" s="4" t="s">
        <v>6916</v>
      </c>
    </row>
    <row r="1120">
      <c r="A1120" s="4" t="s">
        <v>44</v>
      </c>
      <c r="B1120" s="4" t="s">
        <v>44</v>
      </c>
      <c r="C1120" s="4">
        <v>1119.0</v>
      </c>
      <c r="D1120" s="13" t="str">
        <f>HYPERLINK("https://www.linkedin.com/ad-library/detail/771261144","Open Ad")</f>
        <v>Open Ad</v>
      </c>
      <c r="E1120" s="4" t="s">
        <v>91</v>
      </c>
      <c r="F1120" s="4" t="s">
        <v>53</v>
      </c>
      <c r="G1120" s="4" t="s">
        <v>6915</v>
      </c>
      <c r="H1120" s="4" t="s">
        <v>55</v>
      </c>
      <c r="I1120" s="4" t="s">
        <v>985</v>
      </c>
      <c r="J1120" s="4" t="s">
        <v>91</v>
      </c>
      <c r="K1120" s="4" t="s">
        <v>60</v>
      </c>
      <c r="L1120" s="4" t="s">
        <v>131</v>
      </c>
      <c r="M1120" s="4" t="s">
        <v>63</v>
      </c>
      <c r="N1120" s="4" t="s">
        <v>132</v>
      </c>
      <c r="O1120" s="2" t="s">
        <v>132</v>
      </c>
      <c r="P1120" s="2">
        <v>7.71261144E8</v>
      </c>
      <c r="Q1120" s="2" t="s">
        <v>68</v>
      </c>
      <c r="R1120" s="4" t="s">
        <v>6916</v>
      </c>
    </row>
    <row r="1121">
      <c r="A1121" s="4" t="s">
        <v>44</v>
      </c>
      <c r="B1121" s="4" t="s">
        <v>44</v>
      </c>
      <c r="C1121" s="4">
        <v>1120.0</v>
      </c>
      <c r="D1121" s="13" t="str">
        <f>HYPERLINK("https://www.linkedin.com/ad-library/detail/771320754","Open Ad")</f>
        <v>Open Ad</v>
      </c>
      <c r="E1121" s="4" t="s">
        <v>91</v>
      </c>
      <c r="F1121" s="4" t="s">
        <v>53</v>
      </c>
      <c r="G1121" s="4" t="s">
        <v>6915</v>
      </c>
      <c r="H1121" s="4" t="s">
        <v>55</v>
      </c>
      <c r="I1121" s="4" t="s">
        <v>985</v>
      </c>
      <c r="J1121" s="4" t="s">
        <v>91</v>
      </c>
      <c r="K1121" s="4" t="s">
        <v>60</v>
      </c>
      <c r="L1121" s="4" t="s">
        <v>131</v>
      </c>
      <c r="M1121" s="4" t="s">
        <v>63</v>
      </c>
      <c r="N1121" s="4" t="s">
        <v>132</v>
      </c>
      <c r="O1121" s="2" t="s">
        <v>132</v>
      </c>
      <c r="P1121" s="2">
        <v>7.71320754E8</v>
      </c>
      <c r="Q1121" s="2" t="s">
        <v>68</v>
      </c>
      <c r="R1121" s="4" t="s">
        <v>6916</v>
      </c>
    </row>
    <row r="1122">
      <c r="A1122" s="4" t="s">
        <v>44</v>
      </c>
      <c r="B1122" s="4" t="s">
        <v>44</v>
      </c>
      <c r="C1122" s="4">
        <v>1121.0</v>
      </c>
      <c r="D1122" s="13" t="str">
        <f>HYPERLINK("https://www.linkedin.com/ad-library/detail/758563684","Open Ad")</f>
        <v>Open Ad</v>
      </c>
      <c r="E1122" s="4" t="s">
        <v>91</v>
      </c>
      <c r="F1122" s="4" t="s">
        <v>53</v>
      </c>
      <c r="G1122" s="4" t="s">
        <v>6915</v>
      </c>
      <c r="H1122" s="4" t="s">
        <v>55</v>
      </c>
      <c r="I1122" s="4" t="s">
        <v>985</v>
      </c>
      <c r="J1122" s="4" t="s">
        <v>91</v>
      </c>
      <c r="K1122" s="4" t="s">
        <v>60</v>
      </c>
      <c r="L1122" s="4" t="s">
        <v>131</v>
      </c>
      <c r="M1122" s="4" t="s">
        <v>63</v>
      </c>
      <c r="N1122" s="4" t="s">
        <v>132</v>
      </c>
      <c r="O1122" s="2" t="s">
        <v>132</v>
      </c>
      <c r="P1122" s="2">
        <v>7.58563684E8</v>
      </c>
      <c r="Q1122" s="2" t="s">
        <v>68</v>
      </c>
      <c r="R1122" s="4" t="s">
        <v>6916</v>
      </c>
    </row>
    <row r="1123">
      <c r="A1123" s="4" t="s">
        <v>44</v>
      </c>
      <c r="B1123" s="4" t="s">
        <v>44</v>
      </c>
      <c r="C1123" s="4">
        <v>1122.0</v>
      </c>
      <c r="D1123" s="13" t="str">
        <f>HYPERLINK("https://www.linkedin.com/ad-library/detail/771261294","Open Ad")</f>
        <v>Open Ad</v>
      </c>
      <c r="E1123" s="4" t="s">
        <v>91</v>
      </c>
      <c r="F1123" s="4" t="s">
        <v>53</v>
      </c>
      <c r="G1123" s="4" t="s">
        <v>6915</v>
      </c>
      <c r="H1123" s="4" t="s">
        <v>55</v>
      </c>
      <c r="I1123" s="4" t="s">
        <v>985</v>
      </c>
      <c r="J1123" s="4" t="s">
        <v>91</v>
      </c>
      <c r="K1123" s="4" t="s">
        <v>60</v>
      </c>
      <c r="L1123" s="4" t="s">
        <v>131</v>
      </c>
      <c r="M1123" s="4" t="s">
        <v>63</v>
      </c>
      <c r="N1123" s="4" t="s">
        <v>132</v>
      </c>
      <c r="O1123" s="2" t="s">
        <v>132</v>
      </c>
      <c r="P1123" s="2">
        <v>7.71261294E8</v>
      </c>
      <c r="Q1123" s="2" t="s">
        <v>68</v>
      </c>
      <c r="R1123" s="4" t="s">
        <v>6916</v>
      </c>
    </row>
    <row r="1124">
      <c r="A1124" s="4" t="s">
        <v>44</v>
      </c>
      <c r="B1124" s="4" t="s">
        <v>44</v>
      </c>
      <c r="C1124" s="4">
        <v>1123.0</v>
      </c>
      <c r="D1124" s="13" t="str">
        <f>HYPERLINK("https://www.linkedin.com/ad-library/detail/771320764","Open Ad")</f>
        <v>Open Ad</v>
      </c>
      <c r="E1124" s="4" t="s">
        <v>91</v>
      </c>
      <c r="F1124" s="4" t="s">
        <v>53</v>
      </c>
      <c r="G1124" s="4" t="s">
        <v>6915</v>
      </c>
      <c r="H1124" s="4" t="s">
        <v>55</v>
      </c>
      <c r="I1124" s="4" t="s">
        <v>985</v>
      </c>
      <c r="J1124" s="4" t="s">
        <v>91</v>
      </c>
      <c r="K1124" s="4" t="s">
        <v>60</v>
      </c>
      <c r="L1124" s="4" t="s">
        <v>131</v>
      </c>
      <c r="M1124" s="4" t="s">
        <v>63</v>
      </c>
      <c r="N1124" s="4" t="s">
        <v>132</v>
      </c>
      <c r="O1124" s="2" t="s">
        <v>132</v>
      </c>
      <c r="P1124" s="2">
        <v>7.71320764E8</v>
      </c>
      <c r="Q1124" s="2" t="s">
        <v>68</v>
      </c>
      <c r="R1124" s="4" t="s">
        <v>6916</v>
      </c>
    </row>
    <row r="1125">
      <c r="A1125" s="4" t="s">
        <v>44</v>
      </c>
      <c r="B1125" s="4" t="s">
        <v>44</v>
      </c>
      <c r="C1125" s="4">
        <v>1124.0</v>
      </c>
      <c r="D1125" s="13" t="str">
        <f>HYPERLINK("https://www.linkedin.com/ad-library/detail/771270854","Open Ad")</f>
        <v>Open Ad</v>
      </c>
      <c r="E1125" s="4" t="s">
        <v>91</v>
      </c>
      <c r="F1125" s="4" t="s">
        <v>53</v>
      </c>
      <c r="G1125" s="4" t="s">
        <v>6915</v>
      </c>
      <c r="H1125" s="4" t="s">
        <v>55</v>
      </c>
      <c r="I1125" s="4" t="s">
        <v>985</v>
      </c>
      <c r="J1125" s="4" t="s">
        <v>91</v>
      </c>
      <c r="K1125" s="4" t="s">
        <v>60</v>
      </c>
      <c r="L1125" s="4" t="s">
        <v>131</v>
      </c>
      <c r="M1125" s="4" t="s">
        <v>63</v>
      </c>
      <c r="N1125" s="4" t="s">
        <v>132</v>
      </c>
      <c r="O1125" s="2" t="s">
        <v>132</v>
      </c>
      <c r="P1125" s="2">
        <v>7.71270854E8</v>
      </c>
      <c r="Q1125" s="2" t="s">
        <v>68</v>
      </c>
      <c r="R1125" s="4" t="s">
        <v>6916</v>
      </c>
    </row>
    <row r="1126">
      <c r="A1126" s="4" t="s">
        <v>44</v>
      </c>
      <c r="B1126" s="4" t="s">
        <v>44</v>
      </c>
      <c r="C1126" s="4">
        <v>1125.0</v>
      </c>
      <c r="D1126" s="13" t="str">
        <f>HYPERLINK("https://www.linkedin.com/ad-library/detail/771470004","Open Ad")</f>
        <v>Open Ad</v>
      </c>
      <c r="E1126" s="4" t="s">
        <v>91</v>
      </c>
      <c r="F1126" s="4" t="s">
        <v>53</v>
      </c>
      <c r="G1126" s="4" t="s">
        <v>6915</v>
      </c>
      <c r="H1126" s="4" t="s">
        <v>55</v>
      </c>
      <c r="I1126" s="4" t="s">
        <v>985</v>
      </c>
      <c r="J1126" s="4" t="s">
        <v>91</v>
      </c>
      <c r="K1126" s="4" t="s">
        <v>60</v>
      </c>
      <c r="L1126" s="4" t="s">
        <v>131</v>
      </c>
      <c r="M1126" s="4" t="s">
        <v>63</v>
      </c>
      <c r="N1126" s="4" t="s">
        <v>132</v>
      </c>
      <c r="O1126" s="2" t="s">
        <v>132</v>
      </c>
      <c r="P1126" s="2">
        <v>7.71470004E8</v>
      </c>
      <c r="Q1126" s="2" t="s">
        <v>68</v>
      </c>
      <c r="R1126" s="4" t="s">
        <v>6916</v>
      </c>
    </row>
    <row r="1127">
      <c r="A1127" s="4" t="s">
        <v>44</v>
      </c>
      <c r="B1127" s="4" t="s">
        <v>44</v>
      </c>
      <c r="C1127" s="4">
        <v>1126.0</v>
      </c>
      <c r="D1127" s="13" t="str">
        <f>HYPERLINK("https://www.linkedin.com/ad-library/detail/771270564","Open Ad")</f>
        <v>Open Ad</v>
      </c>
      <c r="E1127" s="4" t="s">
        <v>91</v>
      </c>
      <c r="F1127" s="4" t="s">
        <v>53</v>
      </c>
      <c r="G1127" s="4" t="s">
        <v>6915</v>
      </c>
      <c r="H1127" s="4" t="s">
        <v>55</v>
      </c>
      <c r="I1127" s="4" t="s">
        <v>985</v>
      </c>
      <c r="J1127" s="4" t="s">
        <v>91</v>
      </c>
      <c r="K1127" s="4" t="s">
        <v>60</v>
      </c>
      <c r="L1127" s="4" t="s">
        <v>131</v>
      </c>
      <c r="M1127" s="4" t="s">
        <v>63</v>
      </c>
      <c r="N1127" s="4" t="s">
        <v>132</v>
      </c>
      <c r="O1127" s="2" t="s">
        <v>132</v>
      </c>
      <c r="P1127" s="2">
        <v>7.71270564E8</v>
      </c>
      <c r="Q1127" s="2" t="s">
        <v>68</v>
      </c>
      <c r="R1127" s="4" t="s">
        <v>6916</v>
      </c>
    </row>
    <row r="1128">
      <c r="A1128" s="4" t="s">
        <v>44</v>
      </c>
      <c r="B1128" s="4" t="s">
        <v>44</v>
      </c>
      <c r="C1128" s="4">
        <v>1127.0</v>
      </c>
      <c r="D1128" s="13" t="str">
        <f>HYPERLINK("https://www.linkedin.com/ad-library/detail/758652984","Open Ad")</f>
        <v>Open Ad</v>
      </c>
      <c r="E1128" s="4" t="s">
        <v>91</v>
      </c>
      <c r="F1128" s="4" t="s">
        <v>53</v>
      </c>
      <c r="G1128" s="4" t="s">
        <v>6915</v>
      </c>
      <c r="H1128" s="4" t="s">
        <v>55</v>
      </c>
      <c r="I1128" s="4" t="s">
        <v>985</v>
      </c>
      <c r="J1128" s="4" t="s">
        <v>91</v>
      </c>
      <c r="K1128" s="4" t="s">
        <v>60</v>
      </c>
      <c r="L1128" s="4" t="s">
        <v>131</v>
      </c>
      <c r="M1128" s="4" t="s">
        <v>63</v>
      </c>
      <c r="N1128" s="4" t="s">
        <v>132</v>
      </c>
      <c r="O1128" s="2" t="s">
        <v>132</v>
      </c>
      <c r="P1128" s="2">
        <v>7.58652984E8</v>
      </c>
      <c r="Q1128" s="2" t="s">
        <v>68</v>
      </c>
      <c r="R1128" s="4" t="s">
        <v>6916</v>
      </c>
    </row>
    <row r="1129">
      <c r="A1129" s="4" t="s">
        <v>44</v>
      </c>
      <c r="B1129" s="4" t="s">
        <v>44</v>
      </c>
      <c r="C1129" s="4">
        <v>1128.0</v>
      </c>
      <c r="D1129" s="13" t="str">
        <f>HYPERLINK("https://www.linkedin.com/ad-library/detail/758722084","Open Ad")</f>
        <v>Open Ad</v>
      </c>
      <c r="E1129" s="4" t="s">
        <v>91</v>
      </c>
      <c r="F1129" s="4" t="s">
        <v>53</v>
      </c>
      <c r="G1129" s="4" t="s">
        <v>6915</v>
      </c>
      <c r="H1129" s="4" t="s">
        <v>55</v>
      </c>
      <c r="I1129" s="4" t="s">
        <v>985</v>
      </c>
      <c r="J1129" s="4" t="s">
        <v>91</v>
      </c>
      <c r="K1129" s="4" t="s">
        <v>60</v>
      </c>
      <c r="L1129" s="4" t="s">
        <v>131</v>
      </c>
      <c r="M1129" s="4" t="s">
        <v>63</v>
      </c>
      <c r="N1129" s="4" t="s">
        <v>132</v>
      </c>
      <c r="O1129" s="2" t="s">
        <v>132</v>
      </c>
      <c r="P1129" s="2">
        <v>7.58722084E8</v>
      </c>
      <c r="Q1129" s="2" t="s">
        <v>68</v>
      </c>
      <c r="R1129" s="4" t="s">
        <v>6916</v>
      </c>
    </row>
    <row r="1130">
      <c r="A1130" s="4" t="s">
        <v>44</v>
      </c>
      <c r="B1130" s="4" t="s">
        <v>44</v>
      </c>
      <c r="C1130" s="4">
        <v>1129.0</v>
      </c>
      <c r="D1130" s="13" t="str">
        <f>HYPERLINK("https://www.linkedin.com/ad-library/detail/758741124","Open Ad")</f>
        <v>Open Ad</v>
      </c>
      <c r="E1130" s="4" t="s">
        <v>91</v>
      </c>
      <c r="F1130" s="4" t="s">
        <v>53</v>
      </c>
      <c r="G1130" s="4" t="s">
        <v>6915</v>
      </c>
      <c r="H1130" s="4" t="s">
        <v>55</v>
      </c>
      <c r="I1130" s="4" t="s">
        <v>985</v>
      </c>
      <c r="J1130" s="4" t="s">
        <v>91</v>
      </c>
      <c r="K1130" s="4" t="s">
        <v>60</v>
      </c>
      <c r="L1130" s="4" t="s">
        <v>131</v>
      </c>
      <c r="M1130" s="4" t="s">
        <v>63</v>
      </c>
      <c r="N1130" s="4" t="s">
        <v>132</v>
      </c>
      <c r="O1130" s="2" t="s">
        <v>132</v>
      </c>
      <c r="P1130" s="2">
        <v>7.58741124E8</v>
      </c>
      <c r="Q1130" s="2" t="s">
        <v>68</v>
      </c>
      <c r="R1130" s="4" t="s">
        <v>6916</v>
      </c>
    </row>
    <row r="1131">
      <c r="A1131" s="4" t="s">
        <v>44</v>
      </c>
      <c r="B1131" s="4" t="s">
        <v>44</v>
      </c>
      <c r="C1131" s="4">
        <v>1130.0</v>
      </c>
      <c r="D1131" s="13" t="str">
        <f>HYPERLINK("https://www.linkedin.com/ad-library/detail/758593684","Open Ad")</f>
        <v>Open Ad</v>
      </c>
      <c r="E1131" s="4" t="s">
        <v>91</v>
      </c>
      <c r="F1131" s="4" t="s">
        <v>53</v>
      </c>
      <c r="G1131" s="4" t="s">
        <v>6915</v>
      </c>
      <c r="H1131" s="4" t="s">
        <v>55</v>
      </c>
      <c r="I1131" s="4" t="s">
        <v>985</v>
      </c>
      <c r="J1131" s="4" t="s">
        <v>91</v>
      </c>
      <c r="K1131" s="4" t="s">
        <v>60</v>
      </c>
      <c r="L1131" s="4" t="s">
        <v>131</v>
      </c>
      <c r="M1131" s="4" t="s">
        <v>63</v>
      </c>
      <c r="N1131" s="4" t="s">
        <v>132</v>
      </c>
      <c r="O1131" s="2" t="s">
        <v>132</v>
      </c>
      <c r="P1131" s="2">
        <v>7.58593684E8</v>
      </c>
      <c r="Q1131" s="2" t="s">
        <v>68</v>
      </c>
      <c r="R1131" s="4" t="s">
        <v>6916</v>
      </c>
    </row>
    <row r="1132">
      <c r="A1132" s="4" t="s">
        <v>44</v>
      </c>
      <c r="B1132" s="4" t="s">
        <v>44</v>
      </c>
      <c r="C1132" s="4">
        <v>1131.0</v>
      </c>
      <c r="D1132" s="13" t="str">
        <f>HYPERLINK("https://www.linkedin.com/ad-library/detail/758770414","Open Ad")</f>
        <v>Open Ad</v>
      </c>
      <c r="E1132" s="4" t="s">
        <v>91</v>
      </c>
      <c r="F1132" s="4" t="s">
        <v>53</v>
      </c>
      <c r="G1132" s="4" t="s">
        <v>6915</v>
      </c>
      <c r="H1132" s="4" t="s">
        <v>55</v>
      </c>
      <c r="I1132" s="4" t="s">
        <v>985</v>
      </c>
      <c r="J1132" s="4" t="s">
        <v>91</v>
      </c>
      <c r="K1132" s="4" t="s">
        <v>60</v>
      </c>
      <c r="L1132" s="4" t="s">
        <v>131</v>
      </c>
      <c r="M1132" s="4" t="s">
        <v>63</v>
      </c>
      <c r="N1132" s="4" t="s">
        <v>132</v>
      </c>
      <c r="O1132" s="2" t="s">
        <v>132</v>
      </c>
      <c r="P1132" s="2">
        <v>7.58770414E8</v>
      </c>
      <c r="Q1132" s="2" t="s">
        <v>68</v>
      </c>
      <c r="R1132" s="4" t="s">
        <v>6916</v>
      </c>
    </row>
    <row r="1133">
      <c r="A1133" s="4" t="s">
        <v>44</v>
      </c>
      <c r="B1133" s="4" t="s">
        <v>44</v>
      </c>
      <c r="C1133" s="4">
        <v>1132.0</v>
      </c>
      <c r="D1133" s="13" t="str">
        <f>HYPERLINK("https://www.linkedin.com/ad-library/detail/758613404","Open Ad")</f>
        <v>Open Ad</v>
      </c>
      <c r="E1133" s="4" t="s">
        <v>91</v>
      </c>
      <c r="F1133" s="4" t="s">
        <v>53</v>
      </c>
      <c r="G1133" s="4" t="s">
        <v>6915</v>
      </c>
      <c r="H1133" s="4" t="s">
        <v>55</v>
      </c>
      <c r="I1133" s="4" t="s">
        <v>985</v>
      </c>
      <c r="J1133" s="4" t="s">
        <v>91</v>
      </c>
      <c r="K1133" s="4" t="s">
        <v>60</v>
      </c>
      <c r="L1133" s="4" t="s">
        <v>131</v>
      </c>
      <c r="M1133" s="4" t="s">
        <v>63</v>
      </c>
      <c r="N1133" s="4" t="s">
        <v>132</v>
      </c>
      <c r="O1133" s="2" t="s">
        <v>132</v>
      </c>
      <c r="P1133" s="2">
        <v>7.58613404E8</v>
      </c>
      <c r="Q1133" s="2" t="s">
        <v>68</v>
      </c>
      <c r="R1133" s="4" t="s">
        <v>6916</v>
      </c>
    </row>
    <row r="1134">
      <c r="A1134" s="4" t="s">
        <v>44</v>
      </c>
      <c r="B1134" s="4" t="s">
        <v>44</v>
      </c>
      <c r="C1134" s="4">
        <v>1133.0</v>
      </c>
      <c r="D1134" s="13" t="str">
        <f>HYPERLINK("https://www.linkedin.com/ad-library/detail/758574134","Open Ad")</f>
        <v>Open Ad</v>
      </c>
      <c r="E1134" s="4" t="s">
        <v>91</v>
      </c>
      <c r="F1134" s="4" t="s">
        <v>53</v>
      </c>
      <c r="G1134" s="4" t="s">
        <v>6915</v>
      </c>
      <c r="H1134" s="4" t="s">
        <v>55</v>
      </c>
      <c r="I1134" s="4" t="s">
        <v>985</v>
      </c>
      <c r="J1134" s="4" t="s">
        <v>91</v>
      </c>
      <c r="K1134" s="4" t="s">
        <v>60</v>
      </c>
      <c r="L1134" s="4" t="s">
        <v>131</v>
      </c>
      <c r="M1134" s="4" t="s">
        <v>63</v>
      </c>
      <c r="N1134" s="4" t="s">
        <v>132</v>
      </c>
      <c r="O1134" s="2" t="s">
        <v>132</v>
      </c>
      <c r="P1134" s="2">
        <v>7.58574134E8</v>
      </c>
      <c r="Q1134" s="2" t="s">
        <v>68</v>
      </c>
      <c r="R1134" s="4" t="s">
        <v>6916</v>
      </c>
    </row>
    <row r="1135">
      <c r="A1135" s="4" t="s">
        <v>44</v>
      </c>
      <c r="B1135" s="4" t="s">
        <v>44</v>
      </c>
      <c r="C1135" s="4">
        <v>1134.0</v>
      </c>
      <c r="D1135" s="13" t="str">
        <f>HYPERLINK("https://www.linkedin.com/ad-library/detail/758760624","Open Ad")</f>
        <v>Open Ad</v>
      </c>
      <c r="E1135" s="4" t="s">
        <v>91</v>
      </c>
      <c r="F1135" s="4" t="s">
        <v>53</v>
      </c>
      <c r="G1135" s="4" t="s">
        <v>6915</v>
      </c>
      <c r="H1135" s="4" t="s">
        <v>55</v>
      </c>
      <c r="I1135" s="4" t="s">
        <v>985</v>
      </c>
      <c r="J1135" s="4" t="s">
        <v>91</v>
      </c>
      <c r="K1135" s="4" t="s">
        <v>60</v>
      </c>
      <c r="L1135" s="4" t="s">
        <v>131</v>
      </c>
      <c r="M1135" s="4" t="s">
        <v>63</v>
      </c>
      <c r="N1135" s="4" t="s">
        <v>132</v>
      </c>
      <c r="O1135" s="2" t="s">
        <v>132</v>
      </c>
      <c r="P1135" s="2">
        <v>7.58760624E8</v>
      </c>
      <c r="Q1135" s="2" t="s">
        <v>68</v>
      </c>
      <c r="R1135" s="4" t="s">
        <v>6916</v>
      </c>
    </row>
    <row r="1136">
      <c r="A1136" s="4" t="s">
        <v>44</v>
      </c>
      <c r="B1136" s="4" t="s">
        <v>44</v>
      </c>
      <c r="C1136" s="4">
        <v>1135.0</v>
      </c>
      <c r="D1136" s="13" t="str">
        <f>HYPERLINK("https://www.linkedin.com/ad-library/detail/758683034","Open Ad")</f>
        <v>Open Ad</v>
      </c>
      <c r="E1136" s="4" t="s">
        <v>91</v>
      </c>
      <c r="F1136" s="4" t="s">
        <v>53</v>
      </c>
      <c r="G1136" s="4" t="s">
        <v>6915</v>
      </c>
      <c r="H1136" s="4" t="s">
        <v>55</v>
      </c>
      <c r="I1136" s="4" t="s">
        <v>985</v>
      </c>
      <c r="J1136" s="4" t="s">
        <v>91</v>
      </c>
      <c r="K1136" s="4" t="s">
        <v>60</v>
      </c>
      <c r="L1136" s="4" t="s">
        <v>131</v>
      </c>
      <c r="M1136" s="4" t="s">
        <v>63</v>
      </c>
      <c r="N1136" s="4" t="s">
        <v>132</v>
      </c>
      <c r="O1136" s="2" t="s">
        <v>132</v>
      </c>
      <c r="P1136" s="2">
        <v>7.58683034E8</v>
      </c>
      <c r="Q1136" s="2" t="s">
        <v>68</v>
      </c>
      <c r="R1136" s="4" t="s">
        <v>6916</v>
      </c>
    </row>
    <row r="1137">
      <c r="A1137" s="4" t="s">
        <v>44</v>
      </c>
      <c r="B1137" s="4" t="s">
        <v>44</v>
      </c>
      <c r="C1137" s="4">
        <v>1136.0</v>
      </c>
      <c r="D1137" s="13" t="str">
        <f>HYPERLINK("https://www.linkedin.com/ad-library/detail/758770424","Open Ad")</f>
        <v>Open Ad</v>
      </c>
      <c r="E1137" s="4" t="s">
        <v>91</v>
      </c>
      <c r="F1137" s="4" t="s">
        <v>53</v>
      </c>
      <c r="G1137" s="4" t="s">
        <v>6915</v>
      </c>
      <c r="H1137" s="4" t="s">
        <v>55</v>
      </c>
      <c r="I1137" s="4" t="s">
        <v>985</v>
      </c>
      <c r="J1137" s="4" t="s">
        <v>91</v>
      </c>
      <c r="K1137" s="4" t="s">
        <v>60</v>
      </c>
      <c r="L1137" s="4" t="s">
        <v>131</v>
      </c>
      <c r="M1137" s="4" t="s">
        <v>63</v>
      </c>
      <c r="N1137" s="4" t="s">
        <v>132</v>
      </c>
      <c r="O1137" s="2" t="s">
        <v>132</v>
      </c>
      <c r="P1137" s="2">
        <v>7.58770424E8</v>
      </c>
      <c r="Q1137" s="2" t="s">
        <v>68</v>
      </c>
      <c r="R1137" s="4" t="s">
        <v>6916</v>
      </c>
    </row>
    <row r="1138">
      <c r="A1138" s="4" t="s">
        <v>44</v>
      </c>
      <c r="B1138" s="4" t="s">
        <v>44</v>
      </c>
      <c r="C1138" s="4">
        <v>1137.0</v>
      </c>
      <c r="D1138" s="13" t="str">
        <f>HYPERLINK("https://www.linkedin.com/ad-library/detail/758770454","Open Ad")</f>
        <v>Open Ad</v>
      </c>
      <c r="E1138" s="4" t="s">
        <v>91</v>
      </c>
      <c r="F1138" s="4" t="s">
        <v>53</v>
      </c>
      <c r="G1138" s="4" t="s">
        <v>6915</v>
      </c>
      <c r="H1138" s="4" t="s">
        <v>55</v>
      </c>
      <c r="I1138" s="4" t="s">
        <v>985</v>
      </c>
      <c r="J1138" s="4" t="s">
        <v>91</v>
      </c>
      <c r="K1138" s="4" t="s">
        <v>60</v>
      </c>
      <c r="L1138" s="4" t="s">
        <v>131</v>
      </c>
      <c r="M1138" s="4" t="s">
        <v>63</v>
      </c>
      <c r="N1138" s="4" t="s">
        <v>132</v>
      </c>
      <c r="O1138" s="2" t="s">
        <v>132</v>
      </c>
      <c r="P1138" s="2">
        <v>7.58770454E8</v>
      </c>
      <c r="Q1138" s="2" t="s">
        <v>68</v>
      </c>
      <c r="R1138" s="4" t="s">
        <v>6916</v>
      </c>
    </row>
    <row r="1139">
      <c r="A1139" s="4" t="s">
        <v>44</v>
      </c>
      <c r="B1139" s="4" t="s">
        <v>44</v>
      </c>
      <c r="C1139" s="4">
        <v>1138.0</v>
      </c>
      <c r="D1139" s="13" t="str">
        <f>HYPERLINK("https://www.linkedin.com/ad-library/detail/758554744","Open Ad")</f>
        <v>Open Ad</v>
      </c>
      <c r="E1139" s="4" t="s">
        <v>91</v>
      </c>
      <c r="F1139" s="4" t="s">
        <v>53</v>
      </c>
      <c r="G1139" s="4" t="s">
        <v>6915</v>
      </c>
      <c r="H1139" s="4" t="s">
        <v>55</v>
      </c>
      <c r="I1139" s="4" t="s">
        <v>985</v>
      </c>
      <c r="J1139" s="4" t="s">
        <v>91</v>
      </c>
      <c r="K1139" s="4" t="s">
        <v>60</v>
      </c>
      <c r="L1139" s="4" t="s">
        <v>131</v>
      </c>
      <c r="M1139" s="4" t="s">
        <v>63</v>
      </c>
      <c r="N1139" s="4" t="s">
        <v>132</v>
      </c>
      <c r="O1139" s="2" t="s">
        <v>132</v>
      </c>
      <c r="P1139" s="2">
        <v>7.58554744E8</v>
      </c>
      <c r="Q1139" s="2" t="s">
        <v>68</v>
      </c>
      <c r="R1139" s="4" t="s">
        <v>6916</v>
      </c>
    </row>
    <row r="1140">
      <c r="A1140" s="4" t="s">
        <v>44</v>
      </c>
      <c r="B1140" s="4" t="s">
        <v>44</v>
      </c>
      <c r="C1140" s="4">
        <v>1139.0</v>
      </c>
      <c r="D1140" s="13" t="str">
        <f>HYPERLINK("https://www.linkedin.com/ad-library/detail/758554734","Open Ad")</f>
        <v>Open Ad</v>
      </c>
      <c r="E1140" s="4" t="s">
        <v>91</v>
      </c>
      <c r="F1140" s="4" t="s">
        <v>53</v>
      </c>
      <c r="G1140" s="4" t="s">
        <v>6915</v>
      </c>
      <c r="H1140" s="4" t="s">
        <v>55</v>
      </c>
      <c r="I1140" s="4" t="s">
        <v>985</v>
      </c>
      <c r="J1140" s="4" t="s">
        <v>91</v>
      </c>
      <c r="K1140" s="4" t="s">
        <v>60</v>
      </c>
      <c r="L1140" s="4" t="s">
        <v>131</v>
      </c>
      <c r="M1140" s="4" t="s">
        <v>63</v>
      </c>
      <c r="N1140" s="4" t="s">
        <v>132</v>
      </c>
      <c r="O1140" s="2" t="s">
        <v>132</v>
      </c>
      <c r="P1140" s="2">
        <v>7.58554734E8</v>
      </c>
      <c r="Q1140" s="2" t="s">
        <v>68</v>
      </c>
      <c r="R1140" s="4" t="s">
        <v>6916</v>
      </c>
    </row>
    <row r="1141">
      <c r="A1141" s="4" t="s">
        <v>44</v>
      </c>
      <c r="B1141" s="4" t="s">
        <v>44</v>
      </c>
      <c r="C1141" s="4">
        <v>1140.0</v>
      </c>
      <c r="D1141" s="13" t="str">
        <f>HYPERLINK("https://www.linkedin.com/ad-library/detail/758692774","Open Ad")</f>
        <v>Open Ad</v>
      </c>
      <c r="E1141" s="4" t="s">
        <v>91</v>
      </c>
      <c r="F1141" s="4" t="s">
        <v>53</v>
      </c>
      <c r="G1141" s="4" t="s">
        <v>6915</v>
      </c>
      <c r="H1141" s="4" t="s">
        <v>55</v>
      </c>
      <c r="I1141" s="4" t="s">
        <v>985</v>
      </c>
      <c r="J1141" s="4" t="s">
        <v>91</v>
      </c>
      <c r="K1141" s="4" t="s">
        <v>60</v>
      </c>
      <c r="L1141" s="4" t="s">
        <v>131</v>
      </c>
      <c r="M1141" s="4" t="s">
        <v>63</v>
      </c>
      <c r="N1141" s="4" t="s">
        <v>132</v>
      </c>
      <c r="O1141" s="2" t="s">
        <v>132</v>
      </c>
      <c r="P1141" s="2">
        <v>7.58692774E8</v>
      </c>
      <c r="Q1141" s="2" t="s">
        <v>68</v>
      </c>
      <c r="R1141" s="4" t="s">
        <v>6916</v>
      </c>
    </row>
    <row r="1142">
      <c r="A1142" s="4" t="s">
        <v>44</v>
      </c>
      <c r="B1142" s="4" t="s">
        <v>44</v>
      </c>
      <c r="C1142" s="4">
        <v>1141.0</v>
      </c>
      <c r="D1142" s="13" t="str">
        <f>HYPERLINK("https://www.linkedin.com/ad-library/detail/758702544","Open Ad")</f>
        <v>Open Ad</v>
      </c>
      <c r="E1142" s="4" t="s">
        <v>91</v>
      </c>
      <c r="F1142" s="4" t="s">
        <v>53</v>
      </c>
      <c r="G1142" s="4" t="s">
        <v>6915</v>
      </c>
      <c r="H1142" s="4" t="s">
        <v>55</v>
      </c>
      <c r="I1142" s="4" t="s">
        <v>985</v>
      </c>
      <c r="J1142" s="4" t="s">
        <v>91</v>
      </c>
      <c r="K1142" s="4" t="s">
        <v>60</v>
      </c>
      <c r="L1142" s="4" t="s">
        <v>131</v>
      </c>
      <c r="M1142" s="4" t="s">
        <v>63</v>
      </c>
      <c r="N1142" s="4" t="s">
        <v>132</v>
      </c>
      <c r="O1142" s="2" t="s">
        <v>132</v>
      </c>
      <c r="P1142" s="2">
        <v>7.58702544E8</v>
      </c>
      <c r="Q1142" s="2" t="s">
        <v>68</v>
      </c>
      <c r="R1142" s="4" t="s">
        <v>6916</v>
      </c>
    </row>
    <row r="1143">
      <c r="A1143" s="4" t="s">
        <v>44</v>
      </c>
      <c r="B1143" s="4" t="s">
        <v>44</v>
      </c>
      <c r="C1143" s="4">
        <v>1142.0</v>
      </c>
      <c r="D1143" s="13" t="str">
        <f>HYPERLINK("https://www.linkedin.com/ad-library/detail/758692764","Open Ad")</f>
        <v>Open Ad</v>
      </c>
      <c r="E1143" s="4" t="s">
        <v>91</v>
      </c>
      <c r="F1143" s="4" t="s">
        <v>53</v>
      </c>
      <c r="G1143" s="4" t="s">
        <v>6915</v>
      </c>
      <c r="H1143" s="4" t="s">
        <v>55</v>
      </c>
      <c r="I1143" s="4" t="s">
        <v>985</v>
      </c>
      <c r="J1143" s="4" t="s">
        <v>91</v>
      </c>
      <c r="K1143" s="4" t="s">
        <v>60</v>
      </c>
      <c r="L1143" s="4" t="s">
        <v>131</v>
      </c>
      <c r="M1143" s="4" t="s">
        <v>63</v>
      </c>
      <c r="N1143" s="4" t="s">
        <v>132</v>
      </c>
      <c r="O1143" s="2" t="s">
        <v>132</v>
      </c>
      <c r="P1143" s="2">
        <v>7.58692764E8</v>
      </c>
      <c r="Q1143" s="2" t="s">
        <v>68</v>
      </c>
      <c r="R1143" s="4" t="s">
        <v>6916</v>
      </c>
    </row>
    <row r="1144">
      <c r="A1144" s="4" t="s">
        <v>44</v>
      </c>
      <c r="B1144" s="4" t="s">
        <v>44</v>
      </c>
      <c r="C1144" s="4">
        <v>1143.0</v>
      </c>
      <c r="D1144" s="13" t="str">
        <f>HYPERLINK("https://www.linkedin.com/ad-library/detail/758613394","Open Ad")</f>
        <v>Open Ad</v>
      </c>
      <c r="E1144" s="4" t="s">
        <v>91</v>
      </c>
      <c r="F1144" s="4" t="s">
        <v>53</v>
      </c>
      <c r="G1144" s="4" t="s">
        <v>6915</v>
      </c>
      <c r="H1144" s="4" t="s">
        <v>55</v>
      </c>
      <c r="I1144" s="4" t="s">
        <v>985</v>
      </c>
      <c r="J1144" s="4" t="s">
        <v>91</v>
      </c>
      <c r="K1144" s="4" t="s">
        <v>60</v>
      </c>
      <c r="L1144" s="4" t="s">
        <v>131</v>
      </c>
      <c r="M1144" s="4" t="s">
        <v>63</v>
      </c>
      <c r="N1144" s="4" t="s">
        <v>132</v>
      </c>
      <c r="O1144" s="2" t="s">
        <v>132</v>
      </c>
      <c r="P1144" s="2">
        <v>7.58613394E8</v>
      </c>
      <c r="Q1144" s="2" t="s">
        <v>68</v>
      </c>
      <c r="R1144" s="4" t="s">
        <v>6916</v>
      </c>
    </row>
    <row r="1145">
      <c r="A1145" s="4" t="s">
        <v>44</v>
      </c>
      <c r="B1145" s="4" t="s">
        <v>44</v>
      </c>
      <c r="C1145" s="4">
        <v>1144.0</v>
      </c>
      <c r="D1145" s="13" t="str">
        <f>HYPERLINK("https://www.linkedin.com/ad-library/detail/758563664","Open Ad")</f>
        <v>Open Ad</v>
      </c>
      <c r="E1145" s="4" t="s">
        <v>91</v>
      </c>
      <c r="F1145" s="4" t="s">
        <v>53</v>
      </c>
      <c r="G1145" s="4" t="s">
        <v>6915</v>
      </c>
      <c r="H1145" s="4" t="s">
        <v>55</v>
      </c>
      <c r="I1145" s="4" t="s">
        <v>985</v>
      </c>
      <c r="J1145" s="4" t="s">
        <v>91</v>
      </c>
      <c r="K1145" s="4" t="s">
        <v>60</v>
      </c>
      <c r="L1145" s="4" t="s">
        <v>131</v>
      </c>
      <c r="M1145" s="4" t="s">
        <v>63</v>
      </c>
      <c r="N1145" s="4" t="s">
        <v>132</v>
      </c>
      <c r="O1145" s="2" t="s">
        <v>132</v>
      </c>
      <c r="P1145" s="2">
        <v>7.58563664E8</v>
      </c>
      <c r="Q1145" s="2" t="s">
        <v>68</v>
      </c>
      <c r="R1145" s="4" t="s">
        <v>6916</v>
      </c>
    </row>
    <row r="1146">
      <c r="A1146" s="4" t="s">
        <v>44</v>
      </c>
      <c r="B1146" s="4" t="s">
        <v>44</v>
      </c>
      <c r="C1146" s="4">
        <v>1145.0</v>
      </c>
      <c r="D1146" s="13" t="str">
        <f>HYPERLINK("https://www.linkedin.com/ad-library/detail/758584134","Open Ad")</f>
        <v>Open Ad</v>
      </c>
      <c r="E1146" s="4" t="s">
        <v>91</v>
      </c>
      <c r="F1146" s="4" t="s">
        <v>53</v>
      </c>
      <c r="G1146" s="4" t="s">
        <v>6915</v>
      </c>
      <c r="H1146" s="4" t="s">
        <v>55</v>
      </c>
      <c r="I1146" s="4" t="s">
        <v>985</v>
      </c>
      <c r="J1146" s="4" t="s">
        <v>91</v>
      </c>
      <c r="K1146" s="4" t="s">
        <v>60</v>
      </c>
      <c r="L1146" s="4" t="s">
        <v>131</v>
      </c>
      <c r="M1146" s="4" t="s">
        <v>63</v>
      </c>
      <c r="N1146" s="4" t="s">
        <v>132</v>
      </c>
      <c r="O1146" s="2" t="s">
        <v>132</v>
      </c>
      <c r="P1146" s="2">
        <v>7.58584134E8</v>
      </c>
      <c r="Q1146" s="2" t="s">
        <v>68</v>
      </c>
      <c r="R1146" s="4" t="s">
        <v>6916</v>
      </c>
    </row>
    <row r="1147">
      <c r="A1147" s="4" t="s">
        <v>44</v>
      </c>
      <c r="B1147" s="4" t="s">
        <v>44</v>
      </c>
      <c r="C1147" s="4">
        <v>1146.0</v>
      </c>
      <c r="D1147" s="13" t="str">
        <f>HYPERLINK("https://www.linkedin.com/ad-library/detail/758613434","Open Ad")</f>
        <v>Open Ad</v>
      </c>
      <c r="E1147" s="4" t="s">
        <v>91</v>
      </c>
      <c r="F1147" s="4" t="s">
        <v>53</v>
      </c>
      <c r="G1147" s="4" t="s">
        <v>6915</v>
      </c>
      <c r="H1147" s="4" t="s">
        <v>55</v>
      </c>
      <c r="I1147" s="4" t="s">
        <v>985</v>
      </c>
      <c r="J1147" s="4" t="s">
        <v>91</v>
      </c>
      <c r="K1147" s="4" t="s">
        <v>60</v>
      </c>
      <c r="L1147" s="4" t="s">
        <v>131</v>
      </c>
      <c r="M1147" s="4" t="s">
        <v>63</v>
      </c>
      <c r="N1147" s="4" t="s">
        <v>132</v>
      </c>
      <c r="O1147" s="2" t="s">
        <v>132</v>
      </c>
      <c r="P1147" s="2">
        <v>7.58613434E8</v>
      </c>
      <c r="Q1147" s="2" t="s">
        <v>68</v>
      </c>
      <c r="R1147" s="4" t="s">
        <v>6916</v>
      </c>
    </row>
    <row r="1148">
      <c r="A1148" s="4" t="s">
        <v>44</v>
      </c>
      <c r="B1148" s="4" t="s">
        <v>44</v>
      </c>
      <c r="C1148" s="4">
        <v>1147.0</v>
      </c>
      <c r="D1148" s="13" t="str">
        <f>HYPERLINK("https://www.linkedin.com/ad-library/detail/758574154","Open Ad")</f>
        <v>Open Ad</v>
      </c>
      <c r="E1148" s="4" t="s">
        <v>91</v>
      </c>
      <c r="F1148" s="4" t="s">
        <v>53</v>
      </c>
      <c r="G1148" s="4" t="s">
        <v>6915</v>
      </c>
      <c r="H1148" s="4" t="s">
        <v>55</v>
      </c>
      <c r="I1148" s="4" t="s">
        <v>985</v>
      </c>
      <c r="J1148" s="4" t="s">
        <v>91</v>
      </c>
      <c r="K1148" s="4" t="s">
        <v>60</v>
      </c>
      <c r="L1148" s="4" t="s">
        <v>131</v>
      </c>
      <c r="M1148" s="4" t="s">
        <v>63</v>
      </c>
      <c r="N1148" s="4" t="s">
        <v>132</v>
      </c>
      <c r="O1148" s="2" t="s">
        <v>132</v>
      </c>
      <c r="P1148" s="2">
        <v>7.58574154E8</v>
      </c>
      <c r="Q1148" s="2" t="s">
        <v>68</v>
      </c>
      <c r="R1148" s="4" t="s">
        <v>6916</v>
      </c>
    </row>
    <row r="1149">
      <c r="A1149" s="4" t="s">
        <v>44</v>
      </c>
      <c r="B1149" s="4" t="s">
        <v>44</v>
      </c>
      <c r="C1149" s="4">
        <v>1148.0</v>
      </c>
      <c r="D1149" s="13" t="str">
        <f>HYPERLINK("https://www.linkedin.com/ad-library/detail/758613424","Open Ad")</f>
        <v>Open Ad</v>
      </c>
      <c r="E1149" s="4" t="s">
        <v>91</v>
      </c>
      <c r="F1149" s="4" t="s">
        <v>53</v>
      </c>
      <c r="G1149" s="4" t="s">
        <v>6915</v>
      </c>
      <c r="H1149" s="4" t="s">
        <v>55</v>
      </c>
      <c r="I1149" s="4" t="s">
        <v>985</v>
      </c>
      <c r="J1149" s="4" t="s">
        <v>91</v>
      </c>
      <c r="K1149" s="4" t="s">
        <v>60</v>
      </c>
      <c r="L1149" s="4" t="s">
        <v>131</v>
      </c>
      <c r="M1149" s="4" t="s">
        <v>63</v>
      </c>
      <c r="N1149" s="4" t="s">
        <v>132</v>
      </c>
      <c r="O1149" s="2" t="s">
        <v>132</v>
      </c>
      <c r="P1149" s="2">
        <v>7.58613424E8</v>
      </c>
      <c r="Q1149" s="2" t="s">
        <v>68</v>
      </c>
      <c r="R1149" s="4" t="s">
        <v>6916</v>
      </c>
    </row>
    <row r="1150">
      <c r="A1150" s="4" t="s">
        <v>44</v>
      </c>
      <c r="B1150" s="4" t="s">
        <v>44</v>
      </c>
      <c r="C1150" s="4">
        <v>1149.0</v>
      </c>
      <c r="D1150" s="13" t="str">
        <f>HYPERLINK("https://www.linkedin.com/ad-library/detail/758652974","Open Ad")</f>
        <v>Open Ad</v>
      </c>
      <c r="E1150" s="4" t="s">
        <v>91</v>
      </c>
      <c r="F1150" s="4" t="s">
        <v>53</v>
      </c>
      <c r="G1150" s="4" t="s">
        <v>6915</v>
      </c>
      <c r="H1150" s="4" t="s">
        <v>55</v>
      </c>
      <c r="I1150" s="4" t="s">
        <v>985</v>
      </c>
      <c r="J1150" s="4" t="s">
        <v>91</v>
      </c>
      <c r="K1150" s="4" t="s">
        <v>60</v>
      </c>
      <c r="L1150" s="4" t="s">
        <v>131</v>
      </c>
      <c r="M1150" s="4" t="s">
        <v>63</v>
      </c>
      <c r="N1150" s="4" t="s">
        <v>132</v>
      </c>
      <c r="O1150" s="2" t="s">
        <v>132</v>
      </c>
      <c r="P1150" s="2">
        <v>7.58652974E8</v>
      </c>
      <c r="Q1150" s="2" t="s">
        <v>68</v>
      </c>
      <c r="R1150" s="4" t="s">
        <v>6916</v>
      </c>
    </row>
    <row r="1151">
      <c r="A1151" s="4" t="s">
        <v>44</v>
      </c>
      <c r="B1151" s="4" t="s">
        <v>44</v>
      </c>
      <c r="C1151" s="4">
        <v>1150.0</v>
      </c>
      <c r="D1151" s="13" t="str">
        <f>HYPERLINK("https://www.linkedin.com/ad-library/detail/758613444","Open Ad")</f>
        <v>Open Ad</v>
      </c>
      <c r="E1151" s="4" t="s">
        <v>91</v>
      </c>
      <c r="F1151" s="4" t="s">
        <v>53</v>
      </c>
      <c r="G1151" s="4" t="s">
        <v>6915</v>
      </c>
      <c r="H1151" s="4" t="s">
        <v>55</v>
      </c>
      <c r="I1151" s="4" t="s">
        <v>985</v>
      </c>
      <c r="J1151" s="4" t="s">
        <v>91</v>
      </c>
      <c r="K1151" s="4" t="s">
        <v>60</v>
      </c>
      <c r="L1151" s="4" t="s">
        <v>131</v>
      </c>
      <c r="M1151" s="4" t="s">
        <v>63</v>
      </c>
      <c r="N1151" s="4" t="s">
        <v>132</v>
      </c>
      <c r="O1151" s="2" t="s">
        <v>132</v>
      </c>
      <c r="P1151" s="2">
        <v>7.58613444E8</v>
      </c>
      <c r="Q1151" s="2" t="s">
        <v>68</v>
      </c>
      <c r="R1151" s="4" t="s">
        <v>6916</v>
      </c>
    </row>
    <row r="1152">
      <c r="A1152" s="4" t="s">
        <v>44</v>
      </c>
      <c r="B1152" s="4" t="s">
        <v>44</v>
      </c>
      <c r="C1152" s="4">
        <v>1151.0</v>
      </c>
      <c r="D1152" s="13" t="str">
        <f>HYPERLINK("https://www.linkedin.com/ad-library/detail/758652964","Open Ad")</f>
        <v>Open Ad</v>
      </c>
      <c r="E1152" s="4" t="s">
        <v>91</v>
      </c>
      <c r="F1152" s="4" t="s">
        <v>53</v>
      </c>
      <c r="G1152" s="4" t="s">
        <v>6915</v>
      </c>
      <c r="H1152" s="4" t="s">
        <v>55</v>
      </c>
      <c r="I1152" s="4" t="s">
        <v>985</v>
      </c>
      <c r="J1152" s="4" t="s">
        <v>91</v>
      </c>
      <c r="K1152" s="4" t="s">
        <v>60</v>
      </c>
      <c r="L1152" s="4" t="s">
        <v>131</v>
      </c>
      <c r="M1152" s="4" t="s">
        <v>63</v>
      </c>
      <c r="N1152" s="4" t="s">
        <v>132</v>
      </c>
      <c r="O1152" s="2" t="s">
        <v>132</v>
      </c>
      <c r="P1152" s="2">
        <v>7.58652964E8</v>
      </c>
      <c r="Q1152" s="2" t="s">
        <v>68</v>
      </c>
      <c r="R1152" s="4" t="s">
        <v>6916</v>
      </c>
    </row>
    <row r="1153">
      <c r="A1153" s="4" t="s">
        <v>44</v>
      </c>
      <c r="B1153" s="4" t="s">
        <v>44</v>
      </c>
      <c r="C1153" s="4">
        <v>1152.0</v>
      </c>
      <c r="D1153" s="13" t="str">
        <f>HYPERLINK("https://www.linkedin.com/ad-library/detail/758613384","Open Ad")</f>
        <v>Open Ad</v>
      </c>
      <c r="E1153" s="4" t="s">
        <v>91</v>
      </c>
      <c r="F1153" s="4" t="s">
        <v>53</v>
      </c>
      <c r="G1153" s="4" t="s">
        <v>6915</v>
      </c>
      <c r="H1153" s="4" t="s">
        <v>55</v>
      </c>
      <c r="I1153" s="4" t="s">
        <v>985</v>
      </c>
      <c r="J1153" s="4" t="s">
        <v>91</v>
      </c>
      <c r="K1153" s="4" t="s">
        <v>60</v>
      </c>
      <c r="L1153" s="4" t="s">
        <v>131</v>
      </c>
      <c r="M1153" s="4" t="s">
        <v>63</v>
      </c>
      <c r="N1153" s="4" t="s">
        <v>132</v>
      </c>
      <c r="O1153" s="2" t="s">
        <v>132</v>
      </c>
      <c r="P1153" s="2">
        <v>7.58613384E8</v>
      </c>
      <c r="Q1153" s="2" t="s">
        <v>68</v>
      </c>
      <c r="R1153" s="4" t="s">
        <v>6916</v>
      </c>
    </row>
    <row r="1154">
      <c r="A1154" s="4" t="s">
        <v>44</v>
      </c>
      <c r="B1154" s="4" t="s">
        <v>44</v>
      </c>
      <c r="C1154" s="4">
        <v>1153.0</v>
      </c>
      <c r="D1154" s="13" t="str">
        <f>HYPERLINK("https://www.linkedin.com/ad-library/detail/758633414","Open Ad")</f>
        <v>Open Ad</v>
      </c>
      <c r="E1154" s="4" t="s">
        <v>91</v>
      </c>
      <c r="F1154" s="4" t="s">
        <v>53</v>
      </c>
      <c r="G1154" s="4" t="s">
        <v>6915</v>
      </c>
      <c r="H1154" s="4" t="s">
        <v>55</v>
      </c>
      <c r="I1154" s="4" t="s">
        <v>985</v>
      </c>
      <c r="J1154" s="4" t="s">
        <v>91</v>
      </c>
      <c r="K1154" s="4" t="s">
        <v>60</v>
      </c>
      <c r="L1154" s="4" t="s">
        <v>131</v>
      </c>
      <c r="M1154" s="4" t="s">
        <v>63</v>
      </c>
      <c r="N1154" s="4" t="s">
        <v>132</v>
      </c>
      <c r="O1154" s="2" t="s">
        <v>132</v>
      </c>
      <c r="P1154" s="2">
        <v>7.58633414E8</v>
      </c>
      <c r="Q1154" s="2" t="s">
        <v>68</v>
      </c>
      <c r="R1154" s="4" t="s">
        <v>6916</v>
      </c>
    </row>
    <row r="1155">
      <c r="A1155" s="4" t="s">
        <v>44</v>
      </c>
      <c r="B1155" s="4" t="s">
        <v>44</v>
      </c>
      <c r="C1155" s="4">
        <v>1154.0</v>
      </c>
      <c r="D1155" s="13" t="str">
        <f>HYPERLINK("https://www.linkedin.com/ad-library/detail/758603694","Open Ad")</f>
        <v>Open Ad</v>
      </c>
      <c r="E1155" s="4" t="s">
        <v>91</v>
      </c>
      <c r="F1155" s="4" t="s">
        <v>53</v>
      </c>
      <c r="G1155" s="4" t="s">
        <v>6915</v>
      </c>
      <c r="H1155" s="4" t="s">
        <v>55</v>
      </c>
      <c r="I1155" s="4" t="s">
        <v>985</v>
      </c>
      <c r="J1155" s="4" t="s">
        <v>91</v>
      </c>
      <c r="K1155" s="4" t="s">
        <v>60</v>
      </c>
      <c r="L1155" s="4" t="s">
        <v>131</v>
      </c>
      <c r="M1155" s="4" t="s">
        <v>63</v>
      </c>
      <c r="N1155" s="4" t="s">
        <v>132</v>
      </c>
      <c r="O1155" s="2" t="s">
        <v>132</v>
      </c>
      <c r="P1155" s="2">
        <v>7.58603694E8</v>
      </c>
      <c r="Q1155" s="2" t="s">
        <v>68</v>
      </c>
      <c r="R1155" s="4" t="s">
        <v>6916</v>
      </c>
    </row>
    <row r="1156">
      <c r="A1156" s="4" t="s">
        <v>44</v>
      </c>
      <c r="B1156" s="4" t="s">
        <v>44</v>
      </c>
      <c r="C1156" s="4">
        <v>1155.0</v>
      </c>
      <c r="D1156" s="13" t="str">
        <f>HYPERLINK("https://www.linkedin.com/ad-library/detail/758633424","Open Ad")</f>
        <v>Open Ad</v>
      </c>
      <c r="E1156" s="4" t="s">
        <v>91</v>
      </c>
      <c r="F1156" s="4" t="s">
        <v>53</v>
      </c>
      <c r="G1156" s="4" t="s">
        <v>6915</v>
      </c>
      <c r="H1156" s="4" t="s">
        <v>55</v>
      </c>
      <c r="I1156" s="4" t="s">
        <v>985</v>
      </c>
      <c r="J1156" s="4" t="s">
        <v>91</v>
      </c>
      <c r="K1156" s="4" t="s">
        <v>60</v>
      </c>
      <c r="L1156" s="4" t="s">
        <v>131</v>
      </c>
      <c r="M1156" s="4" t="s">
        <v>63</v>
      </c>
      <c r="N1156" s="4" t="s">
        <v>132</v>
      </c>
      <c r="O1156" s="2" t="s">
        <v>132</v>
      </c>
      <c r="P1156" s="2">
        <v>7.58633424E8</v>
      </c>
      <c r="Q1156" s="2" t="s">
        <v>68</v>
      </c>
      <c r="R1156" s="4" t="s">
        <v>6916</v>
      </c>
    </row>
    <row r="1157">
      <c r="A1157" s="4" t="s">
        <v>44</v>
      </c>
      <c r="B1157" s="4" t="s">
        <v>44</v>
      </c>
      <c r="C1157" s="4">
        <v>1156.0</v>
      </c>
      <c r="D1157" s="13" t="str">
        <f>HYPERLINK("https://www.linkedin.com/ad-library/detail/758574114","Open Ad")</f>
        <v>Open Ad</v>
      </c>
      <c r="E1157" s="4" t="s">
        <v>91</v>
      </c>
      <c r="F1157" s="4" t="s">
        <v>53</v>
      </c>
      <c r="G1157" s="4" t="s">
        <v>6915</v>
      </c>
      <c r="H1157" s="4" t="s">
        <v>55</v>
      </c>
      <c r="I1157" s="4" t="s">
        <v>985</v>
      </c>
      <c r="J1157" s="4" t="s">
        <v>91</v>
      </c>
      <c r="K1157" s="4" t="s">
        <v>60</v>
      </c>
      <c r="L1157" s="4" t="s">
        <v>131</v>
      </c>
      <c r="M1157" s="4" t="s">
        <v>63</v>
      </c>
      <c r="N1157" s="4" t="s">
        <v>132</v>
      </c>
      <c r="O1157" s="2" t="s">
        <v>132</v>
      </c>
      <c r="P1157" s="2">
        <v>7.58574114E8</v>
      </c>
      <c r="Q1157" s="2" t="s">
        <v>68</v>
      </c>
      <c r="R1157" s="4" t="s">
        <v>6916</v>
      </c>
    </row>
    <row r="1158">
      <c r="A1158" s="4" t="s">
        <v>44</v>
      </c>
      <c r="B1158" s="4" t="s">
        <v>44</v>
      </c>
      <c r="C1158" s="4">
        <v>1157.0</v>
      </c>
      <c r="D1158" s="13" t="str">
        <f>HYPERLINK("https://www.linkedin.com/ad-library/detail/758741104","Open Ad")</f>
        <v>Open Ad</v>
      </c>
      <c r="E1158" s="4" t="s">
        <v>91</v>
      </c>
      <c r="F1158" s="4" t="s">
        <v>53</v>
      </c>
      <c r="G1158" s="4" t="s">
        <v>6915</v>
      </c>
      <c r="H1158" s="4" t="s">
        <v>55</v>
      </c>
      <c r="I1158" s="4" t="s">
        <v>985</v>
      </c>
      <c r="J1158" s="4" t="s">
        <v>91</v>
      </c>
      <c r="K1158" s="4" t="s">
        <v>60</v>
      </c>
      <c r="L1158" s="4" t="s">
        <v>131</v>
      </c>
      <c r="M1158" s="4" t="s">
        <v>63</v>
      </c>
      <c r="N1158" s="4" t="s">
        <v>132</v>
      </c>
      <c r="O1158" s="2" t="s">
        <v>132</v>
      </c>
      <c r="P1158" s="2">
        <v>7.58741104E8</v>
      </c>
      <c r="Q1158" s="2" t="s">
        <v>68</v>
      </c>
      <c r="R1158" s="4" t="s">
        <v>6916</v>
      </c>
    </row>
    <row r="1159">
      <c r="A1159" s="4" t="s">
        <v>44</v>
      </c>
      <c r="B1159" s="4" t="s">
        <v>44</v>
      </c>
      <c r="C1159" s="4">
        <v>1158.0</v>
      </c>
      <c r="D1159" s="13" t="str">
        <f>HYPERLINK("https://www.linkedin.com/ad-library/detail/758770404","Open Ad")</f>
        <v>Open Ad</v>
      </c>
      <c r="E1159" s="4" t="s">
        <v>91</v>
      </c>
      <c r="F1159" s="4" t="s">
        <v>53</v>
      </c>
      <c r="G1159" s="4" t="s">
        <v>6915</v>
      </c>
      <c r="H1159" s="4" t="s">
        <v>55</v>
      </c>
      <c r="I1159" s="4" t="s">
        <v>985</v>
      </c>
      <c r="J1159" s="4" t="s">
        <v>91</v>
      </c>
      <c r="K1159" s="4" t="s">
        <v>60</v>
      </c>
      <c r="L1159" s="4" t="s">
        <v>131</v>
      </c>
      <c r="M1159" s="4" t="s">
        <v>63</v>
      </c>
      <c r="N1159" s="4" t="s">
        <v>132</v>
      </c>
      <c r="O1159" s="2" t="s">
        <v>132</v>
      </c>
      <c r="P1159" s="2">
        <v>7.58770404E8</v>
      </c>
      <c r="Q1159" s="2" t="s">
        <v>68</v>
      </c>
      <c r="R1159" s="4" t="s">
        <v>6916</v>
      </c>
    </row>
    <row r="1160">
      <c r="A1160" s="4" t="s">
        <v>44</v>
      </c>
      <c r="B1160" s="4" t="s">
        <v>44</v>
      </c>
      <c r="C1160" s="4">
        <v>1159.0</v>
      </c>
      <c r="D1160" s="13" t="str">
        <f>HYPERLINK("https://www.linkedin.com/ad-library/detail/758623334","Open Ad")</f>
        <v>Open Ad</v>
      </c>
      <c r="E1160" s="4" t="s">
        <v>91</v>
      </c>
      <c r="F1160" s="4" t="s">
        <v>53</v>
      </c>
      <c r="G1160" s="4" t="s">
        <v>6915</v>
      </c>
      <c r="H1160" s="4" t="s">
        <v>55</v>
      </c>
      <c r="I1160" s="4" t="s">
        <v>985</v>
      </c>
      <c r="J1160" s="4" t="s">
        <v>91</v>
      </c>
      <c r="K1160" s="4" t="s">
        <v>60</v>
      </c>
      <c r="L1160" s="4" t="s">
        <v>131</v>
      </c>
      <c r="M1160" s="4" t="s">
        <v>63</v>
      </c>
      <c r="N1160" s="4" t="s">
        <v>132</v>
      </c>
      <c r="O1160" s="2" t="s">
        <v>132</v>
      </c>
      <c r="P1160" s="2">
        <v>7.58623334E8</v>
      </c>
      <c r="Q1160" s="2" t="s">
        <v>68</v>
      </c>
      <c r="R1160" s="4" t="s">
        <v>6916</v>
      </c>
    </row>
    <row r="1161">
      <c r="A1161" s="4" t="s">
        <v>44</v>
      </c>
      <c r="B1161" s="4" t="s">
        <v>44</v>
      </c>
      <c r="C1161" s="4">
        <v>1160.0</v>
      </c>
      <c r="D1161" s="13" t="str">
        <f>HYPERLINK("https://www.linkedin.com/ad-library/detail/758683014","Open Ad")</f>
        <v>Open Ad</v>
      </c>
      <c r="E1161" s="4" t="s">
        <v>91</v>
      </c>
      <c r="F1161" s="4" t="s">
        <v>53</v>
      </c>
      <c r="G1161" s="4" t="s">
        <v>6915</v>
      </c>
      <c r="H1161" s="4" t="s">
        <v>55</v>
      </c>
      <c r="I1161" s="4" t="s">
        <v>985</v>
      </c>
      <c r="J1161" s="4" t="s">
        <v>91</v>
      </c>
      <c r="K1161" s="4" t="s">
        <v>60</v>
      </c>
      <c r="L1161" s="4" t="s">
        <v>131</v>
      </c>
      <c r="M1161" s="4" t="s">
        <v>63</v>
      </c>
      <c r="N1161" s="4" t="s">
        <v>132</v>
      </c>
      <c r="O1161" s="2" t="s">
        <v>132</v>
      </c>
      <c r="P1161" s="2">
        <v>7.58683014E8</v>
      </c>
      <c r="Q1161" s="2" t="s">
        <v>68</v>
      </c>
      <c r="R1161" s="4" t="s">
        <v>6916</v>
      </c>
    </row>
    <row r="1162">
      <c r="A1162" s="4" t="s">
        <v>44</v>
      </c>
      <c r="B1162" s="4" t="s">
        <v>44</v>
      </c>
      <c r="C1162" s="4">
        <v>1161.0</v>
      </c>
      <c r="D1162" s="13" t="str">
        <f>HYPERLINK("https://www.linkedin.com/ad-library/detail/758623324","Open Ad")</f>
        <v>Open Ad</v>
      </c>
      <c r="E1162" s="4" t="s">
        <v>91</v>
      </c>
      <c r="F1162" s="4" t="s">
        <v>53</v>
      </c>
      <c r="G1162" s="4" t="s">
        <v>6915</v>
      </c>
      <c r="H1162" s="4" t="s">
        <v>55</v>
      </c>
      <c r="I1162" s="4" t="s">
        <v>985</v>
      </c>
      <c r="J1162" s="4" t="s">
        <v>91</v>
      </c>
      <c r="K1162" s="4" t="s">
        <v>60</v>
      </c>
      <c r="L1162" s="4" t="s">
        <v>131</v>
      </c>
      <c r="M1162" s="4" t="s">
        <v>63</v>
      </c>
      <c r="N1162" s="4" t="s">
        <v>132</v>
      </c>
      <c r="O1162" s="2" t="s">
        <v>132</v>
      </c>
      <c r="P1162" s="2">
        <v>7.58623324E8</v>
      </c>
      <c r="Q1162" s="2" t="s">
        <v>68</v>
      </c>
      <c r="R1162" s="4" t="s">
        <v>6916</v>
      </c>
    </row>
    <row r="1163">
      <c r="A1163" s="4" t="s">
        <v>44</v>
      </c>
      <c r="B1163" s="4" t="s">
        <v>44</v>
      </c>
      <c r="C1163" s="4">
        <v>1162.0</v>
      </c>
      <c r="D1163" s="13" t="str">
        <f>HYPERLINK("https://www.linkedin.com/ad-library/detail/758702514","Open Ad")</f>
        <v>Open Ad</v>
      </c>
      <c r="E1163" s="4" t="s">
        <v>91</v>
      </c>
      <c r="F1163" s="4" t="s">
        <v>53</v>
      </c>
      <c r="G1163" s="4" t="s">
        <v>6915</v>
      </c>
      <c r="H1163" s="4" t="s">
        <v>55</v>
      </c>
      <c r="I1163" s="4" t="s">
        <v>985</v>
      </c>
      <c r="J1163" s="4" t="s">
        <v>91</v>
      </c>
      <c r="K1163" s="4" t="s">
        <v>60</v>
      </c>
      <c r="L1163" s="4" t="s">
        <v>131</v>
      </c>
      <c r="M1163" s="4" t="s">
        <v>63</v>
      </c>
      <c r="N1163" s="4" t="s">
        <v>132</v>
      </c>
      <c r="O1163" s="2" t="s">
        <v>132</v>
      </c>
      <c r="P1163" s="2">
        <v>7.58702514E8</v>
      </c>
      <c r="Q1163" s="2" t="s">
        <v>68</v>
      </c>
      <c r="R1163" s="4" t="s">
        <v>6916</v>
      </c>
    </row>
    <row r="1164">
      <c r="A1164" s="4" t="s">
        <v>44</v>
      </c>
      <c r="B1164" s="4" t="s">
        <v>44</v>
      </c>
      <c r="C1164" s="4">
        <v>1163.0</v>
      </c>
      <c r="D1164" s="13" t="str">
        <f>HYPERLINK("https://www.linkedin.com/ad-library/detail/758554714","Open Ad")</f>
        <v>Open Ad</v>
      </c>
      <c r="E1164" s="4" t="s">
        <v>91</v>
      </c>
      <c r="F1164" s="4" t="s">
        <v>53</v>
      </c>
      <c r="G1164" s="4" t="s">
        <v>6915</v>
      </c>
      <c r="H1164" s="4" t="s">
        <v>55</v>
      </c>
      <c r="I1164" s="4" t="s">
        <v>985</v>
      </c>
      <c r="J1164" s="4" t="s">
        <v>91</v>
      </c>
      <c r="K1164" s="4" t="s">
        <v>60</v>
      </c>
      <c r="L1164" s="4" t="s">
        <v>131</v>
      </c>
      <c r="M1164" s="4" t="s">
        <v>63</v>
      </c>
      <c r="N1164" s="4" t="s">
        <v>132</v>
      </c>
      <c r="O1164" s="2" t="s">
        <v>132</v>
      </c>
      <c r="P1164" s="2">
        <v>7.58554714E8</v>
      </c>
      <c r="Q1164" s="2" t="s">
        <v>68</v>
      </c>
      <c r="R1164" s="4" t="s">
        <v>6916</v>
      </c>
    </row>
    <row r="1165">
      <c r="A1165" s="4" t="s">
        <v>44</v>
      </c>
      <c r="B1165" s="4" t="s">
        <v>44</v>
      </c>
      <c r="C1165" s="4">
        <v>1164.0</v>
      </c>
      <c r="D1165" s="13" t="str">
        <f>HYPERLINK("https://www.linkedin.com/ad-library/detail/758662574","Open Ad")</f>
        <v>Open Ad</v>
      </c>
      <c r="E1165" s="4" t="s">
        <v>91</v>
      </c>
      <c r="F1165" s="4" t="s">
        <v>53</v>
      </c>
      <c r="G1165" s="4" t="s">
        <v>6915</v>
      </c>
      <c r="H1165" s="4" t="s">
        <v>55</v>
      </c>
      <c r="I1165" s="4" t="s">
        <v>985</v>
      </c>
      <c r="J1165" s="4" t="s">
        <v>91</v>
      </c>
      <c r="K1165" s="4" t="s">
        <v>60</v>
      </c>
      <c r="L1165" s="4" t="s">
        <v>131</v>
      </c>
      <c r="M1165" s="4" t="s">
        <v>63</v>
      </c>
      <c r="N1165" s="4" t="s">
        <v>132</v>
      </c>
      <c r="O1165" s="2" t="s">
        <v>132</v>
      </c>
      <c r="P1165" s="2">
        <v>7.58662574E8</v>
      </c>
      <c r="Q1165" s="2" t="s">
        <v>68</v>
      </c>
      <c r="R1165" s="4" t="s">
        <v>6916</v>
      </c>
    </row>
    <row r="1166">
      <c r="A1166" s="4" t="s">
        <v>44</v>
      </c>
      <c r="B1166" s="4" t="s">
        <v>44</v>
      </c>
      <c r="C1166" s="4">
        <v>1165.0</v>
      </c>
      <c r="D1166" s="13" t="str">
        <f>HYPERLINK("https://www.linkedin.com/ad-library/detail/758584094","Open Ad")</f>
        <v>Open Ad</v>
      </c>
      <c r="E1166" s="4" t="s">
        <v>91</v>
      </c>
      <c r="F1166" s="4" t="s">
        <v>53</v>
      </c>
      <c r="G1166" s="4" t="s">
        <v>6915</v>
      </c>
      <c r="H1166" s="4" t="s">
        <v>55</v>
      </c>
      <c r="I1166" s="4" t="s">
        <v>985</v>
      </c>
      <c r="J1166" s="4" t="s">
        <v>91</v>
      </c>
      <c r="K1166" s="4" t="s">
        <v>60</v>
      </c>
      <c r="L1166" s="4" t="s">
        <v>131</v>
      </c>
      <c r="M1166" s="4" t="s">
        <v>63</v>
      </c>
      <c r="N1166" s="4" t="s">
        <v>132</v>
      </c>
      <c r="O1166" s="2" t="s">
        <v>132</v>
      </c>
      <c r="P1166" s="2">
        <v>7.58584094E8</v>
      </c>
      <c r="Q1166" s="2" t="s">
        <v>68</v>
      </c>
      <c r="R1166" s="4" t="s">
        <v>6916</v>
      </c>
    </row>
    <row r="1167">
      <c r="A1167" s="4" t="s">
        <v>44</v>
      </c>
      <c r="B1167" s="4" t="s">
        <v>44</v>
      </c>
      <c r="C1167" s="4">
        <v>1166.0</v>
      </c>
      <c r="D1167" s="13" t="str">
        <f>HYPERLINK("https://www.linkedin.com/ad-library/detail/758722054","Open Ad")</f>
        <v>Open Ad</v>
      </c>
      <c r="E1167" s="4" t="s">
        <v>91</v>
      </c>
      <c r="F1167" s="4" t="s">
        <v>53</v>
      </c>
      <c r="G1167" s="4" t="s">
        <v>6915</v>
      </c>
      <c r="H1167" s="4" t="s">
        <v>55</v>
      </c>
      <c r="I1167" s="4" t="s">
        <v>985</v>
      </c>
      <c r="J1167" s="4" t="s">
        <v>91</v>
      </c>
      <c r="K1167" s="4" t="s">
        <v>60</v>
      </c>
      <c r="L1167" s="4" t="s">
        <v>131</v>
      </c>
      <c r="M1167" s="4" t="s">
        <v>63</v>
      </c>
      <c r="N1167" s="4" t="s">
        <v>132</v>
      </c>
      <c r="O1167" s="2" t="s">
        <v>132</v>
      </c>
      <c r="P1167" s="2">
        <v>7.58722054E8</v>
      </c>
      <c r="Q1167" s="2" t="s">
        <v>68</v>
      </c>
      <c r="R1167" s="4" t="s">
        <v>6916</v>
      </c>
    </row>
    <row r="1168">
      <c r="A1168" s="4" t="s">
        <v>44</v>
      </c>
      <c r="B1168" s="4" t="s">
        <v>44</v>
      </c>
      <c r="C1168" s="4">
        <v>1167.0</v>
      </c>
      <c r="D1168" s="13" t="str">
        <f>HYPERLINK("https://www.linkedin.com/ad-library/detail/758722034","Open Ad")</f>
        <v>Open Ad</v>
      </c>
      <c r="E1168" s="4" t="s">
        <v>91</v>
      </c>
      <c r="F1168" s="4" t="s">
        <v>53</v>
      </c>
      <c r="G1168" s="4" t="s">
        <v>6915</v>
      </c>
      <c r="H1168" s="4" t="s">
        <v>55</v>
      </c>
      <c r="I1168" s="4" t="s">
        <v>985</v>
      </c>
      <c r="J1168" s="4" t="s">
        <v>91</v>
      </c>
      <c r="K1168" s="4" t="s">
        <v>60</v>
      </c>
      <c r="L1168" s="4" t="s">
        <v>131</v>
      </c>
      <c r="M1168" s="4" t="s">
        <v>63</v>
      </c>
      <c r="N1168" s="4" t="s">
        <v>132</v>
      </c>
      <c r="O1168" s="2" t="s">
        <v>132</v>
      </c>
      <c r="P1168" s="2">
        <v>7.58722034E8</v>
      </c>
      <c r="Q1168" s="2" t="s">
        <v>68</v>
      </c>
      <c r="R1168" s="4" t="s">
        <v>6916</v>
      </c>
    </row>
    <row r="1169">
      <c r="A1169" s="4" t="s">
        <v>44</v>
      </c>
      <c r="B1169" s="4" t="s">
        <v>44</v>
      </c>
      <c r="C1169" s="4">
        <v>1168.0</v>
      </c>
      <c r="D1169" s="13" t="str">
        <f>HYPERLINK("https://www.linkedin.com/ad-library/detail/758731654","Open Ad")</f>
        <v>Open Ad</v>
      </c>
      <c r="E1169" s="4" t="s">
        <v>91</v>
      </c>
      <c r="F1169" s="4" t="s">
        <v>53</v>
      </c>
      <c r="G1169" s="4" t="s">
        <v>6915</v>
      </c>
      <c r="H1169" s="4" t="s">
        <v>55</v>
      </c>
      <c r="I1169" s="4" t="s">
        <v>985</v>
      </c>
      <c r="J1169" s="4" t="s">
        <v>91</v>
      </c>
      <c r="K1169" s="4" t="s">
        <v>60</v>
      </c>
      <c r="L1169" s="4" t="s">
        <v>131</v>
      </c>
      <c r="M1169" s="4" t="s">
        <v>63</v>
      </c>
      <c r="N1169" s="4" t="s">
        <v>132</v>
      </c>
      <c r="O1169" s="2" t="s">
        <v>132</v>
      </c>
      <c r="P1169" s="2">
        <v>7.58731654E8</v>
      </c>
      <c r="Q1169" s="2" t="s">
        <v>68</v>
      </c>
      <c r="R1169" s="4" t="s">
        <v>6916</v>
      </c>
    </row>
    <row r="1170">
      <c r="A1170" s="4" t="s">
        <v>44</v>
      </c>
      <c r="B1170" s="4" t="s">
        <v>44</v>
      </c>
      <c r="C1170" s="4">
        <v>1169.0</v>
      </c>
      <c r="D1170" s="13" t="str">
        <f>HYPERLINK("https://www.linkedin.com/ad-library/detail/758750924","Open Ad")</f>
        <v>Open Ad</v>
      </c>
      <c r="E1170" s="4" t="s">
        <v>91</v>
      </c>
      <c r="F1170" s="4" t="s">
        <v>53</v>
      </c>
      <c r="G1170" s="4" t="s">
        <v>6915</v>
      </c>
      <c r="H1170" s="4" t="s">
        <v>55</v>
      </c>
      <c r="I1170" s="4" t="s">
        <v>985</v>
      </c>
      <c r="J1170" s="4" t="s">
        <v>91</v>
      </c>
      <c r="K1170" s="4" t="s">
        <v>60</v>
      </c>
      <c r="L1170" s="4" t="s">
        <v>131</v>
      </c>
      <c r="M1170" s="4" t="s">
        <v>63</v>
      </c>
      <c r="N1170" s="4" t="s">
        <v>132</v>
      </c>
      <c r="O1170" s="2" t="s">
        <v>132</v>
      </c>
      <c r="P1170" s="2">
        <v>7.58750924E8</v>
      </c>
      <c r="Q1170" s="2" t="s">
        <v>68</v>
      </c>
      <c r="R1170" s="4" t="s">
        <v>6916</v>
      </c>
    </row>
    <row r="1171">
      <c r="A1171" s="4" t="s">
        <v>44</v>
      </c>
      <c r="B1171" s="4" t="s">
        <v>44</v>
      </c>
      <c r="C1171" s="4">
        <v>1170.0</v>
      </c>
      <c r="D1171" s="13" t="str">
        <f>HYPERLINK("https://www.linkedin.com/ad-library/detail/758672674","Open Ad")</f>
        <v>Open Ad</v>
      </c>
      <c r="E1171" s="4" t="s">
        <v>91</v>
      </c>
      <c r="F1171" s="4" t="s">
        <v>53</v>
      </c>
      <c r="G1171" s="4" t="s">
        <v>6915</v>
      </c>
      <c r="H1171" s="4" t="s">
        <v>55</v>
      </c>
      <c r="I1171" s="4" t="s">
        <v>985</v>
      </c>
      <c r="J1171" s="4" t="s">
        <v>91</v>
      </c>
      <c r="K1171" s="4" t="s">
        <v>60</v>
      </c>
      <c r="L1171" s="4" t="s">
        <v>131</v>
      </c>
      <c r="M1171" s="4" t="s">
        <v>63</v>
      </c>
      <c r="N1171" s="4" t="s">
        <v>132</v>
      </c>
      <c r="O1171" s="2" t="s">
        <v>132</v>
      </c>
      <c r="P1171" s="2">
        <v>7.58672674E8</v>
      </c>
      <c r="Q1171" s="2" t="s">
        <v>68</v>
      </c>
      <c r="R1171" s="4" t="s">
        <v>6916</v>
      </c>
    </row>
    <row r="1172">
      <c r="A1172" s="4" t="s">
        <v>44</v>
      </c>
      <c r="B1172" s="4" t="s">
        <v>44</v>
      </c>
      <c r="C1172" s="4">
        <v>1171.0</v>
      </c>
      <c r="D1172" s="13" t="str">
        <f>HYPERLINK("https://www.linkedin.com/ad-library/detail/758603714","Open Ad")</f>
        <v>Open Ad</v>
      </c>
      <c r="E1172" s="4" t="s">
        <v>91</v>
      </c>
      <c r="F1172" s="4" t="s">
        <v>53</v>
      </c>
      <c r="G1172" s="4" t="s">
        <v>6915</v>
      </c>
      <c r="H1172" s="4" t="s">
        <v>55</v>
      </c>
      <c r="I1172" s="4" t="s">
        <v>985</v>
      </c>
      <c r="J1172" s="4" t="s">
        <v>91</v>
      </c>
      <c r="K1172" s="4" t="s">
        <v>60</v>
      </c>
      <c r="L1172" s="4" t="s">
        <v>131</v>
      </c>
      <c r="M1172" s="4" t="s">
        <v>63</v>
      </c>
      <c r="N1172" s="4" t="s">
        <v>132</v>
      </c>
      <c r="O1172" s="2" t="s">
        <v>132</v>
      </c>
      <c r="P1172" s="2">
        <v>7.58603714E8</v>
      </c>
      <c r="Q1172" s="2" t="s">
        <v>68</v>
      </c>
      <c r="R1172" s="4" t="s">
        <v>6916</v>
      </c>
    </row>
    <row r="1173">
      <c r="A1173" s="4" t="s">
        <v>44</v>
      </c>
      <c r="B1173" s="4" t="s">
        <v>44</v>
      </c>
      <c r="C1173" s="4">
        <v>1172.0</v>
      </c>
      <c r="D1173" s="13" t="str">
        <f>HYPERLINK("https://www.linkedin.com/ad-library/detail/758741094","Open Ad")</f>
        <v>Open Ad</v>
      </c>
      <c r="E1173" s="4" t="s">
        <v>91</v>
      </c>
      <c r="F1173" s="4" t="s">
        <v>53</v>
      </c>
      <c r="G1173" s="4" t="s">
        <v>6915</v>
      </c>
      <c r="H1173" s="4" t="s">
        <v>55</v>
      </c>
      <c r="I1173" s="4" t="s">
        <v>985</v>
      </c>
      <c r="J1173" s="4" t="s">
        <v>91</v>
      </c>
      <c r="K1173" s="4" t="s">
        <v>60</v>
      </c>
      <c r="L1173" s="4" t="s">
        <v>131</v>
      </c>
      <c r="M1173" s="4" t="s">
        <v>63</v>
      </c>
      <c r="N1173" s="4" t="s">
        <v>132</v>
      </c>
      <c r="O1173" s="2" t="s">
        <v>132</v>
      </c>
      <c r="P1173" s="2">
        <v>7.58741094E8</v>
      </c>
      <c r="Q1173" s="2" t="s">
        <v>68</v>
      </c>
      <c r="R1173" s="4" t="s">
        <v>6916</v>
      </c>
    </row>
    <row r="1174">
      <c r="A1174" s="4" t="s">
        <v>44</v>
      </c>
      <c r="B1174" s="4" t="s">
        <v>44</v>
      </c>
      <c r="C1174" s="4">
        <v>1173.0</v>
      </c>
      <c r="D1174" s="13" t="str">
        <f>HYPERLINK("https://www.linkedin.com/ad-library/detail/758613364","Open Ad")</f>
        <v>Open Ad</v>
      </c>
      <c r="E1174" s="4" t="s">
        <v>91</v>
      </c>
      <c r="F1174" s="4" t="s">
        <v>53</v>
      </c>
      <c r="G1174" s="4" t="s">
        <v>6915</v>
      </c>
      <c r="H1174" s="4" t="s">
        <v>55</v>
      </c>
      <c r="I1174" s="4" t="s">
        <v>985</v>
      </c>
      <c r="J1174" s="4" t="s">
        <v>91</v>
      </c>
      <c r="K1174" s="4" t="s">
        <v>60</v>
      </c>
      <c r="L1174" s="4" t="s">
        <v>131</v>
      </c>
      <c r="M1174" s="4" t="s">
        <v>63</v>
      </c>
      <c r="N1174" s="4" t="s">
        <v>132</v>
      </c>
      <c r="O1174" s="2" t="s">
        <v>132</v>
      </c>
      <c r="P1174" s="2">
        <v>7.58613364E8</v>
      </c>
      <c r="Q1174" s="2" t="s">
        <v>68</v>
      </c>
      <c r="R1174" s="4" t="s">
        <v>6916</v>
      </c>
    </row>
    <row r="1175">
      <c r="A1175" s="4" t="s">
        <v>44</v>
      </c>
      <c r="B1175" s="4" t="s">
        <v>44</v>
      </c>
      <c r="C1175" s="4">
        <v>1174.0</v>
      </c>
      <c r="D1175" s="13" t="str">
        <f>HYPERLINK("https://www.linkedin.com/ad-library/detail/758692724","Open Ad")</f>
        <v>Open Ad</v>
      </c>
      <c r="E1175" s="4" t="s">
        <v>91</v>
      </c>
      <c r="F1175" s="4" t="s">
        <v>53</v>
      </c>
      <c r="G1175" s="4" t="s">
        <v>6915</v>
      </c>
      <c r="H1175" s="4" t="s">
        <v>55</v>
      </c>
      <c r="I1175" s="4" t="s">
        <v>985</v>
      </c>
      <c r="J1175" s="4" t="s">
        <v>91</v>
      </c>
      <c r="K1175" s="4" t="s">
        <v>60</v>
      </c>
      <c r="L1175" s="4" t="s">
        <v>131</v>
      </c>
      <c r="M1175" s="4" t="s">
        <v>63</v>
      </c>
      <c r="N1175" s="4" t="s">
        <v>132</v>
      </c>
      <c r="O1175" s="2" t="s">
        <v>132</v>
      </c>
      <c r="P1175" s="2">
        <v>7.58692724E8</v>
      </c>
      <c r="Q1175" s="2" t="s">
        <v>68</v>
      </c>
      <c r="R1175" s="4" t="s">
        <v>6916</v>
      </c>
    </row>
    <row r="1176">
      <c r="A1176" s="4" t="s">
        <v>44</v>
      </c>
      <c r="B1176" s="4" t="s">
        <v>44</v>
      </c>
      <c r="C1176" s="4">
        <v>1175.0</v>
      </c>
      <c r="D1176" s="13" t="str">
        <f>HYPERLINK("https://www.linkedin.com/ad-library/detail/758741084","Open Ad")</f>
        <v>Open Ad</v>
      </c>
      <c r="E1176" s="4" t="s">
        <v>91</v>
      </c>
      <c r="F1176" s="4" t="s">
        <v>53</v>
      </c>
      <c r="G1176" s="4" t="s">
        <v>6915</v>
      </c>
      <c r="H1176" s="4" t="s">
        <v>55</v>
      </c>
      <c r="I1176" s="4" t="s">
        <v>985</v>
      </c>
      <c r="J1176" s="4" t="s">
        <v>91</v>
      </c>
      <c r="K1176" s="4" t="s">
        <v>60</v>
      </c>
      <c r="L1176" s="4" t="s">
        <v>131</v>
      </c>
      <c r="M1176" s="4" t="s">
        <v>63</v>
      </c>
      <c r="N1176" s="4" t="s">
        <v>132</v>
      </c>
      <c r="O1176" s="2" t="s">
        <v>132</v>
      </c>
      <c r="P1176" s="2">
        <v>7.58741084E8</v>
      </c>
      <c r="Q1176" s="2" t="s">
        <v>68</v>
      </c>
      <c r="R1176" s="4" t="s">
        <v>6916</v>
      </c>
    </row>
    <row r="1177">
      <c r="A1177" s="4" t="s">
        <v>44</v>
      </c>
      <c r="B1177" s="4" t="s">
        <v>44</v>
      </c>
      <c r="C1177" s="4">
        <v>1176.0</v>
      </c>
      <c r="D1177" s="13" t="str">
        <f>HYPERLINK("https://www.linkedin.com/ad-library/detail/758741074","Open Ad")</f>
        <v>Open Ad</v>
      </c>
      <c r="E1177" s="4" t="s">
        <v>91</v>
      </c>
      <c r="F1177" s="4" t="s">
        <v>53</v>
      </c>
      <c r="G1177" s="4" t="s">
        <v>6915</v>
      </c>
      <c r="H1177" s="4" t="s">
        <v>55</v>
      </c>
      <c r="I1177" s="4" t="s">
        <v>985</v>
      </c>
      <c r="J1177" s="4" t="s">
        <v>91</v>
      </c>
      <c r="K1177" s="4" t="s">
        <v>60</v>
      </c>
      <c r="L1177" s="4" t="s">
        <v>131</v>
      </c>
      <c r="M1177" s="4" t="s">
        <v>63</v>
      </c>
      <c r="N1177" s="4" t="s">
        <v>132</v>
      </c>
      <c r="O1177" s="2" t="s">
        <v>132</v>
      </c>
      <c r="P1177" s="2">
        <v>7.58741074E8</v>
      </c>
      <c r="Q1177" s="2" t="s">
        <v>68</v>
      </c>
      <c r="R1177" s="4" t="s">
        <v>6916</v>
      </c>
    </row>
    <row r="1178">
      <c r="A1178" s="4" t="s">
        <v>44</v>
      </c>
      <c r="B1178" s="4" t="s">
        <v>44</v>
      </c>
      <c r="C1178" s="4">
        <v>1177.0</v>
      </c>
      <c r="D1178" s="13" t="str">
        <f>HYPERLINK("https://www.linkedin.com/ad-library/detail/758492734","Open Ad")</f>
        <v>Open Ad</v>
      </c>
      <c r="E1178" s="4" t="s">
        <v>91</v>
      </c>
      <c r="F1178" s="4" t="s">
        <v>53</v>
      </c>
      <c r="G1178" s="4" t="s">
        <v>6915</v>
      </c>
      <c r="H1178" s="4" t="s">
        <v>55</v>
      </c>
      <c r="I1178" s="4" t="s">
        <v>985</v>
      </c>
      <c r="J1178" s="4" t="s">
        <v>91</v>
      </c>
      <c r="K1178" s="4" t="s">
        <v>60</v>
      </c>
      <c r="L1178" s="4" t="s">
        <v>131</v>
      </c>
      <c r="M1178" s="4" t="s">
        <v>63</v>
      </c>
      <c r="N1178" s="4" t="s">
        <v>132</v>
      </c>
      <c r="O1178" s="2" t="s">
        <v>132</v>
      </c>
      <c r="P1178" s="2">
        <v>7.58492734E8</v>
      </c>
      <c r="Q1178" s="2" t="s">
        <v>68</v>
      </c>
      <c r="R1178" s="4" t="s">
        <v>6916</v>
      </c>
    </row>
    <row r="1179">
      <c r="A1179" s="4" t="s">
        <v>44</v>
      </c>
      <c r="B1179" s="4" t="s">
        <v>44</v>
      </c>
      <c r="C1179" s="4">
        <v>1178.0</v>
      </c>
      <c r="D1179" s="13" t="str">
        <f>HYPERLINK("https://www.linkedin.com/ad-library/detail/758413894","Open Ad")</f>
        <v>Open Ad</v>
      </c>
      <c r="E1179" s="4" t="s">
        <v>91</v>
      </c>
      <c r="F1179" s="4" t="s">
        <v>53</v>
      </c>
      <c r="G1179" s="4" t="s">
        <v>6915</v>
      </c>
      <c r="H1179" s="4" t="s">
        <v>55</v>
      </c>
      <c r="I1179" s="4" t="s">
        <v>985</v>
      </c>
      <c r="J1179" s="4" t="s">
        <v>91</v>
      </c>
      <c r="K1179" s="4" t="s">
        <v>60</v>
      </c>
      <c r="L1179" s="4" t="s">
        <v>131</v>
      </c>
      <c r="M1179" s="4" t="s">
        <v>63</v>
      </c>
      <c r="N1179" s="4" t="s">
        <v>132</v>
      </c>
      <c r="O1179" s="2" t="s">
        <v>132</v>
      </c>
      <c r="P1179" s="2">
        <v>7.58413894E8</v>
      </c>
      <c r="Q1179" s="2" t="s">
        <v>68</v>
      </c>
      <c r="R1179" s="4" t="s">
        <v>6916</v>
      </c>
    </row>
    <row r="1180">
      <c r="A1180" s="4" t="s">
        <v>44</v>
      </c>
      <c r="B1180" s="4" t="s">
        <v>44</v>
      </c>
      <c r="C1180" s="4">
        <v>1179.0</v>
      </c>
      <c r="D1180" s="13" t="str">
        <f>HYPERLINK("https://www.linkedin.com/ad-library/detail/758432064","Open Ad")</f>
        <v>Open Ad</v>
      </c>
      <c r="E1180" s="4" t="s">
        <v>91</v>
      </c>
      <c r="F1180" s="4" t="s">
        <v>53</v>
      </c>
      <c r="G1180" s="4" t="s">
        <v>6915</v>
      </c>
      <c r="H1180" s="4" t="s">
        <v>55</v>
      </c>
      <c r="I1180" s="4" t="s">
        <v>985</v>
      </c>
      <c r="J1180" s="4" t="s">
        <v>91</v>
      </c>
      <c r="K1180" s="4" t="s">
        <v>60</v>
      </c>
      <c r="L1180" s="4" t="s">
        <v>131</v>
      </c>
      <c r="M1180" s="4" t="s">
        <v>63</v>
      </c>
      <c r="N1180" s="4" t="s">
        <v>132</v>
      </c>
      <c r="O1180" s="2" t="s">
        <v>132</v>
      </c>
      <c r="P1180" s="2">
        <v>7.58432064E8</v>
      </c>
      <c r="Q1180" s="2" t="s">
        <v>68</v>
      </c>
      <c r="R1180" s="4" t="s">
        <v>6916</v>
      </c>
    </row>
    <row r="1181">
      <c r="A1181" s="4" t="s">
        <v>44</v>
      </c>
      <c r="B1181" s="4" t="s">
        <v>44</v>
      </c>
      <c r="C1181" s="4">
        <v>1180.0</v>
      </c>
      <c r="D1181" s="13" t="str">
        <f>HYPERLINK("https://www.linkedin.com/ad-library/detail/758325134","Open Ad")</f>
        <v>Open Ad</v>
      </c>
      <c r="E1181" s="4" t="s">
        <v>91</v>
      </c>
      <c r="F1181" s="4" t="s">
        <v>53</v>
      </c>
      <c r="G1181" s="4" t="s">
        <v>6915</v>
      </c>
      <c r="H1181" s="4" t="s">
        <v>55</v>
      </c>
      <c r="I1181" s="4" t="s">
        <v>985</v>
      </c>
      <c r="J1181" s="4" t="s">
        <v>91</v>
      </c>
      <c r="K1181" s="4" t="s">
        <v>60</v>
      </c>
      <c r="L1181" s="4" t="s">
        <v>131</v>
      </c>
      <c r="M1181" s="4" t="s">
        <v>63</v>
      </c>
      <c r="N1181" s="4" t="s">
        <v>132</v>
      </c>
      <c r="O1181" s="2" t="s">
        <v>132</v>
      </c>
      <c r="P1181" s="2">
        <v>7.58325134E8</v>
      </c>
      <c r="Q1181" s="2" t="s">
        <v>68</v>
      </c>
      <c r="R1181" s="4" t="s">
        <v>6916</v>
      </c>
    </row>
    <row r="1182">
      <c r="A1182" s="4" t="s">
        <v>44</v>
      </c>
      <c r="B1182" s="4" t="s">
        <v>44</v>
      </c>
      <c r="C1182" s="4">
        <v>1181.0</v>
      </c>
      <c r="D1182" s="13" t="str">
        <f>HYPERLINK("https://www.linkedin.com/ad-library/detail/751045604","Open Ad")</f>
        <v>Open Ad</v>
      </c>
      <c r="E1182" s="4" t="s">
        <v>91</v>
      </c>
      <c r="F1182" s="4" t="s">
        <v>53</v>
      </c>
      <c r="G1182" s="4" t="s">
        <v>6915</v>
      </c>
      <c r="H1182" s="4" t="s">
        <v>55</v>
      </c>
      <c r="I1182" s="4" t="s">
        <v>985</v>
      </c>
      <c r="J1182" s="4" t="s">
        <v>91</v>
      </c>
      <c r="K1182" s="4" t="s">
        <v>60</v>
      </c>
      <c r="L1182" s="4" t="s">
        <v>131</v>
      </c>
      <c r="M1182" s="4" t="s">
        <v>63</v>
      </c>
      <c r="N1182" s="4" t="s">
        <v>132</v>
      </c>
      <c r="O1182" s="2" t="s">
        <v>132</v>
      </c>
      <c r="P1182" s="2">
        <v>7.51045604E8</v>
      </c>
      <c r="Q1182" s="2" t="s">
        <v>68</v>
      </c>
      <c r="R1182" s="4" t="s">
        <v>6916</v>
      </c>
    </row>
    <row r="1183">
      <c r="A1183" s="4" t="s">
        <v>44</v>
      </c>
      <c r="B1183" s="4" t="s">
        <v>44</v>
      </c>
      <c r="C1183" s="4">
        <v>1182.0</v>
      </c>
      <c r="D1183" s="13" t="str">
        <f>HYPERLINK("https://www.linkedin.com/ad-library/detail/758702504","Open Ad")</f>
        <v>Open Ad</v>
      </c>
      <c r="E1183" s="4" t="s">
        <v>91</v>
      </c>
      <c r="F1183" s="4" t="s">
        <v>53</v>
      </c>
      <c r="G1183" s="4" t="s">
        <v>6915</v>
      </c>
      <c r="H1183" s="4" t="s">
        <v>55</v>
      </c>
      <c r="I1183" s="4" t="s">
        <v>985</v>
      </c>
      <c r="J1183" s="4" t="s">
        <v>91</v>
      </c>
      <c r="K1183" s="4" t="s">
        <v>60</v>
      </c>
      <c r="L1183" s="4" t="s">
        <v>131</v>
      </c>
      <c r="M1183" s="4" t="s">
        <v>63</v>
      </c>
      <c r="N1183" s="4" t="s">
        <v>132</v>
      </c>
      <c r="O1183" s="2" t="s">
        <v>132</v>
      </c>
      <c r="P1183" s="2">
        <v>7.58702504E8</v>
      </c>
      <c r="Q1183" s="2" t="s">
        <v>68</v>
      </c>
      <c r="R1183" s="4" t="s">
        <v>6916</v>
      </c>
    </row>
    <row r="1184">
      <c r="A1184" s="4" t="s">
        <v>44</v>
      </c>
      <c r="B1184" s="4" t="s">
        <v>44</v>
      </c>
      <c r="C1184" s="4">
        <v>1183.0</v>
      </c>
      <c r="D1184" s="13" t="str">
        <f>HYPERLINK("https://www.linkedin.com/ad-library/detail/751115614","Open Ad")</f>
        <v>Open Ad</v>
      </c>
      <c r="E1184" s="4" t="s">
        <v>91</v>
      </c>
      <c r="F1184" s="4" t="s">
        <v>53</v>
      </c>
      <c r="G1184" s="4" t="s">
        <v>6915</v>
      </c>
      <c r="H1184" s="4" t="s">
        <v>55</v>
      </c>
      <c r="I1184" s="4" t="s">
        <v>985</v>
      </c>
      <c r="J1184" s="4" t="s">
        <v>91</v>
      </c>
      <c r="K1184" s="4" t="s">
        <v>60</v>
      </c>
      <c r="L1184" s="4" t="s">
        <v>131</v>
      </c>
      <c r="M1184" s="4" t="s">
        <v>63</v>
      </c>
      <c r="N1184" s="4" t="s">
        <v>132</v>
      </c>
      <c r="O1184" s="2" t="s">
        <v>132</v>
      </c>
      <c r="P1184" s="2">
        <v>7.51115614E8</v>
      </c>
      <c r="Q1184" s="2" t="s">
        <v>68</v>
      </c>
      <c r="R1184" s="4" t="s">
        <v>6916</v>
      </c>
    </row>
    <row r="1185">
      <c r="A1185" s="4" t="s">
        <v>44</v>
      </c>
      <c r="B1185" s="4" t="s">
        <v>44</v>
      </c>
      <c r="C1185" s="4">
        <v>1184.0</v>
      </c>
      <c r="D1185" s="13" t="str">
        <f>HYPERLINK("https://www.linkedin.com/ad-library/detail/758473374","Open Ad")</f>
        <v>Open Ad</v>
      </c>
      <c r="E1185" s="4" t="s">
        <v>91</v>
      </c>
      <c r="F1185" s="4" t="s">
        <v>53</v>
      </c>
      <c r="G1185" s="4" t="s">
        <v>6915</v>
      </c>
      <c r="H1185" s="4" t="s">
        <v>55</v>
      </c>
      <c r="I1185" s="4" t="s">
        <v>985</v>
      </c>
      <c r="J1185" s="4" t="s">
        <v>91</v>
      </c>
      <c r="K1185" s="4" t="s">
        <v>60</v>
      </c>
      <c r="L1185" s="4" t="s">
        <v>131</v>
      </c>
      <c r="M1185" s="4" t="s">
        <v>63</v>
      </c>
      <c r="N1185" s="4" t="s">
        <v>132</v>
      </c>
      <c r="O1185" s="2" t="s">
        <v>132</v>
      </c>
      <c r="P1185" s="2">
        <v>7.58473374E8</v>
      </c>
      <c r="Q1185" s="2" t="s">
        <v>68</v>
      </c>
      <c r="R1185" s="4" t="s">
        <v>6916</v>
      </c>
    </row>
    <row r="1186">
      <c r="A1186" s="4" t="s">
        <v>44</v>
      </c>
      <c r="B1186" s="4" t="s">
        <v>44</v>
      </c>
      <c r="C1186" s="4">
        <v>1185.0</v>
      </c>
      <c r="D1186" s="13" t="str">
        <f>HYPERLINK("https://www.linkedin.com/ad-library/detail/758453514","Open Ad")</f>
        <v>Open Ad</v>
      </c>
      <c r="E1186" s="4" t="s">
        <v>91</v>
      </c>
      <c r="F1186" s="4" t="s">
        <v>53</v>
      </c>
      <c r="G1186" s="4" t="s">
        <v>6915</v>
      </c>
      <c r="H1186" s="4" t="s">
        <v>55</v>
      </c>
      <c r="I1186" s="4" t="s">
        <v>985</v>
      </c>
      <c r="J1186" s="4" t="s">
        <v>91</v>
      </c>
      <c r="K1186" s="4" t="s">
        <v>60</v>
      </c>
      <c r="L1186" s="4" t="s">
        <v>131</v>
      </c>
      <c r="M1186" s="4" t="s">
        <v>63</v>
      </c>
      <c r="N1186" s="4" t="s">
        <v>132</v>
      </c>
      <c r="O1186" s="2" t="s">
        <v>132</v>
      </c>
      <c r="P1186" s="2">
        <v>7.58453514E8</v>
      </c>
      <c r="Q1186" s="2" t="s">
        <v>68</v>
      </c>
      <c r="R1186" s="4" t="s">
        <v>6916</v>
      </c>
    </row>
    <row r="1187">
      <c r="A1187" s="4" t="s">
        <v>44</v>
      </c>
      <c r="B1187" s="4" t="s">
        <v>44</v>
      </c>
      <c r="C1187" s="4">
        <v>1186.0</v>
      </c>
      <c r="D1187" s="13" t="str">
        <f>HYPERLINK("https://www.linkedin.com/ad-library/detail/758404004","Open Ad")</f>
        <v>Open Ad</v>
      </c>
      <c r="E1187" s="4" t="s">
        <v>91</v>
      </c>
      <c r="F1187" s="4" t="s">
        <v>53</v>
      </c>
      <c r="G1187" s="4" t="s">
        <v>6915</v>
      </c>
      <c r="H1187" s="4" t="s">
        <v>55</v>
      </c>
      <c r="I1187" s="4" t="s">
        <v>985</v>
      </c>
      <c r="J1187" s="4" t="s">
        <v>91</v>
      </c>
      <c r="K1187" s="4" t="s">
        <v>60</v>
      </c>
      <c r="L1187" s="4" t="s">
        <v>131</v>
      </c>
      <c r="M1187" s="4" t="s">
        <v>63</v>
      </c>
      <c r="N1187" s="4" t="s">
        <v>132</v>
      </c>
      <c r="O1187" s="2" t="s">
        <v>132</v>
      </c>
      <c r="P1187" s="2">
        <v>7.58404004E8</v>
      </c>
      <c r="Q1187" s="2" t="s">
        <v>68</v>
      </c>
      <c r="R1187" s="4" t="s">
        <v>6916</v>
      </c>
    </row>
    <row r="1188">
      <c r="A1188" s="4" t="s">
        <v>44</v>
      </c>
      <c r="B1188" s="4" t="s">
        <v>44</v>
      </c>
      <c r="C1188" s="4">
        <v>1187.0</v>
      </c>
      <c r="D1188" s="13" t="str">
        <f>HYPERLINK("https://www.linkedin.com/ad-library/detail/758214554","Open Ad")</f>
        <v>Open Ad</v>
      </c>
      <c r="E1188" s="4" t="s">
        <v>91</v>
      </c>
      <c r="F1188" s="4" t="s">
        <v>53</v>
      </c>
      <c r="G1188" s="4" t="s">
        <v>6915</v>
      </c>
      <c r="H1188" s="4" t="s">
        <v>55</v>
      </c>
      <c r="I1188" s="4" t="s">
        <v>985</v>
      </c>
      <c r="J1188" s="4" t="s">
        <v>91</v>
      </c>
      <c r="K1188" s="4" t="s">
        <v>60</v>
      </c>
      <c r="L1188" s="4" t="s">
        <v>131</v>
      </c>
      <c r="M1188" s="4" t="s">
        <v>63</v>
      </c>
      <c r="N1188" s="4" t="s">
        <v>132</v>
      </c>
      <c r="O1188" s="2" t="s">
        <v>132</v>
      </c>
      <c r="P1188" s="2">
        <v>7.58214554E8</v>
      </c>
      <c r="Q1188" s="2" t="s">
        <v>68</v>
      </c>
      <c r="R1188" s="4" t="s">
        <v>6916</v>
      </c>
    </row>
    <row r="1189">
      <c r="A1189" s="4" t="s">
        <v>44</v>
      </c>
      <c r="B1189" s="4" t="s">
        <v>44</v>
      </c>
      <c r="C1189" s="4">
        <v>1188.0</v>
      </c>
      <c r="D1189" s="13" t="str">
        <f>HYPERLINK("https://www.linkedin.com/ad-library/detail/758404034","Open Ad")</f>
        <v>Open Ad</v>
      </c>
      <c r="E1189" s="4" t="s">
        <v>91</v>
      </c>
      <c r="F1189" s="4" t="s">
        <v>53</v>
      </c>
      <c r="G1189" s="4" t="s">
        <v>6915</v>
      </c>
      <c r="H1189" s="4" t="s">
        <v>55</v>
      </c>
      <c r="I1189" s="4" t="s">
        <v>985</v>
      </c>
      <c r="J1189" s="4" t="s">
        <v>91</v>
      </c>
      <c r="K1189" s="4" t="s">
        <v>60</v>
      </c>
      <c r="L1189" s="4" t="s">
        <v>131</v>
      </c>
      <c r="M1189" s="4" t="s">
        <v>63</v>
      </c>
      <c r="N1189" s="4" t="s">
        <v>132</v>
      </c>
      <c r="O1189" s="2" t="s">
        <v>132</v>
      </c>
      <c r="P1189" s="2">
        <v>7.58404034E8</v>
      </c>
      <c r="Q1189" s="2" t="s">
        <v>68</v>
      </c>
      <c r="R1189" s="4" t="s">
        <v>6916</v>
      </c>
    </row>
    <row r="1190">
      <c r="A1190" s="4" t="s">
        <v>44</v>
      </c>
      <c r="B1190" s="4" t="s">
        <v>44</v>
      </c>
      <c r="C1190" s="4">
        <v>1189.0</v>
      </c>
      <c r="D1190" s="13" t="str">
        <f>HYPERLINK("https://www.linkedin.com/ad-library/detail/758343104","Open Ad")</f>
        <v>Open Ad</v>
      </c>
      <c r="E1190" s="4" t="s">
        <v>91</v>
      </c>
      <c r="F1190" s="4" t="s">
        <v>53</v>
      </c>
      <c r="G1190" s="4" t="s">
        <v>6915</v>
      </c>
      <c r="H1190" s="4" t="s">
        <v>55</v>
      </c>
      <c r="I1190" s="4" t="s">
        <v>985</v>
      </c>
      <c r="J1190" s="4" t="s">
        <v>91</v>
      </c>
      <c r="K1190" s="4" t="s">
        <v>60</v>
      </c>
      <c r="L1190" s="4" t="s">
        <v>131</v>
      </c>
      <c r="M1190" s="4" t="s">
        <v>63</v>
      </c>
      <c r="N1190" s="4" t="s">
        <v>132</v>
      </c>
      <c r="O1190" s="2" t="s">
        <v>132</v>
      </c>
      <c r="P1190" s="2">
        <v>7.58343104E8</v>
      </c>
      <c r="Q1190" s="2" t="s">
        <v>68</v>
      </c>
      <c r="R1190" s="4" t="s">
        <v>6916</v>
      </c>
    </row>
    <row r="1191">
      <c r="A1191" s="4" t="s">
        <v>44</v>
      </c>
      <c r="B1191" s="4" t="s">
        <v>44</v>
      </c>
      <c r="C1191" s="4">
        <v>1190.0</v>
      </c>
      <c r="D1191" s="13" t="str">
        <f>HYPERLINK("https://www.linkedin.com/ad-library/detail/751046884","Open Ad")</f>
        <v>Open Ad</v>
      </c>
      <c r="E1191" s="4" t="s">
        <v>91</v>
      </c>
      <c r="F1191" s="4" t="s">
        <v>53</v>
      </c>
      <c r="G1191" s="4" t="s">
        <v>6915</v>
      </c>
      <c r="H1191" s="4" t="s">
        <v>55</v>
      </c>
      <c r="I1191" s="4" t="s">
        <v>985</v>
      </c>
      <c r="J1191" s="4" t="s">
        <v>91</v>
      </c>
      <c r="K1191" s="4" t="s">
        <v>60</v>
      </c>
      <c r="L1191" s="4" t="s">
        <v>131</v>
      </c>
      <c r="M1191" s="4" t="s">
        <v>63</v>
      </c>
      <c r="N1191" s="4" t="s">
        <v>132</v>
      </c>
      <c r="O1191" s="2" t="s">
        <v>132</v>
      </c>
      <c r="P1191" s="2">
        <v>7.51046884E8</v>
      </c>
      <c r="Q1191" s="2" t="s">
        <v>68</v>
      </c>
      <c r="R1191" s="4" t="s">
        <v>6916</v>
      </c>
    </row>
    <row r="1192">
      <c r="A1192" s="4" t="s">
        <v>44</v>
      </c>
      <c r="B1192" s="4" t="s">
        <v>44</v>
      </c>
      <c r="C1192" s="4">
        <v>1191.0</v>
      </c>
      <c r="D1192" s="13" t="str">
        <f>HYPERLINK("https://www.linkedin.com/ad-library/detail/751066344","Open Ad")</f>
        <v>Open Ad</v>
      </c>
      <c r="E1192" s="4" t="s">
        <v>91</v>
      </c>
      <c r="F1192" s="4" t="s">
        <v>53</v>
      </c>
      <c r="G1192" s="4" t="s">
        <v>6915</v>
      </c>
      <c r="H1192" s="4" t="s">
        <v>55</v>
      </c>
      <c r="I1192" s="4" t="s">
        <v>985</v>
      </c>
      <c r="J1192" s="4" t="s">
        <v>91</v>
      </c>
      <c r="K1192" s="4" t="s">
        <v>60</v>
      </c>
      <c r="L1192" s="4" t="s">
        <v>131</v>
      </c>
      <c r="M1192" s="4" t="s">
        <v>63</v>
      </c>
      <c r="N1192" s="4" t="s">
        <v>132</v>
      </c>
      <c r="O1192" s="2" t="s">
        <v>132</v>
      </c>
      <c r="P1192" s="2">
        <v>7.51066344E8</v>
      </c>
      <c r="Q1192" s="2" t="s">
        <v>68</v>
      </c>
      <c r="R1192" s="4" t="s">
        <v>6916</v>
      </c>
    </row>
    <row r="1193">
      <c r="A1193" s="4" t="s">
        <v>44</v>
      </c>
      <c r="B1193" s="4" t="s">
        <v>44</v>
      </c>
      <c r="C1193" s="4">
        <v>1192.0</v>
      </c>
      <c r="D1193" s="13" t="str">
        <f>HYPERLINK("https://www.linkedin.com/ad-library/detail/751125784","Open Ad")</f>
        <v>Open Ad</v>
      </c>
      <c r="E1193" s="4" t="s">
        <v>91</v>
      </c>
      <c r="F1193" s="4" t="s">
        <v>53</v>
      </c>
      <c r="G1193" s="4" t="s">
        <v>6915</v>
      </c>
      <c r="H1193" s="4" t="s">
        <v>55</v>
      </c>
      <c r="I1193" s="4" t="s">
        <v>985</v>
      </c>
      <c r="J1193" s="4" t="s">
        <v>91</v>
      </c>
      <c r="K1193" s="4" t="s">
        <v>60</v>
      </c>
      <c r="L1193" s="4" t="s">
        <v>131</v>
      </c>
      <c r="M1193" s="4" t="s">
        <v>63</v>
      </c>
      <c r="N1193" s="4" t="s">
        <v>132</v>
      </c>
      <c r="O1193" s="2" t="s">
        <v>132</v>
      </c>
      <c r="P1193" s="2">
        <v>7.51125784E8</v>
      </c>
      <c r="Q1193" s="2" t="s">
        <v>68</v>
      </c>
      <c r="R1193" s="4" t="s">
        <v>6916</v>
      </c>
    </row>
    <row r="1194">
      <c r="A1194" s="4" t="s">
        <v>44</v>
      </c>
      <c r="B1194" s="4" t="s">
        <v>44</v>
      </c>
      <c r="C1194" s="4">
        <v>1193.0</v>
      </c>
      <c r="D1194" s="13" t="str">
        <f>HYPERLINK("https://www.linkedin.com/ad-library/detail/751105944","Open Ad")</f>
        <v>Open Ad</v>
      </c>
      <c r="E1194" s="4" t="s">
        <v>91</v>
      </c>
      <c r="F1194" s="4" t="s">
        <v>53</v>
      </c>
      <c r="G1194" s="4" t="s">
        <v>6915</v>
      </c>
      <c r="H1194" s="4" t="s">
        <v>55</v>
      </c>
      <c r="I1194" s="4" t="s">
        <v>985</v>
      </c>
      <c r="J1194" s="4" t="s">
        <v>91</v>
      </c>
      <c r="K1194" s="4" t="s">
        <v>60</v>
      </c>
      <c r="L1194" s="4" t="s">
        <v>131</v>
      </c>
      <c r="M1194" s="4" t="s">
        <v>63</v>
      </c>
      <c r="N1194" s="4" t="s">
        <v>132</v>
      </c>
      <c r="O1194" s="2" t="s">
        <v>132</v>
      </c>
      <c r="P1194" s="2">
        <v>7.51105944E8</v>
      </c>
      <c r="Q1194" s="2" t="s">
        <v>68</v>
      </c>
      <c r="R1194" s="4" t="s">
        <v>6916</v>
      </c>
    </row>
    <row r="1195">
      <c r="A1195" s="4" t="s">
        <v>44</v>
      </c>
      <c r="B1195" s="4" t="s">
        <v>44</v>
      </c>
      <c r="C1195" s="4">
        <v>1194.0</v>
      </c>
      <c r="D1195" s="13" t="str">
        <f>HYPERLINK("https://www.linkedin.com/ad-library/detail/758750914","Open Ad")</f>
        <v>Open Ad</v>
      </c>
      <c r="E1195" s="4" t="s">
        <v>91</v>
      </c>
      <c r="F1195" s="4" t="s">
        <v>6643</v>
      </c>
      <c r="G1195" s="4" t="s">
        <v>6650</v>
      </c>
      <c r="H1195" s="4" t="s">
        <v>55</v>
      </c>
      <c r="I1195" s="4" t="s">
        <v>272</v>
      </c>
      <c r="J1195" s="4" t="s">
        <v>91</v>
      </c>
      <c r="K1195" s="13" t="str">
        <f>HYPERLINK("https://media.licdn.com/dms/image/v2/D4E10AQFpDt-46SuwLQ/image-shrink_1280/B4EZlMioVhKsAM-/0/1757925771685?e=2147483647&amp;v=beta&amp;t=bSIUJmG9GDd0CAnobvt-ErQG7j703gZDzkcWdmyiuns","Open Creative")</f>
        <v>Open Creative</v>
      </c>
      <c r="L1195" s="4" t="s">
        <v>62</v>
      </c>
      <c r="M1195" s="4" t="s">
        <v>63</v>
      </c>
      <c r="N1195" s="4" t="s">
        <v>7213</v>
      </c>
      <c r="O1195" s="2" t="s">
        <v>132</v>
      </c>
      <c r="P1195" s="2">
        <v>7.58750914E8</v>
      </c>
      <c r="Q1195" s="2" t="s">
        <v>68</v>
      </c>
      <c r="R1195" s="4" t="s">
        <v>7214</v>
      </c>
    </row>
    <row r="1196">
      <c r="A1196" s="4" t="s">
        <v>44</v>
      </c>
      <c r="B1196" s="4" t="s">
        <v>44</v>
      </c>
      <c r="C1196" s="4">
        <v>1195.0</v>
      </c>
      <c r="D1196" s="13" t="str">
        <f>HYPERLINK("https://www.linkedin.com/ad-library/detail/751175244","Open Ad")</f>
        <v>Open Ad</v>
      </c>
      <c r="E1196" s="4" t="s">
        <v>91</v>
      </c>
      <c r="F1196" s="4" t="s">
        <v>53</v>
      </c>
      <c r="G1196" s="4" t="s">
        <v>6915</v>
      </c>
      <c r="H1196" s="4" t="s">
        <v>55</v>
      </c>
      <c r="I1196" s="4" t="s">
        <v>985</v>
      </c>
      <c r="J1196" s="4" t="s">
        <v>91</v>
      </c>
      <c r="K1196" s="4" t="s">
        <v>60</v>
      </c>
      <c r="L1196" s="4" t="s">
        <v>131</v>
      </c>
      <c r="M1196" s="4" t="s">
        <v>63</v>
      </c>
      <c r="N1196" s="4" t="s">
        <v>132</v>
      </c>
      <c r="O1196" s="2" t="s">
        <v>132</v>
      </c>
      <c r="P1196" s="2">
        <v>7.51175244E8</v>
      </c>
      <c r="Q1196" s="2" t="s">
        <v>68</v>
      </c>
      <c r="R1196" s="4" t="s">
        <v>6916</v>
      </c>
    </row>
    <row r="1197">
      <c r="A1197" s="4" t="s">
        <v>44</v>
      </c>
      <c r="B1197" s="4" t="s">
        <v>44</v>
      </c>
      <c r="C1197" s="4">
        <v>1196.0</v>
      </c>
      <c r="D1197" s="13" t="str">
        <f>HYPERLINK("https://www.linkedin.com/ad-library/detail/758502054","Open Ad")</f>
        <v>Open Ad</v>
      </c>
      <c r="E1197" s="4" t="s">
        <v>91</v>
      </c>
      <c r="F1197" s="4" t="s">
        <v>53</v>
      </c>
      <c r="G1197" s="4" t="s">
        <v>6915</v>
      </c>
      <c r="H1197" s="4" t="s">
        <v>55</v>
      </c>
      <c r="I1197" s="4" t="s">
        <v>985</v>
      </c>
      <c r="J1197" s="4" t="s">
        <v>91</v>
      </c>
      <c r="K1197" s="4" t="s">
        <v>60</v>
      </c>
      <c r="L1197" s="4" t="s">
        <v>131</v>
      </c>
      <c r="M1197" s="4" t="s">
        <v>63</v>
      </c>
      <c r="N1197" s="4" t="s">
        <v>132</v>
      </c>
      <c r="O1197" s="2" t="s">
        <v>132</v>
      </c>
      <c r="P1197" s="2">
        <v>7.58502054E8</v>
      </c>
      <c r="Q1197" s="2" t="s">
        <v>68</v>
      </c>
      <c r="R1197" s="4" t="s">
        <v>6916</v>
      </c>
    </row>
    <row r="1198">
      <c r="A1198" s="4" t="s">
        <v>44</v>
      </c>
      <c r="B1198" s="4" t="s">
        <v>44</v>
      </c>
      <c r="C1198" s="4">
        <v>1197.0</v>
      </c>
      <c r="D1198" s="13" t="str">
        <f>HYPERLINK("https://www.linkedin.com/ad-library/detail/758335084","Open Ad")</f>
        <v>Open Ad</v>
      </c>
      <c r="E1198" s="4" t="s">
        <v>91</v>
      </c>
      <c r="F1198" s="4" t="s">
        <v>53</v>
      </c>
      <c r="G1198" s="4" t="s">
        <v>6915</v>
      </c>
      <c r="H1198" s="4" t="s">
        <v>55</v>
      </c>
      <c r="I1198" s="4" t="s">
        <v>985</v>
      </c>
      <c r="J1198" s="4" t="s">
        <v>91</v>
      </c>
      <c r="K1198" s="4" t="s">
        <v>60</v>
      </c>
      <c r="L1198" s="4" t="s">
        <v>131</v>
      </c>
      <c r="M1198" s="4" t="s">
        <v>63</v>
      </c>
      <c r="N1198" s="4" t="s">
        <v>132</v>
      </c>
      <c r="O1198" s="2" t="s">
        <v>132</v>
      </c>
      <c r="P1198" s="2">
        <v>7.58335084E8</v>
      </c>
      <c r="Q1198" s="2" t="s">
        <v>68</v>
      </c>
      <c r="R1198" s="4" t="s">
        <v>6916</v>
      </c>
    </row>
    <row r="1199">
      <c r="A1199" s="4" t="s">
        <v>44</v>
      </c>
      <c r="B1199" s="4" t="s">
        <v>44</v>
      </c>
      <c r="C1199" s="4">
        <v>1198.0</v>
      </c>
      <c r="D1199" s="13" t="str">
        <f>HYPERLINK("https://www.linkedin.com/ad-library/detail/751105874","Open Ad")</f>
        <v>Open Ad</v>
      </c>
      <c r="E1199" s="4" t="s">
        <v>91</v>
      </c>
      <c r="F1199" s="4" t="s">
        <v>53</v>
      </c>
      <c r="G1199" s="4" t="s">
        <v>6915</v>
      </c>
      <c r="H1199" s="4" t="s">
        <v>55</v>
      </c>
      <c r="I1199" s="4" t="s">
        <v>985</v>
      </c>
      <c r="J1199" s="4" t="s">
        <v>91</v>
      </c>
      <c r="K1199" s="4" t="s">
        <v>60</v>
      </c>
      <c r="L1199" s="4" t="s">
        <v>131</v>
      </c>
      <c r="M1199" s="4" t="s">
        <v>63</v>
      </c>
      <c r="N1199" s="4" t="s">
        <v>132</v>
      </c>
      <c r="O1199" s="2" t="s">
        <v>132</v>
      </c>
      <c r="P1199" s="2">
        <v>7.51105874E8</v>
      </c>
      <c r="Q1199" s="2" t="s">
        <v>68</v>
      </c>
      <c r="R1199" s="4" t="s">
        <v>6916</v>
      </c>
    </row>
    <row r="1200">
      <c r="A1200" s="4" t="s">
        <v>44</v>
      </c>
      <c r="B1200" s="4" t="s">
        <v>44</v>
      </c>
      <c r="C1200" s="4">
        <v>1199.0</v>
      </c>
      <c r="D1200" s="13" t="str">
        <f>HYPERLINK("https://www.linkedin.com/ad-library/detail/758750904","Open Ad")</f>
        <v>Open Ad</v>
      </c>
      <c r="E1200" s="4" t="s">
        <v>91</v>
      </c>
      <c r="F1200" s="4" t="s">
        <v>53</v>
      </c>
      <c r="G1200" s="4" t="s">
        <v>6915</v>
      </c>
      <c r="H1200" s="4" t="s">
        <v>55</v>
      </c>
      <c r="I1200" s="4" t="s">
        <v>985</v>
      </c>
      <c r="J1200" s="4" t="s">
        <v>91</v>
      </c>
      <c r="K1200" s="4" t="s">
        <v>60</v>
      </c>
      <c r="L1200" s="4" t="s">
        <v>131</v>
      </c>
      <c r="M1200" s="4" t="s">
        <v>63</v>
      </c>
      <c r="N1200" s="4" t="s">
        <v>132</v>
      </c>
      <c r="O1200" s="2" t="s">
        <v>132</v>
      </c>
      <c r="P1200" s="2">
        <v>7.58750904E8</v>
      </c>
      <c r="Q1200" s="2" t="s">
        <v>68</v>
      </c>
      <c r="R1200" s="4" t="s">
        <v>6916</v>
      </c>
    </row>
    <row r="1201">
      <c r="A1201" s="4" t="s">
        <v>44</v>
      </c>
      <c r="B1201" s="4" t="s">
        <v>44</v>
      </c>
      <c r="C1201" s="4">
        <v>1200.0</v>
      </c>
      <c r="D1201" s="13" t="str">
        <f>HYPERLINK("https://www.linkedin.com/ad-library/detail/758244884","Open Ad")</f>
        <v>Open Ad</v>
      </c>
      <c r="E1201" s="4" t="s">
        <v>91</v>
      </c>
      <c r="F1201" s="4" t="s">
        <v>53</v>
      </c>
      <c r="G1201" s="4" t="s">
        <v>6915</v>
      </c>
      <c r="H1201" s="4" t="s">
        <v>55</v>
      </c>
      <c r="I1201" s="4" t="s">
        <v>985</v>
      </c>
      <c r="J1201" s="4" t="s">
        <v>91</v>
      </c>
      <c r="K1201" s="4" t="s">
        <v>60</v>
      </c>
      <c r="L1201" s="4" t="s">
        <v>131</v>
      </c>
      <c r="M1201" s="4" t="s">
        <v>63</v>
      </c>
      <c r="N1201" s="4" t="s">
        <v>132</v>
      </c>
      <c r="O1201" s="2" t="s">
        <v>132</v>
      </c>
      <c r="P1201" s="2">
        <v>7.58244884E8</v>
      </c>
      <c r="Q1201" s="2" t="s">
        <v>68</v>
      </c>
      <c r="R1201" s="4" t="s">
        <v>6916</v>
      </c>
    </row>
    <row r="1202">
      <c r="A1202" s="4" t="s">
        <v>44</v>
      </c>
      <c r="B1202" s="4" t="s">
        <v>44</v>
      </c>
      <c r="C1202" s="4">
        <v>1201.0</v>
      </c>
      <c r="D1202" s="13" t="str">
        <f>HYPERLINK("https://www.linkedin.com/ad-library/detail/758203844","Open Ad")</f>
        <v>Open Ad</v>
      </c>
      <c r="E1202" s="4" t="s">
        <v>91</v>
      </c>
      <c r="F1202" s="4" t="s">
        <v>53</v>
      </c>
      <c r="G1202" s="4" t="s">
        <v>6915</v>
      </c>
      <c r="H1202" s="4" t="s">
        <v>55</v>
      </c>
      <c r="I1202" s="4" t="s">
        <v>985</v>
      </c>
      <c r="J1202" s="4" t="s">
        <v>91</v>
      </c>
      <c r="K1202" s="4" t="s">
        <v>60</v>
      </c>
      <c r="L1202" s="4" t="s">
        <v>131</v>
      </c>
      <c r="M1202" s="4" t="s">
        <v>63</v>
      </c>
      <c r="N1202" s="4" t="s">
        <v>132</v>
      </c>
      <c r="O1202" s="2" t="s">
        <v>132</v>
      </c>
      <c r="P1202" s="2">
        <v>7.58203844E8</v>
      </c>
      <c r="Q1202" s="2" t="s">
        <v>68</v>
      </c>
      <c r="R1202" s="4" t="s">
        <v>6916</v>
      </c>
    </row>
    <row r="1203">
      <c r="A1203" s="4" t="s">
        <v>44</v>
      </c>
      <c r="B1203" s="4" t="s">
        <v>44</v>
      </c>
      <c r="C1203" s="4">
        <v>1202.0</v>
      </c>
      <c r="D1203" s="13" t="str">
        <f>HYPERLINK("https://www.linkedin.com/ad-library/detail/748063654","Open Ad")</f>
        <v>Open Ad</v>
      </c>
      <c r="E1203" s="4" t="s">
        <v>91</v>
      </c>
      <c r="F1203" s="4" t="s">
        <v>53</v>
      </c>
      <c r="G1203" s="4" t="s">
        <v>6915</v>
      </c>
      <c r="H1203" s="4" t="s">
        <v>55</v>
      </c>
      <c r="I1203" s="4" t="s">
        <v>985</v>
      </c>
      <c r="J1203" s="4" t="s">
        <v>91</v>
      </c>
      <c r="K1203" s="4" t="s">
        <v>60</v>
      </c>
      <c r="L1203" s="4" t="s">
        <v>131</v>
      </c>
      <c r="M1203" s="4" t="s">
        <v>63</v>
      </c>
      <c r="N1203" s="4" t="s">
        <v>132</v>
      </c>
      <c r="O1203" s="2" t="s">
        <v>132</v>
      </c>
      <c r="P1203" s="2">
        <v>7.48063654E8</v>
      </c>
      <c r="Q1203" s="2" t="s">
        <v>68</v>
      </c>
      <c r="R1203" s="4" t="s">
        <v>6916</v>
      </c>
    </row>
    <row r="1204">
      <c r="A1204" s="4" t="s">
        <v>44</v>
      </c>
      <c r="B1204" s="4" t="s">
        <v>44</v>
      </c>
      <c r="C1204" s="4">
        <v>1203.0</v>
      </c>
      <c r="D1204" s="13" t="str">
        <f>HYPERLINK("https://www.linkedin.com/ad-library/detail/748063674","Open Ad")</f>
        <v>Open Ad</v>
      </c>
      <c r="E1204" s="4" t="s">
        <v>91</v>
      </c>
      <c r="F1204" s="4" t="s">
        <v>53</v>
      </c>
      <c r="G1204" s="4" t="s">
        <v>6915</v>
      </c>
      <c r="H1204" s="4" t="s">
        <v>55</v>
      </c>
      <c r="I1204" s="4" t="s">
        <v>985</v>
      </c>
      <c r="J1204" s="4" t="s">
        <v>91</v>
      </c>
      <c r="K1204" s="4" t="s">
        <v>60</v>
      </c>
      <c r="L1204" s="4" t="s">
        <v>131</v>
      </c>
      <c r="M1204" s="4" t="s">
        <v>63</v>
      </c>
      <c r="N1204" s="4" t="s">
        <v>132</v>
      </c>
      <c r="O1204" s="2" t="s">
        <v>132</v>
      </c>
      <c r="P1204" s="2">
        <v>7.48063674E8</v>
      </c>
      <c r="Q1204" s="2" t="s">
        <v>68</v>
      </c>
      <c r="R1204" s="4" t="s">
        <v>6916</v>
      </c>
    </row>
    <row r="1205">
      <c r="A1205" s="4" t="s">
        <v>44</v>
      </c>
      <c r="B1205" s="4" t="s">
        <v>44</v>
      </c>
      <c r="C1205" s="4">
        <v>1204.0</v>
      </c>
      <c r="D1205" s="13" t="str">
        <f>HYPERLINK("https://www.linkedin.com/ad-library/detail/748063664","Open Ad")</f>
        <v>Open Ad</v>
      </c>
      <c r="E1205" s="4" t="s">
        <v>91</v>
      </c>
      <c r="F1205" s="4" t="s">
        <v>53</v>
      </c>
      <c r="G1205" s="4" t="s">
        <v>6915</v>
      </c>
      <c r="H1205" s="4" t="s">
        <v>55</v>
      </c>
      <c r="I1205" s="4" t="s">
        <v>985</v>
      </c>
      <c r="J1205" s="4" t="s">
        <v>91</v>
      </c>
      <c r="K1205" s="4" t="s">
        <v>60</v>
      </c>
      <c r="L1205" s="4" t="s">
        <v>131</v>
      </c>
      <c r="M1205" s="4" t="s">
        <v>63</v>
      </c>
      <c r="N1205" s="4" t="s">
        <v>132</v>
      </c>
      <c r="O1205" s="2" t="s">
        <v>132</v>
      </c>
      <c r="P1205" s="2">
        <v>7.48063664E8</v>
      </c>
      <c r="Q1205" s="2" t="s">
        <v>68</v>
      </c>
      <c r="R1205" s="4" t="s">
        <v>6916</v>
      </c>
    </row>
    <row r="1206">
      <c r="A1206" s="4" t="s">
        <v>44</v>
      </c>
      <c r="B1206" s="4" t="s">
        <v>44</v>
      </c>
      <c r="C1206" s="4">
        <v>1205.0</v>
      </c>
      <c r="D1206" s="13" t="str">
        <f>HYPERLINK("https://www.linkedin.com/ad-library/detail/758291564","Open Ad")</f>
        <v>Open Ad</v>
      </c>
      <c r="E1206" s="4" t="s">
        <v>91</v>
      </c>
      <c r="F1206" s="4" t="s">
        <v>53</v>
      </c>
      <c r="G1206" s="4" t="s">
        <v>6915</v>
      </c>
      <c r="H1206" s="4" t="s">
        <v>55</v>
      </c>
      <c r="I1206" s="4" t="s">
        <v>985</v>
      </c>
      <c r="J1206" s="4" t="s">
        <v>91</v>
      </c>
      <c r="K1206" s="4" t="s">
        <v>60</v>
      </c>
      <c r="L1206" s="4" t="s">
        <v>131</v>
      </c>
      <c r="M1206" s="4" t="s">
        <v>63</v>
      </c>
      <c r="N1206" s="4" t="s">
        <v>132</v>
      </c>
      <c r="O1206" s="2" t="s">
        <v>132</v>
      </c>
      <c r="P1206" s="2">
        <v>7.58291564E8</v>
      </c>
      <c r="Q1206" s="2" t="s">
        <v>68</v>
      </c>
      <c r="R1206" s="4" t="s">
        <v>6916</v>
      </c>
    </row>
    <row r="1207">
      <c r="A1207" s="4" t="s">
        <v>44</v>
      </c>
      <c r="B1207" s="4" t="s">
        <v>44</v>
      </c>
      <c r="C1207" s="4">
        <v>1206.0</v>
      </c>
      <c r="D1207" s="13" t="str">
        <f>HYPERLINK("https://www.linkedin.com/ad-library/detail/758213284","Open Ad")</f>
        <v>Open Ad</v>
      </c>
      <c r="E1207" s="4" t="s">
        <v>91</v>
      </c>
      <c r="F1207" s="4" t="s">
        <v>53</v>
      </c>
      <c r="G1207" s="4" t="s">
        <v>6915</v>
      </c>
      <c r="H1207" s="4" t="s">
        <v>55</v>
      </c>
      <c r="I1207" s="4" t="s">
        <v>985</v>
      </c>
      <c r="J1207" s="4" t="s">
        <v>91</v>
      </c>
      <c r="K1207" s="4" t="s">
        <v>60</v>
      </c>
      <c r="L1207" s="4" t="s">
        <v>131</v>
      </c>
      <c r="M1207" s="4" t="s">
        <v>63</v>
      </c>
      <c r="N1207" s="4" t="s">
        <v>132</v>
      </c>
      <c r="O1207" s="2" t="s">
        <v>132</v>
      </c>
      <c r="P1207" s="2">
        <v>7.58213284E8</v>
      </c>
      <c r="Q1207" s="2" t="s">
        <v>68</v>
      </c>
      <c r="R1207" s="4" t="s">
        <v>6916</v>
      </c>
    </row>
    <row r="1208">
      <c r="A1208" s="4" t="s">
        <v>44</v>
      </c>
      <c r="B1208" s="4" t="s">
        <v>44</v>
      </c>
      <c r="C1208" s="4">
        <v>1207.0</v>
      </c>
      <c r="D1208" s="13" t="str">
        <f>HYPERLINK("https://www.linkedin.com/ad-library/detail/747975174","Open Ad")</f>
        <v>Open Ad</v>
      </c>
      <c r="E1208" s="4" t="s">
        <v>91</v>
      </c>
      <c r="F1208" s="4" t="s">
        <v>53</v>
      </c>
      <c r="G1208" s="4" t="s">
        <v>6915</v>
      </c>
      <c r="H1208" s="4" t="s">
        <v>55</v>
      </c>
      <c r="I1208" s="4" t="s">
        <v>985</v>
      </c>
      <c r="J1208" s="4" t="s">
        <v>91</v>
      </c>
      <c r="K1208" s="4" t="s">
        <v>60</v>
      </c>
      <c r="L1208" s="4" t="s">
        <v>131</v>
      </c>
      <c r="M1208" s="4" t="s">
        <v>63</v>
      </c>
      <c r="N1208" s="4" t="s">
        <v>132</v>
      </c>
      <c r="O1208" s="2" t="s">
        <v>132</v>
      </c>
      <c r="P1208" s="2">
        <v>7.47975174E8</v>
      </c>
      <c r="Q1208" s="2" t="s">
        <v>68</v>
      </c>
      <c r="R1208" s="4" t="s">
        <v>6916</v>
      </c>
    </row>
    <row r="1209">
      <c r="A1209" s="4" t="s">
        <v>44</v>
      </c>
      <c r="B1209" s="4" t="s">
        <v>44</v>
      </c>
      <c r="C1209" s="4">
        <v>1208.0</v>
      </c>
      <c r="D1209" s="13" t="str">
        <f>HYPERLINK("https://www.linkedin.com/ad-library/detail/758213254","Open Ad")</f>
        <v>Open Ad</v>
      </c>
      <c r="E1209" s="4" t="s">
        <v>91</v>
      </c>
      <c r="F1209" s="4" t="s">
        <v>53</v>
      </c>
      <c r="G1209" s="4" t="s">
        <v>6915</v>
      </c>
      <c r="H1209" s="4" t="s">
        <v>55</v>
      </c>
      <c r="I1209" s="4" t="s">
        <v>985</v>
      </c>
      <c r="J1209" s="4" t="s">
        <v>91</v>
      </c>
      <c r="K1209" s="4" t="s">
        <v>60</v>
      </c>
      <c r="L1209" s="4" t="s">
        <v>131</v>
      </c>
      <c r="M1209" s="4" t="s">
        <v>63</v>
      </c>
      <c r="N1209" s="4" t="s">
        <v>132</v>
      </c>
      <c r="O1209" s="2" t="s">
        <v>132</v>
      </c>
      <c r="P1209" s="2">
        <v>7.58213254E8</v>
      </c>
      <c r="Q1209" s="2" t="s">
        <v>68</v>
      </c>
      <c r="R1209" s="4" t="s">
        <v>6916</v>
      </c>
    </row>
    <row r="1210">
      <c r="A1210" s="4" t="s">
        <v>44</v>
      </c>
      <c r="B1210" s="4" t="s">
        <v>44</v>
      </c>
      <c r="C1210" s="4">
        <v>1209.0</v>
      </c>
      <c r="D1210" s="13" t="str">
        <f>HYPERLINK("https://www.linkedin.com/ad-library/detail/747925804","Open Ad")</f>
        <v>Open Ad</v>
      </c>
      <c r="E1210" s="4" t="s">
        <v>91</v>
      </c>
      <c r="F1210" s="4" t="s">
        <v>53</v>
      </c>
      <c r="G1210" s="4" t="s">
        <v>6915</v>
      </c>
      <c r="H1210" s="4" t="s">
        <v>55</v>
      </c>
      <c r="I1210" s="4" t="s">
        <v>985</v>
      </c>
      <c r="J1210" s="4" t="s">
        <v>91</v>
      </c>
      <c r="K1210" s="4" t="s">
        <v>60</v>
      </c>
      <c r="L1210" s="4" t="s">
        <v>131</v>
      </c>
      <c r="M1210" s="4" t="s">
        <v>63</v>
      </c>
      <c r="N1210" s="4" t="s">
        <v>132</v>
      </c>
      <c r="O1210" s="2" t="s">
        <v>132</v>
      </c>
      <c r="P1210" s="2">
        <v>7.47925804E8</v>
      </c>
      <c r="Q1210" s="2" t="s">
        <v>68</v>
      </c>
      <c r="R1210" s="4" t="s">
        <v>6916</v>
      </c>
    </row>
    <row r="1211">
      <c r="A1211" s="4" t="s">
        <v>44</v>
      </c>
      <c r="B1211" s="4" t="s">
        <v>44</v>
      </c>
      <c r="C1211" s="4">
        <v>1210.0</v>
      </c>
      <c r="D1211" s="13" t="str">
        <f>HYPERLINK("https://www.linkedin.com/ad-library/detail/751114204","Open Ad")</f>
        <v>Open Ad</v>
      </c>
      <c r="E1211" s="4" t="s">
        <v>91</v>
      </c>
      <c r="F1211" s="4" t="s">
        <v>53</v>
      </c>
      <c r="G1211" s="4" t="s">
        <v>6915</v>
      </c>
      <c r="H1211" s="4" t="s">
        <v>55</v>
      </c>
      <c r="I1211" s="4" t="s">
        <v>985</v>
      </c>
      <c r="J1211" s="4" t="s">
        <v>91</v>
      </c>
      <c r="K1211" s="4" t="s">
        <v>60</v>
      </c>
      <c r="L1211" s="4" t="s">
        <v>131</v>
      </c>
      <c r="M1211" s="4" t="s">
        <v>63</v>
      </c>
      <c r="N1211" s="4" t="s">
        <v>132</v>
      </c>
      <c r="O1211" s="2" t="s">
        <v>132</v>
      </c>
      <c r="P1211" s="2">
        <v>7.51114204E8</v>
      </c>
      <c r="Q1211" s="2" t="s">
        <v>68</v>
      </c>
      <c r="R1211" s="4" t="s">
        <v>6916</v>
      </c>
    </row>
    <row r="1212">
      <c r="A1212" s="4" t="s">
        <v>44</v>
      </c>
      <c r="B1212" s="4" t="s">
        <v>44</v>
      </c>
      <c r="C1212" s="4">
        <v>1211.0</v>
      </c>
      <c r="D1212" s="13" t="str">
        <f>HYPERLINK("https://www.linkedin.com/ad-library/detail/758291544","Open Ad")</f>
        <v>Open Ad</v>
      </c>
      <c r="E1212" s="4" t="s">
        <v>91</v>
      </c>
      <c r="F1212" s="4" t="s">
        <v>53</v>
      </c>
      <c r="G1212" s="4" t="s">
        <v>6915</v>
      </c>
      <c r="H1212" s="4" t="s">
        <v>55</v>
      </c>
      <c r="I1212" s="4" t="s">
        <v>985</v>
      </c>
      <c r="J1212" s="4" t="s">
        <v>91</v>
      </c>
      <c r="K1212" s="4" t="s">
        <v>60</v>
      </c>
      <c r="L1212" s="4" t="s">
        <v>131</v>
      </c>
      <c r="M1212" s="4" t="s">
        <v>63</v>
      </c>
      <c r="N1212" s="4" t="s">
        <v>132</v>
      </c>
      <c r="O1212" s="2" t="s">
        <v>132</v>
      </c>
      <c r="P1212" s="2">
        <v>7.58291544E8</v>
      </c>
      <c r="Q1212" s="2" t="s">
        <v>68</v>
      </c>
      <c r="R1212" s="4" t="s">
        <v>6916</v>
      </c>
    </row>
    <row r="1213">
      <c r="A1213" s="4" t="s">
        <v>44</v>
      </c>
      <c r="B1213" s="4" t="s">
        <v>44</v>
      </c>
      <c r="C1213" s="4">
        <v>1212.0</v>
      </c>
      <c r="D1213" s="13" t="str">
        <f>HYPERLINK("https://www.linkedin.com/ad-library/detail/758291434","Open Ad")</f>
        <v>Open Ad</v>
      </c>
      <c r="E1213" s="4" t="s">
        <v>91</v>
      </c>
      <c r="F1213" s="4" t="s">
        <v>53</v>
      </c>
      <c r="G1213" s="4" t="s">
        <v>6915</v>
      </c>
      <c r="H1213" s="4" t="s">
        <v>55</v>
      </c>
      <c r="I1213" s="4" t="s">
        <v>985</v>
      </c>
      <c r="J1213" s="4" t="s">
        <v>91</v>
      </c>
      <c r="K1213" s="4" t="s">
        <v>60</v>
      </c>
      <c r="L1213" s="4" t="s">
        <v>131</v>
      </c>
      <c r="M1213" s="4" t="s">
        <v>63</v>
      </c>
      <c r="N1213" s="4" t="s">
        <v>132</v>
      </c>
      <c r="O1213" s="2" t="s">
        <v>132</v>
      </c>
      <c r="P1213" s="2">
        <v>7.58291434E8</v>
      </c>
      <c r="Q1213" s="2" t="s">
        <v>68</v>
      </c>
      <c r="R1213" s="4" t="s">
        <v>6916</v>
      </c>
    </row>
    <row r="1214">
      <c r="A1214" s="4" t="s">
        <v>44</v>
      </c>
      <c r="B1214" s="4" t="s">
        <v>44</v>
      </c>
      <c r="C1214" s="4">
        <v>1213.0</v>
      </c>
      <c r="D1214" s="13" t="str">
        <f>HYPERLINK("https://www.linkedin.com/ad-library/detail/751075364","Open Ad")</f>
        <v>Open Ad</v>
      </c>
      <c r="E1214" s="4" t="s">
        <v>91</v>
      </c>
      <c r="F1214" s="4" t="s">
        <v>53</v>
      </c>
      <c r="G1214" s="4" t="s">
        <v>6915</v>
      </c>
      <c r="H1214" s="4" t="s">
        <v>55</v>
      </c>
      <c r="I1214" s="4" t="s">
        <v>985</v>
      </c>
      <c r="J1214" s="4" t="s">
        <v>91</v>
      </c>
      <c r="K1214" s="4" t="s">
        <v>60</v>
      </c>
      <c r="L1214" s="4" t="s">
        <v>131</v>
      </c>
      <c r="M1214" s="4" t="s">
        <v>63</v>
      </c>
      <c r="N1214" s="4" t="s">
        <v>132</v>
      </c>
      <c r="O1214" s="2" t="s">
        <v>132</v>
      </c>
      <c r="P1214" s="2">
        <v>7.51075364E8</v>
      </c>
      <c r="Q1214" s="2" t="s">
        <v>68</v>
      </c>
      <c r="R1214" s="4" t="s">
        <v>6916</v>
      </c>
    </row>
    <row r="1215">
      <c r="A1215" s="4" t="s">
        <v>44</v>
      </c>
      <c r="B1215" s="4" t="s">
        <v>44</v>
      </c>
      <c r="C1215" s="4">
        <v>1214.0</v>
      </c>
      <c r="D1215" s="13" t="str">
        <f>HYPERLINK("https://www.linkedin.com/ad-library/detail/758213234","Open Ad")</f>
        <v>Open Ad</v>
      </c>
      <c r="E1215" s="4" t="s">
        <v>91</v>
      </c>
      <c r="F1215" s="4" t="s">
        <v>53</v>
      </c>
      <c r="G1215" s="4" t="s">
        <v>6915</v>
      </c>
      <c r="H1215" s="4" t="s">
        <v>55</v>
      </c>
      <c r="I1215" s="4" t="s">
        <v>985</v>
      </c>
      <c r="J1215" s="4" t="s">
        <v>91</v>
      </c>
      <c r="K1215" s="4" t="s">
        <v>60</v>
      </c>
      <c r="L1215" s="4" t="s">
        <v>131</v>
      </c>
      <c r="M1215" s="4" t="s">
        <v>63</v>
      </c>
      <c r="N1215" s="4" t="s">
        <v>132</v>
      </c>
      <c r="O1215" s="2" t="s">
        <v>132</v>
      </c>
      <c r="P1215" s="2">
        <v>7.58213234E8</v>
      </c>
      <c r="Q1215" s="2" t="s">
        <v>68</v>
      </c>
      <c r="R1215" s="4" t="s">
        <v>6916</v>
      </c>
    </row>
    <row r="1216">
      <c r="A1216" s="4" t="s">
        <v>44</v>
      </c>
      <c r="B1216" s="4" t="s">
        <v>44</v>
      </c>
      <c r="C1216" s="4">
        <v>1215.0</v>
      </c>
      <c r="D1216" s="13" t="str">
        <f>HYPERLINK("https://www.linkedin.com/ad-library/detail/747965064","Open Ad")</f>
        <v>Open Ad</v>
      </c>
      <c r="E1216" s="4" t="s">
        <v>91</v>
      </c>
      <c r="F1216" s="4" t="s">
        <v>53</v>
      </c>
      <c r="G1216" s="4" t="s">
        <v>6915</v>
      </c>
      <c r="H1216" s="4" t="s">
        <v>55</v>
      </c>
      <c r="I1216" s="4" t="s">
        <v>985</v>
      </c>
      <c r="J1216" s="4" t="s">
        <v>91</v>
      </c>
      <c r="K1216" s="4" t="s">
        <v>60</v>
      </c>
      <c r="L1216" s="4" t="s">
        <v>131</v>
      </c>
      <c r="M1216" s="4" t="s">
        <v>63</v>
      </c>
      <c r="N1216" s="4" t="s">
        <v>132</v>
      </c>
      <c r="O1216" s="2" t="s">
        <v>132</v>
      </c>
      <c r="P1216" s="2">
        <v>7.47965064E8</v>
      </c>
      <c r="Q1216" s="2" t="s">
        <v>68</v>
      </c>
      <c r="R1216" s="4" t="s">
        <v>6916</v>
      </c>
    </row>
    <row r="1217">
      <c r="A1217" s="4" t="s">
        <v>44</v>
      </c>
      <c r="B1217" s="4" t="s">
        <v>44</v>
      </c>
      <c r="C1217" s="4">
        <v>1216.0</v>
      </c>
      <c r="D1217" s="13" t="str">
        <f>HYPERLINK("https://www.linkedin.com/ad-library/detail/751134164","Open Ad")</f>
        <v>Open Ad</v>
      </c>
      <c r="E1217" s="4" t="s">
        <v>91</v>
      </c>
      <c r="F1217" s="4" t="s">
        <v>53</v>
      </c>
      <c r="G1217" s="4" t="s">
        <v>6915</v>
      </c>
      <c r="H1217" s="4" t="s">
        <v>55</v>
      </c>
      <c r="I1217" s="4" t="s">
        <v>985</v>
      </c>
      <c r="J1217" s="4" t="s">
        <v>91</v>
      </c>
      <c r="K1217" s="4" t="s">
        <v>60</v>
      </c>
      <c r="L1217" s="4" t="s">
        <v>131</v>
      </c>
      <c r="M1217" s="4" t="s">
        <v>63</v>
      </c>
      <c r="N1217" s="4" t="s">
        <v>132</v>
      </c>
      <c r="O1217" s="2" t="s">
        <v>132</v>
      </c>
      <c r="P1217" s="2">
        <v>7.51134164E8</v>
      </c>
      <c r="Q1217" s="2" t="s">
        <v>68</v>
      </c>
      <c r="R1217" s="4" t="s">
        <v>6916</v>
      </c>
    </row>
    <row r="1218">
      <c r="A1218" s="4" t="s">
        <v>44</v>
      </c>
      <c r="B1218" s="4" t="s">
        <v>44</v>
      </c>
      <c r="C1218" s="4">
        <v>1217.0</v>
      </c>
      <c r="D1218" s="13" t="str">
        <f>HYPERLINK("https://www.linkedin.com/ad-library/detail/747995094","Open Ad")</f>
        <v>Open Ad</v>
      </c>
      <c r="E1218" s="4" t="s">
        <v>91</v>
      </c>
      <c r="F1218" s="4" t="s">
        <v>53</v>
      </c>
      <c r="G1218" s="4" t="s">
        <v>6915</v>
      </c>
      <c r="H1218" s="4" t="s">
        <v>55</v>
      </c>
      <c r="I1218" s="4" t="s">
        <v>985</v>
      </c>
      <c r="J1218" s="4" t="s">
        <v>91</v>
      </c>
      <c r="K1218" s="4" t="s">
        <v>60</v>
      </c>
      <c r="L1218" s="4" t="s">
        <v>131</v>
      </c>
      <c r="M1218" s="4" t="s">
        <v>63</v>
      </c>
      <c r="N1218" s="4" t="s">
        <v>132</v>
      </c>
      <c r="O1218" s="2" t="s">
        <v>132</v>
      </c>
      <c r="P1218" s="2">
        <v>7.47995094E8</v>
      </c>
      <c r="Q1218" s="2" t="s">
        <v>68</v>
      </c>
      <c r="R1218" s="4" t="s">
        <v>6916</v>
      </c>
    </row>
    <row r="1219">
      <c r="A1219" s="4" t="s">
        <v>44</v>
      </c>
      <c r="B1219" s="4" t="s">
        <v>44</v>
      </c>
      <c r="C1219" s="4">
        <v>1218.0</v>
      </c>
      <c r="D1219" s="13" t="str">
        <f>HYPERLINK("https://www.linkedin.com/ad-library/detail/747985284","Open Ad")</f>
        <v>Open Ad</v>
      </c>
      <c r="E1219" s="4" t="s">
        <v>91</v>
      </c>
      <c r="F1219" s="4" t="s">
        <v>53</v>
      </c>
      <c r="G1219" s="4" t="s">
        <v>6915</v>
      </c>
      <c r="H1219" s="4" t="s">
        <v>55</v>
      </c>
      <c r="I1219" s="4" t="s">
        <v>985</v>
      </c>
      <c r="J1219" s="4" t="s">
        <v>91</v>
      </c>
      <c r="K1219" s="4" t="s">
        <v>60</v>
      </c>
      <c r="L1219" s="4" t="s">
        <v>131</v>
      </c>
      <c r="M1219" s="4" t="s">
        <v>63</v>
      </c>
      <c r="N1219" s="4" t="s">
        <v>132</v>
      </c>
      <c r="O1219" s="2" t="s">
        <v>132</v>
      </c>
      <c r="P1219" s="2">
        <v>7.47985284E8</v>
      </c>
      <c r="Q1219" s="2" t="s">
        <v>68</v>
      </c>
      <c r="R1219" s="4" t="s">
        <v>6916</v>
      </c>
    </row>
    <row r="1220">
      <c r="A1220" s="4" t="s">
        <v>44</v>
      </c>
      <c r="B1220" s="4" t="s">
        <v>44</v>
      </c>
      <c r="C1220" s="4">
        <v>1219.0</v>
      </c>
      <c r="D1220" s="13" t="str">
        <f>HYPERLINK("https://www.linkedin.com/ad-library/detail/751104614","Open Ad")</f>
        <v>Open Ad</v>
      </c>
      <c r="E1220" s="4" t="s">
        <v>91</v>
      </c>
      <c r="F1220" s="4" t="s">
        <v>53</v>
      </c>
      <c r="G1220" s="4" t="s">
        <v>6915</v>
      </c>
      <c r="H1220" s="4" t="s">
        <v>55</v>
      </c>
      <c r="I1220" s="4" t="s">
        <v>985</v>
      </c>
      <c r="J1220" s="4" t="s">
        <v>91</v>
      </c>
      <c r="K1220" s="4" t="s">
        <v>60</v>
      </c>
      <c r="L1220" s="4" t="s">
        <v>131</v>
      </c>
      <c r="M1220" s="4" t="s">
        <v>63</v>
      </c>
      <c r="N1220" s="4" t="s">
        <v>132</v>
      </c>
      <c r="O1220" s="2" t="s">
        <v>132</v>
      </c>
      <c r="P1220" s="2">
        <v>7.51104614E8</v>
      </c>
      <c r="Q1220" s="2" t="s">
        <v>68</v>
      </c>
      <c r="R1220" s="4" t="s">
        <v>6916</v>
      </c>
    </row>
    <row r="1221">
      <c r="A1221" s="4" t="s">
        <v>44</v>
      </c>
      <c r="B1221" s="4" t="s">
        <v>44</v>
      </c>
      <c r="C1221" s="4">
        <v>1220.0</v>
      </c>
      <c r="D1221" s="13" t="str">
        <f>HYPERLINK("https://www.linkedin.com/ad-library/detail/758243584","Open Ad")</f>
        <v>Open Ad</v>
      </c>
      <c r="E1221" s="4" t="s">
        <v>91</v>
      </c>
      <c r="F1221" s="4" t="s">
        <v>53</v>
      </c>
      <c r="G1221" s="4" t="s">
        <v>6915</v>
      </c>
      <c r="H1221" s="4" t="s">
        <v>55</v>
      </c>
      <c r="I1221" s="4" t="s">
        <v>985</v>
      </c>
      <c r="J1221" s="4" t="s">
        <v>91</v>
      </c>
      <c r="K1221" s="4" t="s">
        <v>60</v>
      </c>
      <c r="L1221" s="4" t="s">
        <v>131</v>
      </c>
      <c r="M1221" s="4" t="s">
        <v>63</v>
      </c>
      <c r="N1221" s="4" t="s">
        <v>132</v>
      </c>
      <c r="O1221" s="2" t="s">
        <v>132</v>
      </c>
      <c r="P1221" s="2">
        <v>7.58243584E8</v>
      </c>
      <c r="Q1221" s="2" t="s">
        <v>68</v>
      </c>
      <c r="R1221" s="4" t="s">
        <v>6916</v>
      </c>
    </row>
    <row r="1222">
      <c r="A1222" s="4" t="s">
        <v>44</v>
      </c>
      <c r="B1222" s="4" t="s">
        <v>44</v>
      </c>
      <c r="C1222" s="4">
        <v>1221.0</v>
      </c>
      <c r="D1222" s="13" t="str">
        <f>HYPERLINK("https://www.linkedin.com/ad-library/detail/751124324","Open Ad")</f>
        <v>Open Ad</v>
      </c>
      <c r="E1222" s="4" t="s">
        <v>91</v>
      </c>
      <c r="F1222" s="4" t="s">
        <v>53</v>
      </c>
      <c r="G1222" s="4" t="s">
        <v>6915</v>
      </c>
      <c r="H1222" s="4" t="s">
        <v>55</v>
      </c>
      <c r="I1222" s="4" t="s">
        <v>985</v>
      </c>
      <c r="J1222" s="4" t="s">
        <v>91</v>
      </c>
      <c r="K1222" s="4" t="s">
        <v>60</v>
      </c>
      <c r="L1222" s="4" t="s">
        <v>131</v>
      </c>
      <c r="M1222" s="4" t="s">
        <v>63</v>
      </c>
      <c r="N1222" s="4" t="s">
        <v>132</v>
      </c>
      <c r="O1222" s="2" t="s">
        <v>132</v>
      </c>
      <c r="P1222" s="2">
        <v>7.51124324E8</v>
      </c>
      <c r="Q1222" s="2" t="s">
        <v>68</v>
      </c>
      <c r="R1222" s="4" t="s">
        <v>6916</v>
      </c>
    </row>
    <row r="1223">
      <c r="A1223" s="4" t="s">
        <v>44</v>
      </c>
      <c r="B1223" s="4" t="s">
        <v>44</v>
      </c>
      <c r="C1223" s="4">
        <v>1222.0</v>
      </c>
      <c r="D1223" s="13" t="str">
        <f>HYPERLINK("https://www.linkedin.com/ad-library/detail/751154194","Open Ad")</f>
        <v>Open Ad</v>
      </c>
      <c r="E1223" s="4" t="s">
        <v>91</v>
      </c>
      <c r="F1223" s="4" t="s">
        <v>53</v>
      </c>
      <c r="G1223" s="4" t="s">
        <v>6915</v>
      </c>
      <c r="H1223" s="4" t="s">
        <v>55</v>
      </c>
      <c r="I1223" s="4" t="s">
        <v>985</v>
      </c>
      <c r="J1223" s="4" t="s">
        <v>91</v>
      </c>
      <c r="K1223" s="4" t="s">
        <v>60</v>
      </c>
      <c r="L1223" s="4" t="s">
        <v>131</v>
      </c>
      <c r="M1223" s="4" t="s">
        <v>63</v>
      </c>
      <c r="N1223" s="4" t="s">
        <v>132</v>
      </c>
      <c r="O1223" s="2" t="s">
        <v>132</v>
      </c>
      <c r="P1223" s="2">
        <v>7.51154194E8</v>
      </c>
      <c r="Q1223" s="2" t="s">
        <v>68</v>
      </c>
      <c r="R1223" s="4" t="s">
        <v>6916</v>
      </c>
    </row>
    <row r="1224">
      <c r="A1224" s="4" t="s">
        <v>44</v>
      </c>
      <c r="B1224" s="4" t="s">
        <v>44</v>
      </c>
      <c r="C1224" s="4">
        <v>1223.0</v>
      </c>
      <c r="D1224" s="13" t="str">
        <f>HYPERLINK("https://www.linkedin.com/ad-library/detail/751124314","Open Ad")</f>
        <v>Open Ad</v>
      </c>
      <c r="E1224" s="4" t="s">
        <v>91</v>
      </c>
      <c r="F1224" s="4" t="s">
        <v>53</v>
      </c>
      <c r="G1224" s="4" t="s">
        <v>6915</v>
      </c>
      <c r="H1224" s="4" t="s">
        <v>55</v>
      </c>
      <c r="I1224" s="4" t="s">
        <v>985</v>
      </c>
      <c r="J1224" s="4" t="s">
        <v>91</v>
      </c>
      <c r="K1224" s="4" t="s">
        <v>60</v>
      </c>
      <c r="L1224" s="4" t="s">
        <v>131</v>
      </c>
      <c r="M1224" s="4" t="s">
        <v>63</v>
      </c>
      <c r="N1224" s="4" t="s">
        <v>132</v>
      </c>
      <c r="O1224" s="2" t="s">
        <v>132</v>
      </c>
      <c r="P1224" s="2">
        <v>7.51124314E8</v>
      </c>
      <c r="Q1224" s="2" t="s">
        <v>68</v>
      </c>
      <c r="R1224" s="4" t="s">
        <v>6916</v>
      </c>
    </row>
    <row r="1225">
      <c r="A1225" s="4" t="s">
        <v>44</v>
      </c>
      <c r="B1225" s="4" t="s">
        <v>44</v>
      </c>
      <c r="C1225" s="4">
        <v>1224.0</v>
      </c>
      <c r="D1225" s="13" t="str">
        <f>HYPERLINK("https://www.linkedin.com/ad-library/detail/758281544","Open Ad")</f>
        <v>Open Ad</v>
      </c>
      <c r="E1225" s="4" t="s">
        <v>91</v>
      </c>
      <c r="F1225" s="4" t="s">
        <v>53</v>
      </c>
      <c r="G1225" s="4" t="s">
        <v>6915</v>
      </c>
      <c r="H1225" s="4" t="s">
        <v>55</v>
      </c>
      <c r="I1225" s="4" t="s">
        <v>985</v>
      </c>
      <c r="J1225" s="4" t="s">
        <v>91</v>
      </c>
      <c r="K1225" s="4" t="s">
        <v>60</v>
      </c>
      <c r="L1225" s="4" t="s">
        <v>131</v>
      </c>
      <c r="M1225" s="4" t="s">
        <v>63</v>
      </c>
      <c r="N1225" s="4" t="s">
        <v>132</v>
      </c>
      <c r="O1225" s="2" t="s">
        <v>132</v>
      </c>
      <c r="P1225" s="2">
        <v>7.58281544E8</v>
      </c>
      <c r="Q1225" s="2" t="s">
        <v>68</v>
      </c>
      <c r="R1225" s="4" t="s">
        <v>6916</v>
      </c>
    </row>
    <row r="1226">
      <c r="A1226" s="4" t="s">
        <v>44</v>
      </c>
      <c r="B1226" s="4" t="s">
        <v>44</v>
      </c>
      <c r="C1226" s="4">
        <v>1225.0</v>
      </c>
      <c r="D1226" s="13" t="str">
        <f>HYPERLINK("https://www.linkedin.com/ad-library/detail/748014834","Open Ad")</f>
        <v>Open Ad</v>
      </c>
      <c r="E1226" s="4" t="s">
        <v>91</v>
      </c>
      <c r="F1226" s="4" t="s">
        <v>53</v>
      </c>
      <c r="G1226" s="4" t="s">
        <v>6915</v>
      </c>
      <c r="H1226" s="4" t="s">
        <v>55</v>
      </c>
      <c r="I1226" s="4" t="s">
        <v>985</v>
      </c>
      <c r="J1226" s="4" t="s">
        <v>91</v>
      </c>
      <c r="K1226" s="4" t="s">
        <v>60</v>
      </c>
      <c r="L1226" s="4" t="s">
        <v>131</v>
      </c>
      <c r="M1226" s="4" t="s">
        <v>63</v>
      </c>
      <c r="N1226" s="4" t="s">
        <v>132</v>
      </c>
      <c r="O1226" s="2" t="s">
        <v>132</v>
      </c>
      <c r="P1226" s="2">
        <v>7.48014834E8</v>
      </c>
      <c r="Q1226" s="2" t="s">
        <v>68</v>
      </c>
      <c r="R1226" s="4" t="s">
        <v>6916</v>
      </c>
    </row>
    <row r="1227">
      <c r="A1227" s="4" t="s">
        <v>44</v>
      </c>
      <c r="B1227" s="4" t="s">
        <v>44</v>
      </c>
      <c r="C1227" s="4">
        <v>1226.0</v>
      </c>
      <c r="D1227" s="13" t="str">
        <f>HYPERLINK("https://www.linkedin.com/ad-library/detail/747955174","Open Ad")</f>
        <v>Open Ad</v>
      </c>
      <c r="E1227" s="4" t="s">
        <v>91</v>
      </c>
      <c r="F1227" s="4" t="s">
        <v>53</v>
      </c>
      <c r="G1227" s="4" t="s">
        <v>6915</v>
      </c>
      <c r="H1227" s="4" t="s">
        <v>55</v>
      </c>
      <c r="I1227" s="4" t="s">
        <v>985</v>
      </c>
      <c r="J1227" s="4" t="s">
        <v>91</v>
      </c>
      <c r="K1227" s="4" t="s">
        <v>60</v>
      </c>
      <c r="L1227" s="4" t="s">
        <v>131</v>
      </c>
      <c r="M1227" s="4" t="s">
        <v>63</v>
      </c>
      <c r="N1227" s="4" t="s">
        <v>132</v>
      </c>
      <c r="O1227" s="2" t="s">
        <v>132</v>
      </c>
      <c r="P1227" s="2">
        <v>7.47955174E8</v>
      </c>
      <c r="Q1227" s="2" t="s">
        <v>68</v>
      </c>
      <c r="R1227" s="4" t="s">
        <v>6916</v>
      </c>
    </row>
    <row r="1228">
      <c r="A1228" s="4" t="s">
        <v>44</v>
      </c>
      <c r="B1228" s="4" t="s">
        <v>44</v>
      </c>
      <c r="C1228" s="4">
        <v>1227.0</v>
      </c>
      <c r="D1228" s="13" t="str">
        <f>HYPERLINK("https://www.linkedin.com/ad-library/detail/748014824","Open Ad")</f>
        <v>Open Ad</v>
      </c>
      <c r="E1228" s="4" t="s">
        <v>91</v>
      </c>
      <c r="F1228" s="4" t="s">
        <v>53</v>
      </c>
      <c r="G1228" s="4" t="s">
        <v>6915</v>
      </c>
      <c r="H1228" s="4" t="s">
        <v>55</v>
      </c>
      <c r="I1228" s="4" t="s">
        <v>985</v>
      </c>
      <c r="J1228" s="4" t="s">
        <v>91</v>
      </c>
      <c r="K1228" s="4" t="s">
        <v>60</v>
      </c>
      <c r="L1228" s="4" t="s">
        <v>131</v>
      </c>
      <c r="M1228" s="4" t="s">
        <v>63</v>
      </c>
      <c r="N1228" s="4" t="s">
        <v>132</v>
      </c>
      <c r="O1228" s="2" t="s">
        <v>132</v>
      </c>
      <c r="P1228" s="2">
        <v>7.48014824E8</v>
      </c>
      <c r="Q1228" s="2" t="s">
        <v>68</v>
      </c>
      <c r="R1228" s="4" t="s">
        <v>6916</v>
      </c>
    </row>
    <row r="1229">
      <c r="A1229" s="4" t="s">
        <v>44</v>
      </c>
      <c r="B1229" s="4" t="s">
        <v>44</v>
      </c>
      <c r="C1229" s="4">
        <v>1228.0</v>
      </c>
      <c r="D1229" s="13" t="str">
        <f>HYPERLINK("https://www.linkedin.com/ad-library/detail/748063634","Open Ad")</f>
        <v>Open Ad</v>
      </c>
      <c r="E1229" s="4" t="s">
        <v>91</v>
      </c>
      <c r="F1229" s="4" t="s">
        <v>53</v>
      </c>
      <c r="G1229" s="4" t="s">
        <v>6915</v>
      </c>
      <c r="H1229" s="4" t="s">
        <v>55</v>
      </c>
      <c r="I1229" s="4" t="s">
        <v>985</v>
      </c>
      <c r="J1229" s="4" t="s">
        <v>91</v>
      </c>
      <c r="K1229" s="4" t="s">
        <v>60</v>
      </c>
      <c r="L1229" s="4" t="s">
        <v>131</v>
      </c>
      <c r="M1229" s="4" t="s">
        <v>63</v>
      </c>
      <c r="N1229" s="4" t="s">
        <v>132</v>
      </c>
      <c r="O1229" s="2" t="s">
        <v>132</v>
      </c>
      <c r="P1229" s="2">
        <v>7.48063634E8</v>
      </c>
      <c r="Q1229" s="2" t="s">
        <v>68</v>
      </c>
      <c r="R1229" s="4" t="s">
        <v>6916</v>
      </c>
    </row>
    <row r="1230">
      <c r="A1230" s="4" t="s">
        <v>44</v>
      </c>
      <c r="B1230" s="4" t="s">
        <v>44</v>
      </c>
      <c r="C1230" s="4">
        <v>1229.0</v>
      </c>
      <c r="D1230" s="13" t="str">
        <f>HYPERLINK("https://www.linkedin.com/ad-library/detail/748014814","Open Ad")</f>
        <v>Open Ad</v>
      </c>
      <c r="E1230" s="4" t="s">
        <v>91</v>
      </c>
      <c r="F1230" s="4" t="s">
        <v>53</v>
      </c>
      <c r="G1230" s="4" t="s">
        <v>6915</v>
      </c>
      <c r="H1230" s="4" t="s">
        <v>55</v>
      </c>
      <c r="I1230" s="4" t="s">
        <v>985</v>
      </c>
      <c r="J1230" s="4" t="s">
        <v>91</v>
      </c>
      <c r="K1230" s="4" t="s">
        <v>60</v>
      </c>
      <c r="L1230" s="4" t="s">
        <v>131</v>
      </c>
      <c r="M1230" s="4" t="s">
        <v>63</v>
      </c>
      <c r="N1230" s="4" t="s">
        <v>132</v>
      </c>
      <c r="O1230" s="2" t="s">
        <v>132</v>
      </c>
      <c r="P1230" s="2">
        <v>7.48014814E8</v>
      </c>
      <c r="Q1230" s="2" t="s">
        <v>68</v>
      </c>
      <c r="R1230" s="4" t="s">
        <v>6916</v>
      </c>
    </row>
    <row r="1231">
      <c r="A1231" s="4" t="s">
        <v>44</v>
      </c>
      <c r="B1231" s="4" t="s">
        <v>44</v>
      </c>
      <c r="C1231" s="4">
        <v>1230.0</v>
      </c>
      <c r="D1231" s="13" t="str">
        <f>HYPERLINK("https://www.linkedin.com/ad-library/detail/747955184","Open Ad")</f>
        <v>Open Ad</v>
      </c>
      <c r="E1231" s="4" t="s">
        <v>91</v>
      </c>
      <c r="F1231" s="4" t="s">
        <v>53</v>
      </c>
      <c r="G1231" s="4" t="s">
        <v>6915</v>
      </c>
      <c r="H1231" s="4" t="s">
        <v>55</v>
      </c>
      <c r="I1231" s="4" t="s">
        <v>985</v>
      </c>
      <c r="J1231" s="4" t="s">
        <v>91</v>
      </c>
      <c r="K1231" s="4" t="s">
        <v>60</v>
      </c>
      <c r="L1231" s="4" t="s">
        <v>131</v>
      </c>
      <c r="M1231" s="4" t="s">
        <v>63</v>
      </c>
      <c r="N1231" s="4" t="s">
        <v>132</v>
      </c>
      <c r="O1231" s="2" t="s">
        <v>132</v>
      </c>
      <c r="P1231" s="2">
        <v>7.47955184E8</v>
      </c>
      <c r="Q1231" s="2" t="s">
        <v>68</v>
      </c>
      <c r="R1231" s="4" t="s">
        <v>6916</v>
      </c>
    </row>
    <row r="1232">
      <c r="A1232" s="4" t="s">
        <v>44</v>
      </c>
      <c r="B1232" s="4" t="s">
        <v>44</v>
      </c>
      <c r="C1232" s="4">
        <v>1231.0</v>
      </c>
      <c r="D1232" s="13" t="str">
        <f>HYPERLINK("https://www.linkedin.com/ad-library/detail/748034534","Open Ad")</f>
        <v>Open Ad</v>
      </c>
      <c r="E1232" s="4" t="s">
        <v>91</v>
      </c>
      <c r="F1232" s="4" t="s">
        <v>53</v>
      </c>
      <c r="G1232" s="4" t="s">
        <v>6915</v>
      </c>
      <c r="H1232" s="4" t="s">
        <v>55</v>
      </c>
      <c r="I1232" s="4" t="s">
        <v>985</v>
      </c>
      <c r="J1232" s="4" t="s">
        <v>91</v>
      </c>
      <c r="K1232" s="4" t="s">
        <v>60</v>
      </c>
      <c r="L1232" s="4" t="s">
        <v>131</v>
      </c>
      <c r="M1232" s="4" t="s">
        <v>63</v>
      </c>
      <c r="N1232" s="4" t="s">
        <v>132</v>
      </c>
      <c r="O1232" s="2" t="s">
        <v>132</v>
      </c>
      <c r="P1232" s="2">
        <v>7.48034534E8</v>
      </c>
      <c r="Q1232" s="2" t="s">
        <v>68</v>
      </c>
      <c r="R1232" s="4" t="s">
        <v>6916</v>
      </c>
    </row>
    <row r="1233">
      <c r="A1233" s="4" t="s">
        <v>44</v>
      </c>
      <c r="B1233" s="4" t="s">
        <v>44</v>
      </c>
      <c r="C1233" s="4">
        <v>1232.0</v>
      </c>
      <c r="D1233" s="13" t="str">
        <f>HYPERLINK("https://www.linkedin.com/ad-library/detail/747975154","Open Ad")</f>
        <v>Open Ad</v>
      </c>
      <c r="E1233" s="4" t="s">
        <v>91</v>
      </c>
      <c r="F1233" s="4" t="s">
        <v>53</v>
      </c>
      <c r="G1233" s="4" t="s">
        <v>6915</v>
      </c>
      <c r="H1233" s="4" t="s">
        <v>55</v>
      </c>
      <c r="I1233" s="4" t="s">
        <v>985</v>
      </c>
      <c r="J1233" s="4" t="s">
        <v>91</v>
      </c>
      <c r="K1233" s="4" t="s">
        <v>60</v>
      </c>
      <c r="L1233" s="4" t="s">
        <v>131</v>
      </c>
      <c r="M1233" s="4" t="s">
        <v>63</v>
      </c>
      <c r="N1233" s="4" t="s">
        <v>132</v>
      </c>
      <c r="O1233" s="2" t="s">
        <v>132</v>
      </c>
      <c r="P1233" s="2">
        <v>7.47975154E8</v>
      </c>
      <c r="Q1233" s="2" t="s">
        <v>68</v>
      </c>
      <c r="R1233" s="4" t="s">
        <v>6916</v>
      </c>
    </row>
    <row r="1234">
      <c r="A1234" s="4" t="s">
        <v>44</v>
      </c>
      <c r="B1234" s="4" t="s">
        <v>44</v>
      </c>
      <c r="C1234" s="4">
        <v>1233.0</v>
      </c>
      <c r="D1234" s="13" t="str">
        <f>HYPERLINK("https://www.linkedin.com/ad-library/detail/747975144","Open Ad")</f>
        <v>Open Ad</v>
      </c>
      <c r="E1234" s="4" t="s">
        <v>91</v>
      </c>
      <c r="F1234" s="4" t="s">
        <v>53</v>
      </c>
      <c r="G1234" s="4" t="s">
        <v>6915</v>
      </c>
      <c r="H1234" s="4" t="s">
        <v>55</v>
      </c>
      <c r="I1234" s="4" t="s">
        <v>985</v>
      </c>
      <c r="J1234" s="4" t="s">
        <v>91</v>
      </c>
      <c r="K1234" s="4" t="s">
        <v>60</v>
      </c>
      <c r="L1234" s="4" t="s">
        <v>131</v>
      </c>
      <c r="M1234" s="4" t="s">
        <v>63</v>
      </c>
      <c r="N1234" s="4" t="s">
        <v>132</v>
      </c>
      <c r="O1234" s="2" t="s">
        <v>132</v>
      </c>
      <c r="P1234" s="2">
        <v>7.47975144E8</v>
      </c>
      <c r="Q1234" s="2" t="s">
        <v>68</v>
      </c>
      <c r="R1234" s="4" t="s">
        <v>6916</v>
      </c>
    </row>
    <row r="1235">
      <c r="A1235" s="4" t="s">
        <v>44</v>
      </c>
      <c r="B1235" s="4" t="s">
        <v>44</v>
      </c>
      <c r="C1235" s="4">
        <v>1234.0</v>
      </c>
      <c r="D1235" s="13" t="str">
        <f>HYPERLINK("https://www.linkedin.com/ad-library/detail/747975164","Open Ad")</f>
        <v>Open Ad</v>
      </c>
      <c r="E1235" s="4" t="s">
        <v>91</v>
      </c>
      <c r="F1235" s="4" t="s">
        <v>53</v>
      </c>
      <c r="G1235" s="4" t="s">
        <v>6915</v>
      </c>
      <c r="H1235" s="4" t="s">
        <v>55</v>
      </c>
      <c r="I1235" s="4" t="s">
        <v>985</v>
      </c>
      <c r="J1235" s="4" t="s">
        <v>91</v>
      </c>
      <c r="K1235" s="4" t="s">
        <v>60</v>
      </c>
      <c r="L1235" s="4" t="s">
        <v>131</v>
      </c>
      <c r="M1235" s="4" t="s">
        <v>63</v>
      </c>
      <c r="N1235" s="4" t="s">
        <v>132</v>
      </c>
      <c r="O1235" s="2" t="s">
        <v>132</v>
      </c>
      <c r="P1235" s="2">
        <v>7.47975164E8</v>
      </c>
      <c r="Q1235" s="2" t="s">
        <v>68</v>
      </c>
      <c r="R1235" s="4" t="s">
        <v>6916</v>
      </c>
    </row>
    <row r="1236">
      <c r="A1236" s="4" t="s">
        <v>44</v>
      </c>
      <c r="B1236" s="4" t="s">
        <v>44</v>
      </c>
      <c r="C1236" s="4">
        <v>1235.0</v>
      </c>
      <c r="D1236" s="13" t="str">
        <f>HYPERLINK("https://www.linkedin.com/ad-library/detail/748054504","Open Ad")</f>
        <v>Open Ad</v>
      </c>
      <c r="E1236" s="4" t="s">
        <v>91</v>
      </c>
      <c r="F1236" s="4" t="s">
        <v>53</v>
      </c>
      <c r="G1236" s="4" t="s">
        <v>6915</v>
      </c>
      <c r="H1236" s="4" t="s">
        <v>55</v>
      </c>
      <c r="I1236" s="4" t="s">
        <v>985</v>
      </c>
      <c r="J1236" s="4" t="s">
        <v>91</v>
      </c>
      <c r="K1236" s="4" t="s">
        <v>60</v>
      </c>
      <c r="L1236" s="4" t="s">
        <v>131</v>
      </c>
      <c r="M1236" s="4" t="s">
        <v>63</v>
      </c>
      <c r="N1236" s="4" t="s">
        <v>132</v>
      </c>
      <c r="O1236" s="2" t="s">
        <v>132</v>
      </c>
      <c r="P1236" s="2">
        <v>7.48054504E8</v>
      </c>
      <c r="Q1236" s="2" t="s">
        <v>68</v>
      </c>
      <c r="R1236" s="4" t="s">
        <v>6916</v>
      </c>
    </row>
    <row r="1237">
      <c r="A1237" s="4" t="s">
        <v>44</v>
      </c>
      <c r="B1237" s="4" t="s">
        <v>44</v>
      </c>
      <c r="C1237" s="4">
        <v>1236.0</v>
      </c>
      <c r="D1237" s="13" t="str">
        <f>HYPERLINK("https://www.linkedin.com/ad-library/detail/748034524","Open Ad")</f>
        <v>Open Ad</v>
      </c>
      <c r="E1237" s="4" t="s">
        <v>91</v>
      </c>
      <c r="F1237" s="4" t="s">
        <v>53</v>
      </c>
      <c r="G1237" s="4" t="s">
        <v>6915</v>
      </c>
      <c r="H1237" s="4" t="s">
        <v>55</v>
      </c>
      <c r="I1237" s="4" t="s">
        <v>985</v>
      </c>
      <c r="J1237" s="4" t="s">
        <v>91</v>
      </c>
      <c r="K1237" s="4" t="s">
        <v>60</v>
      </c>
      <c r="L1237" s="4" t="s">
        <v>131</v>
      </c>
      <c r="M1237" s="4" t="s">
        <v>63</v>
      </c>
      <c r="N1237" s="4" t="s">
        <v>132</v>
      </c>
      <c r="O1237" s="2" t="s">
        <v>132</v>
      </c>
      <c r="P1237" s="2">
        <v>7.48034524E8</v>
      </c>
      <c r="Q1237" s="2" t="s">
        <v>68</v>
      </c>
      <c r="R1237" s="4" t="s">
        <v>6916</v>
      </c>
    </row>
    <row r="1238">
      <c r="A1238" s="4" t="s">
        <v>44</v>
      </c>
      <c r="B1238" s="4" t="s">
        <v>44</v>
      </c>
      <c r="C1238" s="4">
        <v>1237.0</v>
      </c>
      <c r="D1238" s="13" t="str">
        <f>HYPERLINK("https://www.linkedin.com/ad-library/detail/748024774","Open Ad")</f>
        <v>Open Ad</v>
      </c>
      <c r="E1238" s="4" t="s">
        <v>91</v>
      </c>
      <c r="F1238" s="4" t="s">
        <v>53</v>
      </c>
      <c r="G1238" s="4" t="s">
        <v>6915</v>
      </c>
      <c r="H1238" s="4" t="s">
        <v>55</v>
      </c>
      <c r="I1238" s="4" t="s">
        <v>985</v>
      </c>
      <c r="J1238" s="4" t="s">
        <v>91</v>
      </c>
      <c r="K1238" s="4" t="s">
        <v>60</v>
      </c>
      <c r="L1238" s="4" t="s">
        <v>131</v>
      </c>
      <c r="M1238" s="4" t="s">
        <v>63</v>
      </c>
      <c r="N1238" s="4" t="s">
        <v>132</v>
      </c>
      <c r="O1238" s="2" t="s">
        <v>132</v>
      </c>
      <c r="P1238" s="2">
        <v>7.48024774E8</v>
      </c>
      <c r="Q1238" s="2" t="s">
        <v>68</v>
      </c>
      <c r="R1238" s="4" t="s">
        <v>6916</v>
      </c>
    </row>
    <row r="1239">
      <c r="A1239" s="4" t="s">
        <v>44</v>
      </c>
      <c r="B1239" s="4" t="s">
        <v>44</v>
      </c>
      <c r="C1239" s="4">
        <v>1238.0</v>
      </c>
      <c r="D1239" s="13" t="str">
        <f>HYPERLINK("https://www.linkedin.com/ad-library/detail/747945664","Open Ad")</f>
        <v>Open Ad</v>
      </c>
      <c r="E1239" s="4" t="s">
        <v>91</v>
      </c>
      <c r="F1239" s="4" t="s">
        <v>53</v>
      </c>
      <c r="G1239" s="4" t="s">
        <v>6915</v>
      </c>
      <c r="H1239" s="4" t="s">
        <v>55</v>
      </c>
      <c r="I1239" s="4" t="s">
        <v>985</v>
      </c>
      <c r="J1239" s="4" t="s">
        <v>91</v>
      </c>
      <c r="K1239" s="4" t="s">
        <v>60</v>
      </c>
      <c r="L1239" s="4" t="s">
        <v>131</v>
      </c>
      <c r="M1239" s="4" t="s">
        <v>63</v>
      </c>
      <c r="N1239" s="4" t="s">
        <v>132</v>
      </c>
      <c r="O1239" s="2" t="s">
        <v>132</v>
      </c>
      <c r="P1239" s="2">
        <v>7.47945664E8</v>
      </c>
      <c r="Q1239" s="2" t="s">
        <v>68</v>
      </c>
      <c r="R1239" s="4" t="s">
        <v>6916</v>
      </c>
    </row>
    <row r="1240">
      <c r="A1240" s="4" t="s">
        <v>44</v>
      </c>
      <c r="B1240" s="4" t="s">
        <v>44</v>
      </c>
      <c r="C1240" s="4">
        <v>1239.0</v>
      </c>
      <c r="D1240" s="13" t="str">
        <f>HYPERLINK("https://www.linkedin.com/ad-library/detail/747945654","Open Ad")</f>
        <v>Open Ad</v>
      </c>
      <c r="E1240" s="4" t="s">
        <v>91</v>
      </c>
      <c r="F1240" s="4" t="s">
        <v>53</v>
      </c>
      <c r="G1240" s="4" t="s">
        <v>6915</v>
      </c>
      <c r="H1240" s="4" t="s">
        <v>55</v>
      </c>
      <c r="I1240" s="4" t="s">
        <v>985</v>
      </c>
      <c r="J1240" s="4" t="s">
        <v>91</v>
      </c>
      <c r="K1240" s="4" t="s">
        <v>60</v>
      </c>
      <c r="L1240" s="4" t="s">
        <v>131</v>
      </c>
      <c r="M1240" s="4" t="s">
        <v>63</v>
      </c>
      <c r="N1240" s="4" t="s">
        <v>132</v>
      </c>
      <c r="O1240" s="2" t="s">
        <v>132</v>
      </c>
      <c r="P1240" s="2">
        <v>7.47945654E8</v>
      </c>
      <c r="Q1240" s="2" t="s">
        <v>68</v>
      </c>
      <c r="R1240" s="4" t="s">
        <v>6916</v>
      </c>
    </row>
    <row r="1241">
      <c r="A1241" s="4" t="s">
        <v>44</v>
      </c>
      <c r="B1241" s="4" t="s">
        <v>44</v>
      </c>
      <c r="C1241" s="4">
        <v>1240.0</v>
      </c>
      <c r="D1241" s="13" t="str">
        <f>HYPERLINK("https://www.linkedin.com/ad-library/detail/747935914","Open Ad")</f>
        <v>Open Ad</v>
      </c>
      <c r="E1241" s="4" t="s">
        <v>91</v>
      </c>
      <c r="F1241" s="4" t="s">
        <v>53</v>
      </c>
      <c r="G1241" s="4" t="s">
        <v>6915</v>
      </c>
      <c r="H1241" s="4" t="s">
        <v>55</v>
      </c>
      <c r="I1241" s="4" t="s">
        <v>985</v>
      </c>
      <c r="J1241" s="4" t="s">
        <v>91</v>
      </c>
      <c r="K1241" s="4" t="s">
        <v>60</v>
      </c>
      <c r="L1241" s="4" t="s">
        <v>131</v>
      </c>
      <c r="M1241" s="4" t="s">
        <v>63</v>
      </c>
      <c r="N1241" s="4" t="s">
        <v>132</v>
      </c>
      <c r="O1241" s="2" t="s">
        <v>132</v>
      </c>
      <c r="P1241" s="2">
        <v>7.47935914E8</v>
      </c>
      <c r="Q1241" s="2" t="s">
        <v>68</v>
      </c>
      <c r="R1241" s="4" t="s">
        <v>6916</v>
      </c>
    </row>
    <row r="1242">
      <c r="A1242" s="4" t="s">
        <v>44</v>
      </c>
      <c r="B1242" s="4" t="s">
        <v>44</v>
      </c>
      <c r="C1242" s="4">
        <v>1241.0</v>
      </c>
      <c r="D1242" s="13" t="str">
        <f>HYPERLINK("https://www.linkedin.com/ad-library/detail/747935934","Open Ad")</f>
        <v>Open Ad</v>
      </c>
      <c r="E1242" s="4" t="s">
        <v>91</v>
      </c>
      <c r="F1242" s="4" t="s">
        <v>53</v>
      </c>
      <c r="G1242" s="4" t="s">
        <v>6915</v>
      </c>
      <c r="H1242" s="4" t="s">
        <v>55</v>
      </c>
      <c r="I1242" s="4" t="s">
        <v>985</v>
      </c>
      <c r="J1242" s="4" t="s">
        <v>91</v>
      </c>
      <c r="K1242" s="4" t="s">
        <v>60</v>
      </c>
      <c r="L1242" s="4" t="s">
        <v>131</v>
      </c>
      <c r="M1242" s="4" t="s">
        <v>63</v>
      </c>
      <c r="N1242" s="4" t="s">
        <v>132</v>
      </c>
      <c r="O1242" s="2" t="s">
        <v>132</v>
      </c>
      <c r="P1242" s="2">
        <v>7.47935934E8</v>
      </c>
      <c r="Q1242" s="2" t="s">
        <v>68</v>
      </c>
      <c r="R1242" s="4" t="s">
        <v>6916</v>
      </c>
    </row>
    <row r="1243">
      <c r="A1243" s="4" t="s">
        <v>44</v>
      </c>
      <c r="B1243" s="4" t="s">
        <v>44</v>
      </c>
      <c r="C1243" s="4">
        <v>1242.0</v>
      </c>
      <c r="D1243" s="13" t="str">
        <f>HYPERLINK("https://www.linkedin.com/ad-library/detail/748004574","Open Ad")</f>
        <v>Open Ad</v>
      </c>
      <c r="E1243" s="4" t="s">
        <v>91</v>
      </c>
      <c r="F1243" s="4" t="s">
        <v>53</v>
      </c>
      <c r="G1243" s="4" t="s">
        <v>6915</v>
      </c>
      <c r="H1243" s="4" t="s">
        <v>55</v>
      </c>
      <c r="I1243" s="4" t="s">
        <v>985</v>
      </c>
      <c r="J1243" s="4" t="s">
        <v>91</v>
      </c>
      <c r="K1243" s="4" t="s">
        <v>60</v>
      </c>
      <c r="L1243" s="4" t="s">
        <v>131</v>
      </c>
      <c r="M1243" s="4" t="s">
        <v>63</v>
      </c>
      <c r="N1243" s="4" t="s">
        <v>132</v>
      </c>
      <c r="O1243" s="2" t="s">
        <v>132</v>
      </c>
      <c r="P1243" s="2">
        <v>7.48004574E8</v>
      </c>
      <c r="Q1243" s="2" t="s">
        <v>68</v>
      </c>
      <c r="R1243" s="4" t="s">
        <v>6916</v>
      </c>
    </row>
    <row r="1244">
      <c r="A1244" s="4" t="s">
        <v>44</v>
      </c>
      <c r="B1244" s="4" t="s">
        <v>44</v>
      </c>
      <c r="C1244" s="4">
        <v>1243.0</v>
      </c>
      <c r="D1244" s="13" t="str">
        <f>HYPERLINK("https://www.linkedin.com/ad-library/detail/747925794","Open Ad")</f>
        <v>Open Ad</v>
      </c>
      <c r="E1244" s="4" t="s">
        <v>91</v>
      </c>
      <c r="F1244" s="4" t="s">
        <v>53</v>
      </c>
      <c r="G1244" s="4" t="s">
        <v>6915</v>
      </c>
      <c r="H1244" s="4" t="s">
        <v>55</v>
      </c>
      <c r="I1244" s="4" t="s">
        <v>985</v>
      </c>
      <c r="J1244" s="4" t="s">
        <v>91</v>
      </c>
      <c r="K1244" s="4" t="s">
        <v>60</v>
      </c>
      <c r="L1244" s="4" t="s">
        <v>131</v>
      </c>
      <c r="M1244" s="4" t="s">
        <v>63</v>
      </c>
      <c r="N1244" s="4" t="s">
        <v>132</v>
      </c>
      <c r="O1244" s="2" t="s">
        <v>132</v>
      </c>
      <c r="P1244" s="2">
        <v>7.47925794E8</v>
      </c>
      <c r="Q1244" s="2" t="s">
        <v>68</v>
      </c>
      <c r="R1244" s="4" t="s">
        <v>6916</v>
      </c>
    </row>
    <row r="1245">
      <c r="A1245" s="4" t="s">
        <v>44</v>
      </c>
      <c r="B1245" s="4" t="s">
        <v>44</v>
      </c>
      <c r="C1245" s="4">
        <v>1244.0</v>
      </c>
      <c r="D1245" s="13" t="str">
        <f>HYPERLINK("https://www.linkedin.com/ad-library/detail/748004564","Open Ad")</f>
        <v>Open Ad</v>
      </c>
      <c r="E1245" s="4" t="s">
        <v>91</v>
      </c>
      <c r="F1245" s="4" t="s">
        <v>53</v>
      </c>
      <c r="G1245" s="4" t="s">
        <v>6915</v>
      </c>
      <c r="H1245" s="4" t="s">
        <v>55</v>
      </c>
      <c r="I1245" s="4" t="s">
        <v>985</v>
      </c>
      <c r="J1245" s="4" t="s">
        <v>91</v>
      </c>
      <c r="K1245" s="4" t="s">
        <v>60</v>
      </c>
      <c r="L1245" s="4" t="s">
        <v>131</v>
      </c>
      <c r="M1245" s="4" t="s">
        <v>63</v>
      </c>
      <c r="N1245" s="4" t="s">
        <v>132</v>
      </c>
      <c r="O1245" s="2" t="s">
        <v>132</v>
      </c>
      <c r="P1245" s="2">
        <v>7.48004564E8</v>
      </c>
      <c r="Q1245" s="2" t="s">
        <v>68</v>
      </c>
      <c r="R1245" s="4" t="s">
        <v>6916</v>
      </c>
    </row>
    <row r="1246">
      <c r="A1246" s="4" t="s">
        <v>44</v>
      </c>
      <c r="B1246" s="4" t="s">
        <v>44</v>
      </c>
      <c r="C1246" s="4">
        <v>1245.0</v>
      </c>
      <c r="D1246" s="13" t="str">
        <f>HYPERLINK("https://www.linkedin.com/ad-library/detail/747985254","Open Ad")</f>
        <v>Open Ad</v>
      </c>
      <c r="E1246" s="4" t="s">
        <v>91</v>
      </c>
      <c r="F1246" s="4" t="s">
        <v>53</v>
      </c>
      <c r="G1246" s="4" t="s">
        <v>6915</v>
      </c>
      <c r="H1246" s="4" t="s">
        <v>55</v>
      </c>
      <c r="I1246" s="4" t="s">
        <v>985</v>
      </c>
      <c r="J1246" s="4" t="s">
        <v>91</v>
      </c>
      <c r="K1246" s="4" t="s">
        <v>60</v>
      </c>
      <c r="L1246" s="4" t="s">
        <v>131</v>
      </c>
      <c r="M1246" s="4" t="s">
        <v>63</v>
      </c>
      <c r="N1246" s="4" t="s">
        <v>132</v>
      </c>
      <c r="O1246" s="2" t="s">
        <v>132</v>
      </c>
      <c r="P1246" s="2">
        <v>7.47985254E8</v>
      </c>
      <c r="Q1246" s="2" t="s">
        <v>68</v>
      </c>
      <c r="R1246" s="4" t="s">
        <v>6916</v>
      </c>
    </row>
    <row r="1247">
      <c r="A1247" s="4" t="s">
        <v>44</v>
      </c>
      <c r="B1247" s="4" t="s">
        <v>44</v>
      </c>
      <c r="C1247" s="4">
        <v>1246.0</v>
      </c>
      <c r="D1247" s="13" t="str">
        <f>HYPERLINK("https://www.linkedin.com/ad-library/detail/747965054","Open Ad")</f>
        <v>Open Ad</v>
      </c>
      <c r="E1247" s="4" t="s">
        <v>91</v>
      </c>
      <c r="F1247" s="4" t="s">
        <v>53</v>
      </c>
      <c r="G1247" s="4" t="s">
        <v>6915</v>
      </c>
      <c r="H1247" s="4" t="s">
        <v>55</v>
      </c>
      <c r="I1247" s="4" t="s">
        <v>985</v>
      </c>
      <c r="J1247" s="4" t="s">
        <v>91</v>
      </c>
      <c r="K1247" s="4" t="s">
        <v>60</v>
      </c>
      <c r="L1247" s="4" t="s">
        <v>131</v>
      </c>
      <c r="M1247" s="4" t="s">
        <v>63</v>
      </c>
      <c r="N1247" s="4" t="s">
        <v>132</v>
      </c>
      <c r="O1247" s="2" t="s">
        <v>132</v>
      </c>
      <c r="P1247" s="2">
        <v>7.47965054E8</v>
      </c>
      <c r="Q1247" s="2" t="s">
        <v>68</v>
      </c>
      <c r="R1247" s="4" t="s">
        <v>6916</v>
      </c>
    </row>
    <row r="1248">
      <c r="A1248" s="4" t="s">
        <v>44</v>
      </c>
      <c r="B1248" s="4" t="s">
        <v>44</v>
      </c>
      <c r="C1248" s="4">
        <v>1247.0</v>
      </c>
      <c r="D1248" s="13" t="str">
        <f>HYPERLINK("https://www.linkedin.com/ad-library/detail/747985244","Open Ad")</f>
        <v>Open Ad</v>
      </c>
      <c r="E1248" s="4" t="s">
        <v>91</v>
      </c>
      <c r="F1248" s="4" t="s">
        <v>53</v>
      </c>
      <c r="G1248" s="4" t="s">
        <v>6915</v>
      </c>
      <c r="H1248" s="4" t="s">
        <v>55</v>
      </c>
      <c r="I1248" s="4" t="s">
        <v>985</v>
      </c>
      <c r="J1248" s="4" t="s">
        <v>91</v>
      </c>
      <c r="K1248" s="4" t="s">
        <v>60</v>
      </c>
      <c r="L1248" s="4" t="s">
        <v>131</v>
      </c>
      <c r="M1248" s="4" t="s">
        <v>63</v>
      </c>
      <c r="N1248" s="4" t="s">
        <v>132</v>
      </c>
      <c r="O1248" s="2" t="s">
        <v>132</v>
      </c>
      <c r="P1248" s="2">
        <v>7.47985244E8</v>
      </c>
      <c r="Q1248" s="2" t="s">
        <v>68</v>
      </c>
      <c r="R1248" s="4" t="s">
        <v>6916</v>
      </c>
    </row>
    <row r="1249">
      <c r="A1249" s="4" t="s">
        <v>44</v>
      </c>
      <c r="B1249" s="4" t="s">
        <v>44</v>
      </c>
      <c r="C1249" s="4">
        <v>1248.0</v>
      </c>
      <c r="D1249" s="13" t="str">
        <f>HYPERLINK("https://www.linkedin.com/ad-library/detail/747965044","Open Ad")</f>
        <v>Open Ad</v>
      </c>
      <c r="E1249" s="4" t="s">
        <v>91</v>
      </c>
      <c r="F1249" s="4" t="s">
        <v>53</v>
      </c>
      <c r="G1249" s="4" t="s">
        <v>6915</v>
      </c>
      <c r="H1249" s="4" t="s">
        <v>55</v>
      </c>
      <c r="I1249" s="4" t="s">
        <v>985</v>
      </c>
      <c r="J1249" s="4" t="s">
        <v>91</v>
      </c>
      <c r="K1249" s="4" t="s">
        <v>60</v>
      </c>
      <c r="L1249" s="4" t="s">
        <v>131</v>
      </c>
      <c r="M1249" s="4" t="s">
        <v>63</v>
      </c>
      <c r="N1249" s="4" t="s">
        <v>132</v>
      </c>
      <c r="O1249" s="2" t="s">
        <v>132</v>
      </c>
      <c r="P1249" s="2">
        <v>7.47965044E8</v>
      </c>
      <c r="Q1249" s="2" t="s">
        <v>68</v>
      </c>
      <c r="R1249" s="4" t="s">
        <v>6916</v>
      </c>
    </row>
    <row r="1250">
      <c r="A1250" s="4" t="s">
        <v>44</v>
      </c>
      <c r="B1250" s="4" t="s">
        <v>44</v>
      </c>
      <c r="C1250" s="4">
        <v>1249.0</v>
      </c>
      <c r="D1250" s="13" t="str">
        <f>HYPERLINK("https://www.linkedin.com/ad-library/detail/748063614","Open Ad")</f>
        <v>Open Ad</v>
      </c>
      <c r="E1250" s="4" t="s">
        <v>91</v>
      </c>
      <c r="F1250" s="4" t="s">
        <v>53</v>
      </c>
      <c r="G1250" s="4" t="s">
        <v>6915</v>
      </c>
      <c r="H1250" s="4" t="s">
        <v>55</v>
      </c>
      <c r="I1250" s="4" t="s">
        <v>985</v>
      </c>
      <c r="J1250" s="4" t="s">
        <v>91</v>
      </c>
      <c r="K1250" s="4" t="s">
        <v>60</v>
      </c>
      <c r="L1250" s="4" t="s">
        <v>131</v>
      </c>
      <c r="M1250" s="4" t="s">
        <v>63</v>
      </c>
      <c r="N1250" s="4" t="s">
        <v>132</v>
      </c>
      <c r="O1250" s="2" t="s">
        <v>132</v>
      </c>
      <c r="P1250" s="2">
        <v>7.48063614E8</v>
      </c>
      <c r="Q1250" s="2" t="s">
        <v>68</v>
      </c>
      <c r="R1250" s="4" t="s">
        <v>6916</v>
      </c>
    </row>
    <row r="1251">
      <c r="A1251" s="4" t="s">
        <v>44</v>
      </c>
      <c r="B1251" s="4" t="s">
        <v>44</v>
      </c>
      <c r="C1251" s="4">
        <v>1250.0</v>
      </c>
      <c r="D1251" s="13" t="str">
        <f>HYPERLINK("https://www.linkedin.com/ad-library/detail/747985214","Open Ad")</f>
        <v>Open Ad</v>
      </c>
      <c r="E1251" s="4" t="s">
        <v>91</v>
      </c>
      <c r="F1251" s="4" t="s">
        <v>53</v>
      </c>
      <c r="G1251" s="4" t="s">
        <v>6915</v>
      </c>
      <c r="H1251" s="4" t="s">
        <v>55</v>
      </c>
      <c r="I1251" s="4" t="s">
        <v>985</v>
      </c>
      <c r="J1251" s="4" t="s">
        <v>91</v>
      </c>
      <c r="K1251" s="4" t="s">
        <v>60</v>
      </c>
      <c r="L1251" s="4" t="s">
        <v>131</v>
      </c>
      <c r="M1251" s="4" t="s">
        <v>63</v>
      </c>
      <c r="N1251" s="4" t="s">
        <v>132</v>
      </c>
      <c r="O1251" s="2" t="s">
        <v>132</v>
      </c>
      <c r="P1251" s="2">
        <v>7.47985214E8</v>
      </c>
      <c r="Q1251" s="2" t="s">
        <v>68</v>
      </c>
      <c r="R1251" s="4" t="s">
        <v>6916</v>
      </c>
    </row>
    <row r="1252">
      <c r="A1252" s="4" t="s">
        <v>44</v>
      </c>
      <c r="B1252" s="4" t="s">
        <v>44</v>
      </c>
      <c r="C1252" s="4">
        <v>1251.0</v>
      </c>
      <c r="D1252" s="13" t="str">
        <f>HYPERLINK("https://www.linkedin.com/ad-library/detail/748063604","Open Ad")</f>
        <v>Open Ad</v>
      </c>
      <c r="E1252" s="4" t="s">
        <v>91</v>
      </c>
      <c r="F1252" s="4" t="s">
        <v>53</v>
      </c>
      <c r="G1252" s="4" t="s">
        <v>6915</v>
      </c>
      <c r="H1252" s="4" t="s">
        <v>55</v>
      </c>
      <c r="I1252" s="4" t="s">
        <v>985</v>
      </c>
      <c r="J1252" s="4" t="s">
        <v>91</v>
      </c>
      <c r="K1252" s="4" t="s">
        <v>60</v>
      </c>
      <c r="L1252" s="4" t="s">
        <v>131</v>
      </c>
      <c r="M1252" s="4" t="s">
        <v>63</v>
      </c>
      <c r="N1252" s="4" t="s">
        <v>132</v>
      </c>
      <c r="O1252" s="2" t="s">
        <v>132</v>
      </c>
      <c r="P1252" s="2">
        <v>7.48063604E8</v>
      </c>
      <c r="Q1252" s="2" t="s">
        <v>68</v>
      </c>
      <c r="R1252" s="4" t="s">
        <v>6916</v>
      </c>
    </row>
    <row r="1253">
      <c r="A1253" s="4" t="s">
        <v>44</v>
      </c>
      <c r="B1253" s="4" t="s">
        <v>44</v>
      </c>
      <c r="C1253" s="4">
        <v>1252.0</v>
      </c>
      <c r="D1253" s="13" t="str">
        <f>HYPERLINK("https://www.linkedin.com/ad-library/detail/747955164","Open Ad")</f>
        <v>Open Ad</v>
      </c>
      <c r="E1253" s="4" t="s">
        <v>91</v>
      </c>
      <c r="F1253" s="4" t="s">
        <v>53</v>
      </c>
      <c r="G1253" s="4" t="s">
        <v>6915</v>
      </c>
      <c r="H1253" s="4" t="s">
        <v>55</v>
      </c>
      <c r="I1253" s="4" t="s">
        <v>985</v>
      </c>
      <c r="J1253" s="4" t="s">
        <v>91</v>
      </c>
      <c r="K1253" s="4" t="s">
        <v>60</v>
      </c>
      <c r="L1253" s="4" t="s">
        <v>131</v>
      </c>
      <c r="M1253" s="4" t="s">
        <v>63</v>
      </c>
      <c r="N1253" s="4" t="s">
        <v>132</v>
      </c>
      <c r="O1253" s="2" t="s">
        <v>132</v>
      </c>
      <c r="P1253" s="2">
        <v>7.47955164E8</v>
      </c>
      <c r="Q1253" s="2" t="s">
        <v>68</v>
      </c>
      <c r="R1253" s="4" t="s">
        <v>6916</v>
      </c>
    </row>
    <row r="1254">
      <c r="A1254" s="4" t="s">
        <v>44</v>
      </c>
      <c r="B1254" s="4" t="s">
        <v>44</v>
      </c>
      <c r="C1254" s="4">
        <v>1253.0</v>
      </c>
      <c r="D1254" s="13" t="str">
        <f>HYPERLINK("https://www.linkedin.com/ad-library/detail/747985204","Open Ad")</f>
        <v>Open Ad</v>
      </c>
      <c r="E1254" s="4" t="s">
        <v>91</v>
      </c>
      <c r="F1254" s="4" t="s">
        <v>53</v>
      </c>
      <c r="G1254" s="4" t="s">
        <v>6915</v>
      </c>
      <c r="H1254" s="4" t="s">
        <v>55</v>
      </c>
      <c r="I1254" s="4" t="s">
        <v>985</v>
      </c>
      <c r="J1254" s="4" t="s">
        <v>91</v>
      </c>
      <c r="K1254" s="4" t="s">
        <v>60</v>
      </c>
      <c r="L1254" s="4" t="s">
        <v>131</v>
      </c>
      <c r="M1254" s="4" t="s">
        <v>63</v>
      </c>
      <c r="N1254" s="4" t="s">
        <v>132</v>
      </c>
      <c r="O1254" s="2" t="s">
        <v>132</v>
      </c>
      <c r="P1254" s="2">
        <v>7.47985204E8</v>
      </c>
      <c r="Q1254" s="2" t="s">
        <v>68</v>
      </c>
      <c r="R1254" s="4" t="s">
        <v>6916</v>
      </c>
    </row>
    <row r="1255">
      <c r="A1255" s="4" t="s">
        <v>44</v>
      </c>
      <c r="B1255" s="4" t="s">
        <v>44</v>
      </c>
      <c r="C1255" s="4">
        <v>1254.0</v>
      </c>
      <c r="D1255" s="13" t="str">
        <f>HYPERLINK("https://www.linkedin.com/ad-library/detail/748054484","Open Ad")</f>
        <v>Open Ad</v>
      </c>
      <c r="E1255" s="4" t="s">
        <v>91</v>
      </c>
      <c r="F1255" s="4" t="s">
        <v>53</v>
      </c>
      <c r="G1255" s="4" t="s">
        <v>6915</v>
      </c>
      <c r="H1255" s="4" t="s">
        <v>55</v>
      </c>
      <c r="I1255" s="4" t="s">
        <v>985</v>
      </c>
      <c r="J1255" s="4" t="s">
        <v>91</v>
      </c>
      <c r="K1255" s="4" t="s">
        <v>60</v>
      </c>
      <c r="L1255" s="4" t="s">
        <v>131</v>
      </c>
      <c r="M1255" s="4" t="s">
        <v>63</v>
      </c>
      <c r="N1255" s="4" t="s">
        <v>132</v>
      </c>
      <c r="O1255" s="2" t="s">
        <v>132</v>
      </c>
      <c r="P1255" s="2">
        <v>7.48054484E8</v>
      </c>
      <c r="Q1255" s="2" t="s">
        <v>68</v>
      </c>
      <c r="R1255" s="4" t="s">
        <v>6916</v>
      </c>
    </row>
    <row r="1256">
      <c r="A1256" s="4" t="s">
        <v>44</v>
      </c>
      <c r="B1256" s="4" t="s">
        <v>44</v>
      </c>
      <c r="C1256" s="4">
        <v>1255.0</v>
      </c>
      <c r="D1256" s="13" t="str">
        <f>HYPERLINK("https://www.linkedin.com/ad-library/detail/748014794","Open Ad")</f>
        <v>Open Ad</v>
      </c>
      <c r="E1256" s="4" t="s">
        <v>91</v>
      </c>
      <c r="F1256" s="4" t="s">
        <v>53</v>
      </c>
      <c r="G1256" s="4" t="s">
        <v>6915</v>
      </c>
      <c r="H1256" s="4" t="s">
        <v>55</v>
      </c>
      <c r="I1256" s="4" t="s">
        <v>985</v>
      </c>
      <c r="J1256" s="4" t="s">
        <v>91</v>
      </c>
      <c r="K1256" s="4" t="s">
        <v>60</v>
      </c>
      <c r="L1256" s="4" t="s">
        <v>131</v>
      </c>
      <c r="M1256" s="4" t="s">
        <v>63</v>
      </c>
      <c r="N1256" s="4" t="s">
        <v>132</v>
      </c>
      <c r="O1256" s="2" t="s">
        <v>132</v>
      </c>
      <c r="P1256" s="2">
        <v>7.48014794E8</v>
      </c>
      <c r="Q1256" s="2" t="s">
        <v>68</v>
      </c>
      <c r="R1256" s="4" t="s">
        <v>6916</v>
      </c>
    </row>
    <row r="1257">
      <c r="A1257" s="4" t="s">
        <v>44</v>
      </c>
      <c r="B1257" s="4" t="s">
        <v>44</v>
      </c>
      <c r="C1257" s="4">
        <v>1256.0</v>
      </c>
      <c r="D1257" s="13" t="str">
        <f>HYPERLINK("https://www.linkedin.com/ad-library/detail/748014784","Open Ad")</f>
        <v>Open Ad</v>
      </c>
      <c r="E1257" s="4" t="s">
        <v>91</v>
      </c>
      <c r="F1257" s="4" t="s">
        <v>53</v>
      </c>
      <c r="G1257" s="4" t="s">
        <v>6915</v>
      </c>
      <c r="H1257" s="4" t="s">
        <v>55</v>
      </c>
      <c r="I1257" s="4" t="s">
        <v>985</v>
      </c>
      <c r="J1257" s="4" t="s">
        <v>91</v>
      </c>
      <c r="K1257" s="4" t="s">
        <v>60</v>
      </c>
      <c r="L1257" s="4" t="s">
        <v>131</v>
      </c>
      <c r="M1257" s="4" t="s">
        <v>63</v>
      </c>
      <c r="N1257" s="4" t="s">
        <v>132</v>
      </c>
      <c r="O1257" s="2" t="s">
        <v>132</v>
      </c>
      <c r="P1257" s="2">
        <v>7.48014784E8</v>
      </c>
      <c r="Q1257" s="2" t="s">
        <v>68</v>
      </c>
      <c r="R1257" s="4" t="s">
        <v>6916</v>
      </c>
    </row>
    <row r="1258">
      <c r="A1258" s="4" t="s">
        <v>44</v>
      </c>
      <c r="B1258" s="4" t="s">
        <v>44</v>
      </c>
      <c r="C1258" s="4">
        <v>1257.0</v>
      </c>
      <c r="D1258" s="13" t="str">
        <f>HYPERLINK("https://www.linkedin.com/ad-library/detail/748014774","Open Ad")</f>
        <v>Open Ad</v>
      </c>
      <c r="E1258" s="4" t="s">
        <v>91</v>
      </c>
      <c r="F1258" s="4" t="s">
        <v>53</v>
      </c>
      <c r="G1258" s="4" t="s">
        <v>6915</v>
      </c>
      <c r="H1258" s="4" t="s">
        <v>55</v>
      </c>
      <c r="I1258" s="4" t="s">
        <v>985</v>
      </c>
      <c r="J1258" s="4" t="s">
        <v>91</v>
      </c>
      <c r="K1258" s="4" t="s">
        <v>60</v>
      </c>
      <c r="L1258" s="4" t="s">
        <v>131</v>
      </c>
      <c r="M1258" s="4" t="s">
        <v>63</v>
      </c>
      <c r="N1258" s="4" t="s">
        <v>132</v>
      </c>
      <c r="O1258" s="2" t="s">
        <v>132</v>
      </c>
      <c r="P1258" s="2">
        <v>7.48014774E8</v>
      </c>
      <c r="Q1258" s="2" t="s">
        <v>68</v>
      </c>
      <c r="R1258" s="4" t="s">
        <v>6916</v>
      </c>
    </row>
    <row r="1259">
      <c r="A1259" s="4" t="s">
        <v>44</v>
      </c>
      <c r="B1259" s="4" t="s">
        <v>44</v>
      </c>
      <c r="C1259" s="4">
        <v>1258.0</v>
      </c>
      <c r="D1259" s="13" t="str">
        <f>HYPERLINK("https://www.linkedin.com/ad-library/detail/748063594","Open Ad")</f>
        <v>Open Ad</v>
      </c>
      <c r="E1259" s="4" t="s">
        <v>91</v>
      </c>
      <c r="F1259" s="4" t="s">
        <v>53</v>
      </c>
      <c r="G1259" s="4" t="s">
        <v>6915</v>
      </c>
      <c r="H1259" s="4" t="s">
        <v>55</v>
      </c>
      <c r="I1259" s="4" t="s">
        <v>985</v>
      </c>
      <c r="J1259" s="4" t="s">
        <v>91</v>
      </c>
      <c r="K1259" s="4" t="s">
        <v>60</v>
      </c>
      <c r="L1259" s="4" t="s">
        <v>131</v>
      </c>
      <c r="M1259" s="4" t="s">
        <v>63</v>
      </c>
      <c r="N1259" s="4" t="s">
        <v>132</v>
      </c>
      <c r="O1259" s="2" t="s">
        <v>132</v>
      </c>
      <c r="P1259" s="2">
        <v>7.48063594E8</v>
      </c>
      <c r="Q1259" s="2" t="s">
        <v>68</v>
      </c>
      <c r="R1259" s="4" t="s">
        <v>6916</v>
      </c>
    </row>
    <row r="1260">
      <c r="A1260" s="4" t="s">
        <v>44</v>
      </c>
      <c r="B1260" s="4" t="s">
        <v>44</v>
      </c>
      <c r="C1260" s="4">
        <v>1259.0</v>
      </c>
      <c r="D1260" s="13" t="str">
        <f>HYPERLINK("https://www.linkedin.com/ad-library/detail/747955134","Open Ad")</f>
        <v>Open Ad</v>
      </c>
      <c r="E1260" s="4" t="s">
        <v>91</v>
      </c>
      <c r="F1260" s="4" t="s">
        <v>53</v>
      </c>
      <c r="G1260" s="4" t="s">
        <v>6915</v>
      </c>
      <c r="H1260" s="4" t="s">
        <v>55</v>
      </c>
      <c r="I1260" s="4" t="s">
        <v>985</v>
      </c>
      <c r="J1260" s="4" t="s">
        <v>91</v>
      </c>
      <c r="K1260" s="4" t="s">
        <v>60</v>
      </c>
      <c r="L1260" s="4" t="s">
        <v>131</v>
      </c>
      <c r="M1260" s="4" t="s">
        <v>63</v>
      </c>
      <c r="N1260" s="4" t="s">
        <v>132</v>
      </c>
      <c r="O1260" s="2" t="s">
        <v>132</v>
      </c>
      <c r="P1260" s="2">
        <v>7.47955134E8</v>
      </c>
      <c r="Q1260" s="2" t="s">
        <v>68</v>
      </c>
      <c r="R1260" s="4" t="s">
        <v>6916</v>
      </c>
    </row>
    <row r="1261">
      <c r="A1261" s="4" t="s">
        <v>44</v>
      </c>
      <c r="B1261" s="4" t="s">
        <v>44</v>
      </c>
      <c r="C1261" s="4">
        <v>1260.0</v>
      </c>
      <c r="D1261" s="13" t="str">
        <f>HYPERLINK("https://www.linkedin.com/ad-library/detail/748014754","Open Ad")</f>
        <v>Open Ad</v>
      </c>
      <c r="E1261" s="4" t="s">
        <v>91</v>
      </c>
      <c r="F1261" s="4" t="s">
        <v>53</v>
      </c>
      <c r="G1261" s="4" t="s">
        <v>6915</v>
      </c>
      <c r="H1261" s="4" t="s">
        <v>55</v>
      </c>
      <c r="I1261" s="4" t="s">
        <v>985</v>
      </c>
      <c r="J1261" s="4" t="s">
        <v>91</v>
      </c>
      <c r="K1261" s="4" t="s">
        <v>60</v>
      </c>
      <c r="L1261" s="4" t="s">
        <v>131</v>
      </c>
      <c r="M1261" s="4" t="s">
        <v>63</v>
      </c>
      <c r="N1261" s="4" t="s">
        <v>132</v>
      </c>
      <c r="O1261" s="2" t="s">
        <v>132</v>
      </c>
      <c r="P1261" s="2">
        <v>7.48014754E8</v>
      </c>
      <c r="Q1261" s="2" t="s">
        <v>68</v>
      </c>
      <c r="R1261" s="4" t="s">
        <v>6916</v>
      </c>
    </row>
    <row r="1262">
      <c r="A1262" s="4" t="s">
        <v>44</v>
      </c>
      <c r="B1262" s="4" t="s">
        <v>44</v>
      </c>
      <c r="C1262" s="4">
        <v>1261.0</v>
      </c>
      <c r="D1262" s="13" t="str">
        <f>HYPERLINK("https://www.linkedin.com/ad-library/detail/747975134","Open Ad")</f>
        <v>Open Ad</v>
      </c>
      <c r="E1262" s="4" t="s">
        <v>91</v>
      </c>
      <c r="F1262" s="4" t="s">
        <v>53</v>
      </c>
      <c r="G1262" s="4" t="s">
        <v>6915</v>
      </c>
      <c r="H1262" s="4" t="s">
        <v>55</v>
      </c>
      <c r="I1262" s="4" t="s">
        <v>985</v>
      </c>
      <c r="J1262" s="4" t="s">
        <v>91</v>
      </c>
      <c r="K1262" s="4" t="s">
        <v>60</v>
      </c>
      <c r="L1262" s="4" t="s">
        <v>131</v>
      </c>
      <c r="M1262" s="4" t="s">
        <v>63</v>
      </c>
      <c r="N1262" s="4" t="s">
        <v>132</v>
      </c>
      <c r="O1262" s="2" t="s">
        <v>132</v>
      </c>
      <c r="P1262" s="2">
        <v>7.47975134E8</v>
      </c>
      <c r="Q1262" s="2" t="s">
        <v>68</v>
      </c>
      <c r="R1262" s="4" t="s">
        <v>6916</v>
      </c>
    </row>
    <row r="1263">
      <c r="A1263" s="4" t="s">
        <v>44</v>
      </c>
      <c r="B1263" s="4" t="s">
        <v>44</v>
      </c>
      <c r="C1263" s="4">
        <v>1262.0</v>
      </c>
      <c r="D1263" s="13" t="str">
        <f>HYPERLINK("https://www.linkedin.com/ad-library/detail/747955144","Open Ad")</f>
        <v>Open Ad</v>
      </c>
      <c r="E1263" s="4" t="s">
        <v>91</v>
      </c>
      <c r="F1263" s="4" t="s">
        <v>53</v>
      </c>
      <c r="G1263" s="4" t="s">
        <v>6915</v>
      </c>
      <c r="H1263" s="4" t="s">
        <v>55</v>
      </c>
      <c r="I1263" s="4" t="s">
        <v>985</v>
      </c>
      <c r="J1263" s="4" t="s">
        <v>91</v>
      </c>
      <c r="K1263" s="4" t="s">
        <v>60</v>
      </c>
      <c r="L1263" s="4" t="s">
        <v>131</v>
      </c>
      <c r="M1263" s="4" t="s">
        <v>63</v>
      </c>
      <c r="N1263" s="4" t="s">
        <v>132</v>
      </c>
      <c r="O1263" s="2" t="s">
        <v>132</v>
      </c>
      <c r="P1263" s="2">
        <v>7.47955144E8</v>
      </c>
      <c r="Q1263" s="2" t="s">
        <v>68</v>
      </c>
      <c r="R1263" s="4" t="s">
        <v>6916</v>
      </c>
    </row>
    <row r="1264">
      <c r="A1264" s="4" t="s">
        <v>44</v>
      </c>
      <c r="B1264" s="4" t="s">
        <v>44</v>
      </c>
      <c r="C1264" s="4">
        <v>1263.0</v>
      </c>
      <c r="D1264" s="13" t="str">
        <f>HYPERLINK("https://www.linkedin.com/ad-library/detail/748045054","Open Ad")</f>
        <v>Open Ad</v>
      </c>
      <c r="E1264" s="4" t="s">
        <v>91</v>
      </c>
      <c r="F1264" s="4" t="s">
        <v>53</v>
      </c>
      <c r="G1264" s="4" t="s">
        <v>6915</v>
      </c>
      <c r="H1264" s="4" t="s">
        <v>55</v>
      </c>
      <c r="I1264" s="4" t="s">
        <v>985</v>
      </c>
      <c r="J1264" s="4" t="s">
        <v>91</v>
      </c>
      <c r="K1264" s="4" t="s">
        <v>60</v>
      </c>
      <c r="L1264" s="4" t="s">
        <v>131</v>
      </c>
      <c r="M1264" s="4" t="s">
        <v>63</v>
      </c>
      <c r="N1264" s="4" t="s">
        <v>132</v>
      </c>
      <c r="O1264" s="2" t="s">
        <v>132</v>
      </c>
      <c r="P1264" s="2">
        <v>7.48045054E8</v>
      </c>
      <c r="Q1264" s="2" t="s">
        <v>68</v>
      </c>
      <c r="R1264" s="4" t="s">
        <v>6916</v>
      </c>
    </row>
    <row r="1265">
      <c r="A1265" s="4" t="s">
        <v>44</v>
      </c>
      <c r="B1265" s="4" t="s">
        <v>44</v>
      </c>
      <c r="C1265" s="4">
        <v>1264.0</v>
      </c>
      <c r="D1265" s="13" t="str">
        <f>HYPERLINK("https://www.linkedin.com/ad-library/detail/748024764","Open Ad")</f>
        <v>Open Ad</v>
      </c>
      <c r="E1265" s="4" t="s">
        <v>91</v>
      </c>
      <c r="F1265" s="4" t="s">
        <v>53</v>
      </c>
      <c r="G1265" s="4" t="s">
        <v>6915</v>
      </c>
      <c r="H1265" s="4" t="s">
        <v>55</v>
      </c>
      <c r="I1265" s="4" t="s">
        <v>985</v>
      </c>
      <c r="J1265" s="4" t="s">
        <v>91</v>
      </c>
      <c r="K1265" s="4" t="s">
        <v>60</v>
      </c>
      <c r="L1265" s="4" t="s">
        <v>131</v>
      </c>
      <c r="M1265" s="4" t="s">
        <v>63</v>
      </c>
      <c r="N1265" s="4" t="s">
        <v>132</v>
      </c>
      <c r="O1265" s="2" t="s">
        <v>132</v>
      </c>
      <c r="P1265" s="2">
        <v>7.48024764E8</v>
      </c>
      <c r="Q1265" s="2" t="s">
        <v>68</v>
      </c>
      <c r="R1265" s="4" t="s">
        <v>6916</v>
      </c>
    </row>
    <row r="1266">
      <c r="A1266" s="4" t="s">
        <v>44</v>
      </c>
      <c r="B1266" s="4" t="s">
        <v>44</v>
      </c>
      <c r="C1266" s="4">
        <v>1265.0</v>
      </c>
      <c r="D1266" s="13" t="str">
        <f>HYPERLINK("https://www.linkedin.com/ad-library/detail/747925784","Open Ad")</f>
        <v>Open Ad</v>
      </c>
      <c r="E1266" s="4" t="s">
        <v>91</v>
      </c>
      <c r="F1266" s="4" t="s">
        <v>53</v>
      </c>
      <c r="G1266" s="4" t="s">
        <v>6915</v>
      </c>
      <c r="H1266" s="4" t="s">
        <v>55</v>
      </c>
      <c r="I1266" s="4" t="s">
        <v>985</v>
      </c>
      <c r="J1266" s="4" t="s">
        <v>91</v>
      </c>
      <c r="K1266" s="4" t="s">
        <v>60</v>
      </c>
      <c r="L1266" s="4" t="s">
        <v>131</v>
      </c>
      <c r="M1266" s="4" t="s">
        <v>63</v>
      </c>
      <c r="N1266" s="4" t="s">
        <v>132</v>
      </c>
      <c r="O1266" s="2" t="s">
        <v>132</v>
      </c>
      <c r="P1266" s="2">
        <v>7.47925784E8</v>
      </c>
      <c r="Q1266" s="2" t="s">
        <v>68</v>
      </c>
      <c r="R1266" s="4" t="s">
        <v>6916</v>
      </c>
    </row>
    <row r="1267">
      <c r="A1267" s="4" t="s">
        <v>44</v>
      </c>
      <c r="B1267" s="4" t="s">
        <v>44</v>
      </c>
      <c r="C1267" s="4">
        <v>1266.0</v>
      </c>
      <c r="D1267" s="13" t="str">
        <f>HYPERLINK("https://www.linkedin.com/ad-library/detail/747925774","Open Ad")</f>
        <v>Open Ad</v>
      </c>
      <c r="E1267" s="4" t="s">
        <v>91</v>
      </c>
      <c r="F1267" s="4" t="s">
        <v>53</v>
      </c>
      <c r="G1267" s="4" t="s">
        <v>6915</v>
      </c>
      <c r="H1267" s="4" t="s">
        <v>55</v>
      </c>
      <c r="I1267" s="4" t="s">
        <v>985</v>
      </c>
      <c r="J1267" s="4" t="s">
        <v>91</v>
      </c>
      <c r="K1267" s="4" t="s">
        <v>60</v>
      </c>
      <c r="L1267" s="4" t="s">
        <v>131</v>
      </c>
      <c r="M1267" s="4" t="s">
        <v>63</v>
      </c>
      <c r="N1267" s="4" t="s">
        <v>132</v>
      </c>
      <c r="O1267" s="2" t="s">
        <v>132</v>
      </c>
      <c r="P1267" s="2">
        <v>7.47925774E8</v>
      </c>
      <c r="Q1267" s="2" t="s">
        <v>68</v>
      </c>
      <c r="R1267" s="4" t="s">
        <v>6916</v>
      </c>
    </row>
    <row r="1268">
      <c r="A1268" s="4" t="s">
        <v>44</v>
      </c>
      <c r="B1268" s="4" t="s">
        <v>44</v>
      </c>
      <c r="C1268" s="4">
        <v>1267.0</v>
      </c>
      <c r="D1268" s="13" t="str">
        <f>HYPERLINK("https://www.linkedin.com/ad-library/detail/747985194","Open Ad")</f>
        <v>Open Ad</v>
      </c>
      <c r="E1268" s="4" t="s">
        <v>91</v>
      </c>
      <c r="F1268" s="4" t="s">
        <v>53</v>
      </c>
      <c r="G1268" s="4" t="s">
        <v>6915</v>
      </c>
      <c r="H1268" s="4" t="s">
        <v>55</v>
      </c>
      <c r="I1268" s="4" t="s">
        <v>985</v>
      </c>
      <c r="J1268" s="4" t="s">
        <v>91</v>
      </c>
      <c r="K1268" s="4" t="s">
        <v>60</v>
      </c>
      <c r="L1268" s="4" t="s">
        <v>131</v>
      </c>
      <c r="M1268" s="4" t="s">
        <v>63</v>
      </c>
      <c r="N1268" s="4" t="s">
        <v>132</v>
      </c>
      <c r="O1268" s="2" t="s">
        <v>132</v>
      </c>
      <c r="P1268" s="2">
        <v>7.47985194E8</v>
      </c>
      <c r="Q1268" s="2" t="s">
        <v>68</v>
      </c>
      <c r="R1268" s="4" t="s">
        <v>6916</v>
      </c>
    </row>
    <row r="1269">
      <c r="A1269" s="4" t="s">
        <v>44</v>
      </c>
      <c r="B1269" s="4" t="s">
        <v>44</v>
      </c>
      <c r="C1269" s="4">
        <v>1268.0</v>
      </c>
      <c r="D1269" s="13" t="str">
        <f>HYPERLINK("https://www.linkedin.com/ad-library/detail/748004554","Open Ad")</f>
        <v>Open Ad</v>
      </c>
      <c r="E1269" s="4" t="s">
        <v>91</v>
      </c>
      <c r="F1269" s="4" t="s">
        <v>53</v>
      </c>
      <c r="G1269" s="4" t="s">
        <v>6915</v>
      </c>
      <c r="H1269" s="4" t="s">
        <v>55</v>
      </c>
      <c r="I1269" s="4" t="s">
        <v>985</v>
      </c>
      <c r="J1269" s="4" t="s">
        <v>91</v>
      </c>
      <c r="K1269" s="4" t="s">
        <v>60</v>
      </c>
      <c r="L1269" s="4" t="s">
        <v>131</v>
      </c>
      <c r="M1269" s="4" t="s">
        <v>63</v>
      </c>
      <c r="N1269" s="4" t="s">
        <v>132</v>
      </c>
      <c r="O1269" s="2" t="s">
        <v>132</v>
      </c>
      <c r="P1269" s="2">
        <v>7.48004554E8</v>
      </c>
      <c r="Q1269" s="2" t="s">
        <v>68</v>
      </c>
      <c r="R1269" s="4" t="s">
        <v>6916</v>
      </c>
    </row>
    <row r="1270">
      <c r="A1270" s="4" t="s">
        <v>44</v>
      </c>
      <c r="B1270" s="4" t="s">
        <v>44</v>
      </c>
      <c r="C1270" s="4">
        <v>1269.0</v>
      </c>
      <c r="D1270" s="13" t="str">
        <f>HYPERLINK("https://www.linkedin.com/ad-library/detail/747935904","Open Ad")</f>
        <v>Open Ad</v>
      </c>
      <c r="E1270" s="4" t="s">
        <v>91</v>
      </c>
      <c r="F1270" s="4" t="s">
        <v>53</v>
      </c>
      <c r="G1270" s="4" t="s">
        <v>6915</v>
      </c>
      <c r="H1270" s="4" t="s">
        <v>55</v>
      </c>
      <c r="I1270" s="4" t="s">
        <v>985</v>
      </c>
      <c r="J1270" s="4" t="s">
        <v>91</v>
      </c>
      <c r="K1270" s="4" t="s">
        <v>60</v>
      </c>
      <c r="L1270" s="4" t="s">
        <v>131</v>
      </c>
      <c r="M1270" s="4" t="s">
        <v>63</v>
      </c>
      <c r="N1270" s="4" t="s">
        <v>132</v>
      </c>
      <c r="O1270" s="2" t="s">
        <v>132</v>
      </c>
      <c r="P1270" s="2">
        <v>7.47935904E8</v>
      </c>
      <c r="Q1270" s="2" t="s">
        <v>68</v>
      </c>
      <c r="R1270" s="4" t="s">
        <v>6916</v>
      </c>
    </row>
    <row r="1271">
      <c r="A1271" s="4" t="s">
        <v>44</v>
      </c>
      <c r="B1271" s="4" t="s">
        <v>44</v>
      </c>
      <c r="C1271" s="4">
        <v>1270.0</v>
      </c>
      <c r="D1271" s="13" t="str">
        <f>HYPERLINK("https://www.linkedin.com/ad-library/detail/747985234","Open Ad")</f>
        <v>Open Ad</v>
      </c>
      <c r="E1271" s="4" t="s">
        <v>91</v>
      </c>
      <c r="F1271" s="4" t="s">
        <v>53</v>
      </c>
      <c r="G1271" s="4" t="s">
        <v>6915</v>
      </c>
      <c r="H1271" s="4" t="s">
        <v>55</v>
      </c>
      <c r="I1271" s="4" t="s">
        <v>985</v>
      </c>
      <c r="J1271" s="4" t="s">
        <v>91</v>
      </c>
      <c r="K1271" s="4" t="s">
        <v>60</v>
      </c>
      <c r="L1271" s="4" t="s">
        <v>131</v>
      </c>
      <c r="M1271" s="4" t="s">
        <v>63</v>
      </c>
      <c r="N1271" s="4" t="s">
        <v>132</v>
      </c>
      <c r="O1271" s="2" t="s">
        <v>132</v>
      </c>
      <c r="P1271" s="2">
        <v>7.47985234E8</v>
      </c>
      <c r="Q1271" s="2" t="s">
        <v>68</v>
      </c>
      <c r="R1271" s="4" t="s">
        <v>6916</v>
      </c>
    </row>
    <row r="1272">
      <c r="A1272" s="4" t="s">
        <v>44</v>
      </c>
      <c r="B1272" s="4" t="s">
        <v>44</v>
      </c>
      <c r="C1272" s="4">
        <v>1271.0</v>
      </c>
      <c r="D1272" s="13" t="str">
        <f>HYPERLINK("https://www.linkedin.com/ad-library/detail/747965034","Open Ad")</f>
        <v>Open Ad</v>
      </c>
      <c r="E1272" s="4" t="s">
        <v>91</v>
      </c>
      <c r="F1272" s="4" t="s">
        <v>53</v>
      </c>
      <c r="G1272" s="4" t="s">
        <v>6915</v>
      </c>
      <c r="H1272" s="4" t="s">
        <v>55</v>
      </c>
      <c r="I1272" s="4" t="s">
        <v>985</v>
      </c>
      <c r="J1272" s="4" t="s">
        <v>91</v>
      </c>
      <c r="K1272" s="4" t="s">
        <v>60</v>
      </c>
      <c r="L1272" s="4" t="s">
        <v>131</v>
      </c>
      <c r="M1272" s="4" t="s">
        <v>63</v>
      </c>
      <c r="N1272" s="4" t="s">
        <v>132</v>
      </c>
      <c r="O1272" s="2" t="s">
        <v>132</v>
      </c>
      <c r="P1272" s="2">
        <v>7.47965034E8</v>
      </c>
      <c r="Q1272" s="2" t="s">
        <v>68</v>
      </c>
      <c r="R1272" s="4" t="s">
        <v>6916</v>
      </c>
    </row>
    <row r="1273">
      <c r="A1273" s="4" t="s">
        <v>44</v>
      </c>
      <c r="B1273" s="4" t="s">
        <v>44</v>
      </c>
      <c r="C1273" s="4">
        <v>1272.0</v>
      </c>
      <c r="D1273" s="13" t="str">
        <f>HYPERLINK("https://www.linkedin.com/ad-library/detail/747985224","Open Ad")</f>
        <v>Open Ad</v>
      </c>
      <c r="E1273" s="4" t="s">
        <v>91</v>
      </c>
      <c r="F1273" s="4" t="s">
        <v>53</v>
      </c>
      <c r="G1273" s="4" t="s">
        <v>6915</v>
      </c>
      <c r="H1273" s="4" t="s">
        <v>55</v>
      </c>
      <c r="I1273" s="4" t="s">
        <v>985</v>
      </c>
      <c r="J1273" s="4" t="s">
        <v>91</v>
      </c>
      <c r="K1273" s="4" t="s">
        <v>60</v>
      </c>
      <c r="L1273" s="4" t="s">
        <v>131</v>
      </c>
      <c r="M1273" s="4" t="s">
        <v>63</v>
      </c>
      <c r="N1273" s="4" t="s">
        <v>132</v>
      </c>
      <c r="O1273" s="2" t="s">
        <v>132</v>
      </c>
      <c r="P1273" s="2">
        <v>7.47985224E8</v>
      </c>
      <c r="Q1273" s="2" t="s">
        <v>68</v>
      </c>
      <c r="R1273" s="4" t="s">
        <v>6916</v>
      </c>
    </row>
    <row r="1274">
      <c r="A1274" s="4" t="s">
        <v>44</v>
      </c>
      <c r="B1274" s="4" t="s">
        <v>44</v>
      </c>
      <c r="C1274" s="4">
        <v>1273.0</v>
      </c>
      <c r="D1274" s="13" t="str">
        <f>HYPERLINK("https://www.linkedin.com/ad-library/detail/747930394","Open Ad")</f>
        <v>Open Ad</v>
      </c>
      <c r="E1274" s="4" t="s">
        <v>91</v>
      </c>
      <c r="F1274" s="4" t="s">
        <v>53</v>
      </c>
      <c r="G1274" s="4" t="s">
        <v>6915</v>
      </c>
      <c r="H1274" s="4" t="s">
        <v>55</v>
      </c>
      <c r="I1274" s="4" t="s">
        <v>985</v>
      </c>
      <c r="J1274" s="4" t="s">
        <v>91</v>
      </c>
      <c r="K1274" s="4" t="s">
        <v>60</v>
      </c>
      <c r="L1274" s="4" t="s">
        <v>131</v>
      </c>
      <c r="M1274" s="4" t="s">
        <v>63</v>
      </c>
      <c r="N1274" s="4" t="s">
        <v>132</v>
      </c>
      <c r="O1274" s="2" t="s">
        <v>132</v>
      </c>
      <c r="P1274" s="2">
        <v>7.47930394E8</v>
      </c>
      <c r="Q1274" s="2" t="s">
        <v>68</v>
      </c>
      <c r="R1274" s="4" t="s">
        <v>6916</v>
      </c>
    </row>
    <row r="1275">
      <c r="A1275" s="4" t="s">
        <v>44</v>
      </c>
      <c r="B1275" s="4" t="s">
        <v>44</v>
      </c>
      <c r="C1275" s="4">
        <v>1274.0</v>
      </c>
      <c r="D1275" s="13" t="str">
        <f>HYPERLINK("https://www.linkedin.com/ad-library/detail/747935894","Open Ad")</f>
        <v>Open Ad</v>
      </c>
      <c r="E1275" s="4" t="s">
        <v>91</v>
      </c>
      <c r="F1275" s="4" t="s">
        <v>53</v>
      </c>
      <c r="G1275" s="4" t="s">
        <v>6915</v>
      </c>
      <c r="H1275" s="4" t="s">
        <v>55</v>
      </c>
      <c r="I1275" s="4" t="s">
        <v>985</v>
      </c>
      <c r="J1275" s="4" t="s">
        <v>91</v>
      </c>
      <c r="K1275" s="4" t="s">
        <v>60</v>
      </c>
      <c r="L1275" s="4" t="s">
        <v>131</v>
      </c>
      <c r="M1275" s="4" t="s">
        <v>63</v>
      </c>
      <c r="N1275" s="4" t="s">
        <v>132</v>
      </c>
      <c r="O1275" s="2" t="s">
        <v>132</v>
      </c>
      <c r="P1275" s="2">
        <v>7.47935894E8</v>
      </c>
      <c r="Q1275" s="2" t="s">
        <v>68</v>
      </c>
      <c r="R1275" s="4" t="s">
        <v>6916</v>
      </c>
    </row>
    <row r="1276">
      <c r="A1276" s="4" t="s">
        <v>44</v>
      </c>
      <c r="B1276" s="4" t="s">
        <v>44</v>
      </c>
      <c r="C1276" s="4">
        <v>1275.0</v>
      </c>
      <c r="D1276" s="13" t="str">
        <f>HYPERLINK("https://www.linkedin.com/ad-library/detail/748034274","Open Ad")</f>
        <v>Open Ad</v>
      </c>
      <c r="E1276" s="4" t="s">
        <v>91</v>
      </c>
      <c r="F1276" s="4" t="s">
        <v>53</v>
      </c>
      <c r="G1276" s="4" t="s">
        <v>6915</v>
      </c>
      <c r="H1276" s="4" t="s">
        <v>55</v>
      </c>
      <c r="I1276" s="4" t="s">
        <v>985</v>
      </c>
      <c r="J1276" s="4" t="s">
        <v>91</v>
      </c>
      <c r="K1276" s="4" t="s">
        <v>60</v>
      </c>
      <c r="L1276" s="4" t="s">
        <v>131</v>
      </c>
      <c r="M1276" s="4" t="s">
        <v>63</v>
      </c>
      <c r="N1276" s="4" t="s">
        <v>132</v>
      </c>
      <c r="O1276" s="2" t="s">
        <v>132</v>
      </c>
      <c r="P1276" s="2">
        <v>7.48034274E8</v>
      </c>
      <c r="Q1276" s="2" t="s">
        <v>68</v>
      </c>
      <c r="R1276" s="4" t="s">
        <v>6916</v>
      </c>
    </row>
    <row r="1277">
      <c r="A1277" s="4" t="s">
        <v>44</v>
      </c>
      <c r="B1277" s="4" t="s">
        <v>44</v>
      </c>
      <c r="C1277" s="4">
        <v>1276.0</v>
      </c>
      <c r="D1277" s="13" t="str">
        <f>HYPERLINK("https://www.linkedin.com/ad-library/detail/747984734","Open Ad")</f>
        <v>Open Ad</v>
      </c>
      <c r="E1277" s="4" t="s">
        <v>91</v>
      </c>
      <c r="F1277" s="4" t="s">
        <v>53</v>
      </c>
      <c r="G1277" s="4" t="s">
        <v>6915</v>
      </c>
      <c r="H1277" s="4" t="s">
        <v>55</v>
      </c>
      <c r="I1277" s="4" t="s">
        <v>985</v>
      </c>
      <c r="J1277" s="4" t="s">
        <v>91</v>
      </c>
      <c r="K1277" s="4" t="s">
        <v>60</v>
      </c>
      <c r="L1277" s="4" t="s">
        <v>131</v>
      </c>
      <c r="M1277" s="4" t="s">
        <v>63</v>
      </c>
      <c r="N1277" s="4" t="s">
        <v>132</v>
      </c>
      <c r="O1277" s="2" t="s">
        <v>132</v>
      </c>
      <c r="P1277" s="2">
        <v>7.47984734E8</v>
      </c>
      <c r="Q1277" s="2" t="s">
        <v>68</v>
      </c>
      <c r="R1277" s="4" t="s">
        <v>6916</v>
      </c>
    </row>
    <row r="1278">
      <c r="A1278" s="4" t="s">
        <v>44</v>
      </c>
      <c r="B1278" s="4" t="s">
        <v>44</v>
      </c>
      <c r="C1278" s="4">
        <v>1277.0</v>
      </c>
      <c r="D1278" s="13" t="str">
        <f>HYPERLINK("https://www.linkedin.com/ad-library/detail/747909314","Open Ad")</f>
        <v>Open Ad</v>
      </c>
      <c r="E1278" s="4" t="s">
        <v>91</v>
      </c>
      <c r="F1278" s="4" t="s">
        <v>53</v>
      </c>
      <c r="G1278" s="4" t="s">
        <v>6915</v>
      </c>
      <c r="H1278" s="4" t="s">
        <v>55</v>
      </c>
      <c r="I1278" s="4" t="s">
        <v>985</v>
      </c>
      <c r="J1278" s="4" t="s">
        <v>91</v>
      </c>
      <c r="K1278" s="4" t="s">
        <v>60</v>
      </c>
      <c r="L1278" s="4" t="s">
        <v>131</v>
      </c>
      <c r="M1278" s="4" t="s">
        <v>63</v>
      </c>
      <c r="N1278" s="4" t="s">
        <v>132</v>
      </c>
      <c r="O1278" s="2" t="s">
        <v>132</v>
      </c>
      <c r="P1278" s="2">
        <v>7.47909314E8</v>
      </c>
      <c r="Q1278" s="2" t="s">
        <v>68</v>
      </c>
      <c r="R1278" s="4" t="s">
        <v>6916</v>
      </c>
    </row>
    <row r="1279">
      <c r="A1279" s="4" t="s">
        <v>44</v>
      </c>
      <c r="B1279" s="4" t="s">
        <v>44</v>
      </c>
      <c r="C1279" s="4">
        <v>1278.0</v>
      </c>
      <c r="D1279" s="13" t="str">
        <f>HYPERLINK("https://www.linkedin.com/ad-library/detail/747918604","Open Ad")</f>
        <v>Open Ad</v>
      </c>
      <c r="E1279" s="4" t="s">
        <v>91</v>
      </c>
      <c r="F1279" s="4" t="s">
        <v>53</v>
      </c>
      <c r="G1279" s="4" t="s">
        <v>6915</v>
      </c>
      <c r="H1279" s="4" t="s">
        <v>55</v>
      </c>
      <c r="I1279" s="4" t="s">
        <v>985</v>
      </c>
      <c r="J1279" s="4" t="s">
        <v>91</v>
      </c>
      <c r="K1279" s="4" t="s">
        <v>60</v>
      </c>
      <c r="L1279" s="4" t="s">
        <v>131</v>
      </c>
      <c r="M1279" s="4" t="s">
        <v>63</v>
      </c>
      <c r="N1279" s="4" t="s">
        <v>132</v>
      </c>
      <c r="O1279" s="2" t="s">
        <v>132</v>
      </c>
      <c r="P1279" s="2">
        <v>7.47918604E8</v>
      </c>
      <c r="Q1279" s="2" t="s">
        <v>68</v>
      </c>
      <c r="R1279" s="4" t="s">
        <v>6916</v>
      </c>
    </row>
    <row r="1280">
      <c r="A1280" s="4" t="s">
        <v>44</v>
      </c>
      <c r="B1280" s="4" t="s">
        <v>44</v>
      </c>
      <c r="C1280" s="4">
        <v>1279.0</v>
      </c>
      <c r="D1280" s="13" t="str">
        <f>HYPERLINK("https://www.linkedin.com/ad-library/detail/748054234","Open Ad")</f>
        <v>Open Ad</v>
      </c>
      <c r="E1280" s="4" t="s">
        <v>91</v>
      </c>
      <c r="F1280" s="4" t="s">
        <v>53</v>
      </c>
      <c r="G1280" s="4" t="s">
        <v>6915</v>
      </c>
      <c r="H1280" s="4" t="s">
        <v>55</v>
      </c>
      <c r="I1280" s="4" t="s">
        <v>985</v>
      </c>
      <c r="J1280" s="4" t="s">
        <v>91</v>
      </c>
      <c r="K1280" s="4" t="s">
        <v>60</v>
      </c>
      <c r="L1280" s="4" t="s">
        <v>131</v>
      </c>
      <c r="M1280" s="4" t="s">
        <v>63</v>
      </c>
      <c r="N1280" s="4" t="s">
        <v>132</v>
      </c>
      <c r="O1280" s="2" t="s">
        <v>132</v>
      </c>
      <c r="P1280" s="2">
        <v>7.48054234E8</v>
      </c>
      <c r="Q1280" s="2" t="s">
        <v>68</v>
      </c>
      <c r="R1280" s="4" t="s">
        <v>6916</v>
      </c>
    </row>
    <row r="1281">
      <c r="A1281" s="4" t="s">
        <v>44</v>
      </c>
      <c r="B1281" s="4" t="s">
        <v>44</v>
      </c>
      <c r="C1281" s="4">
        <v>1280.0</v>
      </c>
      <c r="D1281" s="13" t="str">
        <f>HYPERLINK("https://www.linkedin.com/ad-library/detail/747950164","Open Ad")</f>
        <v>Open Ad</v>
      </c>
      <c r="E1281" s="4" t="s">
        <v>91</v>
      </c>
      <c r="F1281" s="4" t="s">
        <v>53</v>
      </c>
      <c r="G1281" s="4" t="s">
        <v>6915</v>
      </c>
      <c r="H1281" s="4" t="s">
        <v>55</v>
      </c>
      <c r="I1281" s="4" t="s">
        <v>985</v>
      </c>
      <c r="J1281" s="4" t="s">
        <v>91</v>
      </c>
      <c r="K1281" s="4" t="s">
        <v>60</v>
      </c>
      <c r="L1281" s="4" t="s">
        <v>131</v>
      </c>
      <c r="M1281" s="4" t="s">
        <v>63</v>
      </c>
      <c r="N1281" s="4" t="s">
        <v>132</v>
      </c>
      <c r="O1281" s="2" t="s">
        <v>132</v>
      </c>
      <c r="P1281" s="2">
        <v>7.47950164E8</v>
      </c>
      <c r="Q1281" s="2" t="s">
        <v>68</v>
      </c>
      <c r="R1281" s="4" t="s">
        <v>6916</v>
      </c>
    </row>
    <row r="1282">
      <c r="A1282" s="4" t="s">
        <v>44</v>
      </c>
      <c r="B1282" s="4" t="s">
        <v>44</v>
      </c>
      <c r="C1282" s="4">
        <v>1281.0</v>
      </c>
      <c r="D1282" s="13" t="str">
        <f>HYPERLINK("https://www.linkedin.com/ad-library/detail/747979864","Open Ad")</f>
        <v>Open Ad</v>
      </c>
      <c r="E1282" s="4" t="s">
        <v>91</v>
      </c>
      <c r="F1282" s="4" t="s">
        <v>53</v>
      </c>
      <c r="G1282" s="4" t="s">
        <v>6915</v>
      </c>
      <c r="H1282" s="4" t="s">
        <v>55</v>
      </c>
      <c r="I1282" s="4" t="s">
        <v>985</v>
      </c>
      <c r="J1282" s="4" t="s">
        <v>91</v>
      </c>
      <c r="K1282" s="4" t="s">
        <v>60</v>
      </c>
      <c r="L1282" s="4" t="s">
        <v>131</v>
      </c>
      <c r="M1282" s="4" t="s">
        <v>63</v>
      </c>
      <c r="N1282" s="4" t="s">
        <v>132</v>
      </c>
      <c r="O1282" s="2" t="s">
        <v>132</v>
      </c>
      <c r="P1282" s="2">
        <v>7.47979864E8</v>
      </c>
      <c r="Q1282" s="2" t="s">
        <v>68</v>
      </c>
      <c r="R1282" s="4" t="s">
        <v>6916</v>
      </c>
    </row>
    <row r="1283">
      <c r="A1283" s="4" t="s">
        <v>44</v>
      </c>
      <c r="B1283" s="4" t="s">
        <v>44</v>
      </c>
      <c r="C1283" s="4">
        <v>1282.0</v>
      </c>
      <c r="D1283" s="13" t="str">
        <f>HYPERLINK("https://www.linkedin.com/ad-library/detail/747869564","Open Ad")</f>
        <v>Open Ad</v>
      </c>
      <c r="E1283" s="4" t="s">
        <v>91</v>
      </c>
      <c r="F1283" s="4" t="s">
        <v>53</v>
      </c>
      <c r="G1283" s="4" t="s">
        <v>6915</v>
      </c>
      <c r="H1283" s="4" t="s">
        <v>55</v>
      </c>
      <c r="I1283" s="4" t="s">
        <v>985</v>
      </c>
      <c r="J1283" s="4" t="s">
        <v>91</v>
      </c>
      <c r="K1283" s="4" t="s">
        <v>60</v>
      </c>
      <c r="L1283" s="4" t="s">
        <v>131</v>
      </c>
      <c r="M1283" s="4" t="s">
        <v>63</v>
      </c>
      <c r="N1283" s="4" t="s">
        <v>132</v>
      </c>
      <c r="O1283" s="2" t="s">
        <v>132</v>
      </c>
      <c r="P1283" s="2">
        <v>7.47869564E8</v>
      </c>
      <c r="Q1283" s="2" t="s">
        <v>68</v>
      </c>
      <c r="R1283" s="4" t="s">
        <v>6916</v>
      </c>
    </row>
    <row r="1284">
      <c r="A1284" s="4" t="s">
        <v>44</v>
      </c>
      <c r="B1284" s="4" t="s">
        <v>44</v>
      </c>
      <c r="C1284" s="4">
        <v>1283.0</v>
      </c>
      <c r="D1284" s="13" t="str">
        <f>HYPERLINK("https://www.linkedin.com/ad-library/detail/747950144","Open Ad")</f>
        <v>Open Ad</v>
      </c>
      <c r="E1284" s="4" t="s">
        <v>91</v>
      </c>
      <c r="F1284" s="4" t="s">
        <v>53</v>
      </c>
      <c r="G1284" s="4" t="s">
        <v>6915</v>
      </c>
      <c r="H1284" s="4" t="s">
        <v>55</v>
      </c>
      <c r="I1284" s="4" t="s">
        <v>985</v>
      </c>
      <c r="J1284" s="4" t="s">
        <v>91</v>
      </c>
      <c r="K1284" s="4" t="s">
        <v>60</v>
      </c>
      <c r="L1284" s="4" t="s">
        <v>131</v>
      </c>
      <c r="M1284" s="4" t="s">
        <v>63</v>
      </c>
      <c r="N1284" s="4" t="s">
        <v>132</v>
      </c>
      <c r="O1284" s="2" t="s">
        <v>132</v>
      </c>
      <c r="P1284" s="2">
        <v>7.47950144E8</v>
      </c>
      <c r="Q1284" s="2" t="s">
        <v>68</v>
      </c>
      <c r="R1284" s="4" t="s">
        <v>6916</v>
      </c>
    </row>
    <row r="1285">
      <c r="A1285" s="4" t="s">
        <v>44</v>
      </c>
      <c r="B1285" s="4" t="s">
        <v>44</v>
      </c>
      <c r="C1285" s="4">
        <v>1284.0</v>
      </c>
      <c r="D1285" s="13" t="str">
        <f>HYPERLINK("https://www.linkedin.com/ad-library/detail/747979844","Open Ad")</f>
        <v>Open Ad</v>
      </c>
      <c r="E1285" s="4" t="s">
        <v>91</v>
      </c>
      <c r="F1285" s="4" t="s">
        <v>53</v>
      </c>
      <c r="G1285" s="4" t="s">
        <v>6915</v>
      </c>
      <c r="H1285" s="4" t="s">
        <v>55</v>
      </c>
      <c r="I1285" s="4" t="s">
        <v>985</v>
      </c>
      <c r="J1285" s="4" t="s">
        <v>91</v>
      </c>
      <c r="K1285" s="4" t="s">
        <v>60</v>
      </c>
      <c r="L1285" s="4" t="s">
        <v>131</v>
      </c>
      <c r="M1285" s="4" t="s">
        <v>63</v>
      </c>
      <c r="N1285" s="4" t="s">
        <v>132</v>
      </c>
      <c r="O1285" s="2" t="s">
        <v>132</v>
      </c>
      <c r="P1285" s="2">
        <v>7.47979844E8</v>
      </c>
      <c r="Q1285" s="2" t="s">
        <v>68</v>
      </c>
      <c r="R1285" s="4" t="s">
        <v>6916</v>
      </c>
    </row>
    <row r="1286">
      <c r="A1286" s="4" t="s">
        <v>44</v>
      </c>
      <c r="B1286" s="4" t="s">
        <v>44</v>
      </c>
      <c r="C1286" s="4">
        <v>1285.0</v>
      </c>
      <c r="D1286" s="13" t="str">
        <f>HYPERLINK("https://www.linkedin.com/ad-library/detail/747849544","Open Ad")</f>
        <v>Open Ad</v>
      </c>
      <c r="E1286" s="4" t="s">
        <v>91</v>
      </c>
      <c r="F1286" s="4" t="s">
        <v>53</v>
      </c>
      <c r="G1286" s="4" t="s">
        <v>6915</v>
      </c>
      <c r="H1286" s="4" t="s">
        <v>55</v>
      </c>
      <c r="I1286" s="4" t="s">
        <v>985</v>
      </c>
      <c r="J1286" s="4" t="s">
        <v>91</v>
      </c>
      <c r="K1286" s="4" t="s">
        <v>60</v>
      </c>
      <c r="L1286" s="4" t="s">
        <v>131</v>
      </c>
      <c r="M1286" s="4" t="s">
        <v>63</v>
      </c>
      <c r="N1286" s="4" t="s">
        <v>132</v>
      </c>
      <c r="O1286" s="2" t="s">
        <v>132</v>
      </c>
      <c r="P1286" s="2">
        <v>7.47849544E8</v>
      </c>
      <c r="Q1286" s="2" t="s">
        <v>68</v>
      </c>
      <c r="R1286" s="4" t="s">
        <v>6916</v>
      </c>
    </row>
    <row r="1287">
      <c r="A1287" s="4" t="s">
        <v>44</v>
      </c>
      <c r="B1287" s="4" t="s">
        <v>44</v>
      </c>
      <c r="C1287" s="4">
        <v>1286.0</v>
      </c>
      <c r="D1287" s="13" t="str">
        <f>HYPERLINK("https://www.linkedin.com/ad-library/detail/747849554","Open Ad")</f>
        <v>Open Ad</v>
      </c>
      <c r="E1287" s="4" t="s">
        <v>91</v>
      </c>
      <c r="F1287" s="4" t="s">
        <v>53</v>
      </c>
      <c r="G1287" s="4" t="s">
        <v>6915</v>
      </c>
      <c r="H1287" s="4" t="s">
        <v>55</v>
      </c>
      <c r="I1287" s="4" t="s">
        <v>985</v>
      </c>
      <c r="J1287" s="4" t="s">
        <v>91</v>
      </c>
      <c r="K1287" s="4" t="s">
        <v>60</v>
      </c>
      <c r="L1287" s="4" t="s">
        <v>131</v>
      </c>
      <c r="M1287" s="4" t="s">
        <v>63</v>
      </c>
      <c r="N1287" s="4" t="s">
        <v>132</v>
      </c>
      <c r="O1287" s="2" t="s">
        <v>132</v>
      </c>
      <c r="P1287" s="2">
        <v>7.47849554E8</v>
      </c>
      <c r="Q1287" s="2" t="s">
        <v>68</v>
      </c>
      <c r="R1287" s="4" t="s">
        <v>6916</v>
      </c>
    </row>
    <row r="1288">
      <c r="A1288" s="4" t="s">
        <v>44</v>
      </c>
      <c r="B1288" s="4" t="s">
        <v>44</v>
      </c>
      <c r="C1288" s="4">
        <v>1287.0</v>
      </c>
      <c r="D1288" s="13" t="str">
        <f>HYPERLINK("https://www.linkedin.com/ad-library/detail/747899084","Open Ad")</f>
        <v>Open Ad</v>
      </c>
      <c r="E1288" s="4" t="s">
        <v>91</v>
      </c>
      <c r="F1288" s="4" t="s">
        <v>53</v>
      </c>
      <c r="G1288" s="4" t="s">
        <v>6915</v>
      </c>
      <c r="H1288" s="4" t="s">
        <v>55</v>
      </c>
      <c r="I1288" s="4" t="s">
        <v>985</v>
      </c>
      <c r="J1288" s="4" t="s">
        <v>91</v>
      </c>
      <c r="K1288" s="4" t="s">
        <v>60</v>
      </c>
      <c r="L1288" s="4" t="s">
        <v>131</v>
      </c>
      <c r="M1288" s="4" t="s">
        <v>63</v>
      </c>
      <c r="N1288" s="4" t="s">
        <v>132</v>
      </c>
      <c r="O1288" s="2" t="s">
        <v>132</v>
      </c>
      <c r="P1288" s="2">
        <v>7.47899084E8</v>
      </c>
      <c r="Q1288" s="2" t="s">
        <v>68</v>
      </c>
      <c r="R1288" s="4" t="s">
        <v>6916</v>
      </c>
    </row>
    <row r="1289">
      <c r="A1289" s="4" t="s">
        <v>44</v>
      </c>
      <c r="B1289" s="4" t="s">
        <v>44</v>
      </c>
      <c r="C1289" s="4">
        <v>1288.0</v>
      </c>
      <c r="D1289" s="13" t="str">
        <f>HYPERLINK("https://www.linkedin.com/ad-library/detail/747979874","Open Ad")</f>
        <v>Open Ad</v>
      </c>
      <c r="E1289" s="4" t="s">
        <v>91</v>
      </c>
      <c r="F1289" s="4" t="s">
        <v>53</v>
      </c>
      <c r="G1289" s="4" t="s">
        <v>6915</v>
      </c>
      <c r="H1289" s="4" t="s">
        <v>55</v>
      </c>
      <c r="I1289" s="4" t="s">
        <v>985</v>
      </c>
      <c r="J1289" s="4" t="s">
        <v>91</v>
      </c>
      <c r="K1289" s="4" t="s">
        <v>60</v>
      </c>
      <c r="L1289" s="4" t="s">
        <v>131</v>
      </c>
      <c r="M1289" s="4" t="s">
        <v>63</v>
      </c>
      <c r="N1289" s="4" t="s">
        <v>132</v>
      </c>
      <c r="O1289" s="2" t="s">
        <v>132</v>
      </c>
      <c r="P1289" s="2">
        <v>7.47979874E8</v>
      </c>
      <c r="Q1289" s="2" t="s">
        <v>68</v>
      </c>
      <c r="R1289" s="4" t="s">
        <v>6916</v>
      </c>
    </row>
    <row r="1290">
      <c r="A1290" s="4" t="s">
        <v>44</v>
      </c>
      <c r="B1290" s="4" t="s">
        <v>44</v>
      </c>
      <c r="C1290" s="4">
        <v>1289.0</v>
      </c>
      <c r="D1290" s="13" t="str">
        <f>HYPERLINK("https://www.linkedin.com/ad-library/detail/747920704","Open Ad")</f>
        <v>Open Ad</v>
      </c>
      <c r="E1290" s="4" t="s">
        <v>91</v>
      </c>
      <c r="F1290" s="4" t="s">
        <v>53</v>
      </c>
      <c r="G1290" s="4" t="s">
        <v>6915</v>
      </c>
      <c r="H1290" s="4" t="s">
        <v>55</v>
      </c>
      <c r="I1290" s="4" t="s">
        <v>985</v>
      </c>
      <c r="J1290" s="4" t="s">
        <v>91</v>
      </c>
      <c r="K1290" s="4" t="s">
        <v>60</v>
      </c>
      <c r="L1290" s="4" t="s">
        <v>131</v>
      </c>
      <c r="M1290" s="4" t="s">
        <v>63</v>
      </c>
      <c r="N1290" s="4" t="s">
        <v>132</v>
      </c>
      <c r="O1290" s="2" t="s">
        <v>132</v>
      </c>
      <c r="P1290" s="2">
        <v>7.47920704E8</v>
      </c>
      <c r="Q1290" s="2" t="s">
        <v>68</v>
      </c>
      <c r="R1290" s="4" t="s">
        <v>6916</v>
      </c>
    </row>
    <row r="1291">
      <c r="A1291" s="4" t="s">
        <v>44</v>
      </c>
      <c r="B1291" s="4" t="s">
        <v>44</v>
      </c>
      <c r="C1291" s="4">
        <v>1290.0</v>
      </c>
      <c r="D1291" s="13" t="str">
        <f>HYPERLINK("https://www.linkedin.com/ad-library/detail/747995044","Open Ad")</f>
        <v>Open Ad</v>
      </c>
      <c r="E1291" s="4" t="s">
        <v>91</v>
      </c>
      <c r="F1291" s="4" t="s">
        <v>53</v>
      </c>
      <c r="G1291" s="4" t="s">
        <v>6915</v>
      </c>
      <c r="H1291" s="4" t="s">
        <v>55</v>
      </c>
      <c r="I1291" s="4" t="s">
        <v>985</v>
      </c>
      <c r="J1291" s="4" t="s">
        <v>91</v>
      </c>
      <c r="K1291" s="4" t="s">
        <v>60</v>
      </c>
      <c r="L1291" s="4" t="s">
        <v>131</v>
      </c>
      <c r="M1291" s="4" t="s">
        <v>63</v>
      </c>
      <c r="N1291" s="4" t="s">
        <v>132</v>
      </c>
      <c r="O1291" s="2" t="s">
        <v>132</v>
      </c>
      <c r="P1291" s="2">
        <v>7.47995044E8</v>
      </c>
      <c r="Q1291" s="2" t="s">
        <v>68</v>
      </c>
      <c r="R1291" s="4" t="s">
        <v>6916</v>
      </c>
    </row>
    <row r="1292">
      <c r="A1292" s="4" t="s">
        <v>44</v>
      </c>
      <c r="B1292" s="4" t="s">
        <v>44</v>
      </c>
      <c r="C1292" s="4">
        <v>1291.0</v>
      </c>
      <c r="D1292" s="13" t="str">
        <f>HYPERLINK("https://www.linkedin.com/ad-library/detail/747925564","Open Ad")</f>
        <v>Open Ad</v>
      </c>
      <c r="E1292" s="4" t="s">
        <v>91</v>
      </c>
      <c r="F1292" s="4" t="s">
        <v>53</v>
      </c>
      <c r="G1292" s="4" t="s">
        <v>6915</v>
      </c>
      <c r="H1292" s="4" t="s">
        <v>55</v>
      </c>
      <c r="I1292" s="4" t="s">
        <v>985</v>
      </c>
      <c r="J1292" s="4" t="s">
        <v>91</v>
      </c>
      <c r="K1292" s="4" t="s">
        <v>60</v>
      </c>
      <c r="L1292" s="4" t="s">
        <v>131</v>
      </c>
      <c r="M1292" s="4" t="s">
        <v>63</v>
      </c>
      <c r="N1292" s="4" t="s">
        <v>132</v>
      </c>
      <c r="O1292" s="2" t="s">
        <v>132</v>
      </c>
      <c r="P1292" s="2">
        <v>7.47925564E8</v>
      </c>
      <c r="Q1292" s="2" t="s">
        <v>68</v>
      </c>
      <c r="R1292" s="4" t="s">
        <v>6916</v>
      </c>
    </row>
    <row r="1293">
      <c r="A1293" s="4" t="s">
        <v>44</v>
      </c>
      <c r="B1293" s="4" t="s">
        <v>44</v>
      </c>
      <c r="C1293" s="4">
        <v>1292.0</v>
      </c>
      <c r="D1293" s="13" t="str">
        <f>HYPERLINK("https://www.linkedin.com/ad-library/detail/747945634","Open Ad")</f>
        <v>Open Ad</v>
      </c>
      <c r="E1293" s="4" t="s">
        <v>91</v>
      </c>
      <c r="F1293" s="4" t="s">
        <v>53</v>
      </c>
      <c r="G1293" s="4" t="s">
        <v>6915</v>
      </c>
      <c r="H1293" s="4" t="s">
        <v>55</v>
      </c>
      <c r="I1293" s="4" t="s">
        <v>985</v>
      </c>
      <c r="J1293" s="4" t="s">
        <v>91</v>
      </c>
      <c r="K1293" s="4" t="s">
        <v>60</v>
      </c>
      <c r="L1293" s="4" t="s">
        <v>131</v>
      </c>
      <c r="M1293" s="4" t="s">
        <v>63</v>
      </c>
      <c r="N1293" s="4" t="s">
        <v>132</v>
      </c>
      <c r="O1293" s="2" t="s">
        <v>132</v>
      </c>
      <c r="P1293" s="2">
        <v>7.47945634E8</v>
      </c>
      <c r="Q1293" s="2" t="s">
        <v>68</v>
      </c>
      <c r="R1293" s="4" t="s">
        <v>6916</v>
      </c>
    </row>
    <row r="1294">
      <c r="A1294" s="4" t="s">
        <v>44</v>
      </c>
      <c r="B1294" s="4" t="s">
        <v>44</v>
      </c>
      <c r="C1294" s="4">
        <v>1293.0</v>
      </c>
      <c r="D1294" s="13" t="str">
        <f>HYPERLINK("https://www.linkedin.com/ad-library/detail/748034084","Open Ad")</f>
        <v>Open Ad</v>
      </c>
      <c r="E1294" s="4" t="s">
        <v>91</v>
      </c>
      <c r="F1294" s="4" t="s">
        <v>53</v>
      </c>
      <c r="G1294" s="4" t="s">
        <v>6915</v>
      </c>
      <c r="H1294" s="4" t="s">
        <v>55</v>
      </c>
      <c r="I1294" s="4" t="s">
        <v>985</v>
      </c>
      <c r="J1294" s="4" t="s">
        <v>91</v>
      </c>
      <c r="K1294" s="4" t="s">
        <v>60</v>
      </c>
      <c r="L1294" s="4" t="s">
        <v>131</v>
      </c>
      <c r="M1294" s="4" t="s">
        <v>63</v>
      </c>
      <c r="N1294" s="4" t="s">
        <v>132</v>
      </c>
      <c r="O1294" s="2" t="s">
        <v>132</v>
      </c>
      <c r="P1294" s="2">
        <v>7.48034084E8</v>
      </c>
      <c r="Q1294" s="2" t="s">
        <v>68</v>
      </c>
      <c r="R1294" s="4" t="s">
        <v>6916</v>
      </c>
    </row>
    <row r="1295">
      <c r="A1295" s="4" t="s">
        <v>44</v>
      </c>
      <c r="B1295" s="4" t="s">
        <v>44</v>
      </c>
      <c r="C1295" s="4">
        <v>1294.0</v>
      </c>
      <c r="D1295" s="13" t="str">
        <f>HYPERLINK("https://www.linkedin.com/ad-library/detail/748034284","Open Ad")</f>
        <v>Open Ad</v>
      </c>
      <c r="E1295" s="4" t="s">
        <v>91</v>
      </c>
      <c r="F1295" s="4" t="s">
        <v>53</v>
      </c>
      <c r="G1295" s="4" t="s">
        <v>6915</v>
      </c>
      <c r="H1295" s="4" t="s">
        <v>55</v>
      </c>
      <c r="I1295" s="4" t="s">
        <v>985</v>
      </c>
      <c r="J1295" s="4" t="s">
        <v>91</v>
      </c>
      <c r="K1295" s="4" t="s">
        <v>60</v>
      </c>
      <c r="L1295" s="4" t="s">
        <v>131</v>
      </c>
      <c r="M1295" s="4" t="s">
        <v>63</v>
      </c>
      <c r="N1295" s="4" t="s">
        <v>132</v>
      </c>
      <c r="O1295" s="2" t="s">
        <v>132</v>
      </c>
      <c r="P1295" s="2">
        <v>7.48034284E8</v>
      </c>
      <c r="Q1295" s="2" t="s">
        <v>68</v>
      </c>
      <c r="R1295" s="4" t="s">
        <v>6916</v>
      </c>
    </row>
    <row r="1296">
      <c r="A1296" s="4" t="s">
        <v>44</v>
      </c>
      <c r="B1296" s="4" t="s">
        <v>44</v>
      </c>
      <c r="C1296" s="4">
        <v>1295.0</v>
      </c>
      <c r="D1296" s="13" t="str">
        <f>HYPERLINK("https://www.linkedin.com/ad-library/detail/747859234","Open Ad")</f>
        <v>Open Ad</v>
      </c>
      <c r="E1296" s="4" t="s">
        <v>91</v>
      </c>
      <c r="F1296" s="4" t="s">
        <v>53</v>
      </c>
      <c r="G1296" s="4" t="s">
        <v>6915</v>
      </c>
      <c r="H1296" s="4" t="s">
        <v>55</v>
      </c>
      <c r="I1296" s="4" t="s">
        <v>985</v>
      </c>
      <c r="J1296" s="4" t="s">
        <v>91</v>
      </c>
      <c r="K1296" s="4" t="s">
        <v>60</v>
      </c>
      <c r="L1296" s="4" t="s">
        <v>131</v>
      </c>
      <c r="M1296" s="4" t="s">
        <v>63</v>
      </c>
      <c r="N1296" s="4" t="s">
        <v>132</v>
      </c>
      <c r="O1296" s="2" t="s">
        <v>132</v>
      </c>
      <c r="P1296" s="2">
        <v>7.47859234E8</v>
      </c>
      <c r="Q1296" s="2" t="s">
        <v>68</v>
      </c>
      <c r="R1296" s="4" t="s">
        <v>6916</v>
      </c>
    </row>
    <row r="1297">
      <c r="A1297" s="4" t="s">
        <v>44</v>
      </c>
      <c r="B1297" s="4" t="s">
        <v>44</v>
      </c>
      <c r="C1297" s="4">
        <v>1296.0</v>
      </c>
      <c r="D1297" s="13" t="str">
        <f>HYPERLINK("https://www.linkedin.com/ad-library/detail/747940394","Open Ad")</f>
        <v>Open Ad</v>
      </c>
      <c r="E1297" s="4" t="s">
        <v>91</v>
      </c>
      <c r="F1297" s="4" t="s">
        <v>53</v>
      </c>
      <c r="G1297" s="4" t="s">
        <v>6915</v>
      </c>
      <c r="H1297" s="4" t="s">
        <v>55</v>
      </c>
      <c r="I1297" s="4" t="s">
        <v>985</v>
      </c>
      <c r="J1297" s="4" t="s">
        <v>91</v>
      </c>
      <c r="K1297" s="4" t="s">
        <v>60</v>
      </c>
      <c r="L1297" s="4" t="s">
        <v>131</v>
      </c>
      <c r="M1297" s="4" t="s">
        <v>63</v>
      </c>
      <c r="N1297" s="4" t="s">
        <v>132</v>
      </c>
      <c r="O1297" s="2" t="s">
        <v>132</v>
      </c>
      <c r="P1297" s="2">
        <v>7.47940394E8</v>
      </c>
      <c r="Q1297" s="2" t="s">
        <v>68</v>
      </c>
      <c r="R1297" s="4" t="s">
        <v>6916</v>
      </c>
    </row>
    <row r="1298">
      <c r="A1298" s="4" t="s">
        <v>44</v>
      </c>
      <c r="B1298" s="4" t="s">
        <v>44</v>
      </c>
      <c r="C1298" s="4">
        <v>1297.0</v>
      </c>
      <c r="D1298" s="13" t="str">
        <f>HYPERLINK("https://www.linkedin.com/ad-library/detail/747960214","Open Ad")</f>
        <v>Open Ad</v>
      </c>
      <c r="E1298" s="4" t="s">
        <v>91</v>
      </c>
      <c r="F1298" s="4" t="s">
        <v>53</v>
      </c>
      <c r="G1298" s="4" t="s">
        <v>6915</v>
      </c>
      <c r="H1298" s="4" t="s">
        <v>55</v>
      </c>
      <c r="I1298" s="4" t="s">
        <v>985</v>
      </c>
      <c r="J1298" s="4" t="s">
        <v>91</v>
      </c>
      <c r="K1298" s="4" t="s">
        <v>60</v>
      </c>
      <c r="L1298" s="4" t="s">
        <v>131</v>
      </c>
      <c r="M1298" s="4" t="s">
        <v>63</v>
      </c>
      <c r="N1298" s="4" t="s">
        <v>132</v>
      </c>
      <c r="O1298" s="2" t="s">
        <v>132</v>
      </c>
      <c r="P1298" s="2">
        <v>7.47960214E8</v>
      </c>
      <c r="Q1298" s="2" t="s">
        <v>68</v>
      </c>
      <c r="R1298" s="4" t="s">
        <v>6916</v>
      </c>
    </row>
    <row r="1299">
      <c r="A1299" s="4" t="s">
        <v>44</v>
      </c>
      <c r="B1299" s="4" t="s">
        <v>44</v>
      </c>
      <c r="C1299" s="4">
        <v>1298.0</v>
      </c>
      <c r="D1299" s="13" t="str">
        <f>HYPERLINK("https://www.linkedin.com/ad-library/detail/747849484","Open Ad")</f>
        <v>Open Ad</v>
      </c>
      <c r="E1299" s="4" t="s">
        <v>91</v>
      </c>
      <c r="F1299" s="4" t="s">
        <v>53</v>
      </c>
      <c r="G1299" s="4" t="s">
        <v>6915</v>
      </c>
      <c r="H1299" s="4" t="s">
        <v>55</v>
      </c>
      <c r="I1299" s="4" t="s">
        <v>985</v>
      </c>
      <c r="J1299" s="4" t="s">
        <v>91</v>
      </c>
      <c r="K1299" s="4" t="s">
        <v>60</v>
      </c>
      <c r="L1299" s="4" t="s">
        <v>131</v>
      </c>
      <c r="M1299" s="4" t="s">
        <v>63</v>
      </c>
      <c r="N1299" s="4" t="s">
        <v>132</v>
      </c>
      <c r="O1299" s="2" t="s">
        <v>132</v>
      </c>
      <c r="P1299" s="2">
        <v>7.47849484E8</v>
      </c>
      <c r="Q1299" s="2" t="s">
        <v>68</v>
      </c>
      <c r="R1299" s="4" t="s">
        <v>6916</v>
      </c>
    </row>
    <row r="1300">
      <c r="A1300" s="4" t="s">
        <v>44</v>
      </c>
      <c r="B1300" s="4" t="s">
        <v>44</v>
      </c>
      <c r="C1300" s="4">
        <v>1299.0</v>
      </c>
      <c r="D1300" s="13" t="str">
        <f>HYPERLINK("https://www.linkedin.com/ad-library/detail/747930384","Open Ad")</f>
        <v>Open Ad</v>
      </c>
      <c r="E1300" s="4" t="s">
        <v>91</v>
      </c>
      <c r="F1300" s="4" t="s">
        <v>53</v>
      </c>
      <c r="G1300" s="4" t="s">
        <v>6915</v>
      </c>
      <c r="H1300" s="4" t="s">
        <v>55</v>
      </c>
      <c r="I1300" s="4" t="s">
        <v>985</v>
      </c>
      <c r="J1300" s="4" t="s">
        <v>91</v>
      </c>
      <c r="K1300" s="4" t="s">
        <v>60</v>
      </c>
      <c r="L1300" s="4" t="s">
        <v>131</v>
      </c>
      <c r="M1300" s="4" t="s">
        <v>63</v>
      </c>
      <c r="N1300" s="4" t="s">
        <v>132</v>
      </c>
      <c r="O1300" s="2" t="s">
        <v>132</v>
      </c>
      <c r="P1300" s="2">
        <v>7.47930384E8</v>
      </c>
      <c r="Q1300" s="2" t="s">
        <v>68</v>
      </c>
      <c r="R1300" s="4" t="s">
        <v>6916</v>
      </c>
    </row>
    <row r="1301">
      <c r="A1301" s="4" t="s">
        <v>44</v>
      </c>
      <c r="B1301" s="4" t="s">
        <v>44</v>
      </c>
      <c r="C1301" s="4">
        <v>1300.0</v>
      </c>
      <c r="D1301" s="13" t="str">
        <f>HYPERLINK("https://www.linkedin.com/ad-library/detail/747930374","Open Ad")</f>
        <v>Open Ad</v>
      </c>
      <c r="E1301" s="4" t="s">
        <v>91</v>
      </c>
      <c r="F1301" s="4" t="s">
        <v>53</v>
      </c>
      <c r="G1301" s="4" t="s">
        <v>6915</v>
      </c>
      <c r="H1301" s="4" t="s">
        <v>55</v>
      </c>
      <c r="I1301" s="4" t="s">
        <v>985</v>
      </c>
      <c r="J1301" s="4" t="s">
        <v>91</v>
      </c>
      <c r="K1301" s="4" t="s">
        <v>60</v>
      </c>
      <c r="L1301" s="4" t="s">
        <v>131</v>
      </c>
      <c r="M1301" s="4" t="s">
        <v>63</v>
      </c>
      <c r="N1301" s="4" t="s">
        <v>132</v>
      </c>
      <c r="O1301" s="2" t="s">
        <v>132</v>
      </c>
      <c r="P1301" s="2">
        <v>7.47930374E8</v>
      </c>
      <c r="Q1301" s="2" t="s">
        <v>68</v>
      </c>
      <c r="R1301" s="4" t="s">
        <v>6916</v>
      </c>
    </row>
    <row r="1302">
      <c r="A1302" s="4" t="s">
        <v>44</v>
      </c>
      <c r="B1302" s="4" t="s">
        <v>44</v>
      </c>
      <c r="C1302" s="4">
        <v>1301.0</v>
      </c>
      <c r="D1302" s="13" t="str">
        <f>HYPERLINK("https://www.linkedin.com/ad-library/detail/747930364","Open Ad")</f>
        <v>Open Ad</v>
      </c>
      <c r="E1302" s="4" t="s">
        <v>91</v>
      </c>
      <c r="F1302" s="4" t="s">
        <v>53</v>
      </c>
      <c r="G1302" s="4" t="s">
        <v>6915</v>
      </c>
      <c r="H1302" s="4" t="s">
        <v>55</v>
      </c>
      <c r="I1302" s="4" t="s">
        <v>985</v>
      </c>
      <c r="J1302" s="4" t="s">
        <v>91</v>
      </c>
      <c r="K1302" s="4" t="s">
        <v>60</v>
      </c>
      <c r="L1302" s="4" t="s">
        <v>131</v>
      </c>
      <c r="M1302" s="4" t="s">
        <v>63</v>
      </c>
      <c r="N1302" s="4" t="s">
        <v>132</v>
      </c>
      <c r="O1302" s="2" t="s">
        <v>132</v>
      </c>
      <c r="P1302" s="2">
        <v>7.47930364E8</v>
      </c>
      <c r="Q1302" s="2" t="s">
        <v>68</v>
      </c>
      <c r="R1302" s="4" t="s">
        <v>6916</v>
      </c>
    </row>
    <row r="1303">
      <c r="A1303" s="4" t="s">
        <v>44</v>
      </c>
      <c r="B1303" s="4" t="s">
        <v>44</v>
      </c>
      <c r="C1303" s="4">
        <v>1302.0</v>
      </c>
      <c r="D1303" s="13" t="str">
        <f>HYPERLINK("https://www.linkedin.com/ad-library/detail/747940314","Open Ad")</f>
        <v>Open Ad</v>
      </c>
      <c r="E1303" s="4" t="s">
        <v>91</v>
      </c>
      <c r="F1303" s="4" t="s">
        <v>53</v>
      </c>
      <c r="G1303" s="4" t="s">
        <v>6915</v>
      </c>
      <c r="H1303" s="4" t="s">
        <v>55</v>
      </c>
      <c r="I1303" s="4" t="s">
        <v>985</v>
      </c>
      <c r="J1303" s="4" t="s">
        <v>91</v>
      </c>
      <c r="K1303" s="4" t="s">
        <v>60</v>
      </c>
      <c r="L1303" s="4" t="s">
        <v>131</v>
      </c>
      <c r="M1303" s="4" t="s">
        <v>63</v>
      </c>
      <c r="N1303" s="4" t="s">
        <v>132</v>
      </c>
      <c r="O1303" s="2" t="s">
        <v>132</v>
      </c>
      <c r="P1303" s="2">
        <v>7.47940314E8</v>
      </c>
      <c r="Q1303" s="2" t="s">
        <v>68</v>
      </c>
      <c r="R1303" s="4" t="s">
        <v>6916</v>
      </c>
    </row>
    <row r="1304">
      <c r="A1304" s="4" t="s">
        <v>44</v>
      </c>
      <c r="B1304" s="4" t="s">
        <v>44</v>
      </c>
      <c r="C1304" s="4">
        <v>1303.0</v>
      </c>
      <c r="D1304" s="13" t="str">
        <f>HYPERLINK("https://www.linkedin.com/ad-library/detail/747849494","Open Ad")</f>
        <v>Open Ad</v>
      </c>
      <c r="E1304" s="4" t="s">
        <v>91</v>
      </c>
      <c r="F1304" s="4" t="s">
        <v>53</v>
      </c>
      <c r="G1304" s="4" t="s">
        <v>6915</v>
      </c>
      <c r="H1304" s="4" t="s">
        <v>55</v>
      </c>
      <c r="I1304" s="4" t="s">
        <v>985</v>
      </c>
      <c r="J1304" s="4" t="s">
        <v>91</v>
      </c>
      <c r="K1304" s="4" t="s">
        <v>60</v>
      </c>
      <c r="L1304" s="4" t="s">
        <v>131</v>
      </c>
      <c r="M1304" s="4" t="s">
        <v>63</v>
      </c>
      <c r="N1304" s="4" t="s">
        <v>132</v>
      </c>
      <c r="O1304" s="2" t="s">
        <v>132</v>
      </c>
      <c r="P1304" s="2">
        <v>7.47849494E8</v>
      </c>
      <c r="Q1304" s="2" t="s">
        <v>68</v>
      </c>
      <c r="R1304" s="4" t="s">
        <v>6916</v>
      </c>
    </row>
    <row r="1305">
      <c r="A1305" s="4" t="s">
        <v>44</v>
      </c>
      <c r="B1305" s="4" t="s">
        <v>44</v>
      </c>
      <c r="C1305" s="4">
        <v>1304.0</v>
      </c>
      <c r="D1305" s="13" t="str">
        <f>HYPERLINK("https://www.linkedin.com/ad-library/detail/747909304","Open Ad")</f>
        <v>Open Ad</v>
      </c>
      <c r="E1305" s="4" t="s">
        <v>91</v>
      </c>
      <c r="F1305" s="4" t="s">
        <v>53</v>
      </c>
      <c r="G1305" s="4" t="s">
        <v>6915</v>
      </c>
      <c r="H1305" s="4" t="s">
        <v>55</v>
      </c>
      <c r="I1305" s="4" t="s">
        <v>985</v>
      </c>
      <c r="J1305" s="4" t="s">
        <v>91</v>
      </c>
      <c r="K1305" s="4" t="s">
        <v>60</v>
      </c>
      <c r="L1305" s="4" t="s">
        <v>131</v>
      </c>
      <c r="M1305" s="4" t="s">
        <v>63</v>
      </c>
      <c r="N1305" s="4" t="s">
        <v>132</v>
      </c>
      <c r="O1305" s="2" t="s">
        <v>132</v>
      </c>
      <c r="P1305" s="2">
        <v>7.47909304E8</v>
      </c>
      <c r="Q1305" s="2" t="s">
        <v>68</v>
      </c>
      <c r="R1305" s="4" t="s">
        <v>6916</v>
      </c>
    </row>
    <row r="1306">
      <c r="A1306" s="4" t="s">
        <v>44</v>
      </c>
      <c r="B1306" s="4" t="s">
        <v>44</v>
      </c>
      <c r="C1306" s="4">
        <v>1305.0</v>
      </c>
      <c r="D1306" s="13" t="str">
        <f>HYPERLINK("https://www.linkedin.com/ad-library/detail/747849514","Open Ad")</f>
        <v>Open Ad</v>
      </c>
      <c r="E1306" s="4" t="s">
        <v>91</v>
      </c>
      <c r="F1306" s="4" t="s">
        <v>53</v>
      </c>
      <c r="G1306" s="4" t="s">
        <v>6915</v>
      </c>
      <c r="H1306" s="4" t="s">
        <v>55</v>
      </c>
      <c r="I1306" s="4" t="s">
        <v>985</v>
      </c>
      <c r="J1306" s="4" t="s">
        <v>91</v>
      </c>
      <c r="K1306" s="4" t="s">
        <v>60</v>
      </c>
      <c r="L1306" s="4" t="s">
        <v>131</v>
      </c>
      <c r="M1306" s="4" t="s">
        <v>63</v>
      </c>
      <c r="N1306" s="4" t="s">
        <v>132</v>
      </c>
      <c r="O1306" s="2" t="s">
        <v>132</v>
      </c>
      <c r="P1306" s="2">
        <v>7.47849514E8</v>
      </c>
      <c r="Q1306" s="2" t="s">
        <v>68</v>
      </c>
      <c r="R1306" s="4" t="s">
        <v>6916</v>
      </c>
    </row>
    <row r="1307">
      <c r="A1307" s="4" t="s">
        <v>44</v>
      </c>
      <c r="B1307" s="4" t="s">
        <v>44</v>
      </c>
      <c r="C1307" s="4">
        <v>1306.0</v>
      </c>
      <c r="D1307" s="13" t="str">
        <f>HYPERLINK("https://www.linkedin.com/ad-library/detail/747918554","Open Ad")</f>
        <v>Open Ad</v>
      </c>
      <c r="E1307" s="4" t="s">
        <v>91</v>
      </c>
      <c r="F1307" s="4" t="s">
        <v>53</v>
      </c>
      <c r="G1307" s="4" t="s">
        <v>6915</v>
      </c>
      <c r="H1307" s="4" t="s">
        <v>55</v>
      </c>
      <c r="I1307" s="4" t="s">
        <v>985</v>
      </c>
      <c r="J1307" s="4" t="s">
        <v>91</v>
      </c>
      <c r="K1307" s="4" t="s">
        <v>60</v>
      </c>
      <c r="L1307" s="4" t="s">
        <v>131</v>
      </c>
      <c r="M1307" s="4" t="s">
        <v>63</v>
      </c>
      <c r="N1307" s="4" t="s">
        <v>132</v>
      </c>
      <c r="O1307" s="2" t="s">
        <v>132</v>
      </c>
      <c r="P1307" s="2">
        <v>7.47918554E8</v>
      </c>
      <c r="Q1307" s="2" t="s">
        <v>68</v>
      </c>
      <c r="R1307" s="4" t="s">
        <v>6916</v>
      </c>
    </row>
    <row r="1308">
      <c r="A1308" s="4" t="s">
        <v>44</v>
      </c>
      <c r="B1308" s="4" t="s">
        <v>44</v>
      </c>
      <c r="C1308" s="4">
        <v>1307.0</v>
      </c>
      <c r="D1308" s="13" t="str">
        <f>HYPERLINK("https://www.linkedin.com/ad-library/detail/747979834","Open Ad")</f>
        <v>Open Ad</v>
      </c>
      <c r="E1308" s="4" t="s">
        <v>91</v>
      </c>
      <c r="F1308" s="4" t="s">
        <v>53</v>
      </c>
      <c r="G1308" s="4" t="s">
        <v>6915</v>
      </c>
      <c r="H1308" s="4" t="s">
        <v>55</v>
      </c>
      <c r="I1308" s="4" t="s">
        <v>985</v>
      </c>
      <c r="J1308" s="4" t="s">
        <v>91</v>
      </c>
      <c r="K1308" s="4" t="s">
        <v>60</v>
      </c>
      <c r="L1308" s="4" t="s">
        <v>131</v>
      </c>
      <c r="M1308" s="4" t="s">
        <v>63</v>
      </c>
      <c r="N1308" s="4" t="s">
        <v>132</v>
      </c>
      <c r="O1308" s="2" t="s">
        <v>132</v>
      </c>
      <c r="P1308" s="2">
        <v>7.47979834E8</v>
      </c>
      <c r="Q1308" s="2" t="s">
        <v>68</v>
      </c>
      <c r="R1308" s="4" t="s">
        <v>6916</v>
      </c>
    </row>
    <row r="1309">
      <c r="A1309" s="4" t="s">
        <v>44</v>
      </c>
      <c r="B1309" s="4" t="s">
        <v>44</v>
      </c>
      <c r="C1309" s="4">
        <v>1308.0</v>
      </c>
      <c r="D1309" s="13" t="str">
        <f>HYPERLINK("https://www.linkedin.com/ad-library/detail/747869554","Open Ad")</f>
        <v>Open Ad</v>
      </c>
      <c r="E1309" s="4" t="s">
        <v>91</v>
      </c>
      <c r="F1309" s="4" t="s">
        <v>53</v>
      </c>
      <c r="G1309" s="4" t="s">
        <v>6915</v>
      </c>
      <c r="H1309" s="4" t="s">
        <v>55</v>
      </c>
      <c r="I1309" s="4" t="s">
        <v>985</v>
      </c>
      <c r="J1309" s="4" t="s">
        <v>91</v>
      </c>
      <c r="K1309" s="4" t="s">
        <v>60</v>
      </c>
      <c r="L1309" s="4" t="s">
        <v>131</v>
      </c>
      <c r="M1309" s="4" t="s">
        <v>63</v>
      </c>
      <c r="N1309" s="4" t="s">
        <v>132</v>
      </c>
      <c r="O1309" s="2" t="s">
        <v>132</v>
      </c>
      <c r="P1309" s="2">
        <v>7.47869554E8</v>
      </c>
      <c r="Q1309" s="2" t="s">
        <v>68</v>
      </c>
      <c r="R1309" s="4" t="s">
        <v>6916</v>
      </c>
    </row>
    <row r="1310">
      <c r="A1310" s="4" t="s">
        <v>44</v>
      </c>
      <c r="B1310" s="4" t="s">
        <v>44</v>
      </c>
      <c r="C1310" s="4">
        <v>1309.0</v>
      </c>
      <c r="D1310" s="13" t="str">
        <f>HYPERLINK("https://www.linkedin.com/ad-library/detail/747918584","Open Ad")</f>
        <v>Open Ad</v>
      </c>
      <c r="E1310" s="4" t="s">
        <v>91</v>
      </c>
      <c r="F1310" s="4" t="s">
        <v>53</v>
      </c>
      <c r="G1310" s="4" t="s">
        <v>6915</v>
      </c>
      <c r="H1310" s="4" t="s">
        <v>55</v>
      </c>
      <c r="I1310" s="4" t="s">
        <v>985</v>
      </c>
      <c r="J1310" s="4" t="s">
        <v>91</v>
      </c>
      <c r="K1310" s="4" t="s">
        <v>60</v>
      </c>
      <c r="L1310" s="4" t="s">
        <v>131</v>
      </c>
      <c r="M1310" s="4" t="s">
        <v>63</v>
      </c>
      <c r="N1310" s="4" t="s">
        <v>132</v>
      </c>
      <c r="O1310" s="2" t="s">
        <v>132</v>
      </c>
      <c r="P1310" s="2">
        <v>7.47918584E8</v>
      </c>
      <c r="Q1310" s="2" t="s">
        <v>68</v>
      </c>
      <c r="R1310" s="4" t="s">
        <v>6916</v>
      </c>
    </row>
    <row r="1311">
      <c r="A1311" s="4" t="s">
        <v>44</v>
      </c>
      <c r="B1311" s="4" t="s">
        <v>44</v>
      </c>
      <c r="C1311" s="4">
        <v>1310.0</v>
      </c>
      <c r="D1311" s="13" t="str">
        <f>HYPERLINK("https://www.linkedin.com/ad-library/detail/747918594","Open Ad")</f>
        <v>Open Ad</v>
      </c>
      <c r="E1311" s="4" t="s">
        <v>91</v>
      </c>
      <c r="F1311" s="4" t="s">
        <v>53</v>
      </c>
      <c r="G1311" s="4" t="s">
        <v>6915</v>
      </c>
      <c r="H1311" s="4" t="s">
        <v>55</v>
      </c>
      <c r="I1311" s="4" t="s">
        <v>985</v>
      </c>
      <c r="J1311" s="4" t="s">
        <v>91</v>
      </c>
      <c r="K1311" s="4" t="s">
        <v>60</v>
      </c>
      <c r="L1311" s="4" t="s">
        <v>131</v>
      </c>
      <c r="M1311" s="4" t="s">
        <v>63</v>
      </c>
      <c r="N1311" s="4" t="s">
        <v>132</v>
      </c>
      <c r="O1311" s="2" t="s">
        <v>132</v>
      </c>
      <c r="P1311" s="2">
        <v>7.47918594E8</v>
      </c>
      <c r="Q1311" s="2" t="s">
        <v>68</v>
      </c>
      <c r="R1311" s="4" t="s">
        <v>6916</v>
      </c>
    </row>
    <row r="1312">
      <c r="A1312" s="4" t="s">
        <v>44</v>
      </c>
      <c r="B1312" s="4" t="s">
        <v>44</v>
      </c>
      <c r="C1312" s="4">
        <v>1311.0</v>
      </c>
      <c r="D1312" s="13" t="str">
        <f>HYPERLINK("https://www.linkedin.com/ad-library/detail/747920664","Open Ad")</f>
        <v>Open Ad</v>
      </c>
      <c r="E1312" s="4" t="s">
        <v>91</v>
      </c>
      <c r="F1312" s="4" t="s">
        <v>53</v>
      </c>
      <c r="G1312" s="4" t="s">
        <v>6915</v>
      </c>
      <c r="H1312" s="4" t="s">
        <v>55</v>
      </c>
      <c r="I1312" s="4" t="s">
        <v>985</v>
      </c>
      <c r="J1312" s="4" t="s">
        <v>91</v>
      </c>
      <c r="K1312" s="4" t="s">
        <v>60</v>
      </c>
      <c r="L1312" s="4" t="s">
        <v>131</v>
      </c>
      <c r="M1312" s="4" t="s">
        <v>63</v>
      </c>
      <c r="N1312" s="4" t="s">
        <v>132</v>
      </c>
      <c r="O1312" s="2" t="s">
        <v>132</v>
      </c>
      <c r="P1312" s="2">
        <v>7.47920664E8</v>
      </c>
      <c r="Q1312" s="2" t="s">
        <v>68</v>
      </c>
      <c r="R1312" s="4" t="s">
        <v>6916</v>
      </c>
    </row>
    <row r="1313">
      <c r="A1313" s="4" t="s">
        <v>44</v>
      </c>
      <c r="B1313" s="4" t="s">
        <v>44</v>
      </c>
      <c r="C1313" s="4">
        <v>1312.0</v>
      </c>
      <c r="D1313" s="13" t="str">
        <f>HYPERLINK("https://www.linkedin.com/ad-library/detail/747940354","Open Ad")</f>
        <v>Open Ad</v>
      </c>
      <c r="E1313" s="4" t="s">
        <v>91</v>
      </c>
      <c r="F1313" s="4" t="s">
        <v>53</v>
      </c>
      <c r="G1313" s="4" t="s">
        <v>6915</v>
      </c>
      <c r="H1313" s="4" t="s">
        <v>55</v>
      </c>
      <c r="I1313" s="4" t="s">
        <v>985</v>
      </c>
      <c r="J1313" s="4" t="s">
        <v>91</v>
      </c>
      <c r="K1313" s="4" t="s">
        <v>60</v>
      </c>
      <c r="L1313" s="4" t="s">
        <v>131</v>
      </c>
      <c r="M1313" s="4" t="s">
        <v>63</v>
      </c>
      <c r="N1313" s="4" t="s">
        <v>132</v>
      </c>
      <c r="O1313" s="2" t="s">
        <v>132</v>
      </c>
      <c r="P1313" s="2">
        <v>7.47940354E8</v>
      </c>
      <c r="Q1313" s="2" t="s">
        <v>68</v>
      </c>
      <c r="R1313" s="4" t="s">
        <v>6916</v>
      </c>
    </row>
    <row r="1314">
      <c r="A1314" s="4" t="s">
        <v>44</v>
      </c>
      <c r="B1314" s="4" t="s">
        <v>44</v>
      </c>
      <c r="C1314" s="4">
        <v>1313.0</v>
      </c>
      <c r="D1314" s="13" t="str">
        <f>HYPERLINK("https://www.linkedin.com/ad-library/detail/747889294","Open Ad")</f>
        <v>Open Ad</v>
      </c>
      <c r="E1314" s="4" t="s">
        <v>91</v>
      </c>
      <c r="F1314" s="4" t="s">
        <v>53</v>
      </c>
      <c r="G1314" s="4" t="s">
        <v>6915</v>
      </c>
      <c r="H1314" s="4" t="s">
        <v>55</v>
      </c>
      <c r="I1314" s="4" t="s">
        <v>985</v>
      </c>
      <c r="J1314" s="4" t="s">
        <v>91</v>
      </c>
      <c r="K1314" s="4" t="s">
        <v>60</v>
      </c>
      <c r="L1314" s="4" t="s">
        <v>131</v>
      </c>
      <c r="M1314" s="4" t="s">
        <v>63</v>
      </c>
      <c r="N1314" s="4" t="s">
        <v>132</v>
      </c>
      <c r="O1314" s="2" t="s">
        <v>132</v>
      </c>
      <c r="P1314" s="2">
        <v>7.47889294E8</v>
      </c>
      <c r="Q1314" s="2" t="s">
        <v>68</v>
      </c>
      <c r="R1314" s="4" t="s">
        <v>6916</v>
      </c>
    </row>
    <row r="1315">
      <c r="A1315" s="4" t="s">
        <v>44</v>
      </c>
      <c r="B1315" s="4" t="s">
        <v>44</v>
      </c>
      <c r="C1315" s="4">
        <v>1314.0</v>
      </c>
      <c r="D1315" s="13" t="str">
        <f>HYPERLINK("https://www.linkedin.com/ad-library/detail/747940344","Open Ad")</f>
        <v>Open Ad</v>
      </c>
      <c r="E1315" s="4" t="s">
        <v>91</v>
      </c>
      <c r="F1315" s="4" t="s">
        <v>53</v>
      </c>
      <c r="G1315" s="4" t="s">
        <v>6915</v>
      </c>
      <c r="H1315" s="4" t="s">
        <v>55</v>
      </c>
      <c r="I1315" s="4" t="s">
        <v>985</v>
      </c>
      <c r="J1315" s="4" t="s">
        <v>91</v>
      </c>
      <c r="K1315" s="4" t="s">
        <v>60</v>
      </c>
      <c r="L1315" s="4" t="s">
        <v>131</v>
      </c>
      <c r="M1315" s="4" t="s">
        <v>63</v>
      </c>
      <c r="N1315" s="4" t="s">
        <v>132</v>
      </c>
      <c r="O1315" s="2" t="s">
        <v>132</v>
      </c>
      <c r="P1315" s="2">
        <v>7.47940344E8</v>
      </c>
      <c r="Q1315" s="2" t="s">
        <v>68</v>
      </c>
      <c r="R1315" s="4" t="s">
        <v>6916</v>
      </c>
    </row>
    <row r="1316">
      <c r="A1316" s="4" t="s">
        <v>44</v>
      </c>
      <c r="B1316" s="4" t="s">
        <v>44</v>
      </c>
      <c r="C1316" s="4">
        <v>1315.0</v>
      </c>
      <c r="D1316" s="13" t="str">
        <f>HYPERLINK("https://www.linkedin.com/ad-library/detail/747940374","Open Ad")</f>
        <v>Open Ad</v>
      </c>
      <c r="E1316" s="4" t="s">
        <v>91</v>
      </c>
      <c r="F1316" s="4" t="s">
        <v>53</v>
      </c>
      <c r="G1316" s="4" t="s">
        <v>6915</v>
      </c>
      <c r="H1316" s="4" t="s">
        <v>55</v>
      </c>
      <c r="I1316" s="4" t="s">
        <v>985</v>
      </c>
      <c r="J1316" s="4" t="s">
        <v>91</v>
      </c>
      <c r="K1316" s="4" t="s">
        <v>60</v>
      </c>
      <c r="L1316" s="4" t="s">
        <v>131</v>
      </c>
      <c r="M1316" s="4" t="s">
        <v>63</v>
      </c>
      <c r="N1316" s="4" t="s">
        <v>132</v>
      </c>
      <c r="O1316" s="2" t="s">
        <v>132</v>
      </c>
      <c r="P1316" s="2">
        <v>7.47940374E8</v>
      </c>
      <c r="Q1316" s="2" t="s">
        <v>68</v>
      </c>
      <c r="R1316" s="4" t="s">
        <v>6916</v>
      </c>
    </row>
    <row r="1317">
      <c r="A1317" s="4" t="s">
        <v>44</v>
      </c>
      <c r="B1317" s="4" t="s">
        <v>44</v>
      </c>
      <c r="C1317" s="4">
        <v>1316.0</v>
      </c>
      <c r="D1317" s="13" t="str">
        <f>HYPERLINK("https://www.linkedin.com/ad-library/detail/747940364","Open Ad")</f>
        <v>Open Ad</v>
      </c>
      <c r="E1317" s="4" t="s">
        <v>91</v>
      </c>
      <c r="F1317" s="4" t="s">
        <v>53</v>
      </c>
      <c r="G1317" s="4" t="s">
        <v>6915</v>
      </c>
      <c r="H1317" s="4" t="s">
        <v>55</v>
      </c>
      <c r="I1317" s="4" t="s">
        <v>985</v>
      </c>
      <c r="J1317" s="4" t="s">
        <v>91</v>
      </c>
      <c r="K1317" s="4" t="s">
        <v>60</v>
      </c>
      <c r="L1317" s="4" t="s">
        <v>131</v>
      </c>
      <c r="M1317" s="4" t="s">
        <v>63</v>
      </c>
      <c r="N1317" s="4" t="s">
        <v>132</v>
      </c>
      <c r="O1317" s="2" t="s">
        <v>132</v>
      </c>
      <c r="P1317" s="2">
        <v>7.47940364E8</v>
      </c>
      <c r="Q1317" s="2" t="s">
        <v>68</v>
      </c>
      <c r="R1317" s="4" t="s">
        <v>6916</v>
      </c>
    </row>
    <row r="1318">
      <c r="A1318" s="4" t="s">
        <v>44</v>
      </c>
      <c r="B1318" s="4" t="s">
        <v>44</v>
      </c>
      <c r="C1318" s="4">
        <v>1317.0</v>
      </c>
      <c r="D1318" s="13" t="str">
        <f>HYPERLINK("https://www.linkedin.com/ad-library/detail/747889284","Open Ad")</f>
        <v>Open Ad</v>
      </c>
      <c r="E1318" s="4" t="s">
        <v>91</v>
      </c>
      <c r="F1318" s="4" t="s">
        <v>53</v>
      </c>
      <c r="G1318" s="4" t="s">
        <v>6915</v>
      </c>
      <c r="H1318" s="4" t="s">
        <v>55</v>
      </c>
      <c r="I1318" s="4" t="s">
        <v>985</v>
      </c>
      <c r="J1318" s="4" t="s">
        <v>91</v>
      </c>
      <c r="K1318" s="4" t="s">
        <v>60</v>
      </c>
      <c r="L1318" s="4" t="s">
        <v>131</v>
      </c>
      <c r="M1318" s="4" t="s">
        <v>63</v>
      </c>
      <c r="N1318" s="4" t="s">
        <v>132</v>
      </c>
      <c r="O1318" s="2" t="s">
        <v>132</v>
      </c>
      <c r="P1318" s="2">
        <v>7.47889284E8</v>
      </c>
      <c r="Q1318" s="2" t="s">
        <v>68</v>
      </c>
      <c r="R1318" s="4" t="s">
        <v>6916</v>
      </c>
    </row>
    <row r="1319">
      <c r="A1319" s="4" t="s">
        <v>44</v>
      </c>
      <c r="B1319" s="4" t="s">
        <v>44</v>
      </c>
      <c r="C1319" s="4">
        <v>1318.0</v>
      </c>
      <c r="D1319" s="13" t="str">
        <f>HYPERLINK("https://www.linkedin.com/ad-library/detail/747839614","Open Ad")</f>
        <v>Open Ad</v>
      </c>
      <c r="E1319" s="4" t="s">
        <v>91</v>
      </c>
      <c r="F1319" s="4" t="s">
        <v>53</v>
      </c>
      <c r="G1319" s="4" t="s">
        <v>6915</v>
      </c>
      <c r="H1319" s="4" t="s">
        <v>55</v>
      </c>
      <c r="I1319" s="4" t="s">
        <v>985</v>
      </c>
      <c r="J1319" s="4" t="s">
        <v>91</v>
      </c>
      <c r="K1319" s="4" t="s">
        <v>60</v>
      </c>
      <c r="L1319" s="4" t="s">
        <v>131</v>
      </c>
      <c r="M1319" s="4" t="s">
        <v>63</v>
      </c>
      <c r="N1319" s="4" t="s">
        <v>132</v>
      </c>
      <c r="O1319" s="2" t="s">
        <v>132</v>
      </c>
      <c r="P1319" s="2">
        <v>7.47839614E8</v>
      </c>
      <c r="Q1319" s="2" t="s">
        <v>68</v>
      </c>
      <c r="R1319" s="4" t="s">
        <v>6916</v>
      </c>
    </row>
    <row r="1320">
      <c r="A1320" s="4" t="s">
        <v>44</v>
      </c>
      <c r="B1320" s="4" t="s">
        <v>44</v>
      </c>
      <c r="C1320" s="4">
        <v>1319.0</v>
      </c>
      <c r="D1320" s="13" t="str">
        <f>HYPERLINK("https://www.linkedin.com/ad-library/detail/747909294","Open Ad")</f>
        <v>Open Ad</v>
      </c>
      <c r="E1320" s="4" t="s">
        <v>91</v>
      </c>
      <c r="F1320" s="4" t="s">
        <v>53</v>
      </c>
      <c r="G1320" s="4" t="s">
        <v>6915</v>
      </c>
      <c r="H1320" s="4" t="s">
        <v>55</v>
      </c>
      <c r="I1320" s="4" t="s">
        <v>985</v>
      </c>
      <c r="J1320" s="4" t="s">
        <v>91</v>
      </c>
      <c r="K1320" s="4" t="s">
        <v>60</v>
      </c>
      <c r="L1320" s="4" t="s">
        <v>131</v>
      </c>
      <c r="M1320" s="4" t="s">
        <v>63</v>
      </c>
      <c r="N1320" s="4" t="s">
        <v>132</v>
      </c>
      <c r="O1320" s="2" t="s">
        <v>132</v>
      </c>
      <c r="P1320" s="2">
        <v>7.47909294E8</v>
      </c>
      <c r="Q1320" s="2" t="s">
        <v>68</v>
      </c>
      <c r="R1320" s="4" t="s">
        <v>6916</v>
      </c>
    </row>
    <row r="1321">
      <c r="A1321" s="4" t="s">
        <v>44</v>
      </c>
      <c r="B1321" s="4" t="s">
        <v>44</v>
      </c>
      <c r="C1321" s="4">
        <v>1320.0</v>
      </c>
      <c r="D1321" s="13" t="str">
        <f>HYPERLINK("https://www.linkedin.com/ad-library/detail/747839654","Open Ad")</f>
        <v>Open Ad</v>
      </c>
      <c r="E1321" s="4" t="s">
        <v>91</v>
      </c>
      <c r="F1321" s="4" t="s">
        <v>53</v>
      </c>
      <c r="G1321" s="4" t="s">
        <v>6915</v>
      </c>
      <c r="H1321" s="4" t="s">
        <v>55</v>
      </c>
      <c r="I1321" s="4" t="s">
        <v>985</v>
      </c>
      <c r="J1321" s="4" t="s">
        <v>91</v>
      </c>
      <c r="K1321" s="4" t="s">
        <v>60</v>
      </c>
      <c r="L1321" s="4" t="s">
        <v>131</v>
      </c>
      <c r="M1321" s="4" t="s">
        <v>63</v>
      </c>
      <c r="N1321" s="4" t="s">
        <v>132</v>
      </c>
      <c r="O1321" s="2" t="s">
        <v>132</v>
      </c>
      <c r="P1321" s="2">
        <v>7.47839654E8</v>
      </c>
      <c r="Q1321" s="2" t="s">
        <v>68</v>
      </c>
      <c r="R1321" s="4" t="s">
        <v>6916</v>
      </c>
    </row>
    <row r="1322">
      <c r="A1322" s="4" t="s">
        <v>44</v>
      </c>
      <c r="B1322" s="4" t="s">
        <v>44</v>
      </c>
      <c r="C1322" s="4">
        <v>1321.0</v>
      </c>
      <c r="D1322" s="13" t="str">
        <f>HYPERLINK("https://www.linkedin.com/ad-library/detail/747960114","Open Ad")</f>
        <v>Open Ad</v>
      </c>
      <c r="E1322" s="4" t="s">
        <v>91</v>
      </c>
      <c r="F1322" s="4" t="s">
        <v>53</v>
      </c>
      <c r="G1322" s="4" t="s">
        <v>6915</v>
      </c>
      <c r="H1322" s="4" t="s">
        <v>55</v>
      </c>
      <c r="I1322" s="4" t="s">
        <v>985</v>
      </c>
      <c r="J1322" s="4" t="s">
        <v>91</v>
      </c>
      <c r="K1322" s="4" t="s">
        <v>60</v>
      </c>
      <c r="L1322" s="4" t="s">
        <v>131</v>
      </c>
      <c r="M1322" s="4" t="s">
        <v>63</v>
      </c>
      <c r="N1322" s="4" t="s">
        <v>132</v>
      </c>
      <c r="O1322" s="2" t="s">
        <v>132</v>
      </c>
      <c r="P1322" s="2">
        <v>7.47960114E8</v>
      </c>
      <c r="Q1322" s="2" t="s">
        <v>68</v>
      </c>
      <c r="R1322" s="4" t="s">
        <v>6916</v>
      </c>
    </row>
    <row r="1323">
      <c r="A1323" s="4" t="s">
        <v>44</v>
      </c>
      <c r="B1323" s="4" t="s">
        <v>44</v>
      </c>
      <c r="C1323" s="4">
        <v>1322.0</v>
      </c>
      <c r="D1323" s="13" t="str">
        <f>HYPERLINK("https://www.linkedin.com/ad-library/detail/747930284","Open Ad")</f>
        <v>Open Ad</v>
      </c>
      <c r="E1323" s="4" t="s">
        <v>91</v>
      </c>
      <c r="F1323" s="4" t="s">
        <v>53</v>
      </c>
      <c r="G1323" s="4" t="s">
        <v>6915</v>
      </c>
      <c r="H1323" s="4" t="s">
        <v>55</v>
      </c>
      <c r="I1323" s="4" t="s">
        <v>985</v>
      </c>
      <c r="J1323" s="4" t="s">
        <v>91</v>
      </c>
      <c r="K1323" s="4" t="s">
        <v>60</v>
      </c>
      <c r="L1323" s="4" t="s">
        <v>131</v>
      </c>
      <c r="M1323" s="4" t="s">
        <v>63</v>
      </c>
      <c r="N1323" s="4" t="s">
        <v>132</v>
      </c>
      <c r="O1323" s="2" t="s">
        <v>132</v>
      </c>
      <c r="P1323" s="2">
        <v>7.47930284E8</v>
      </c>
      <c r="Q1323" s="2" t="s">
        <v>68</v>
      </c>
      <c r="R1323" s="4" t="s">
        <v>6916</v>
      </c>
    </row>
    <row r="1324">
      <c r="A1324" s="4" t="s">
        <v>44</v>
      </c>
      <c r="B1324" s="4" t="s">
        <v>44</v>
      </c>
      <c r="C1324" s="4">
        <v>1323.0</v>
      </c>
      <c r="D1324" s="13" t="str">
        <f>HYPERLINK("https://www.linkedin.com/ad-library/detail/747909234","Open Ad")</f>
        <v>Open Ad</v>
      </c>
      <c r="E1324" s="4" t="s">
        <v>91</v>
      </c>
      <c r="F1324" s="4" t="s">
        <v>53</v>
      </c>
      <c r="G1324" s="4" t="s">
        <v>6915</v>
      </c>
      <c r="H1324" s="4" t="s">
        <v>55</v>
      </c>
      <c r="I1324" s="4" t="s">
        <v>985</v>
      </c>
      <c r="J1324" s="4" t="s">
        <v>91</v>
      </c>
      <c r="K1324" s="4" t="s">
        <v>60</v>
      </c>
      <c r="L1324" s="4" t="s">
        <v>131</v>
      </c>
      <c r="M1324" s="4" t="s">
        <v>63</v>
      </c>
      <c r="N1324" s="4" t="s">
        <v>132</v>
      </c>
      <c r="O1324" s="2" t="s">
        <v>132</v>
      </c>
      <c r="P1324" s="2">
        <v>7.47909234E8</v>
      </c>
      <c r="Q1324" s="2" t="s">
        <v>68</v>
      </c>
      <c r="R1324" s="4" t="s">
        <v>6916</v>
      </c>
    </row>
    <row r="1325">
      <c r="A1325" s="4" t="s">
        <v>44</v>
      </c>
      <c r="B1325" s="4" t="s">
        <v>44</v>
      </c>
      <c r="C1325" s="4">
        <v>1324.0</v>
      </c>
      <c r="D1325" s="13" t="str">
        <f>HYPERLINK("https://www.linkedin.com/ad-library/detail/747898984","Open Ad")</f>
        <v>Open Ad</v>
      </c>
      <c r="E1325" s="4" t="s">
        <v>91</v>
      </c>
      <c r="F1325" s="4" t="s">
        <v>53</v>
      </c>
      <c r="G1325" s="4" t="s">
        <v>6915</v>
      </c>
      <c r="H1325" s="4" t="s">
        <v>55</v>
      </c>
      <c r="I1325" s="4" t="s">
        <v>985</v>
      </c>
      <c r="J1325" s="4" t="s">
        <v>91</v>
      </c>
      <c r="K1325" s="4" t="s">
        <v>60</v>
      </c>
      <c r="L1325" s="4" t="s">
        <v>131</v>
      </c>
      <c r="M1325" s="4" t="s">
        <v>63</v>
      </c>
      <c r="N1325" s="4" t="s">
        <v>132</v>
      </c>
      <c r="O1325" s="2" t="s">
        <v>132</v>
      </c>
      <c r="P1325" s="2">
        <v>7.47898984E8</v>
      </c>
      <c r="Q1325" s="2" t="s">
        <v>68</v>
      </c>
      <c r="R1325" s="4" t="s">
        <v>6916</v>
      </c>
    </row>
    <row r="1326">
      <c r="A1326" s="4" t="s">
        <v>44</v>
      </c>
      <c r="B1326" s="4" t="s">
        <v>44</v>
      </c>
      <c r="C1326" s="4">
        <v>1325.0</v>
      </c>
      <c r="D1326" s="13" t="str">
        <f>HYPERLINK("https://www.linkedin.com/ad-library/detail/747930354","Open Ad")</f>
        <v>Open Ad</v>
      </c>
      <c r="E1326" s="4" t="s">
        <v>91</v>
      </c>
      <c r="F1326" s="4" t="s">
        <v>53</v>
      </c>
      <c r="G1326" s="4" t="s">
        <v>6915</v>
      </c>
      <c r="H1326" s="4" t="s">
        <v>55</v>
      </c>
      <c r="I1326" s="4" t="s">
        <v>985</v>
      </c>
      <c r="J1326" s="4" t="s">
        <v>91</v>
      </c>
      <c r="K1326" s="4" t="s">
        <v>60</v>
      </c>
      <c r="L1326" s="4" t="s">
        <v>131</v>
      </c>
      <c r="M1326" s="4" t="s">
        <v>63</v>
      </c>
      <c r="N1326" s="4" t="s">
        <v>132</v>
      </c>
      <c r="O1326" s="2" t="s">
        <v>132</v>
      </c>
      <c r="P1326" s="2">
        <v>7.47930354E8</v>
      </c>
      <c r="Q1326" s="2" t="s">
        <v>68</v>
      </c>
      <c r="R1326" s="4" t="s">
        <v>6916</v>
      </c>
    </row>
    <row r="1327">
      <c r="A1327" s="4" t="s">
        <v>44</v>
      </c>
      <c r="B1327" s="4" t="s">
        <v>44</v>
      </c>
      <c r="C1327" s="4">
        <v>1326.0</v>
      </c>
      <c r="D1327" s="13" t="str">
        <f>HYPERLINK("https://www.linkedin.com/ad-library/detail/747918514","Open Ad")</f>
        <v>Open Ad</v>
      </c>
      <c r="E1327" s="4" t="s">
        <v>91</v>
      </c>
      <c r="F1327" s="4" t="s">
        <v>53</v>
      </c>
      <c r="G1327" s="4" t="s">
        <v>6915</v>
      </c>
      <c r="H1327" s="4" t="s">
        <v>55</v>
      </c>
      <c r="I1327" s="4" t="s">
        <v>985</v>
      </c>
      <c r="J1327" s="4" t="s">
        <v>91</v>
      </c>
      <c r="K1327" s="4" t="s">
        <v>60</v>
      </c>
      <c r="L1327" s="4" t="s">
        <v>131</v>
      </c>
      <c r="M1327" s="4" t="s">
        <v>63</v>
      </c>
      <c r="N1327" s="4" t="s">
        <v>132</v>
      </c>
      <c r="O1327" s="2" t="s">
        <v>132</v>
      </c>
      <c r="P1327" s="2">
        <v>7.47918514E8</v>
      </c>
      <c r="Q1327" s="2" t="s">
        <v>68</v>
      </c>
      <c r="R1327" s="4" t="s">
        <v>6916</v>
      </c>
    </row>
    <row r="1328">
      <c r="A1328" s="4" t="s">
        <v>44</v>
      </c>
      <c r="B1328" s="4" t="s">
        <v>44</v>
      </c>
      <c r="C1328" s="4">
        <v>1327.0</v>
      </c>
      <c r="D1328" s="13" t="str">
        <f>HYPERLINK("https://www.linkedin.com/ad-library/detail/747869534","Open Ad")</f>
        <v>Open Ad</v>
      </c>
      <c r="E1328" s="4" t="s">
        <v>91</v>
      </c>
      <c r="F1328" s="4" t="s">
        <v>53</v>
      </c>
      <c r="G1328" s="4" t="s">
        <v>6915</v>
      </c>
      <c r="H1328" s="4" t="s">
        <v>55</v>
      </c>
      <c r="I1328" s="4" t="s">
        <v>985</v>
      </c>
      <c r="J1328" s="4" t="s">
        <v>91</v>
      </c>
      <c r="K1328" s="4" t="s">
        <v>60</v>
      </c>
      <c r="L1328" s="4" t="s">
        <v>131</v>
      </c>
      <c r="M1328" s="4" t="s">
        <v>63</v>
      </c>
      <c r="N1328" s="4" t="s">
        <v>132</v>
      </c>
      <c r="O1328" s="2" t="s">
        <v>132</v>
      </c>
      <c r="P1328" s="2">
        <v>7.47869534E8</v>
      </c>
      <c r="Q1328" s="2" t="s">
        <v>68</v>
      </c>
      <c r="R1328" s="4" t="s">
        <v>6916</v>
      </c>
    </row>
    <row r="1329">
      <c r="A1329" s="4" t="s">
        <v>44</v>
      </c>
      <c r="B1329" s="4" t="s">
        <v>44</v>
      </c>
      <c r="C1329" s="4">
        <v>1328.0</v>
      </c>
      <c r="D1329" s="13" t="str">
        <f>HYPERLINK("https://www.linkedin.com/ad-library/detail/747920604","Open Ad")</f>
        <v>Open Ad</v>
      </c>
      <c r="E1329" s="4" t="s">
        <v>91</v>
      </c>
      <c r="F1329" s="4" t="s">
        <v>53</v>
      </c>
      <c r="G1329" s="4" t="s">
        <v>6915</v>
      </c>
      <c r="H1329" s="4" t="s">
        <v>55</v>
      </c>
      <c r="I1329" s="4" t="s">
        <v>985</v>
      </c>
      <c r="J1329" s="4" t="s">
        <v>91</v>
      </c>
      <c r="K1329" s="4" t="s">
        <v>60</v>
      </c>
      <c r="L1329" s="4" t="s">
        <v>131</v>
      </c>
      <c r="M1329" s="4" t="s">
        <v>63</v>
      </c>
      <c r="N1329" s="4" t="s">
        <v>132</v>
      </c>
      <c r="O1329" s="2" t="s">
        <v>132</v>
      </c>
      <c r="P1329" s="2">
        <v>7.47920604E8</v>
      </c>
      <c r="Q1329" s="2" t="s">
        <v>68</v>
      </c>
      <c r="R1329" s="4" t="s">
        <v>6916</v>
      </c>
    </row>
    <row r="1330">
      <c r="A1330" s="4" t="s">
        <v>44</v>
      </c>
      <c r="B1330" s="4" t="s">
        <v>44</v>
      </c>
      <c r="C1330" s="4">
        <v>1329.0</v>
      </c>
      <c r="D1330" s="13" t="str">
        <f>HYPERLINK("https://www.linkedin.com/ad-library/detail/747918494","Open Ad")</f>
        <v>Open Ad</v>
      </c>
      <c r="E1330" s="4" t="s">
        <v>91</v>
      </c>
      <c r="F1330" s="4" t="s">
        <v>53</v>
      </c>
      <c r="G1330" s="4" t="s">
        <v>6915</v>
      </c>
      <c r="H1330" s="4" t="s">
        <v>55</v>
      </c>
      <c r="I1330" s="4" t="s">
        <v>985</v>
      </c>
      <c r="J1330" s="4" t="s">
        <v>91</v>
      </c>
      <c r="K1330" s="4" t="s">
        <v>60</v>
      </c>
      <c r="L1330" s="4" t="s">
        <v>131</v>
      </c>
      <c r="M1330" s="4" t="s">
        <v>63</v>
      </c>
      <c r="N1330" s="4" t="s">
        <v>132</v>
      </c>
      <c r="O1330" s="2" t="s">
        <v>132</v>
      </c>
      <c r="P1330" s="2">
        <v>7.47918494E8</v>
      </c>
      <c r="Q1330" s="2" t="s">
        <v>68</v>
      </c>
      <c r="R1330" s="4" t="s">
        <v>6916</v>
      </c>
    </row>
    <row r="1331">
      <c r="A1331" s="4" t="s">
        <v>44</v>
      </c>
      <c r="B1331" s="4" t="s">
        <v>44</v>
      </c>
      <c r="C1331" s="4">
        <v>1330.0</v>
      </c>
      <c r="D1331" s="13" t="str">
        <f>HYPERLINK("https://www.linkedin.com/ad-library/detail/747839554","Open Ad")</f>
        <v>Open Ad</v>
      </c>
      <c r="E1331" s="4" t="s">
        <v>91</v>
      </c>
      <c r="F1331" s="4" t="s">
        <v>53</v>
      </c>
      <c r="G1331" s="4" t="s">
        <v>6915</v>
      </c>
      <c r="H1331" s="4" t="s">
        <v>55</v>
      </c>
      <c r="I1331" s="4" t="s">
        <v>985</v>
      </c>
      <c r="J1331" s="4" t="s">
        <v>91</v>
      </c>
      <c r="K1331" s="4" t="s">
        <v>60</v>
      </c>
      <c r="L1331" s="4" t="s">
        <v>131</v>
      </c>
      <c r="M1331" s="4" t="s">
        <v>63</v>
      </c>
      <c r="N1331" s="4" t="s">
        <v>132</v>
      </c>
      <c r="O1331" s="2" t="s">
        <v>132</v>
      </c>
      <c r="P1331" s="2">
        <v>7.47839554E8</v>
      </c>
      <c r="Q1331" s="2" t="s">
        <v>68</v>
      </c>
      <c r="R1331" s="4" t="s">
        <v>6916</v>
      </c>
    </row>
    <row r="1332">
      <c r="A1332" s="4" t="s">
        <v>44</v>
      </c>
      <c r="B1332" s="4" t="s">
        <v>44</v>
      </c>
      <c r="C1332" s="4">
        <v>1331.0</v>
      </c>
      <c r="D1332" s="13" t="str">
        <f>HYPERLINK("https://www.linkedin.com/ad-library/detail/747889224","Open Ad")</f>
        <v>Open Ad</v>
      </c>
      <c r="E1332" s="4" t="s">
        <v>91</v>
      </c>
      <c r="F1332" s="4" t="s">
        <v>53</v>
      </c>
      <c r="G1332" s="4" t="s">
        <v>6915</v>
      </c>
      <c r="H1332" s="4" t="s">
        <v>55</v>
      </c>
      <c r="I1332" s="4" t="s">
        <v>985</v>
      </c>
      <c r="J1332" s="4" t="s">
        <v>91</v>
      </c>
      <c r="K1332" s="4" t="s">
        <v>60</v>
      </c>
      <c r="L1332" s="4" t="s">
        <v>131</v>
      </c>
      <c r="M1332" s="4" t="s">
        <v>63</v>
      </c>
      <c r="N1332" s="4" t="s">
        <v>132</v>
      </c>
      <c r="O1332" s="2" t="s">
        <v>132</v>
      </c>
      <c r="P1332" s="2">
        <v>7.47889224E8</v>
      </c>
      <c r="Q1332" s="2" t="s">
        <v>68</v>
      </c>
      <c r="R1332" s="4" t="s">
        <v>6916</v>
      </c>
    </row>
    <row r="1333">
      <c r="A1333" s="4" t="s">
        <v>44</v>
      </c>
      <c r="B1333" s="4" t="s">
        <v>44</v>
      </c>
      <c r="C1333" s="4">
        <v>1332.0</v>
      </c>
      <c r="D1333" s="13" t="str">
        <f>HYPERLINK("https://www.linkedin.com/ad-library/detail/747839564","Open Ad")</f>
        <v>Open Ad</v>
      </c>
      <c r="E1333" s="4" t="s">
        <v>91</v>
      </c>
      <c r="F1333" s="4" t="s">
        <v>53</v>
      </c>
      <c r="G1333" s="4" t="s">
        <v>6915</v>
      </c>
      <c r="H1333" s="4" t="s">
        <v>55</v>
      </c>
      <c r="I1333" s="4" t="s">
        <v>985</v>
      </c>
      <c r="J1333" s="4" t="s">
        <v>91</v>
      </c>
      <c r="K1333" s="4" t="s">
        <v>60</v>
      </c>
      <c r="L1333" s="4" t="s">
        <v>131</v>
      </c>
      <c r="M1333" s="4" t="s">
        <v>63</v>
      </c>
      <c r="N1333" s="4" t="s">
        <v>132</v>
      </c>
      <c r="O1333" s="2" t="s">
        <v>132</v>
      </c>
      <c r="P1333" s="2">
        <v>7.47839564E8</v>
      </c>
      <c r="Q1333" s="2" t="s">
        <v>68</v>
      </c>
      <c r="R1333" s="4" t="s">
        <v>6916</v>
      </c>
    </row>
    <row r="1334">
      <c r="A1334" s="4" t="s">
        <v>44</v>
      </c>
      <c r="B1334" s="4" t="s">
        <v>44</v>
      </c>
      <c r="C1334" s="4">
        <v>1333.0</v>
      </c>
      <c r="D1334" s="13" t="str">
        <f>HYPERLINK("https://www.linkedin.com/ad-library/detail/747979804","Open Ad")</f>
        <v>Open Ad</v>
      </c>
      <c r="E1334" s="4" t="s">
        <v>91</v>
      </c>
      <c r="F1334" s="4" t="s">
        <v>53</v>
      </c>
      <c r="G1334" s="4" t="s">
        <v>6915</v>
      </c>
      <c r="H1334" s="4" t="s">
        <v>55</v>
      </c>
      <c r="I1334" s="4" t="s">
        <v>985</v>
      </c>
      <c r="J1334" s="4" t="s">
        <v>91</v>
      </c>
      <c r="K1334" s="4" t="s">
        <v>60</v>
      </c>
      <c r="L1334" s="4" t="s">
        <v>131</v>
      </c>
      <c r="M1334" s="4" t="s">
        <v>63</v>
      </c>
      <c r="N1334" s="4" t="s">
        <v>132</v>
      </c>
      <c r="O1334" s="2" t="s">
        <v>132</v>
      </c>
      <c r="P1334" s="2">
        <v>7.47979804E8</v>
      </c>
      <c r="Q1334" s="2" t="s">
        <v>68</v>
      </c>
      <c r="R1334" s="4" t="s">
        <v>6916</v>
      </c>
    </row>
    <row r="1335">
      <c r="A1335" s="4" t="s">
        <v>44</v>
      </c>
      <c r="B1335" s="4" t="s">
        <v>44</v>
      </c>
      <c r="C1335" s="4">
        <v>1334.0</v>
      </c>
      <c r="D1335" s="13" t="str">
        <f>HYPERLINK("https://www.linkedin.com/ad-library/detail/747889234","Open Ad")</f>
        <v>Open Ad</v>
      </c>
      <c r="E1335" s="4" t="s">
        <v>91</v>
      </c>
      <c r="F1335" s="4" t="s">
        <v>53</v>
      </c>
      <c r="G1335" s="4" t="s">
        <v>6915</v>
      </c>
      <c r="H1335" s="4" t="s">
        <v>55</v>
      </c>
      <c r="I1335" s="4" t="s">
        <v>985</v>
      </c>
      <c r="J1335" s="4" t="s">
        <v>91</v>
      </c>
      <c r="K1335" s="4" t="s">
        <v>60</v>
      </c>
      <c r="L1335" s="4" t="s">
        <v>131</v>
      </c>
      <c r="M1335" s="4" t="s">
        <v>63</v>
      </c>
      <c r="N1335" s="4" t="s">
        <v>132</v>
      </c>
      <c r="O1335" s="2" t="s">
        <v>132</v>
      </c>
      <c r="P1335" s="2">
        <v>7.47889234E8</v>
      </c>
      <c r="Q1335" s="2" t="s">
        <v>68</v>
      </c>
      <c r="R1335" s="4" t="s">
        <v>6916</v>
      </c>
    </row>
    <row r="1336">
      <c r="A1336" s="4" t="s">
        <v>44</v>
      </c>
      <c r="B1336" s="4" t="s">
        <v>44</v>
      </c>
      <c r="C1336" s="4">
        <v>1335.0</v>
      </c>
      <c r="D1336" s="13" t="str">
        <f>HYPERLINK("https://www.linkedin.com/ad-library/detail/747960084","Open Ad")</f>
        <v>Open Ad</v>
      </c>
      <c r="E1336" s="4" t="s">
        <v>91</v>
      </c>
      <c r="F1336" s="4" t="s">
        <v>53</v>
      </c>
      <c r="G1336" s="4" t="s">
        <v>6915</v>
      </c>
      <c r="H1336" s="4" t="s">
        <v>55</v>
      </c>
      <c r="I1336" s="4" t="s">
        <v>985</v>
      </c>
      <c r="J1336" s="4" t="s">
        <v>91</v>
      </c>
      <c r="K1336" s="4" t="s">
        <v>60</v>
      </c>
      <c r="L1336" s="4" t="s">
        <v>131</v>
      </c>
      <c r="M1336" s="4" t="s">
        <v>63</v>
      </c>
      <c r="N1336" s="4" t="s">
        <v>132</v>
      </c>
      <c r="O1336" s="2" t="s">
        <v>132</v>
      </c>
      <c r="P1336" s="2">
        <v>7.47960084E8</v>
      </c>
      <c r="Q1336" s="2" t="s">
        <v>68</v>
      </c>
      <c r="R1336" s="4" t="s">
        <v>6916</v>
      </c>
    </row>
    <row r="1337">
      <c r="A1337" s="4" t="s">
        <v>44</v>
      </c>
      <c r="B1337" s="4" t="s">
        <v>44</v>
      </c>
      <c r="C1337" s="4">
        <v>1336.0</v>
      </c>
      <c r="D1337" s="13" t="str">
        <f>HYPERLINK("https://www.linkedin.com/ad-library/detail/747930314","Open Ad")</f>
        <v>Open Ad</v>
      </c>
      <c r="E1337" s="4" t="s">
        <v>91</v>
      </c>
      <c r="F1337" s="4" t="s">
        <v>53</v>
      </c>
      <c r="G1337" s="4" t="s">
        <v>6915</v>
      </c>
      <c r="H1337" s="4" t="s">
        <v>55</v>
      </c>
      <c r="I1337" s="4" t="s">
        <v>985</v>
      </c>
      <c r="J1337" s="4" t="s">
        <v>91</v>
      </c>
      <c r="K1337" s="4" t="s">
        <v>60</v>
      </c>
      <c r="L1337" s="4" t="s">
        <v>131</v>
      </c>
      <c r="M1337" s="4" t="s">
        <v>63</v>
      </c>
      <c r="N1337" s="4" t="s">
        <v>132</v>
      </c>
      <c r="O1337" s="2" t="s">
        <v>132</v>
      </c>
      <c r="P1337" s="2">
        <v>7.47930314E8</v>
      </c>
      <c r="Q1337" s="2" t="s">
        <v>68</v>
      </c>
      <c r="R1337" s="4" t="s">
        <v>6916</v>
      </c>
    </row>
    <row r="1338">
      <c r="A1338" s="4" t="s">
        <v>44</v>
      </c>
      <c r="B1338" s="4" t="s">
        <v>44</v>
      </c>
      <c r="C1338" s="4">
        <v>1337.0</v>
      </c>
      <c r="D1338" s="13" t="str">
        <f>HYPERLINK("https://www.linkedin.com/ad-library/detail/747909194","Open Ad")</f>
        <v>Open Ad</v>
      </c>
      <c r="E1338" s="4" t="s">
        <v>91</v>
      </c>
      <c r="F1338" s="4" t="s">
        <v>53</v>
      </c>
      <c r="G1338" s="4" t="s">
        <v>6915</v>
      </c>
      <c r="H1338" s="4" t="s">
        <v>55</v>
      </c>
      <c r="I1338" s="4" t="s">
        <v>985</v>
      </c>
      <c r="J1338" s="4" t="s">
        <v>91</v>
      </c>
      <c r="K1338" s="4" t="s">
        <v>60</v>
      </c>
      <c r="L1338" s="4" t="s">
        <v>131</v>
      </c>
      <c r="M1338" s="4" t="s">
        <v>63</v>
      </c>
      <c r="N1338" s="4" t="s">
        <v>132</v>
      </c>
      <c r="O1338" s="2" t="s">
        <v>132</v>
      </c>
      <c r="P1338" s="2">
        <v>7.47909194E8</v>
      </c>
      <c r="Q1338" s="2" t="s">
        <v>68</v>
      </c>
      <c r="R1338" s="4" t="s">
        <v>6916</v>
      </c>
    </row>
    <row r="1339">
      <c r="A1339" s="4" t="s">
        <v>44</v>
      </c>
      <c r="B1339" s="4" t="s">
        <v>44</v>
      </c>
      <c r="C1339" s="4">
        <v>1338.0</v>
      </c>
      <c r="D1339" s="13" t="str">
        <f>HYPERLINK("https://www.linkedin.com/ad-library/detail/747898964","Open Ad")</f>
        <v>Open Ad</v>
      </c>
      <c r="E1339" s="4" t="s">
        <v>91</v>
      </c>
      <c r="F1339" s="4" t="s">
        <v>53</v>
      </c>
      <c r="G1339" s="4" t="s">
        <v>6915</v>
      </c>
      <c r="H1339" s="4" t="s">
        <v>55</v>
      </c>
      <c r="I1339" s="4" t="s">
        <v>985</v>
      </c>
      <c r="J1339" s="4" t="s">
        <v>91</v>
      </c>
      <c r="K1339" s="4" t="s">
        <v>60</v>
      </c>
      <c r="L1339" s="4" t="s">
        <v>131</v>
      </c>
      <c r="M1339" s="4" t="s">
        <v>63</v>
      </c>
      <c r="N1339" s="4" t="s">
        <v>132</v>
      </c>
      <c r="O1339" s="2" t="s">
        <v>132</v>
      </c>
      <c r="P1339" s="2">
        <v>7.47898964E8</v>
      </c>
      <c r="Q1339" s="2" t="s">
        <v>68</v>
      </c>
      <c r="R1339" s="4" t="s">
        <v>6916</v>
      </c>
    </row>
    <row r="1340">
      <c r="A1340" s="4" t="s">
        <v>44</v>
      </c>
      <c r="B1340" s="4" t="s">
        <v>44</v>
      </c>
      <c r="C1340" s="4">
        <v>1339.0</v>
      </c>
      <c r="D1340" s="13" t="str">
        <f>HYPERLINK("https://www.linkedin.com/ad-library/detail/747960094","Open Ad")</f>
        <v>Open Ad</v>
      </c>
      <c r="E1340" s="4" t="s">
        <v>91</v>
      </c>
      <c r="F1340" s="4" t="s">
        <v>53</v>
      </c>
      <c r="G1340" s="4" t="s">
        <v>6915</v>
      </c>
      <c r="H1340" s="4" t="s">
        <v>55</v>
      </c>
      <c r="I1340" s="4" t="s">
        <v>985</v>
      </c>
      <c r="J1340" s="4" t="s">
        <v>91</v>
      </c>
      <c r="K1340" s="4" t="s">
        <v>60</v>
      </c>
      <c r="L1340" s="4" t="s">
        <v>131</v>
      </c>
      <c r="M1340" s="4" t="s">
        <v>63</v>
      </c>
      <c r="N1340" s="4" t="s">
        <v>132</v>
      </c>
      <c r="O1340" s="2" t="s">
        <v>132</v>
      </c>
      <c r="P1340" s="2">
        <v>7.47960094E8</v>
      </c>
      <c r="Q1340" s="2" t="s">
        <v>68</v>
      </c>
      <c r="R1340" s="4" t="s">
        <v>6916</v>
      </c>
    </row>
    <row r="1341">
      <c r="A1341" s="4" t="s">
        <v>44</v>
      </c>
      <c r="B1341" s="4" t="s">
        <v>44</v>
      </c>
      <c r="C1341" s="4">
        <v>1340.0</v>
      </c>
      <c r="D1341" s="13" t="str">
        <f>HYPERLINK("https://www.linkedin.com/ad-library/detail/747940284","Open Ad")</f>
        <v>Open Ad</v>
      </c>
      <c r="E1341" s="4" t="s">
        <v>91</v>
      </c>
      <c r="F1341" s="4" t="s">
        <v>53</v>
      </c>
      <c r="G1341" s="4" t="s">
        <v>6915</v>
      </c>
      <c r="H1341" s="4" t="s">
        <v>55</v>
      </c>
      <c r="I1341" s="4" t="s">
        <v>985</v>
      </c>
      <c r="J1341" s="4" t="s">
        <v>91</v>
      </c>
      <c r="K1341" s="4" t="s">
        <v>60</v>
      </c>
      <c r="L1341" s="4" t="s">
        <v>131</v>
      </c>
      <c r="M1341" s="4" t="s">
        <v>63</v>
      </c>
      <c r="N1341" s="4" t="s">
        <v>132</v>
      </c>
      <c r="O1341" s="2" t="s">
        <v>132</v>
      </c>
      <c r="P1341" s="2">
        <v>7.47940284E8</v>
      </c>
      <c r="Q1341" s="2" t="s">
        <v>68</v>
      </c>
      <c r="R1341" s="4" t="s">
        <v>6916</v>
      </c>
    </row>
    <row r="1342">
      <c r="A1342" s="4" t="s">
        <v>44</v>
      </c>
      <c r="B1342" s="4" t="s">
        <v>44</v>
      </c>
      <c r="C1342" s="4">
        <v>1341.0</v>
      </c>
      <c r="D1342" s="13" t="str">
        <f>HYPERLINK("https://www.linkedin.com/ad-library/detail/747909184","Open Ad")</f>
        <v>Open Ad</v>
      </c>
      <c r="E1342" s="4" t="s">
        <v>91</v>
      </c>
      <c r="F1342" s="4" t="s">
        <v>53</v>
      </c>
      <c r="G1342" s="4" t="s">
        <v>6915</v>
      </c>
      <c r="H1342" s="4" t="s">
        <v>55</v>
      </c>
      <c r="I1342" s="4" t="s">
        <v>985</v>
      </c>
      <c r="J1342" s="4" t="s">
        <v>91</v>
      </c>
      <c r="K1342" s="4" t="s">
        <v>60</v>
      </c>
      <c r="L1342" s="4" t="s">
        <v>131</v>
      </c>
      <c r="M1342" s="4" t="s">
        <v>63</v>
      </c>
      <c r="N1342" s="4" t="s">
        <v>132</v>
      </c>
      <c r="O1342" s="2" t="s">
        <v>132</v>
      </c>
      <c r="P1342" s="2">
        <v>7.47909184E8</v>
      </c>
      <c r="Q1342" s="2" t="s">
        <v>68</v>
      </c>
      <c r="R1342" s="4" t="s">
        <v>6916</v>
      </c>
    </row>
    <row r="1343">
      <c r="A1343" s="4" t="s">
        <v>44</v>
      </c>
      <c r="B1343" s="4" t="s">
        <v>44</v>
      </c>
      <c r="C1343" s="4">
        <v>1342.0</v>
      </c>
      <c r="D1343" s="13" t="str">
        <f>HYPERLINK("https://www.linkedin.com/ad-library/detail/747960164","Open Ad")</f>
        <v>Open Ad</v>
      </c>
      <c r="E1343" s="4" t="s">
        <v>91</v>
      </c>
      <c r="F1343" s="4" t="s">
        <v>53</v>
      </c>
      <c r="G1343" s="4" t="s">
        <v>6915</v>
      </c>
      <c r="H1343" s="4" t="s">
        <v>55</v>
      </c>
      <c r="I1343" s="4" t="s">
        <v>985</v>
      </c>
      <c r="J1343" s="4" t="s">
        <v>91</v>
      </c>
      <c r="K1343" s="4" t="s">
        <v>60</v>
      </c>
      <c r="L1343" s="4" t="s">
        <v>131</v>
      </c>
      <c r="M1343" s="4" t="s">
        <v>63</v>
      </c>
      <c r="N1343" s="4" t="s">
        <v>132</v>
      </c>
      <c r="O1343" s="2" t="s">
        <v>132</v>
      </c>
      <c r="P1343" s="2">
        <v>7.47960164E8</v>
      </c>
      <c r="Q1343" s="2" t="s">
        <v>68</v>
      </c>
      <c r="R1343" s="4" t="s">
        <v>6916</v>
      </c>
    </row>
    <row r="1344">
      <c r="A1344" s="4" t="s">
        <v>44</v>
      </c>
      <c r="B1344" s="4" t="s">
        <v>44</v>
      </c>
      <c r="C1344" s="4">
        <v>1343.0</v>
      </c>
      <c r="D1344" s="13" t="str">
        <f>HYPERLINK("https://www.linkedin.com/ad-library/detail/747940294","Open Ad")</f>
        <v>Open Ad</v>
      </c>
      <c r="E1344" s="4" t="s">
        <v>91</v>
      </c>
      <c r="F1344" s="4" t="s">
        <v>53</v>
      </c>
      <c r="G1344" s="4" t="s">
        <v>6915</v>
      </c>
      <c r="H1344" s="4" t="s">
        <v>55</v>
      </c>
      <c r="I1344" s="4" t="s">
        <v>985</v>
      </c>
      <c r="J1344" s="4" t="s">
        <v>91</v>
      </c>
      <c r="K1344" s="4" t="s">
        <v>60</v>
      </c>
      <c r="L1344" s="4" t="s">
        <v>131</v>
      </c>
      <c r="M1344" s="4" t="s">
        <v>63</v>
      </c>
      <c r="N1344" s="4" t="s">
        <v>132</v>
      </c>
      <c r="O1344" s="2" t="s">
        <v>132</v>
      </c>
      <c r="P1344" s="2">
        <v>7.47940294E8</v>
      </c>
      <c r="Q1344" s="2" t="s">
        <v>68</v>
      </c>
      <c r="R1344" s="4" t="s">
        <v>6916</v>
      </c>
    </row>
    <row r="1345">
      <c r="A1345" s="4" t="s">
        <v>44</v>
      </c>
      <c r="B1345" s="4" t="s">
        <v>44</v>
      </c>
      <c r="C1345" s="4">
        <v>1344.0</v>
      </c>
      <c r="D1345" s="13" t="str">
        <f>HYPERLINK("https://www.linkedin.com/ad-library/detail/747909164","Open Ad")</f>
        <v>Open Ad</v>
      </c>
      <c r="E1345" s="4" t="s">
        <v>91</v>
      </c>
      <c r="F1345" s="4" t="s">
        <v>53</v>
      </c>
      <c r="G1345" s="4" t="s">
        <v>6915</v>
      </c>
      <c r="H1345" s="4" t="s">
        <v>55</v>
      </c>
      <c r="I1345" s="4" t="s">
        <v>985</v>
      </c>
      <c r="J1345" s="4" t="s">
        <v>91</v>
      </c>
      <c r="K1345" s="4" t="s">
        <v>60</v>
      </c>
      <c r="L1345" s="4" t="s">
        <v>131</v>
      </c>
      <c r="M1345" s="4" t="s">
        <v>63</v>
      </c>
      <c r="N1345" s="4" t="s">
        <v>132</v>
      </c>
      <c r="O1345" s="2" t="s">
        <v>132</v>
      </c>
      <c r="P1345" s="2">
        <v>7.47909164E8</v>
      </c>
      <c r="Q1345" s="2" t="s">
        <v>68</v>
      </c>
      <c r="R1345" s="4" t="s">
        <v>6916</v>
      </c>
    </row>
    <row r="1346">
      <c r="A1346" s="4" t="s">
        <v>44</v>
      </c>
      <c r="B1346" s="4" t="s">
        <v>44</v>
      </c>
      <c r="C1346" s="4">
        <v>1345.0</v>
      </c>
      <c r="D1346" s="13" t="str">
        <f>HYPERLINK("https://www.linkedin.com/ad-library/detail/747829744","Open Ad")</f>
        <v>Open Ad</v>
      </c>
      <c r="E1346" s="4" t="s">
        <v>91</v>
      </c>
      <c r="F1346" s="4" t="s">
        <v>53</v>
      </c>
      <c r="G1346" s="4" t="s">
        <v>6915</v>
      </c>
      <c r="H1346" s="4" t="s">
        <v>55</v>
      </c>
      <c r="I1346" s="4" t="s">
        <v>985</v>
      </c>
      <c r="J1346" s="4" t="s">
        <v>91</v>
      </c>
      <c r="K1346" s="4" t="s">
        <v>60</v>
      </c>
      <c r="L1346" s="4" t="s">
        <v>131</v>
      </c>
      <c r="M1346" s="4" t="s">
        <v>63</v>
      </c>
      <c r="N1346" s="4" t="s">
        <v>132</v>
      </c>
      <c r="O1346" s="2" t="s">
        <v>132</v>
      </c>
      <c r="P1346" s="2">
        <v>7.47829744E8</v>
      </c>
      <c r="Q1346" s="2" t="s">
        <v>68</v>
      </c>
      <c r="R1346" s="4" t="s">
        <v>6916</v>
      </c>
    </row>
    <row r="1347">
      <c r="A1347" s="4" t="s">
        <v>44</v>
      </c>
      <c r="B1347" s="4" t="s">
        <v>44</v>
      </c>
      <c r="C1347" s="4">
        <v>1346.0</v>
      </c>
      <c r="D1347" s="13" t="str">
        <f>HYPERLINK("https://www.linkedin.com/ad-library/detail/747849374","Open Ad")</f>
        <v>Open Ad</v>
      </c>
      <c r="E1347" s="4" t="s">
        <v>91</v>
      </c>
      <c r="F1347" s="4" t="s">
        <v>53</v>
      </c>
      <c r="G1347" s="4" t="s">
        <v>6915</v>
      </c>
      <c r="H1347" s="4" t="s">
        <v>55</v>
      </c>
      <c r="I1347" s="4" t="s">
        <v>985</v>
      </c>
      <c r="J1347" s="4" t="s">
        <v>91</v>
      </c>
      <c r="K1347" s="4" t="s">
        <v>60</v>
      </c>
      <c r="L1347" s="4" t="s">
        <v>131</v>
      </c>
      <c r="M1347" s="4" t="s">
        <v>63</v>
      </c>
      <c r="N1347" s="4" t="s">
        <v>132</v>
      </c>
      <c r="O1347" s="2" t="s">
        <v>132</v>
      </c>
      <c r="P1347" s="2">
        <v>7.47849374E8</v>
      </c>
      <c r="Q1347" s="2" t="s">
        <v>68</v>
      </c>
      <c r="R1347" s="4" t="s">
        <v>6916</v>
      </c>
    </row>
    <row r="1348">
      <c r="A1348" s="4" t="s">
        <v>44</v>
      </c>
      <c r="B1348" s="4" t="s">
        <v>44</v>
      </c>
      <c r="C1348" s="4">
        <v>1347.0</v>
      </c>
      <c r="D1348" s="13" t="str">
        <f>HYPERLINK("https://www.linkedin.com/ad-library/detail/747930264","Open Ad")</f>
        <v>Open Ad</v>
      </c>
      <c r="E1348" s="4" t="s">
        <v>91</v>
      </c>
      <c r="F1348" s="4" t="s">
        <v>53</v>
      </c>
      <c r="G1348" s="4" t="s">
        <v>6915</v>
      </c>
      <c r="H1348" s="4" t="s">
        <v>55</v>
      </c>
      <c r="I1348" s="4" t="s">
        <v>985</v>
      </c>
      <c r="J1348" s="4" t="s">
        <v>91</v>
      </c>
      <c r="K1348" s="4" t="s">
        <v>60</v>
      </c>
      <c r="L1348" s="4" t="s">
        <v>131</v>
      </c>
      <c r="M1348" s="4" t="s">
        <v>63</v>
      </c>
      <c r="N1348" s="4" t="s">
        <v>132</v>
      </c>
      <c r="O1348" s="2" t="s">
        <v>132</v>
      </c>
      <c r="P1348" s="2">
        <v>7.47930264E8</v>
      </c>
      <c r="Q1348" s="2" t="s">
        <v>68</v>
      </c>
      <c r="R1348" s="4" t="s">
        <v>6916</v>
      </c>
    </row>
    <row r="1349">
      <c r="A1349" s="4" t="s">
        <v>44</v>
      </c>
      <c r="B1349" s="4" t="s">
        <v>44</v>
      </c>
      <c r="C1349" s="4">
        <v>1348.0</v>
      </c>
      <c r="D1349" s="13" t="str">
        <f>HYPERLINK("https://www.linkedin.com/ad-library/detail/747909124","Open Ad")</f>
        <v>Open Ad</v>
      </c>
      <c r="E1349" s="4" t="s">
        <v>91</v>
      </c>
      <c r="F1349" s="4" t="s">
        <v>53</v>
      </c>
      <c r="G1349" s="4" t="s">
        <v>6915</v>
      </c>
      <c r="H1349" s="4" t="s">
        <v>55</v>
      </c>
      <c r="I1349" s="4" t="s">
        <v>985</v>
      </c>
      <c r="J1349" s="4" t="s">
        <v>91</v>
      </c>
      <c r="K1349" s="4" t="s">
        <v>60</v>
      </c>
      <c r="L1349" s="4" t="s">
        <v>131</v>
      </c>
      <c r="M1349" s="4" t="s">
        <v>63</v>
      </c>
      <c r="N1349" s="4" t="s">
        <v>132</v>
      </c>
      <c r="O1349" s="2" t="s">
        <v>132</v>
      </c>
      <c r="P1349" s="2">
        <v>7.47909124E8</v>
      </c>
      <c r="Q1349" s="2" t="s">
        <v>68</v>
      </c>
      <c r="R1349" s="4" t="s">
        <v>6916</v>
      </c>
    </row>
    <row r="1350">
      <c r="A1350" s="4" t="s">
        <v>44</v>
      </c>
      <c r="B1350" s="4" t="s">
        <v>44</v>
      </c>
      <c r="C1350" s="4">
        <v>1349.0</v>
      </c>
      <c r="D1350" s="13" t="str">
        <f>HYPERLINK("https://www.linkedin.com/ad-library/detail/747960014","Open Ad")</f>
        <v>Open Ad</v>
      </c>
      <c r="E1350" s="4" t="s">
        <v>91</v>
      </c>
      <c r="F1350" s="4" t="s">
        <v>53</v>
      </c>
      <c r="G1350" s="4" t="s">
        <v>6915</v>
      </c>
      <c r="H1350" s="4" t="s">
        <v>55</v>
      </c>
      <c r="I1350" s="4" t="s">
        <v>985</v>
      </c>
      <c r="J1350" s="4" t="s">
        <v>91</v>
      </c>
      <c r="K1350" s="4" t="s">
        <v>60</v>
      </c>
      <c r="L1350" s="4" t="s">
        <v>131</v>
      </c>
      <c r="M1350" s="4" t="s">
        <v>63</v>
      </c>
      <c r="N1350" s="4" t="s">
        <v>132</v>
      </c>
      <c r="O1350" s="2" t="s">
        <v>132</v>
      </c>
      <c r="P1350" s="2">
        <v>7.47960014E8</v>
      </c>
      <c r="Q1350" s="2" t="s">
        <v>68</v>
      </c>
      <c r="R1350" s="4" t="s">
        <v>6916</v>
      </c>
    </row>
    <row r="1351">
      <c r="A1351" s="4" t="s">
        <v>44</v>
      </c>
      <c r="B1351" s="4" t="s">
        <v>44</v>
      </c>
      <c r="C1351" s="4">
        <v>1350.0</v>
      </c>
      <c r="D1351" s="13" t="str">
        <f>HYPERLINK("https://www.linkedin.com/ad-library/detail/747849354","Open Ad")</f>
        <v>Open Ad</v>
      </c>
      <c r="E1351" s="4" t="s">
        <v>91</v>
      </c>
      <c r="F1351" s="4" t="s">
        <v>53</v>
      </c>
      <c r="G1351" s="4" t="s">
        <v>6915</v>
      </c>
      <c r="H1351" s="4" t="s">
        <v>55</v>
      </c>
      <c r="I1351" s="4" t="s">
        <v>985</v>
      </c>
      <c r="J1351" s="4" t="s">
        <v>91</v>
      </c>
      <c r="K1351" s="4" t="s">
        <v>60</v>
      </c>
      <c r="L1351" s="4" t="s">
        <v>131</v>
      </c>
      <c r="M1351" s="4" t="s">
        <v>63</v>
      </c>
      <c r="N1351" s="4" t="s">
        <v>132</v>
      </c>
      <c r="O1351" s="2" t="s">
        <v>132</v>
      </c>
      <c r="P1351" s="2">
        <v>7.47849354E8</v>
      </c>
      <c r="Q1351" s="2" t="s">
        <v>68</v>
      </c>
      <c r="R1351" s="4" t="s">
        <v>6916</v>
      </c>
    </row>
    <row r="1352">
      <c r="A1352" s="4" t="s">
        <v>44</v>
      </c>
      <c r="B1352" s="4" t="s">
        <v>44</v>
      </c>
      <c r="C1352" s="4">
        <v>1351.0</v>
      </c>
      <c r="D1352" s="13" t="str">
        <f>HYPERLINK("https://www.linkedin.com/ad-library/detail/747930254","Open Ad")</f>
        <v>Open Ad</v>
      </c>
      <c r="E1352" s="4" t="s">
        <v>91</v>
      </c>
      <c r="F1352" s="4" t="s">
        <v>53</v>
      </c>
      <c r="G1352" s="4" t="s">
        <v>6915</v>
      </c>
      <c r="H1352" s="4" t="s">
        <v>55</v>
      </c>
      <c r="I1352" s="4" t="s">
        <v>985</v>
      </c>
      <c r="J1352" s="4" t="s">
        <v>91</v>
      </c>
      <c r="K1352" s="4" t="s">
        <v>60</v>
      </c>
      <c r="L1352" s="4" t="s">
        <v>131</v>
      </c>
      <c r="M1352" s="4" t="s">
        <v>63</v>
      </c>
      <c r="N1352" s="4" t="s">
        <v>132</v>
      </c>
      <c r="O1352" s="2" t="s">
        <v>132</v>
      </c>
      <c r="P1352" s="2">
        <v>7.47930254E8</v>
      </c>
      <c r="Q1352" s="2" t="s">
        <v>68</v>
      </c>
      <c r="R1352" s="4" t="s">
        <v>6916</v>
      </c>
    </row>
    <row r="1353">
      <c r="A1353" s="4" t="s">
        <v>44</v>
      </c>
      <c r="B1353" s="4" t="s">
        <v>44</v>
      </c>
      <c r="C1353" s="4">
        <v>1352.0</v>
      </c>
      <c r="D1353" s="13" t="str">
        <f>HYPERLINK("https://www.linkedin.com/ad-library/detail/747898894","Open Ad")</f>
        <v>Open Ad</v>
      </c>
      <c r="E1353" s="4" t="s">
        <v>91</v>
      </c>
      <c r="F1353" s="4" t="s">
        <v>53</v>
      </c>
      <c r="G1353" s="4" t="s">
        <v>6915</v>
      </c>
      <c r="H1353" s="4" t="s">
        <v>55</v>
      </c>
      <c r="I1353" s="4" t="s">
        <v>985</v>
      </c>
      <c r="J1353" s="4" t="s">
        <v>91</v>
      </c>
      <c r="K1353" s="4" t="s">
        <v>60</v>
      </c>
      <c r="L1353" s="4" t="s">
        <v>131</v>
      </c>
      <c r="M1353" s="4" t="s">
        <v>63</v>
      </c>
      <c r="N1353" s="4" t="s">
        <v>132</v>
      </c>
      <c r="O1353" s="2" t="s">
        <v>132</v>
      </c>
      <c r="P1353" s="2">
        <v>7.47898894E8</v>
      </c>
      <c r="Q1353" s="2" t="s">
        <v>68</v>
      </c>
      <c r="R1353" s="4" t="s">
        <v>6916</v>
      </c>
    </row>
    <row r="1354">
      <c r="A1354" s="4" t="s">
        <v>44</v>
      </c>
      <c r="B1354" s="4" t="s">
        <v>44</v>
      </c>
      <c r="C1354" s="4">
        <v>1353.0</v>
      </c>
      <c r="D1354" s="13" t="str">
        <f>HYPERLINK("https://www.linkedin.com/ad-library/detail/747849394","Open Ad")</f>
        <v>Open Ad</v>
      </c>
      <c r="E1354" s="4" t="s">
        <v>91</v>
      </c>
      <c r="F1354" s="4" t="s">
        <v>53</v>
      </c>
      <c r="G1354" s="4" t="s">
        <v>6915</v>
      </c>
      <c r="H1354" s="4" t="s">
        <v>55</v>
      </c>
      <c r="I1354" s="4" t="s">
        <v>985</v>
      </c>
      <c r="J1354" s="4" t="s">
        <v>91</v>
      </c>
      <c r="K1354" s="4" t="s">
        <v>60</v>
      </c>
      <c r="L1354" s="4" t="s">
        <v>131</v>
      </c>
      <c r="M1354" s="4" t="s">
        <v>63</v>
      </c>
      <c r="N1354" s="4" t="s">
        <v>132</v>
      </c>
      <c r="O1354" s="2" t="s">
        <v>132</v>
      </c>
      <c r="P1354" s="2">
        <v>7.47849394E8</v>
      </c>
      <c r="Q1354" s="2" t="s">
        <v>68</v>
      </c>
      <c r="R1354" s="4" t="s">
        <v>6916</v>
      </c>
    </row>
    <row r="1355">
      <c r="A1355" s="4" t="s">
        <v>44</v>
      </c>
      <c r="B1355" s="4" t="s">
        <v>44</v>
      </c>
      <c r="C1355" s="4">
        <v>1354.0</v>
      </c>
      <c r="D1355" s="13" t="str">
        <f>HYPERLINK("https://www.linkedin.com/ad-library/detail/747918464","Open Ad")</f>
        <v>Open Ad</v>
      </c>
      <c r="E1355" s="4" t="s">
        <v>91</v>
      </c>
      <c r="F1355" s="4" t="s">
        <v>53</v>
      </c>
      <c r="G1355" s="4" t="s">
        <v>6915</v>
      </c>
      <c r="H1355" s="4" t="s">
        <v>55</v>
      </c>
      <c r="I1355" s="4" t="s">
        <v>985</v>
      </c>
      <c r="J1355" s="4" t="s">
        <v>91</v>
      </c>
      <c r="K1355" s="4" t="s">
        <v>60</v>
      </c>
      <c r="L1355" s="4" t="s">
        <v>131</v>
      </c>
      <c r="M1355" s="4" t="s">
        <v>63</v>
      </c>
      <c r="N1355" s="4" t="s">
        <v>132</v>
      </c>
      <c r="O1355" s="2" t="s">
        <v>132</v>
      </c>
      <c r="P1355" s="2">
        <v>7.47918464E8</v>
      </c>
      <c r="Q1355" s="2" t="s">
        <v>68</v>
      </c>
      <c r="R1355" s="4" t="s">
        <v>6916</v>
      </c>
    </row>
    <row r="1356">
      <c r="A1356" s="4" t="s">
        <v>44</v>
      </c>
      <c r="B1356" s="4" t="s">
        <v>44</v>
      </c>
      <c r="C1356" s="4">
        <v>1355.0</v>
      </c>
      <c r="D1356" s="13" t="str">
        <f>HYPERLINK("https://www.linkedin.com/ad-library/detail/747950014","Open Ad")</f>
        <v>Open Ad</v>
      </c>
      <c r="E1356" s="4" t="s">
        <v>91</v>
      </c>
      <c r="F1356" s="4" t="s">
        <v>53</v>
      </c>
      <c r="G1356" s="4" t="s">
        <v>6915</v>
      </c>
      <c r="H1356" s="4" t="s">
        <v>55</v>
      </c>
      <c r="I1356" s="4" t="s">
        <v>985</v>
      </c>
      <c r="J1356" s="4" t="s">
        <v>91</v>
      </c>
      <c r="K1356" s="4" t="s">
        <v>60</v>
      </c>
      <c r="L1356" s="4" t="s">
        <v>131</v>
      </c>
      <c r="M1356" s="4" t="s">
        <v>63</v>
      </c>
      <c r="N1356" s="4" t="s">
        <v>132</v>
      </c>
      <c r="O1356" s="2" t="s">
        <v>132</v>
      </c>
      <c r="P1356" s="2">
        <v>7.47950014E8</v>
      </c>
      <c r="Q1356" s="2" t="s">
        <v>68</v>
      </c>
      <c r="R1356" s="4" t="s">
        <v>6916</v>
      </c>
    </row>
    <row r="1357">
      <c r="A1357" s="4" t="s">
        <v>44</v>
      </c>
      <c r="B1357" s="4" t="s">
        <v>44</v>
      </c>
      <c r="C1357" s="4">
        <v>1356.0</v>
      </c>
      <c r="D1357" s="13" t="str">
        <f>HYPERLINK("https://www.linkedin.com/ad-library/detail/747859144","Open Ad")</f>
        <v>Open Ad</v>
      </c>
      <c r="E1357" s="4" t="s">
        <v>91</v>
      </c>
      <c r="F1357" s="4" t="s">
        <v>53</v>
      </c>
      <c r="G1357" s="4" t="s">
        <v>6915</v>
      </c>
      <c r="H1357" s="4" t="s">
        <v>55</v>
      </c>
      <c r="I1357" s="4" t="s">
        <v>985</v>
      </c>
      <c r="J1357" s="4" t="s">
        <v>91</v>
      </c>
      <c r="K1357" s="4" t="s">
        <v>60</v>
      </c>
      <c r="L1357" s="4" t="s">
        <v>131</v>
      </c>
      <c r="M1357" s="4" t="s">
        <v>63</v>
      </c>
      <c r="N1357" s="4" t="s">
        <v>132</v>
      </c>
      <c r="O1357" s="2" t="s">
        <v>132</v>
      </c>
      <c r="P1357" s="2">
        <v>7.47859144E8</v>
      </c>
      <c r="Q1357" s="2" t="s">
        <v>68</v>
      </c>
      <c r="R1357" s="4" t="s">
        <v>6916</v>
      </c>
    </row>
    <row r="1358">
      <c r="A1358" s="4" t="s">
        <v>44</v>
      </c>
      <c r="B1358" s="4" t="s">
        <v>44</v>
      </c>
      <c r="C1358" s="4">
        <v>1357.0</v>
      </c>
      <c r="D1358" s="13" t="str">
        <f>HYPERLINK("https://www.linkedin.com/ad-library/detail/747889184","Open Ad")</f>
        <v>Open Ad</v>
      </c>
      <c r="E1358" s="4" t="s">
        <v>91</v>
      </c>
      <c r="F1358" s="4" t="s">
        <v>53</v>
      </c>
      <c r="G1358" s="4" t="s">
        <v>6915</v>
      </c>
      <c r="H1358" s="4" t="s">
        <v>55</v>
      </c>
      <c r="I1358" s="4" t="s">
        <v>985</v>
      </c>
      <c r="J1358" s="4" t="s">
        <v>91</v>
      </c>
      <c r="K1358" s="4" t="s">
        <v>60</v>
      </c>
      <c r="L1358" s="4" t="s">
        <v>131</v>
      </c>
      <c r="M1358" s="4" t="s">
        <v>63</v>
      </c>
      <c r="N1358" s="4" t="s">
        <v>132</v>
      </c>
      <c r="O1358" s="2" t="s">
        <v>132</v>
      </c>
      <c r="P1358" s="2">
        <v>7.47889184E8</v>
      </c>
      <c r="Q1358" s="2" t="s">
        <v>68</v>
      </c>
      <c r="R1358" s="4" t="s">
        <v>6916</v>
      </c>
    </row>
    <row r="1359">
      <c r="A1359" s="4" t="s">
        <v>44</v>
      </c>
      <c r="B1359" s="4" t="s">
        <v>44</v>
      </c>
      <c r="C1359" s="4">
        <v>1358.0</v>
      </c>
      <c r="D1359" s="13" t="str">
        <f>HYPERLINK("https://www.linkedin.com/ad-library/detail/747969834","Open Ad")</f>
        <v>Open Ad</v>
      </c>
      <c r="E1359" s="4" t="s">
        <v>91</v>
      </c>
      <c r="F1359" s="4" t="s">
        <v>53</v>
      </c>
      <c r="G1359" s="4" t="s">
        <v>6915</v>
      </c>
      <c r="H1359" s="4" t="s">
        <v>55</v>
      </c>
      <c r="I1359" s="4" t="s">
        <v>985</v>
      </c>
      <c r="J1359" s="4" t="s">
        <v>91</v>
      </c>
      <c r="K1359" s="4" t="s">
        <v>60</v>
      </c>
      <c r="L1359" s="4" t="s">
        <v>131</v>
      </c>
      <c r="M1359" s="4" t="s">
        <v>63</v>
      </c>
      <c r="N1359" s="4" t="s">
        <v>132</v>
      </c>
      <c r="O1359" s="2" t="s">
        <v>132</v>
      </c>
      <c r="P1359" s="2">
        <v>7.47969834E8</v>
      </c>
      <c r="Q1359" s="2" t="s">
        <v>68</v>
      </c>
      <c r="R1359" s="4" t="s">
        <v>6916</v>
      </c>
    </row>
    <row r="1360">
      <c r="A1360" s="4" t="s">
        <v>44</v>
      </c>
      <c r="B1360" s="4" t="s">
        <v>44</v>
      </c>
      <c r="C1360" s="4">
        <v>1359.0</v>
      </c>
      <c r="D1360" s="13" t="str">
        <f>HYPERLINK("https://www.linkedin.com/ad-library/detail/747940234","Open Ad")</f>
        <v>Open Ad</v>
      </c>
      <c r="E1360" s="4" t="s">
        <v>91</v>
      </c>
      <c r="F1360" s="4" t="s">
        <v>53</v>
      </c>
      <c r="G1360" s="4" t="s">
        <v>6915</v>
      </c>
      <c r="H1360" s="4" t="s">
        <v>55</v>
      </c>
      <c r="I1360" s="4" t="s">
        <v>985</v>
      </c>
      <c r="J1360" s="4" t="s">
        <v>91</v>
      </c>
      <c r="K1360" s="4" t="s">
        <v>60</v>
      </c>
      <c r="L1360" s="4" t="s">
        <v>131</v>
      </c>
      <c r="M1360" s="4" t="s">
        <v>63</v>
      </c>
      <c r="N1360" s="4" t="s">
        <v>132</v>
      </c>
      <c r="O1360" s="2" t="s">
        <v>132</v>
      </c>
      <c r="P1360" s="2">
        <v>7.47940234E8</v>
      </c>
      <c r="Q1360" s="2" t="s">
        <v>68</v>
      </c>
      <c r="R1360" s="4" t="s">
        <v>6916</v>
      </c>
    </row>
    <row r="1361">
      <c r="A1361" s="4" t="s">
        <v>44</v>
      </c>
      <c r="B1361" s="4" t="s">
        <v>44</v>
      </c>
      <c r="C1361" s="4">
        <v>1360.0</v>
      </c>
      <c r="D1361" s="13" t="str">
        <f>HYPERLINK("https://www.linkedin.com/ad-library/detail/747940264","Open Ad")</f>
        <v>Open Ad</v>
      </c>
      <c r="E1361" s="4" t="s">
        <v>91</v>
      </c>
      <c r="F1361" s="4" t="s">
        <v>53</v>
      </c>
      <c r="G1361" s="4" t="s">
        <v>6915</v>
      </c>
      <c r="H1361" s="4" t="s">
        <v>55</v>
      </c>
      <c r="I1361" s="4" t="s">
        <v>985</v>
      </c>
      <c r="J1361" s="4" t="s">
        <v>91</v>
      </c>
      <c r="K1361" s="4" t="s">
        <v>60</v>
      </c>
      <c r="L1361" s="4" t="s">
        <v>131</v>
      </c>
      <c r="M1361" s="4" t="s">
        <v>63</v>
      </c>
      <c r="N1361" s="4" t="s">
        <v>132</v>
      </c>
      <c r="O1361" s="2" t="s">
        <v>132</v>
      </c>
      <c r="P1361" s="2">
        <v>7.47940264E8</v>
      </c>
      <c r="Q1361" s="2" t="s">
        <v>68</v>
      </c>
      <c r="R1361" s="4" t="s">
        <v>6916</v>
      </c>
    </row>
    <row r="1362">
      <c r="A1362" s="4" t="s">
        <v>44</v>
      </c>
      <c r="B1362" s="4" t="s">
        <v>44</v>
      </c>
      <c r="C1362" s="4">
        <v>1361.0</v>
      </c>
      <c r="D1362" s="13" t="str">
        <f>HYPERLINK("https://www.linkedin.com/ad-library/detail/747889164","Open Ad")</f>
        <v>Open Ad</v>
      </c>
      <c r="E1362" s="4" t="s">
        <v>91</v>
      </c>
      <c r="F1362" s="4" t="s">
        <v>53</v>
      </c>
      <c r="G1362" s="4" t="s">
        <v>6915</v>
      </c>
      <c r="H1362" s="4" t="s">
        <v>55</v>
      </c>
      <c r="I1362" s="4" t="s">
        <v>985</v>
      </c>
      <c r="J1362" s="4" t="s">
        <v>91</v>
      </c>
      <c r="K1362" s="4" t="s">
        <v>60</v>
      </c>
      <c r="L1362" s="4" t="s">
        <v>131</v>
      </c>
      <c r="M1362" s="4" t="s">
        <v>63</v>
      </c>
      <c r="N1362" s="4" t="s">
        <v>132</v>
      </c>
      <c r="O1362" s="2" t="s">
        <v>132</v>
      </c>
      <c r="P1362" s="2">
        <v>7.47889164E8</v>
      </c>
      <c r="Q1362" s="2" t="s">
        <v>68</v>
      </c>
      <c r="R1362" s="4" t="s">
        <v>6916</v>
      </c>
    </row>
    <row r="1363">
      <c r="A1363" s="4" t="s">
        <v>44</v>
      </c>
      <c r="B1363" s="4" t="s">
        <v>44</v>
      </c>
      <c r="C1363" s="4">
        <v>1362.0</v>
      </c>
      <c r="D1363" s="13" t="str">
        <f>HYPERLINK("https://www.linkedin.com/ad-library/detail/747969844","Open Ad")</f>
        <v>Open Ad</v>
      </c>
      <c r="E1363" s="4" t="s">
        <v>91</v>
      </c>
      <c r="F1363" s="4" t="s">
        <v>53</v>
      </c>
      <c r="G1363" s="4" t="s">
        <v>6915</v>
      </c>
      <c r="H1363" s="4" t="s">
        <v>55</v>
      </c>
      <c r="I1363" s="4" t="s">
        <v>985</v>
      </c>
      <c r="J1363" s="4" t="s">
        <v>91</v>
      </c>
      <c r="K1363" s="4" t="s">
        <v>60</v>
      </c>
      <c r="L1363" s="4" t="s">
        <v>131</v>
      </c>
      <c r="M1363" s="4" t="s">
        <v>63</v>
      </c>
      <c r="N1363" s="4" t="s">
        <v>132</v>
      </c>
      <c r="O1363" s="2" t="s">
        <v>132</v>
      </c>
      <c r="P1363" s="2">
        <v>7.47969844E8</v>
      </c>
      <c r="Q1363" s="2" t="s">
        <v>68</v>
      </c>
      <c r="R1363" s="4" t="s">
        <v>6916</v>
      </c>
    </row>
    <row r="1364">
      <c r="A1364" s="4" t="s">
        <v>44</v>
      </c>
      <c r="B1364" s="4" t="s">
        <v>44</v>
      </c>
      <c r="C1364" s="4">
        <v>1363.0</v>
      </c>
      <c r="D1364" s="13" t="str">
        <f>HYPERLINK("https://www.linkedin.com/ad-library/detail/747909094","Open Ad")</f>
        <v>Open Ad</v>
      </c>
      <c r="E1364" s="4" t="s">
        <v>91</v>
      </c>
      <c r="F1364" s="4" t="s">
        <v>53</v>
      </c>
      <c r="G1364" s="4" t="s">
        <v>6915</v>
      </c>
      <c r="H1364" s="4" t="s">
        <v>55</v>
      </c>
      <c r="I1364" s="4" t="s">
        <v>985</v>
      </c>
      <c r="J1364" s="4" t="s">
        <v>91</v>
      </c>
      <c r="K1364" s="4" t="s">
        <v>60</v>
      </c>
      <c r="L1364" s="4" t="s">
        <v>131</v>
      </c>
      <c r="M1364" s="4" t="s">
        <v>63</v>
      </c>
      <c r="N1364" s="4" t="s">
        <v>132</v>
      </c>
      <c r="O1364" s="2" t="s">
        <v>132</v>
      </c>
      <c r="P1364" s="2">
        <v>7.47909094E8</v>
      </c>
      <c r="Q1364" s="2" t="s">
        <v>68</v>
      </c>
      <c r="R1364" s="4" t="s">
        <v>6916</v>
      </c>
    </row>
    <row r="1365">
      <c r="A1365" s="4" t="s">
        <v>44</v>
      </c>
      <c r="B1365" s="4" t="s">
        <v>44</v>
      </c>
      <c r="C1365" s="4">
        <v>1364.0</v>
      </c>
      <c r="D1365" s="13" t="str">
        <f>HYPERLINK("https://www.linkedin.com/ad-library/detail/747898864","Open Ad")</f>
        <v>Open Ad</v>
      </c>
      <c r="E1365" s="4" t="s">
        <v>91</v>
      </c>
      <c r="F1365" s="4" t="s">
        <v>53</v>
      </c>
      <c r="G1365" s="4" t="s">
        <v>6915</v>
      </c>
      <c r="H1365" s="4" t="s">
        <v>55</v>
      </c>
      <c r="I1365" s="4" t="s">
        <v>985</v>
      </c>
      <c r="J1365" s="4" t="s">
        <v>91</v>
      </c>
      <c r="K1365" s="4" t="s">
        <v>60</v>
      </c>
      <c r="L1365" s="4" t="s">
        <v>131</v>
      </c>
      <c r="M1365" s="4" t="s">
        <v>63</v>
      </c>
      <c r="N1365" s="4" t="s">
        <v>132</v>
      </c>
      <c r="O1365" s="2" t="s">
        <v>132</v>
      </c>
      <c r="P1365" s="2">
        <v>7.47898864E8</v>
      </c>
      <c r="Q1365" s="2" t="s">
        <v>68</v>
      </c>
      <c r="R1365" s="4" t="s">
        <v>6916</v>
      </c>
    </row>
    <row r="1366">
      <c r="A1366" s="4" t="s">
        <v>44</v>
      </c>
      <c r="B1366" s="4" t="s">
        <v>44</v>
      </c>
      <c r="C1366" s="4">
        <v>1365.0</v>
      </c>
      <c r="D1366" s="13" t="str">
        <f>HYPERLINK("https://www.linkedin.com/ad-library/detail/747839514","Open Ad")</f>
        <v>Open Ad</v>
      </c>
      <c r="E1366" s="4" t="s">
        <v>91</v>
      </c>
      <c r="F1366" s="4" t="s">
        <v>53</v>
      </c>
      <c r="G1366" s="4" t="s">
        <v>6915</v>
      </c>
      <c r="H1366" s="4" t="s">
        <v>55</v>
      </c>
      <c r="I1366" s="4" t="s">
        <v>985</v>
      </c>
      <c r="J1366" s="4" t="s">
        <v>91</v>
      </c>
      <c r="K1366" s="4" t="s">
        <v>60</v>
      </c>
      <c r="L1366" s="4" t="s">
        <v>131</v>
      </c>
      <c r="M1366" s="4" t="s">
        <v>63</v>
      </c>
      <c r="N1366" s="4" t="s">
        <v>132</v>
      </c>
      <c r="O1366" s="2" t="s">
        <v>132</v>
      </c>
      <c r="P1366" s="2">
        <v>7.47839514E8</v>
      </c>
      <c r="Q1366" s="2" t="s">
        <v>68</v>
      </c>
      <c r="R1366" s="4" t="s">
        <v>6916</v>
      </c>
    </row>
    <row r="1367">
      <c r="A1367" s="4" t="s">
        <v>44</v>
      </c>
      <c r="B1367" s="4" t="s">
        <v>44</v>
      </c>
      <c r="C1367" s="4">
        <v>1366.0</v>
      </c>
      <c r="D1367" s="13" t="str">
        <f>HYPERLINK("https://www.linkedin.com/ad-library/detail/747969864","Open Ad")</f>
        <v>Open Ad</v>
      </c>
      <c r="E1367" s="4" t="s">
        <v>91</v>
      </c>
      <c r="F1367" s="4" t="s">
        <v>53</v>
      </c>
      <c r="G1367" s="4" t="s">
        <v>6915</v>
      </c>
      <c r="H1367" s="4" t="s">
        <v>55</v>
      </c>
      <c r="I1367" s="4" t="s">
        <v>985</v>
      </c>
      <c r="J1367" s="4" t="s">
        <v>91</v>
      </c>
      <c r="K1367" s="4" t="s">
        <v>60</v>
      </c>
      <c r="L1367" s="4" t="s">
        <v>131</v>
      </c>
      <c r="M1367" s="4" t="s">
        <v>63</v>
      </c>
      <c r="N1367" s="4" t="s">
        <v>132</v>
      </c>
      <c r="O1367" s="2" t="s">
        <v>132</v>
      </c>
      <c r="P1367" s="2">
        <v>7.47969864E8</v>
      </c>
      <c r="Q1367" s="2" t="s">
        <v>68</v>
      </c>
      <c r="R1367" s="4" t="s">
        <v>6916</v>
      </c>
    </row>
    <row r="1368">
      <c r="A1368" s="4" t="s">
        <v>44</v>
      </c>
      <c r="B1368" s="4" t="s">
        <v>44</v>
      </c>
      <c r="C1368" s="4">
        <v>1367.0</v>
      </c>
      <c r="D1368" s="13" t="str">
        <f>HYPERLINK("https://www.linkedin.com/ad-library/detail/747909154","Open Ad")</f>
        <v>Open Ad</v>
      </c>
      <c r="E1368" s="4" t="s">
        <v>91</v>
      </c>
      <c r="F1368" s="4" t="s">
        <v>53</v>
      </c>
      <c r="G1368" s="4" t="s">
        <v>6915</v>
      </c>
      <c r="H1368" s="4" t="s">
        <v>55</v>
      </c>
      <c r="I1368" s="4" t="s">
        <v>985</v>
      </c>
      <c r="J1368" s="4" t="s">
        <v>91</v>
      </c>
      <c r="K1368" s="4" t="s">
        <v>60</v>
      </c>
      <c r="L1368" s="4" t="s">
        <v>131</v>
      </c>
      <c r="M1368" s="4" t="s">
        <v>63</v>
      </c>
      <c r="N1368" s="4" t="s">
        <v>132</v>
      </c>
      <c r="O1368" s="2" t="s">
        <v>132</v>
      </c>
      <c r="P1368" s="2">
        <v>7.47909154E8</v>
      </c>
      <c r="Q1368" s="2" t="s">
        <v>68</v>
      </c>
      <c r="R1368" s="4" t="s">
        <v>6916</v>
      </c>
    </row>
    <row r="1369">
      <c r="A1369" s="4" t="s">
        <v>44</v>
      </c>
      <c r="B1369" s="4" t="s">
        <v>44</v>
      </c>
      <c r="C1369" s="4">
        <v>1368.0</v>
      </c>
      <c r="D1369" s="13" t="str">
        <f>HYPERLINK("https://www.linkedin.com/ad-library/detail/747839544","Open Ad")</f>
        <v>Open Ad</v>
      </c>
      <c r="E1369" s="4" t="s">
        <v>91</v>
      </c>
      <c r="F1369" s="4" t="s">
        <v>53</v>
      </c>
      <c r="G1369" s="4" t="s">
        <v>6915</v>
      </c>
      <c r="H1369" s="4" t="s">
        <v>55</v>
      </c>
      <c r="I1369" s="4" t="s">
        <v>985</v>
      </c>
      <c r="J1369" s="4" t="s">
        <v>91</v>
      </c>
      <c r="K1369" s="4" t="s">
        <v>60</v>
      </c>
      <c r="L1369" s="4" t="s">
        <v>131</v>
      </c>
      <c r="M1369" s="4" t="s">
        <v>63</v>
      </c>
      <c r="N1369" s="4" t="s">
        <v>132</v>
      </c>
      <c r="O1369" s="2" t="s">
        <v>132</v>
      </c>
      <c r="P1369" s="2">
        <v>7.47839544E8</v>
      </c>
      <c r="Q1369" s="2" t="s">
        <v>68</v>
      </c>
      <c r="R1369" s="4" t="s">
        <v>6916</v>
      </c>
    </row>
    <row r="1370">
      <c r="A1370" s="4" t="s">
        <v>44</v>
      </c>
      <c r="B1370" s="4" t="s">
        <v>44</v>
      </c>
      <c r="C1370" s="4">
        <v>1369.0</v>
      </c>
      <c r="D1370" s="13" t="str">
        <f>HYPERLINK("https://www.linkedin.com/ad-library/detail/747959994","Open Ad")</f>
        <v>Open Ad</v>
      </c>
      <c r="E1370" s="4" t="s">
        <v>91</v>
      </c>
      <c r="F1370" s="4" t="s">
        <v>53</v>
      </c>
      <c r="G1370" s="4" t="s">
        <v>6915</v>
      </c>
      <c r="H1370" s="4" t="s">
        <v>55</v>
      </c>
      <c r="I1370" s="4" t="s">
        <v>985</v>
      </c>
      <c r="J1370" s="4" t="s">
        <v>91</v>
      </c>
      <c r="K1370" s="4" t="s">
        <v>60</v>
      </c>
      <c r="L1370" s="4" t="s">
        <v>131</v>
      </c>
      <c r="M1370" s="4" t="s">
        <v>63</v>
      </c>
      <c r="N1370" s="4" t="s">
        <v>132</v>
      </c>
      <c r="O1370" s="2" t="s">
        <v>132</v>
      </c>
      <c r="P1370" s="2">
        <v>7.47959994E8</v>
      </c>
      <c r="Q1370" s="2" t="s">
        <v>68</v>
      </c>
      <c r="R1370" s="4" t="s">
        <v>6916</v>
      </c>
    </row>
    <row r="1371">
      <c r="A1371" s="4" t="s">
        <v>44</v>
      </c>
      <c r="B1371" s="4" t="s">
        <v>44</v>
      </c>
      <c r="C1371" s="4">
        <v>1370.0</v>
      </c>
      <c r="D1371" s="13" t="str">
        <f>HYPERLINK("https://www.linkedin.com/ad-library/detail/747664514","Open Ad")</f>
        <v>Open Ad</v>
      </c>
      <c r="E1371" s="4" t="s">
        <v>91</v>
      </c>
      <c r="F1371" s="4" t="s">
        <v>53</v>
      </c>
      <c r="G1371" s="4" t="s">
        <v>6915</v>
      </c>
      <c r="H1371" s="4" t="s">
        <v>55</v>
      </c>
      <c r="I1371" s="4" t="s">
        <v>985</v>
      </c>
      <c r="J1371" s="4" t="s">
        <v>91</v>
      </c>
      <c r="K1371" s="4" t="s">
        <v>60</v>
      </c>
      <c r="L1371" s="4" t="s">
        <v>131</v>
      </c>
      <c r="M1371" s="4" t="s">
        <v>63</v>
      </c>
      <c r="N1371" s="4" t="s">
        <v>132</v>
      </c>
      <c r="O1371" s="2" t="s">
        <v>132</v>
      </c>
      <c r="P1371" s="2">
        <v>7.47664514E8</v>
      </c>
      <c r="Q1371" s="2" t="s">
        <v>68</v>
      </c>
      <c r="R1371" s="4" t="s">
        <v>6916</v>
      </c>
    </row>
    <row r="1372">
      <c r="A1372" s="4" t="s">
        <v>44</v>
      </c>
      <c r="B1372" s="4" t="s">
        <v>44</v>
      </c>
      <c r="C1372" s="4">
        <v>1371.0</v>
      </c>
      <c r="D1372" s="13" t="str">
        <f>HYPERLINK("https://www.linkedin.com/ad-library/detail/747959984","Open Ad")</f>
        <v>Open Ad</v>
      </c>
      <c r="E1372" s="4" t="s">
        <v>91</v>
      </c>
      <c r="F1372" s="4" t="s">
        <v>53</v>
      </c>
      <c r="G1372" s="4" t="s">
        <v>6915</v>
      </c>
      <c r="H1372" s="4" t="s">
        <v>55</v>
      </c>
      <c r="I1372" s="4" t="s">
        <v>985</v>
      </c>
      <c r="J1372" s="4" t="s">
        <v>91</v>
      </c>
      <c r="K1372" s="4" t="s">
        <v>60</v>
      </c>
      <c r="L1372" s="4" t="s">
        <v>131</v>
      </c>
      <c r="M1372" s="4" t="s">
        <v>63</v>
      </c>
      <c r="N1372" s="4" t="s">
        <v>132</v>
      </c>
      <c r="O1372" s="2" t="s">
        <v>132</v>
      </c>
      <c r="P1372" s="2">
        <v>7.47959984E8</v>
      </c>
      <c r="Q1372" s="2" t="s">
        <v>68</v>
      </c>
      <c r="R1372" s="4" t="s">
        <v>6916</v>
      </c>
    </row>
    <row r="1373">
      <c r="A1373" s="4" t="s">
        <v>44</v>
      </c>
      <c r="B1373" s="4" t="s">
        <v>44</v>
      </c>
      <c r="C1373" s="4">
        <v>1372.0</v>
      </c>
      <c r="D1373" s="13" t="str">
        <f>HYPERLINK("https://www.linkedin.com/ad-library/detail/747685104","Open Ad")</f>
        <v>Open Ad</v>
      </c>
      <c r="E1373" s="4" t="s">
        <v>91</v>
      </c>
      <c r="F1373" s="4" t="s">
        <v>53</v>
      </c>
      <c r="G1373" s="4" t="s">
        <v>6915</v>
      </c>
      <c r="H1373" s="4" t="s">
        <v>55</v>
      </c>
      <c r="I1373" s="4" t="s">
        <v>985</v>
      </c>
      <c r="J1373" s="4" t="s">
        <v>91</v>
      </c>
      <c r="K1373" s="4" t="s">
        <v>60</v>
      </c>
      <c r="L1373" s="4" t="s">
        <v>131</v>
      </c>
      <c r="M1373" s="4" t="s">
        <v>63</v>
      </c>
      <c r="N1373" s="4" t="s">
        <v>132</v>
      </c>
      <c r="O1373" s="2" t="s">
        <v>132</v>
      </c>
      <c r="P1373" s="2">
        <v>7.47685104E8</v>
      </c>
      <c r="Q1373" s="2" t="s">
        <v>68</v>
      </c>
      <c r="R1373" s="4" t="s">
        <v>6916</v>
      </c>
    </row>
    <row r="1374">
      <c r="A1374" s="4" t="s">
        <v>44</v>
      </c>
      <c r="B1374" s="4" t="s">
        <v>44</v>
      </c>
      <c r="C1374" s="4">
        <v>1373.0</v>
      </c>
      <c r="D1374" s="13" t="str">
        <f>HYPERLINK("https://www.linkedin.com/ad-library/detail/747959974","Open Ad")</f>
        <v>Open Ad</v>
      </c>
      <c r="E1374" s="4" t="s">
        <v>91</v>
      </c>
      <c r="F1374" s="4" t="s">
        <v>53</v>
      </c>
      <c r="G1374" s="4" t="s">
        <v>6915</v>
      </c>
      <c r="H1374" s="4" t="s">
        <v>55</v>
      </c>
      <c r="I1374" s="4" t="s">
        <v>985</v>
      </c>
      <c r="J1374" s="4" t="s">
        <v>91</v>
      </c>
      <c r="K1374" s="4" t="s">
        <v>60</v>
      </c>
      <c r="L1374" s="4" t="s">
        <v>131</v>
      </c>
      <c r="M1374" s="4" t="s">
        <v>63</v>
      </c>
      <c r="N1374" s="4" t="s">
        <v>132</v>
      </c>
      <c r="O1374" s="2" t="s">
        <v>132</v>
      </c>
      <c r="P1374" s="2">
        <v>7.47959974E8</v>
      </c>
      <c r="Q1374" s="2" t="s">
        <v>68</v>
      </c>
      <c r="R1374" s="4" t="s">
        <v>6916</v>
      </c>
    </row>
    <row r="1375">
      <c r="A1375" s="4" t="s">
        <v>44</v>
      </c>
      <c r="B1375" s="4" t="s">
        <v>44</v>
      </c>
      <c r="C1375" s="4">
        <v>1374.0</v>
      </c>
      <c r="D1375" s="13" t="str">
        <f>HYPERLINK("https://www.linkedin.com/ad-library/detail/747959964","Open Ad")</f>
        <v>Open Ad</v>
      </c>
      <c r="E1375" s="4" t="s">
        <v>91</v>
      </c>
      <c r="F1375" s="4" t="s">
        <v>53</v>
      </c>
      <c r="G1375" s="4" t="s">
        <v>6915</v>
      </c>
      <c r="H1375" s="4" t="s">
        <v>55</v>
      </c>
      <c r="I1375" s="4" t="s">
        <v>985</v>
      </c>
      <c r="J1375" s="4" t="s">
        <v>91</v>
      </c>
      <c r="K1375" s="4" t="s">
        <v>60</v>
      </c>
      <c r="L1375" s="4" t="s">
        <v>131</v>
      </c>
      <c r="M1375" s="4" t="s">
        <v>63</v>
      </c>
      <c r="N1375" s="4" t="s">
        <v>132</v>
      </c>
      <c r="O1375" s="2" t="s">
        <v>132</v>
      </c>
      <c r="P1375" s="2">
        <v>7.47959964E8</v>
      </c>
      <c r="Q1375" s="2" t="s">
        <v>68</v>
      </c>
      <c r="R1375" s="4" t="s">
        <v>6916</v>
      </c>
    </row>
    <row r="1376">
      <c r="A1376" s="4" t="s">
        <v>44</v>
      </c>
      <c r="B1376" s="4" t="s">
        <v>44</v>
      </c>
      <c r="C1376" s="4">
        <v>1375.0</v>
      </c>
      <c r="D1376" s="13" t="str">
        <f>HYPERLINK("https://www.linkedin.com/ad-library/detail/747969804","Open Ad")</f>
        <v>Open Ad</v>
      </c>
      <c r="E1376" s="4" t="s">
        <v>91</v>
      </c>
      <c r="F1376" s="4" t="s">
        <v>53</v>
      </c>
      <c r="G1376" s="4" t="s">
        <v>6915</v>
      </c>
      <c r="H1376" s="4" t="s">
        <v>55</v>
      </c>
      <c r="I1376" s="4" t="s">
        <v>985</v>
      </c>
      <c r="J1376" s="4" t="s">
        <v>91</v>
      </c>
      <c r="K1376" s="4" t="s">
        <v>60</v>
      </c>
      <c r="L1376" s="4" t="s">
        <v>131</v>
      </c>
      <c r="M1376" s="4" t="s">
        <v>63</v>
      </c>
      <c r="N1376" s="4" t="s">
        <v>132</v>
      </c>
      <c r="O1376" s="2" t="s">
        <v>132</v>
      </c>
      <c r="P1376" s="2">
        <v>7.47969804E8</v>
      </c>
      <c r="Q1376" s="2" t="s">
        <v>68</v>
      </c>
      <c r="R1376" s="4" t="s">
        <v>6916</v>
      </c>
    </row>
    <row r="1377">
      <c r="A1377" s="4" t="s">
        <v>44</v>
      </c>
      <c r="B1377" s="4" t="s">
        <v>44</v>
      </c>
      <c r="C1377" s="4">
        <v>1376.0</v>
      </c>
      <c r="D1377" s="13" t="str">
        <f>HYPERLINK("https://www.linkedin.com/ad-library/detail/747907324","Open Ad")</f>
        <v>Open Ad</v>
      </c>
      <c r="E1377" s="4" t="s">
        <v>91</v>
      </c>
      <c r="F1377" s="4" t="s">
        <v>53</v>
      </c>
      <c r="G1377" s="4" t="s">
        <v>6915</v>
      </c>
      <c r="H1377" s="4" t="s">
        <v>55</v>
      </c>
      <c r="I1377" s="4" t="s">
        <v>985</v>
      </c>
      <c r="J1377" s="4" t="s">
        <v>91</v>
      </c>
      <c r="K1377" s="4" t="s">
        <v>60</v>
      </c>
      <c r="L1377" s="4" t="s">
        <v>131</v>
      </c>
      <c r="M1377" s="4" t="s">
        <v>63</v>
      </c>
      <c r="N1377" s="4" t="s">
        <v>132</v>
      </c>
      <c r="O1377" s="2" t="s">
        <v>132</v>
      </c>
      <c r="P1377" s="2">
        <v>7.47907324E8</v>
      </c>
      <c r="Q1377" s="2" t="s">
        <v>68</v>
      </c>
      <c r="R1377" s="4" t="s">
        <v>6916</v>
      </c>
    </row>
    <row r="1378">
      <c r="A1378" s="4" t="s">
        <v>44</v>
      </c>
      <c r="B1378" s="4" t="s">
        <v>44</v>
      </c>
      <c r="C1378" s="4">
        <v>1377.0</v>
      </c>
      <c r="D1378" s="13" t="str">
        <f>HYPERLINK("https://www.linkedin.com/ad-library/detail/747714194","Open Ad")</f>
        <v>Open Ad</v>
      </c>
      <c r="E1378" s="4" t="s">
        <v>91</v>
      </c>
      <c r="F1378" s="4" t="s">
        <v>53</v>
      </c>
      <c r="G1378" s="4" t="s">
        <v>6915</v>
      </c>
      <c r="H1378" s="4" t="s">
        <v>55</v>
      </c>
      <c r="I1378" s="4" t="s">
        <v>985</v>
      </c>
      <c r="J1378" s="4" t="s">
        <v>91</v>
      </c>
      <c r="K1378" s="4" t="s">
        <v>60</v>
      </c>
      <c r="L1378" s="4" t="s">
        <v>131</v>
      </c>
      <c r="M1378" s="4" t="s">
        <v>63</v>
      </c>
      <c r="N1378" s="4" t="s">
        <v>132</v>
      </c>
      <c r="O1378" s="2" t="s">
        <v>132</v>
      </c>
      <c r="P1378" s="2">
        <v>7.47714194E8</v>
      </c>
      <c r="Q1378" s="2" t="s">
        <v>68</v>
      </c>
      <c r="R1378" s="4" t="s">
        <v>6916</v>
      </c>
    </row>
    <row r="1379">
      <c r="A1379" s="4" t="s">
        <v>44</v>
      </c>
      <c r="B1379" s="4" t="s">
        <v>44</v>
      </c>
      <c r="C1379" s="4">
        <v>1378.0</v>
      </c>
      <c r="D1379" s="13" t="str">
        <f>HYPERLINK("https://www.linkedin.com/ad-library/detail/747691454","Open Ad")</f>
        <v>Open Ad</v>
      </c>
      <c r="E1379" s="4" t="s">
        <v>91</v>
      </c>
      <c r="F1379" s="4" t="s">
        <v>53</v>
      </c>
      <c r="G1379" s="4" t="s">
        <v>6915</v>
      </c>
      <c r="H1379" s="4" t="s">
        <v>55</v>
      </c>
      <c r="I1379" s="4" t="s">
        <v>985</v>
      </c>
      <c r="J1379" s="4" t="s">
        <v>91</v>
      </c>
      <c r="K1379" s="4" t="s">
        <v>60</v>
      </c>
      <c r="L1379" s="4" t="s">
        <v>131</v>
      </c>
      <c r="M1379" s="4" t="s">
        <v>63</v>
      </c>
      <c r="N1379" s="4" t="s">
        <v>132</v>
      </c>
      <c r="O1379" s="2" t="s">
        <v>132</v>
      </c>
      <c r="P1379" s="2">
        <v>7.47691454E8</v>
      </c>
      <c r="Q1379" s="2" t="s">
        <v>68</v>
      </c>
      <c r="R1379" s="4" t="s">
        <v>6916</v>
      </c>
    </row>
    <row r="1380">
      <c r="A1380" s="4" t="s">
        <v>44</v>
      </c>
      <c r="B1380" s="4" t="s">
        <v>44</v>
      </c>
      <c r="C1380" s="4">
        <v>1379.0</v>
      </c>
      <c r="D1380" s="13" t="str">
        <f>HYPERLINK("https://www.linkedin.com/ad-library/detail/747869444","Open Ad")</f>
        <v>Open Ad</v>
      </c>
      <c r="E1380" s="4" t="s">
        <v>91</v>
      </c>
      <c r="F1380" s="4" t="s">
        <v>53</v>
      </c>
      <c r="G1380" s="4" t="s">
        <v>6915</v>
      </c>
      <c r="H1380" s="4" t="s">
        <v>55</v>
      </c>
      <c r="I1380" s="4" t="s">
        <v>985</v>
      </c>
      <c r="J1380" s="4" t="s">
        <v>91</v>
      </c>
      <c r="K1380" s="4" t="s">
        <v>60</v>
      </c>
      <c r="L1380" s="4" t="s">
        <v>131</v>
      </c>
      <c r="M1380" s="4" t="s">
        <v>63</v>
      </c>
      <c r="N1380" s="4" t="s">
        <v>132</v>
      </c>
      <c r="O1380" s="2" t="s">
        <v>132</v>
      </c>
      <c r="P1380" s="2">
        <v>7.47869444E8</v>
      </c>
      <c r="Q1380" s="2" t="s">
        <v>68</v>
      </c>
      <c r="R1380" s="4" t="s">
        <v>6916</v>
      </c>
    </row>
    <row r="1381">
      <c r="A1381" s="4" t="s">
        <v>44</v>
      </c>
      <c r="B1381" s="4" t="s">
        <v>44</v>
      </c>
      <c r="C1381" s="4">
        <v>1380.0</v>
      </c>
      <c r="D1381" s="13" t="str">
        <f>HYPERLINK("https://www.linkedin.com/ad-library/detail/747714474","Open Ad")</f>
        <v>Open Ad</v>
      </c>
      <c r="E1381" s="4" t="s">
        <v>91</v>
      </c>
      <c r="F1381" s="4" t="s">
        <v>53</v>
      </c>
      <c r="G1381" s="4" t="s">
        <v>6915</v>
      </c>
      <c r="H1381" s="4" t="s">
        <v>55</v>
      </c>
      <c r="I1381" s="4" t="s">
        <v>985</v>
      </c>
      <c r="J1381" s="4" t="s">
        <v>91</v>
      </c>
      <c r="K1381" s="4" t="s">
        <v>60</v>
      </c>
      <c r="L1381" s="4" t="s">
        <v>131</v>
      </c>
      <c r="M1381" s="4" t="s">
        <v>63</v>
      </c>
      <c r="N1381" s="4" t="s">
        <v>7472</v>
      </c>
      <c r="O1381" s="2" t="s">
        <v>7473</v>
      </c>
      <c r="P1381" s="2">
        <v>7.47714474E8</v>
      </c>
      <c r="Q1381" s="2" t="s">
        <v>68</v>
      </c>
      <c r="R1381" s="4" t="s">
        <v>6916</v>
      </c>
    </row>
    <row r="1382">
      <c r="A1382" s="4" t="s">
        <v>44</v>
      </c>
      <c r="B1382" s="4" t="s">
        <v>44</v>
      </c>
      <c r="C1382" s="4">
        <v>1381.0</v>
      </c>
      <c r="D1382" s="13" t="str">
        <f>HYPERLINK("https://www.linkedin.com/ad-library/detail/747829684","Open Ad")</f>
        <v>Open Ad</v>
      </c>
      <c r="E1382" s="4" t="s">
        <v>91</v>
      </c>
      <c r="F1382" s="4" t="s">
        <v>53</v>
      </c>
      <c r="G1382" s="4" t="s">
        <v>6915</v>
      </c>
      <c r="H1382" s="4" t="s">
        <v>55</v>
      </c>
      <c r="I1382" s="4" t="s">
        <v>985</v>
      </c>
      <c r="J1382" s="4" t="s">
        <v>91</v>
      </c>
      <c r="K1382" s="4" t="s">
        <v>60</v>
      </c>
      <c r="L1382" s="4" t="s">
        <v>131</v>
      </c>
      <c r="M1382" s="4" t="s">
        <v>63</v>
      </c>
      <c r="N1382" s="4" t="s">
        <v>132</v>
      </c>
      <c r="O1382" s="2" t="s">
        <v>132</v>
      </c>
      <c r="P1382" s="2">
        <v>7.47829684E8</v>
      </c>
      <c r="Q1382" s="2" t="s">
        <v>68</v>
      </c>
      <c r="R1382" s="4" t="s">
        <v>6916</v>
      </c>
    </row>
    <row r="1383">
      <c r="A1383" s="4" t="s">
        <v>44</v>
      </c>
      <c r="B1383" s="4" t="s">
        <v>44</v>
      </c>
      <c r="C1383" s="4">
        <v>1382.0</v>
      </c>
      <c r="D1383" s="13" t="str">
        <f>HYPERLINK("https://www.linkedin.com/ad-library/detail/747655194","Open Ad")</f>
        <v>Open Ad</v>
      </c>
      <c r="E1383" s="4" t="s">
        <v>91</v>
      </c>
      <c r="F1383" s="4" t="s">
        <v>53</v>
      </c>
      <c r="G1383" s="4" t="s">
        <v>6915</v>
      </c>
      <c r="H1383" s="4" t="s">
        <v>55</v>
      </c>
      <c r="I1383" s="4" t="s">
        <v>985</v>
      </c>
      <c r="J1383" s="4" t="s">
        <v>91</v>
      </c>
      <c r="K1383" s="4" t="s">
        <v>60</v>
      </c>
      <c r="L1383" s="4" t="s">
        <v>131</v>
      </c>
      <c r="M1383" s="4" t="s">
        <v>63</v>
      </c>
      <c r="N1383" s="4" t="s">
        <v>132</v>
      </c>
      <c r="O1383" s="2" t="s">
        <v>132</v>
      </c>
      <c r="P1383" s="2">
        <v>7.47655194E8</v>
      </c>
      <c r="Q1383" s="2" t="s">
        <v>68</v>
      </c>
      <c r="R1383" s="4" t="s">
        <v>6916</v>
      </c>
    </row>
    <row r="1384">
      <c r="A1384" s="4" t="s">
        <v>44</v>
      </c>
      <c r="B1384" s="4" t="s">
        <v>44</v>
      </c>
      <c r="C1384" s="4">
        <v>1383.0</v>
      </c>
      <c r="D1384" s="13" t="str">
        <f>HYPERLINK("https://www.linkedin.com/ad-library/detail/747889104","Open Ad")</f>
        <v>Open Ad</v>
      </c>
      <c r="E1384" s="4" t="s">
        <v>91</v>
      </c>
      <c r="F1384" s="4" t="s">
        <v>53</v>
      </c>
      <c r="G1384" s="4" t="s">
        <v>6915</v>
      </c>
      <c r="H1384" s="4" t="s">
        <v>55</v>
      </c>
      <c r="I1384" s="4" t="s">
        <v>985</v>
      </c>
      <c r="J1384" s="4" t="s">
        <v>91</v>
      </c>
      <c r="K1384" s="4" t="s">
        <v>60</v>
      </c>
      <c r="L1384" s="4" t="s">
        <v>131</v>
      </c>
      <c r="M1384" s="4" t="s">
        <v>63</v>
      </c>
      <c r="N1384" s="4" t="s">
        <v>132</v>
      </c>
      <c r="O1384" s="2" t="s">
        <v>132</v>
      </c>
      <c r="P1384" s="2">
        <v>7.47889104E8</v>
      </c>
      <c r="Q1384" s="2" t="s">
        <v>68</v>
      </c>
      <c r="R1384" s="4" t="s">
        <v>6916</v>
      </c>
    </row>
    <row r="1385">
      <c r="A1385" s="4" t="s">
        <v>44</v>
      </c>
      <c r="B1385" s="4" t="s">
        <v>44</v>
      </c>
      <c r="C1385" s="4">
        <v>1384.0</v>
      </c>
      <c r="D1385" s="13" t="str">
        <f>HYPERLINK("https://www.linkedin.com/ad-library/detail/747585074","Open Ad")</f>
        <v>Open Ad</v>
      </c>
      <c r="E1385" s="4" t="s">
        <v>91</v>
      </c>
      <c r="F1385" s="4" t="s">
        <v>53</v>
      </c>
      <c r="G1385" s="4" t="s">
        <v>6915</v>
      </c>
      <c r="H1385" s="4" t="s">
        <v>55</v>
      </c>
      <c r="I1385" s="4" t="s">
        <v>985</v>
      </c>
      <c r="J1385" s="4" t="s">
        <v>91</v>
      </c>
      <c r="K1385" s="4" t="s">
        <v>60</v>
      </c>
      <c r="L1385" s="4" t="s">
        <v>131</v>
      </c>
      <c r="M1385" s="4" t="s">
        <v>63</v>
      </c>
      <c r="N1385" s="4" t="s">
        <v>132</v>
      </c>
      <c r="O1385" s="2" t="s">
        <v>132</v>
      </c>
      <c r="P1385" s="2">
        <v>7.47585074E8</v>
      </c>
      <c r="Q1385" s="2" t="s">
        <v>68</v>
      </c>
      <c r="R1385" s="4" t="s">
        <v>6916</v>
      </c>
    </row>
    <row r="1386">
      <c r="A1386" s="4" t="s">
        <v>44</v>
      </c>
      <c r="B1386" s="4" t="s">
        <v>44</v>
      </c>
      <c r="C1386" s="4">
        <v>1385.0</v>
      </c>
      <c r="D1386" s="13" t="str">
        <f>HYPERLINK("https://www.linkedin.com/ad-library/detail/747788414","Open Ad")</f>
        <v>Open Ad</v>
      </c>
      <c r="E1386" s="4" t="s">
        <v>91</v>
      </c>
      <c r="F1386" s="4" t="s">
        <v>53</v>
      </c>
      <c r="G1386" s="4" t="s">
        <v>6915</v>
      </c>
      <c r="H1386" s="4" t="s">
        <v>55</v>
      </c>
      <c r="I1386" s="4" t="s">
        <v>985</v>
      </c>
      <c r="J1386" s="4" t="s">
        <v>91</v>
      </c>
      <c r="K1386" s="4" t="s">
        <v>60</v>
      </c>
      <c r="L1386" s="4" t="s">
        <v>131</v>
      </c>
      <c r="M1386" s="4" t="s">
        <v>63</v>
      </c>
      <c r="N1386" s="4" t="s">
        <v>132</v>
      </c>
      <c r="O1386" s="2" t="s">
        <v>132</v>
      </c>
      <c r="P1386" s="2">
        <v>7.47788414E8</v>
      </c>
      <c r="Q1386" s="2" t="s">
        <v>68</v>
      </c>
      <c r="R1386" s="4" t="s">
        <v>6916</v>
      </c>
    </row>
    <row r="1387">
      <c r="A1387" s="4" t="s">
        <v>44</v>
      </c>
      <c r="B1387" s="4" t="s">
        <v>44</v>
      </c>
      <c r="C1387" s="4">
        <v>1386.0</v>
      </c>
      <c r="D1387" s="13" t="str">
        <f>HYPERLINK("https://www.linkedin.com/ad-library/detail/747694614","Open Ad")</f>
        <v>Open Ad</v>
      </c>
      <c r="E1387" s="4" t="s">
        <v>91</v>
      </c>
      <c r="F1387" s="4" t="s">
        <v>53</v>
      </c>
      <c r="G1387" s="4" t="s">
        <v>6915</v>
      </c>
      <c r="H1387" s="4" t="s">
        <v>55</v>
      </c>
      <c r="I1387" s="4" t="s">
        <v>985</v>
      </c>
      <c r="J1387" s="4" t="s">
        <v>91</v>
      </c>
      <c r="K1387" s="4" t="s">
        <v>60</v>
      </c>
      <c r="L1387" s="4" t="s">
        <v>131</v>
      </c>
      <c r="M1387" s="4" t="s">
        <v>63</v>
      </c>
      <c r="N1387" s="4" t="s">
        <v>132</v>
      </c>
      <c r="O1387" s="2" t="s">
        <v>132</v>
      </c>
      <c r="P1387" s="2">
        <v>7.47694614E8</v>
      </c>
      <c r="Q1387" s="2" t="s">
        <v>68</v>
      </c>
      <c r="R1387" s="4" t="s">
        <v>6916</v>
      </c>
    </row>
    <row r="1388">
      <c r="A1388" s="4" t="s">
        <v>44</v>
      </c>
      <c r="B1388" s="4" t="s">
        <v>44</v>
      </c>
      <c r="C1388" s="4">
        <v>1387.0</v>
      </c>
      <c r="D1388" s="13" t="str">
        <f>HYPERLINK("https://www.linkedin.com/ad-library/detail/747909064","Open Ad")</f>
        <v>Open Ad</v>
      </c>
      <c r="E1388" s="4" t="s">
        <v>91</v>
      </c>
      <c r="F1388" s="4" t="s">
        <v>53</v>
      </c>
      <c r="G1388" s="4" t="s">
        <v>6915</v>
      </c>
      <c r="H1388" s="4" t="s">
        <v>55</v>
      </c>
      <c r="I1388" s="4" t="s">
        <v>985</v>
      </c>
      <c r="J1388" s="4" t="s">
        <v>91</v>
      </c>
      <c r="K1388" s="4" t="s">
        <v>60</v>
      </c>
      <c r="L1388" s="4" t="s">
        <v>131</v>
      </c>
      <c r="M1388" s="4" t="s">
        <v>63</v>
      </c>
      <c r="N1388" s="4" t="s">
        <v>132</v>
      </c>
      <c r="O1388" s="2" t="s">
        <v>132</v>
      </c>
      <c r="P1388" s="2">
        <v>7.47909064E8</v>
      </c>
      <c r="Q1388" s="2" t="s">
        <v>68</v>
      </c>
      <c r="R1388" s="4" t="s">
        <v>6916</v>
      </c>
    </row>
    <row r="1389">
      <c r="A1389" s="4" t="s">
        <v>44</v>
      </c>
      <c r="B1389" s="4" t="s">
        <v>44</v>
      </c>
      <c r="C1389" s="4">
        <v>1388.0</v>
      </c>
      <c r="D1389" s="13" t="str">
        <f>HYPERLINK("https://www.linkedin.com/ad-library/detail/747728444","Open Ad")</f>
        <v>Open Ad</v>
      </c>
      <c r="E1389" s="4" t="s">
        <v>91</v>
      </c>
      <c r="F1389" s="4" t="s">
        <v>53</v>
      </c>
      <c r="G1389" s="4" t="s">
        <v>6915</v>
      </c>
      <c r="H1389" s="4" t="s">
        <v>55</v>
      </c>
      <c r="I1389" s="4" t="s">
        <v>985</v>
      </c>
      <c r="J1389" s="4" t="s">
        <v>91</v>
      </c>
      <c r="K1389" s="4" t="s">
        <v>60</v>
      </c>
      <c r="L1389" s="4" t="s">
        <v>131</v>
      </c>
      <c r="M1389" s="4" t="s">
        <v>63</v>
      </c>
      <c r="N1389" s="4" t="s">
        <v>132</v>
      </c>
      <c r="O1389" s="2" t="s">
        <v>132</v>
      </c>
      <c r="P1389" s="2">
        <v>7.47728444E8</v>
      </c>
      <c r="Q1389" s="2" t="s">
        <v>68</v>
      </c>
      <c r="R1389" s="4" t="s">
        <v>6916</v>
      </c>
    </row>
    <row r="1390">
      <c r="A1390" s="4" t="s">
        <v>44</v>
      </c>
      <c r="B1390" s="4" t="s">
        <v>44</v>
      </c>
      <c r="C1390" s="4">
        <v>1389.0</v>
      </c>
      <c r="D1390" s="13" t="str">
        <f>HYPERLINK("https://www.linkedin.com/ad-library/detail/747909074","Open Ad")</f>
        <v>Open Ad</v>
      </c>
      <c r="E1390" s="4" t="s">
        <v>91</v>
      </c>
      <c r="F1390" s="4" t="s">
        <v>53</v>
      </c>
      <c r="G1390" s="4" t="s">
        <v>6915</v>
      </c>
      <c r="H1390" s="4" t="s">
        <v>55</v>
      </c>
      <c r="I1390" s="4" t="s">
        <v>985</v>
      </c>
      <c r="J1390" s="4" t="s">
        <v>91</v>
      </c>
      <c r="K1390" s="4" t="s">
        <v>60</v>
      </c>
      <c r="L1390" s="4" t="s">
        <v>131</v>
      </c>
      <c r="M1390" s="4" t="s">
        <v>63</v>
      </c>
      <c r="N1390" s="4" t="s">
        <v>132</v>
      </c>
      <c r="O1390" s="2" t="s">
        <v>132</v>
      </c>
      <c r="P1390" s="2">
        <v>7.47909074E8</v>
      </c>
      <c r="Q1390" s="2" t="s">
        <v>68</v>
      </c>
      <c r="R1390" s="4" t="s">
        <v>6916</v>
      </c>
    </row>
    <row r="1391">
      <c r="A1391" s="4" t="s">
        <v>44</v>
      </c>
      <c r="B1391" s="4" t="s">
        <v>44</v>
      </c>
      <c r="C1391" s="4">
        <v>1390.0</v>
      </c>
      <c r="D1391" s="13" t="str">
        <f>HYPERLINK("https://www.linkedin.com/ad-library/detail/747949994","Open Ad")</f>
        <v>Open Ad</v>
      </c>
      <c r="E1391" s="4" t="s">
        <v>91</v>
      </c>
      <c r="F1391" s="4" t="s">
        <v>53</v>
      </c>
      <c r="G1391" s="4" t="s">
        <v>6915</v>
      </c>
      <c r="H1391" s="4" t="s">
        <v>55</v>
      </c>
      <c r="I1391" s="4" t="s">
        <v>985</v>
      </c>
      <c r="J1391" s="4" t="s">
        <v>91</v>
      </c>
      <c r="K1391" s="4" t="s">
        <v>60</v>
      </c>
      <c r="L1391" s="4" t="s">
        <v>131</v>
      </c>
      <c r="M1391" s="4" t="s">
        <v>63</v>
      </c>
      <c r="N1391" s="4" t="s">
        <v>132</v>
      </c>
      <c r="O1391" s="2" t="s">
        <v>132</v>
      </c>
      <c r="P1391" s="2">
        <v>7.47949994E8</v>
      </c>
      <c r="Q1391" s="2" t="s">
        <v>68</v>
      </c>
      <c r="R1391" s="4" t="s">
        <v>6916</v>
      </c>
    </row>
    <row r="1392">
      <c r="A1392" s="4" t="s">
        <v>44</v>
      </c>
      <c r="B1392" s="4" t="s">
        <v>44</v>
      </c>
      <c r="C1392" s="4">
        <v>1391.0</v>
      </c>
      <c r="D1392" s="13" t="str">
        <f>HYPERLINK("https://www.linkedin.com/ad-library/detail/747704354","Open Ad")</f>
        <v>Open Ad</v>
      </c>
      <c r="E1392" s="4" t="s">
        <v>91</v>
      </c>
      <c r="F1392" s="4" t="s">
        <v>53</v>
      </c>
      <c r="G1392" s="4" t="s">
        <v>6915</v>
      </c>
      <c r="H1392" s="4" t="s">
        <v>55</v>
      </c>
      <c r="I1392" s="4" t="s">
        <v>985</v>
      </c>
      <c r="J1392" s="4" t="s">
        <v>91</v>
      </c>
      <c r="K1392" s="4" t="s">
        <v>60</v>
      </c>
      <c r="L1392" s="4" t="s">
        <v>131</v>
      </c>
      <c r="M1392" s="4" t="s">
        <v>63</v>
      </c>
      <c r="N1392" s="4" t="s">
        <v>132</v>
      </c>
      <c r="O1392" s="2" t="s">
        <v>132</v>
      </c>
      <c r="P1392" s="2">
        <v>7.47704354E8</v>
      </c>
      <c r="Q1392" s="2" t="s">
        <v>68</v>
      </c>
      <c r="R1392" s="4" t="s">
        <v>6916</v>
      </c>
    </row>
    <row r="1393">
      <c r="A1393" s="4" t="s">
        <v>44</v>
      </c>
      <c r="B1393" s="4" t="s">
        <v>44</v>
      </c>
      <c r="C1393" s="4">
        <v>1392.0</v>
      </c>
      <c r="D1393" s="13" t="str">
        <f>HYPERLINK("https://www.linkedin.com/ad-library/detail/747909054","Open Ad")</f>
        <v>Open Ad</v>
      </c>
      <c r="E1393" s="4" t="s">
        <v>91</v>
      </c>
      <c r="F1393" s="4" t="s">
        <v>53</v>
      </c>
      <c r="G1393" s="4" t="s">
        <v>6915</v>
      </c>
      <c r="H1393" s="4" t="s">
        <v>55</v>
      </c>
      <c r="I1393" s="4" t="s">
        <v>985</v>
      </c>
      <c r="J1393" s="4" t="s">
        <v>91</v>
      </c>
      <c r="K1393" s="4" t="s">
        <v>60</v>
      </c>
      <c r="L1393" s="4" t="s">
        <v>131</v>
      </c>
      <c r="M1393" s="4" t="s">
        <v>63</v>
      </c>
      <c r="N1393" s="4" t="s">
        <v>132</v>
      </c>
      <c r="O1393" s="2" t="s">
        <v>132</v>
      </c>
      <c r="P1393" s="2">
        <v>7.47909054E8</v>
      </c>
      <c r="Q1393" s="2" t="s">
        <v>68</v>
      </c>
      <c r="R1393" s="4" t="s">
        <v>6916</v>
      </c>
    </row>
    <row r="1394">
      <c r="A1394" s="4" t="s">
        <v>44</v>
      </c>
      <c r="B1394" s="4" t="s">
        <v>44</v>
      </c>
      <c r="C1394" s="4">
        <v>1393.0</v>
      </c>
      <c r="D1394" s="13" t="str">
        <f>HYPERLINK("https://www.linkedin.com/ad-library/detail/747611784","Open Ad")</f>
        <v>Open Ad</v>
      </c>
      <c r="E1394" s="4" t="s">
        <v>91</v>
      </c>
      <c r="F1394" s="4" t="s">
        <v>53</v>
      </c>
      <c r="G1394" s="4" t="s">
        <v>6915</v>
      </c>
      <c r="H1394" s="4" t="s">
        <v>55</v>
      </c>
      <c r="I1394" s="4" t="s">
        <v>985</v>
      </c>
      <c r="J1394" s="4" t="s">
        <v>91</v>
      </c>
      <c r="K1394" s="4" t="s">
        <v>60</v>
      </c>
      <c r="L1394" s="4" t="s">
        <v>131</v>
      </c>
      <c r="M1394" s="4" t="s">
        <v>63</v>
      </c>
      <c r="N1394" s="4" t="s">
        <v>132</v>
      </c>
      <c r="O1394" s="2" t="s">
        <v>132</v>
      </c>
      <c r="P1394" s="2">
        <v>7.47611784E8</v>
      </c>
      <c r="Q1394" s="2" t="s">
        <v>68</v>
      </c>
      <c r="R1394" s="4" t="s">
        <v>6916</v>
      </c>
    </row>
    <row r="1395">
      <c r="A1395" s="4" t="s">
        <v>44</v>
      </c>
      <c r="B1395" s="4" t="s">
        <v>44</v>
      </c>
      <c r="C1395" s="4">
        <v>1394.0</v>
      </c>
      <c r="D1395" s="13" t="str">
        <f>HYPERLINK("https://www.linkedin.com/ad-library/detail/747501994","Open Ad")</f>
        <v>Open Ad</v>
      </c>
      <c r="E1395" s="4" t="s">
        <v>91</v>
      </c>
      <c r="F1395" s="4" t="s">
        <v>53</v>
      </c>
      <c r="G1395" s="4" t="s">
        <v>6915</v>
      </c>
      <c r="H1395" s="4" t="s">
        <v>55</v>
      </c>
      <c r="I1395" s="4" t="s">
        <v>985</v>
      </c>
      <c r="J1395" s="4" t="s">
        <v>91</v>
      </c>
      <c r="K1395" s="4" t="s">
        <v>60</v>
      </c>
      <c r="L1395" s="4" t="s">
        <v>131</v>
      </c>
      <c r="M1395" s="4" t="s">
        <v>63</v>
      </c>
      <c r="N1395" s="4" t="s">
        <v>132</v>
      </c>
      <c r="O1395" s="2" t="s">
        <v>132</v>
      </c>
      <c r="P1395" s="2">
        <v>7.47501994E8</v>
      </c>
      <c r="Q1395" s="2" t="s">
        <v>68</v>
      </c>
      <c r="R1395" s="4" t="s">
        <v>6916</v>
      </c>
    </row>
    <row r="1396">
      <c r="A1396" s="4" t="s">
        <v>44</v>
      </c>
      <c r="B1396" s="4" t="s">
        <v>44</v>
      </c>
      <c r="C1396" s="4">
        <v>1395.0</v>
      </c>
      <c r="D1396" s="13" t="str">
        <f>HYPERLINK("https://www.linkedin.com/ad-library/detail/747582404","Open Ad")</f>
        <v>Open Ad</v>
      </c>
      <c r="E1396" s="4" t="s">
        <v>91</v>
      </c>
      <c r="F1396" s="4" t="s">
        <v>53</v>
      </c>
      <c r="G1396" s="4" t="s">
        <v>6915</v>
      </c>
      <c r="H1396" s="4" t="s">
        <v>55</v>
      </c>
      <c r="I1396" s="4" t="s">
        <v>985</v>
      </c>
      <c r="J1396" s="4" t="s">
        <v>91</v>
      </c>
      <c r="K1396" s="4" t="s">
        <v>60</v>
      </c>
      <c r="L1396" s="4" t="s">
        <v>131</v>
      </c>
      <c r="M1396" s="4" t="s">
        <v>63</v>
      </c>
      <c r="N1396" s="4" t="s">
        <v>132</v>
      </c>
      <c r="O1396" s="2" t="s">
        <v>132</v>
      </c>
      <c r="P1396" s="2">
        <v>7.47582404E8</v>
      </c>
      <c r="Q1396" s="2" t="s">
        <v>68</v>
      </c>
      <c r="R1396" s="4" t="s">
        <v>6916</v>
      </c>
    </row>
    <row r="1397">
      <c r="A1397" s="4" t="s">
        <v>44</v>
      </c>
      <c r="B1397" s="4" t="s">
        <v>44</v>
      </c>
      <c r="C1397" s="4">
        <v>1396.0</v>
      </c>
      <c r="D1397" s="13" t="str">
        <f>HYPERLINK("https://www.linkedin.com/ad-library/detail/747452654","Open Ad")</f>
        <v>Open Ad</v>
      </c>
      <c r="E1397" s="4" t="s">
        <v>91</v>
      </c>
      <c r="F1397" s="4" t="s">
        <v>53</v>
      </c>
      <c r="G1397" s="4" t="s">
        <v>6915</v>
      </c>
      <c r="H1397" s="4" t="s">
        <v>55</v>
      </c>
      <c r="I1397" s="4" t="s">
        <v>985</v>
      </c>
      <c r="J1397" s="4" t="s">
        <v>91</v>
      </c>
      <c r="K1397" s="4" t="s">
        <v>60</v>
      </c>
      <c r="L1397" s="4" t="s">
        <v>131</v>
      </c>
      <c r="M1397" s="4" t="s">
        <v>63</v>
      </c>
      <c r="N1397" s="4" t="s">
        <v>132</v>
      </c>
      <c r="O1397" s="2" t="s">
        <v>132</v>
      </c>
      <c r="P1397" s="2">
        <v>7.47452654E8</v>
      </c>
      <c r="Q1397" s="2" t="s">
        <v>68</v>
      </c>
      <c r="R1397" s="4" t="s">
        <v>6916</v>
      </c>
    </row>
    <row r="1398">
      <c r="A1398" s="4" t="s">
        <v>44</v>
      </c>
      <c r="B1398" s="4" t="s">
        <v>44</v>
      </c>
      <c r="C1398" s="4">
        <v>1397.0</v>
      </c>
      <c r="D1398" s="13" t="str">
        <f>HYPERLINK("https://www.linkedin.com/ad-library/detail/747681744","Open Ad")</f>
        <v>Open Ad</v>
      </c>
      <c r="E1398" s="4" t="s">
        <v>91</v>
      </c>
      <c r="F1398" s="4" t="s">
        <v>53</v>
      </c>
      <c r="G1398" s="4" t="s">
        <v>6915</v>
      </c>
      <c r="H1398" s="4" t="s">
        <v>55</v>
      </c>
      <c r="I1398" s="4" t="s">
        <v>985</v>
      </c>
      <c r="J1398" s="4" t="s">
        <v>91</v>
      </c>
      <c r="K1398" s="4" t="s">
        <v>60</v>
      </c>
      <c r="L1398" s="4" t="s">
        <v>131</v>
      </c>
      <c r="M1398" s="4" t="s">
        <v>63</v>
      </c>
      <c r="N1398" s="4" t="s">
        <v>132</v>
      </c>
      <c r="O1398" s="2" t="s">
        <v>132</v>
      </c>
      <c r="P1398" s="2">
        <v>7.47681744E8</v>
      </c>
      <c r="Q1398" s="2" t="s">
        <v>68</v>
      </c>
      <c r="R1398" s="4" t="s">
        <v>6916</v>
      </c>
    </row>
    <row r="1399">
      <c r="A1399" s="4" t="s">
        <v>44</v>
      </c>
      <c r="B1399" s="4" t="s">
        <v>44</v>
      </c>
      <c r="C1399" s="4">
        <v>1398.0</v>
      </c>
      <c r="D1399" s="13" t="str">
        <f>HYPERLINK("https://www.linkedin.com/ad-library/detail/747452644","Open Ad")</f>
        <v>Open Ad</v>
      </c>
      <c r="E1399" s="4" t="s">
        <v>91</v>
      </c>
      <c r="F1399" s="4" t="s">
        <v>53</v>
      </c>
      <c r="G1399" s="4" t="s">
        <v>6915</v>
      </c>
      <c r="H1399" s="4" t="s">
        <v>55</v>
      </c>
      <c r="I1399" s="4" t="s">
        <v>985</v>
      </c>
      <c r="J1399" s="4" t="s">
        <v>91</v>
      </c>
      <c r="K1399" s="4" t="s">
        <v>60</v>
      </c>
      <c r="L1399" s="4" t="s">
        <v>131</v>
      </c>
      <c r="M1399" s="4" t="s">
        <v>63</v>
      </c>
      <c r="N1399" s="4" t="s">
        <v>132</v>
      </c>
      <c r="O1399" s="2" t="s">
        <v>132</v>
      </c>
      <c r="P1399" s="2">
        <v>7.47452644E8</v>
      </c>
      <c r="Q1399" s="2" t="s">
        <v>68</v>
      </c>
      <c r="R1399" s="4" t="s">
        <v>6916</v>
      </c>
    </row>
    <row r="1400">
      <c r="A1400" s="4" t="s">
        <v>44</v>
      </c>
      <c r="B1400" s="4" t="s">
        <v>44</v>
      </c>
      <c r="C1400" s="4">
        <v>1399.0</v>
      </c>
      <c r="D1400" s="13" t="str">
        <f>HYPERLINK("https://www.linkedin.com/ad-library/detail/747491994","Open Ad")</f>
        <v>Open Ad</v>
      </c>
      <c r="E1400" s="4" t="s">
        <v>91</v>
      </c>
      <c r="F1400" s="4" t="s">
        <v>53</v>
      </c>
      <c r="G1400" s="4" t="s">
        <v>6915</v>
      </c>
      <c r="H1400" s="4" t="s">
        <v>55</v>
      </c>
      <c r="I1400" s="4" t="s">
        <v>985</v>
      </c>
      <c r="J1400" s="4" t="s">
        <v>91</v>
      </c>
      <c r="K1400" s="4" t="s">
        <v>60</v>
      </c>
      <c r="L1400" s="4" t="s">
        <v>131</v>
      </c>
      <c r="M1400" s="4" t="s">
        <v>63</v>
      </c>
      <c r="N1400" s="4" t="s">
        <v>132</v>
      </c>
      <c r="O1400" s="2" t="s">
        <v>132</v>
      </c>
      <c r="P1400" s="2">
        <v>7.47491994E8</v>
      </c>
      <c r="Q1400" s="2" t="s">
        <v>68</v>
      </c>
      <c r="R1400" s="4" t="s">
        <v>6916</v>
      </c>
    </row>
    <row r="1401">
      <c r="A1401" s="4" t="s">
        <v>44</v>
      </c>
      <c r="B1401" s="4" t="s">
        <v>44</v>
      </c>
      <c r="C1401" s="4">
        <v>1400.0</v>
      </c>
      <c r="D1401" s="13" t="str">
        <f>HYPERLINK("https://www.linkedin.com/ad-library/detail/747492004","Open Ad")</f>
        <v>Open Ad</v>
      </c>
      <c r="E1401" s="4" t="s">
        <v>91</v>
      </c>
      <c r="F1401" s="4" t="s">
        <v>53</v>
      </c>
      <c r="G1401" s="4" t="s">
        <v>6915</v>
      </c>
      <c r="H1401" s="4" t="s">
        <v>55</v>
      </c>
      <c r="I1401" s="4" t="s">
        <v>985</v>
      </c>
      <c r="J1401" s="4" t="s">
        <v>91</v>
      </c>
      <c r="K1401" s="4" t="s">
        <v>60</v>
      </c>
      <c r="L1401" s="4" t="s">
        <v>131</v>
      </c>
      <c r="M1401" s="4" t="s">
        <v>63</v>
      </c>
      <c r="N1401" s="4" t="s">
        <v>132</v>
      </c>
      <c r="O1401" s="2" t="s">
        <v>132</v>
      </c>
      <c r="P1401" s="2">
        <v>7.47492004E8</v>
      </c>
      <c r="Q1401" s="2" t="s">
        <v>68</v>
      </c>
      <c r="R1401" s="4" t="s">
        <v>6916</v>
      </c>
    </row>
    <row r="1402">
      <c r="A1402" s="4" t="s">
        <v>44</v>
      </c>
      <c r="B1402" s="4" t="s">
        <v>44</v>
      </c>
      <c r="C1402" s="4">
        <v>1401.0</v>
      </c>
      <c r="D1402" s="13" t="str">
        <f>HYPERLINK("https://www.linkedin.com/ad-library/detail/747471894","Open Ad")</f>
        <v>Open Ad</v>
      </c>
      <c r="E1402" s="4" t="s">
        <v>91</v>
      </c>
      <c r="F1402" s="4" t="s">
        <v>53</v>
      </c>
      <c r="G1402" s="4" t="s">
        <v>6915</v>
      </c>
      <c r="H1402" s="4" t="s">
        <v>55</v>
      </c>
      <c r="I1402" s="4" t="s">
        <v>985</v>
      </c>
      <c r="J1402" s="4" t="s">
        <v>91</v>
      </c>
      <c r="K1402" s="4" t="s">
        <v>60</v>
      </c>
      <c r="L1402" s="4" t="s">
        <v>131</v>
      </c>
      <c r="M1402" s="4" t="s">
        <v>63</v>
      </c>
      <c r="N1402" s="4" t="s">
        <v>132</v>
      </c>
      <c r="O1402" s="2" t="s">
        <v>132</v>
      </c>
      <c r="P1402" s="2">
        <v>7.47471894E8</v>
      </c>
      <c r="Q1402" s="2" t="s">
        <v>68</v>
      </c>
      <c r="R1402" s="4" t="s">
        <v>6916</v>
      </c>
    </row>
    <row r="1403">
      <c r="A1403" s="4" t="s">
        <v>44</v>
      </c>
      <c r="B1403" s="4" t="s">
        <v>44</v>
      </c>
      <c r="C1403" s="4">
        <v>1402.0</v>
      </c>
      <c r="D1403" s="13" t="str">
        <f>HYPERLINK("https://www.linkedin.com/ad-library/detail/747471884","Open Ad")</f>
        <v>Open Ad</v>
      </c>
      <c r="E1403" s="4" t="s">
        <v>91</v>
      </c>
      <c r="F1403" s="4" t="s">
        <v>53</v>
      </c>
      <c r="G1403" s="4" t="s">
        <v>6915</v>
      </c>
      <c r="H1403" s="4" t="s">
        <v>55</v>
      </c>
      <c r="I1403" s="4" t="s">
        <v>985</v>
      </c>
      <c r="J1403" s="4" t="s">
        <v>91</v>
      </c>
      <c r="K1403" s="4" t="s">
        <v>60</v>
      </c>
      <c r="L1403" s="4" t="s">
        <v>131</v>
      </c>
      <c r="M1403" s="4" t="s">
        <v>63</v>
      </c>
      <c r="N1403" s="4" t="s">
        <v>132</v>
      </c>
      <c r="O1403" s="2" t="s">
        <v>132</v>
      </c>
      <c r="P1403" s="2">
        <v>7.47471884E8</v>
      </c>
      <c r="Q1403" s="2" t="s">
        <v>68</v>
      </c>
      <c r="R1403" s="4" t="s">
        <v>6916</v>
      </c>
    </row>
    <row r="1404">
      <c r="A1404" s="4" t="s">
        <v>44</v>
      </c>
      <c r="B1404" s="4" t="s">
        <v>44</v>
      </c>
      <c r="C1404" s="4">
        <v>1403.0</v>
      </c>
      <c r="D1404" s="13" t="str">
        <f>HYPERLINK("https://www.linkedin.com/ad-library/detail/747395494","Open Ad")</f>
        <v>Open Ad</v>
      </c>
      <c r="E1404" s="4" t="s">
        <v>91</v>
      </c>
      <c r="F1404" s="4" t="s">
        <v>53</v>
      </c>
      <c r="G1404" s="4" t="s">
        <v>6915</v>
      </c>
      <c r="H1404" s="4" t="s">
        <v>55</v>
      </c>
      <c r="I1404" s="4" t="s">
        <v>985</v>
      </c>
      <c r="J1404" s="4" t="s">
        <v>91</v>
      </c>
      <c r="K1404" s="4" t="s">
        <v>60</v>
      </c>
      <c r="L1404" s="4" t="s">
        <v>131</v>
      </c>
      <c r="M1404" s="4" t="s">
        <v>63</v>
      </c>
      <c r="N1404" s="4" t="s">
        <v>132</v>
      </c>
      <c r="O1404" s="2" t="s">
        <v>132</v>
      </c>
      <c r="P1404" s="2">
        <v>7.47395494E8</v>
      </c>
      <c r="Q1404" s="2" t="s">
        <v>68</v>
      </c>
      <c r="R1404" s="4" t="s">
        <v>6916</v>
      </c>
    </row>
    <row r="1405">
      <c r="A1405" s="4" t="s">
        <v>44</v>
      </c>
      <c r="B1405" s="4" t="s">
        <v>44</v>
      </c>
      <c r="C1405" s="4">
        <v>1404.0</v>
      </c>
      <c r="D1405" s="13" t="str">
        <f>HYPERLINK("https://www.linkedin.com/ad-library/detail/747711314","Open Ad")</f>
        <v>Open Ad</v>
      </c>
      <c r="E1405" s="4" t="s">
        <v>91</v>
      </c>
      <c r="F1405" s="4" t="s">
        <v>53</v>
      </c>
      <c r="G1405" s="4" t="s">
        <v>6915</v>
      </c>
      <c r="H1405" s="4" t="s">
        <v>55</v>
      </c>
      <c r="I1405" s="4" t="s">
        <v>985</v>
      </c>
      <c r="J1405" s="4" t="s">
        <v>91</v>
      </c>
      <c r="K1405" s="4" t="s">
        <v>60</v>
      </c>
      <c r="L1405" s="4" t="s">
        <v>131</v>
      </c>
      <c r="M1405" s="4" t="s">
        <v>63</v>
      </c>
      <c r="N1405" s="4" t="s">
        <v>132</v>
      </c>
      <c r="O1405" s="2" t="s">
        <v>132</v>
      </c>
      <c r="P1405" s="2">
        <v>7.47711314E8</v>
      </c>
      <c r="Q1405" s="2" t="s">
        <v>68</v>
      </c>
      <c r="R1405" s="4" t="s">
        <v>6916</v>
      </c>
    </row>
    <row r="1406">
      <c r="A1406" s="4" t="s">
        <v>44</v>
      </c>
      <c r="B1406" s="4" t="s">
        <v>44</v>
      </c>
      <c r="C1406" s="4">
        <v>1405.0</v>
      </c>
      <c r="D1406" s="13" t="str">
        <f>HYPERLINK("https://www.linkedin.com/ad-library/detail/747425074","Open Ad")</f>
        <v>Open Ad</v>
      </c>
      <c r="E1406" s="4" t="s">
        <v>91</v>
      </c>
      <c r="F1406" s="4" t="s">
        <v>53</v>
      </c>
      <c r="G1406" s="4" t="s">
        <v>6915</v>
      </c>
      <c r="H1406" s="4" t="s">
        <v>55</v>
      </c>
      <c r="I1406" s="4" t="s">
        <v>985</v>
      </c>
      <c r="J1406" s="4" t="s">
        <v>91</v>
      </c>
      <c r="K1406" s="4" t="s">
        <v>60</v>
      </c>
      <c r="L1406" s="4" t="s">
        <v>131</v>
      </c>
      <c r="M1406" s="4" t="s">
        <v>63</v>
      </c>
      <c r="N1406" s="4" t="s">
        <v>132</v>
      </c>
      <c r="O1406" s="2" t="s">
        <v>132</v>
      </c>
      <c r="P1406" s="2">
        <v>7.47425074E8</v>
      </c>
      <c r="Q1406" s="2" t="s">
        <v>68</v>
      </c>
      <c r="R1406" s="4" t="s">
        <v>6916</v>
      </c>
    </row>
    <row r="1407">
      <c r="A1407" s="4" t="s">
        <v>44</v>
      </c>
      <c r="B1407" s="4" t="s">
        <v>44</v>
      </c>
      <c r="C1407" s="4">
        <v>1406.0</v>
      </c>
      <c r="D1407" s="13" t="str">
        <f>HYPERLINK("https://www.linkedin.com/ad-library/detail/747540964","Open Ad")</f>
        <v>Open Ad</v>
      </c>
      <c r="E1407" s="4" t="s">
        <v>91</v>
      </c>
      <c r="F1407" s="4" t="s">
        <v>53</v>
      </c>
      <c r="G1407" s="4" t="s">
        <v>6915</v>
      </c>
      <c r="H1407" s="4" t="s">
        <v>55</v>
      </c>
      <c r="I1407" s="4" t="s">
        <v>985</v>
      </c>
      <c r="J1407" s="4" t="s">
        <v>91</v>
      </c>
      <c r="K1407" s="4" t="s">
        <v>60</v>
      </c>
      <c r="L1407" s="4" t="s">
        <v>131</v>
      </c>
      <c r="M1407" s="4" t="s">
        <v>63</v>
      </c>
      <c r="N1407" s="4" t="s">
        <v>132</v>
      </c>
      <c r="O1407" s="2" t="s">
        <v>132</v>
      </c>
      <c r="P1407" s="2">
        <v>7.47540964E8</v>
      </c>
      <c r="Q1407" s="2" t="s">
        <v>68</v>
      </c>
      <c r="R1407" s="4" t="s">
        <v>6916</v>
      </c>
    </row>
    <row r="1408">
      <c r="A1408" s="4" t="s">
        <v>44</v>
      </c>
      <c r="B1408" s="4" t="s">
        <v>44</v>
      </c>
      <c r="C1408" s="4">
        <v>1407.0</v>
      </c>
      <c r="D1408" s="13" t="str">
        <f>HYPERLINK("https://www.linkedin.com/ad-library/detail/747482054","Open Ad")</f>
        <v>Open Ad</v>
      </c>
      <c r="E1408" s="4" t="s">
        <v>91</v>
      </c>
      <c r="F1408" s="4" t="s">
        <v>53</v>
      </c>
      <c r="G1408" s="4" t="s">
        <v>6915</v>
      </c>
      <c r="H1408" s="4" t="s">
        <v>55</v>
      </c>
      <c r="I1408" s="4" t="s">
        <v>985</v>
      </c>
      <c r="J1408" s="4" t="s">
        <v>91</v>
      </c>
      <c r="K1408" s="4" t="s">
        <v>60</v>
      </c>
      <c r="L1408" s="4" t="s">
        <v>131</v>
      </c>
      <c r="M1408" s="4" t="s">
        <v>63</v>
      </c>
      <c r="N1408" s="4" t="s">
        <v>132</v>
      </c>
      <c r="O1408" s="2" t="s">
        <v>132</v>
      </c>
      <c r="P1408" s="2">
        <v>7.47482054E8</v>
      </c>
      <c r="Q1408" s="2" t="s">
        <v>68</v>
      </c>
      <c r="R1408" s="4" t="s">
        <v>6916</v>
      </c>
    </row>
    <row r="1409">
      <c r="A1409" s="4" t="s">
        <v>44</v>
      </c>
      <c r="B1409" s="4" t="s">
        <v>44</v>
      </c>
      <c r="C1409" s="4">
        <v>1408.0</v>
      </c>
      <c r="D1409" s="13" t="str">
        <f>HYPERLINK("https://www.linkedin.com/ad-library/detail/747432624","Open Ad")</f>
        <v>Open Ad</v>
      </c>
      <c r="E1409" s="4" t="s">
        <v>91</v>
      </c>
      <c r="F1409" s="4" t="s">
        <v>53</v>
      </c>
      <c r="G1409" s="4" t="s">
        <v>6915</v>
      </c>
      <c r="H1409" s="4" t="s">
        <v>55</v>
      </c>
      <c r="I1409" s="4" t="s">
        <v>985</v>
      </c>
      <c r="J1409" s="4" t="s">
        <v>91</v>
      </c>
      <c r="K1409" s="4" t="s">
        <v>60</v>
      </c>
      <c r="L1409" s="4" t="s">
        <v>131</v>
      </c>
      <c r="M1409" s="4" t="s">
        <v>63</v>
      </c>
      <c r="N1409" s="4" t="s">
        <v>132</v>
      </c>
      <c r="O1409" s="2" t="s">
        <v>132</v>
      </c>
      <c r="P1409" s="2">
        <v>7.47432624E8</v>
      </c>
      <c r="Q1409" s="2" t="s">
        <v>68</v>
      </c>
      <c r="R1409" s="4" t="s">
        <v>6916</v>
      </c>
    </row>
    <row r="1410">
      <c r="A1410" s="4" t="s">
        <v>44</v>
      </c>
      <c r="B1410" s="4" t="s">
        <v>44</v>
      </c>
      <c r="C1410" s="4">
        <v>1409.0</v>
      </c>
      <c r="D1410" s="13" t="str">
        <f>HYPERLINK("https://www.linkedin.com/ad-library/detail/747482064","Open Ad")</f>
        <v>Open Ad</v>
      </c>
      <c r="E1410" s="4" t="s">
        <v>91</v>
      </c>
      <c r="F1410" s="4" t="s">
        <v>53</v>
      </c>
      <c r="G1410" s="4" t="s">
        <v>6915</v>
      </c>
      <c r="H1410" s="4" t="s">
        <v>55</v>
      </c>
      <c r="I1410" s="4" t="s">
        <v>985</v>
      </c>
      <c r="J1410" s="4" t="s">
        <v>91</v>
      </c>
      <c r="K1410" s="4" t="s">
        <v>60</v>
      </c>
      <c r="L1410" s="4" t="s">
        <v>131</v>
      </c>
      <c r="M1410" s="4" t="s">
        <v>63</v>
      </c>
      <c r="N1410" s="4" t="s">
        <v>132</v>
      </c>
      <c r="O1410" s="2" t="s">
        <v>132</v>
      </c>
      <c r="P1410" s="2">
        <v>7.47482064E8</v>
      </c>
      <c r="Q1410" s="2" t="s">
        <v>68</v>
      </c>
      <c r="R1410" s="4" t="s">
        <v>6916</v>
      </c>
    </row>
    <row r="1411">
      <c r="A1411" s="4" t="s">
        <v>44</v>
      </c>
      <c r="B1411" s="4" t="s">
        <v>44</v>
      </c>
      <c r="C1411" s="4">
        <v>1410.0</v>
      </c>
      <c r="D1411" s="13" t="str">
        <f>HYPERLINK("https://www.linkedin.com/ad-library/detail/747540934","Open Ad")</f>
        <v>Open Ad</v>
      </c>
      <c r="E1411" s="4" t="s">
        <v>91</v>
      </c>
      <c r="F1411" s="4" t="s">
        <v>53</v>
      </c>
      <c r="G1411" s="4" t="s">
        <v>6915</v>
      </c>
      <c r="H1411" s="4" t="s">
        <v>55</v>
      </c>
      <c r="I1411" s="4" t="s">
        <v>985</v>
      </c>
      <c r="J1411" s="4" t="s">
        <v>91</v>
      </c>
      <c r="K1411" s="4" t="s">
        <v>60</v>
      </c>
      <c r="L1411" s="4" t="s">
        <v>131</v>
      </c>
      <c r="M1411" s="4" t="s">
        <v>63</v>
      </c>
      <c r="N1411" s="4" t="s">
        <v>132</v>
      </c>
      <c r="O1411" s="2" t="s">
        <v>132</v>
      </c>
      <c r="P1411" s="2">
        <v>7.47540934E8</v>
      </c>
      <c r="Q1411" s="2" t="s">
        <v>68</v>
      </c>
      <c r="R1411" s="4" t="s">
        <v>6916</v>
      </c>
    </row>
    <row r="1412">
      <c r="A1412" s="4" t="s">
        <v>44</v>
      </c>
      <c r="B1412" s="4" t="s">
        <v>44</v>
      </c>
      <c r="C1412" s="4">
        <v>1411.0</v>
      </c>
      <c r="D1412" s="13" t="str">
        <f>HYPERLINK("https://www.linkedin.com/ad-library/detail/747721274","Open Ad")</f>
        <v>Open Ad</v>
      </c>
      <c r="E1412" s="4" t="s">
        <v>91</v>
      </c>
      <c r="F1412" s="4" t="s">
        <v>53</v>
      </c>
      <c r="G1412" s="4" t="s">
        <v>6915</v>
      </c>
      <c r="H1412" s="4" t="s">
        <v>55</v>
      </c>
      <c r="I1412" s="4" t="s">
        <v>985</v>
      </c>
      <c r="J1412" s="4" t="s">
        <v>91</v>
      </c>
      <c r="K1412" s="4" t="s">
        <v>60</v>
      </c>
      <c r="L1412" s="4" t="s">
        <v>131</v>
      </c>
      <c r="M1412" s="4" t="s">
        <v>63</v>
      </c>
      <c r="N1412" s="4" t="s">
        <v>132</v>
      </c>
      <c r="O1412" s="2" t="s">
        <v>132</v>
      </c>
      <c r="P1412" s="2">
        <v>7.47721274E8</v>
      </c>
      <c r="Q1412" s="2" t="s">
        <v>68</v>
      </c>
      <c r="R1412" s="4" t="s">
        <v>6916</v>
      </c>
    </row>
    <row r="1413">
      <c r="A1413" s="4" t="s">
        <v>44</v>
      </c>
      <c r="B1413" s="4" t="s">
        <v>44</v>
      </c>
      <c r="C1413" s="4">
        <v>1412.0</v>
      </c>
      <c r="D1413" s="13" t="str">
        <f>HYPERLINK("https://www.linkedin.com/ad-library/detail/747442654","Open Ad")</f>
        <v>Open Ad</v>
      </c>
      <c r="E1413" s="4" t="s">
        <v>91</v>
      </c>
      <c r="F1413" s="4" t="s">
        <v>53</v>
      </c>
      <c r="G1413" s="4" t="s">
        <v>6915</v>
      </c>
      <c r="H1413" s="4" t="s">
        <v>55</v>
      </c>
      <c r="I1413" s="4" t="s">
        <v>985</v>
      </c>
      <c r="J1413" s="4" t="s">
        <v>91</v>
      </c>
      <c r="K1413" s="4" t="s">
        <v>60</v>
      </c>
      <c r="L1413" s="4" t="s">
        <v>131</v>
      </c>
      <c r="M1413" s="4" t="s">
        <v>63</v>
      </c>
      <c r="N1413" s="4" t="s">
        <v>132</v>
      </c>
      <c r="O1413" s="2" t="s">
        <v>132</v>
      </c>
      <c r="P1413" s="2">
        <v>7.47442654E8</v>
      </c>
      <c r="Q1413" s="2" t="s">
        <v>68</v>
      </c>
      <c r="R1413" s="4" t="s">
        <v>6916</v>
      </c>
    </row>
    <row r="1414">
      <c r="A1414" s="4" t="s">
        <v>44</v>
      </c>
      <c r="B1414" s="4" t="s">
        <v>44</v>
      </c>
      <c r="C1414" s="4">
        <v>1413.0</v>
      </c>
      <c r="D1414" s="13" t="str">
        <f>HYPERLINK("https://www.linkedin.com/ad-library/detail/747540954","Open Ad")</f>
        <v>Open Ad</v>
      </c>
      <c r="E1414" s="4" t="s">
        <v>91</v>
      </c>
      <c r="F1414" s="4" t="s">
        <v>7517</v>
      </c>
      <c r="G1414" s="4" t="s">
        <v>7518</v>
      </c>
      <c r="H1414" s="4" t="s">
        <v>55</v>
      </c>
      <c r="I1414" s="4" t="s">
        <v>228</v>
      </c>
      <c r="J1414" s="4" t="s">
        <v>91</v>
      </c>
      <c r="K1414" s="13" t="str">
        <f>HYPERLINK("https://media.licdn.com/dms/image/v2/D4E10AQE6efWM2643HQ/image-shrink_1280/B4EZkQ06u9IsAM-/0/1756923932704?e=2147483647&amp;v=beta&amp;t=1ZjorN4EAvxLw9DZmc6iOcQwR-I7qsCpYPcn1IRhY_w","Open Creative")</f>
        <v>Open Creative</v>
      </c>
      <c r="L1414" s="4" t="s">
        <v>62</v>
      </c>
      <c r="M1414" s="4" t="s">
        <v>63</v>
      </c>
      <c r="N1414" s="4" t="s">
        <v>7519</v>
      </c>
      <c r="O1414" s="2" t="s">
        <v>132</v>
      </c>
      <c r="P1414" s="2">
        <v>7.47540954E8</v>
      </c>
      <c r="Q1414" s="2" t="s">
        <v>68</v>
      </c>
      <c r="R1414" s="4" t="s">
        <v>7520</v>
      </c>
    </row>
    <row r="1415">
      <c r="A1415" s="4" t="s">
        <v>44</v>
      </c>
      <c r="B1415" s="4" t="s">
        <v>44</v>
      </c>
      <c r="C1415" s="4">
        <v>1414.0</v>
      </c>
      <c r="D1415" s="13" t="str">
        <f>HYPERLINK("https://www.linkedin.com/ad-library/detail/747442644","Open Ad")</f>
        <v>Open Ad</v>
      </c>
      <c r="E1415" s="4" t="s">
        <v>91</v>
      </c>
      <c r="F1415" s="4" t="s">
        <v>53</v>
      </c>
      <c r="G1415" s="4" t="s">
        <v>6915</v>
      </c>
      <c r="H1415" s="4" t="s">
        <v>55</v>
      </c>
      <c r="I1415" s="4" t="s">
        <v>985</v>
      </c>
      <c r="J1415" s="4" t="s">
        <v>91</v>
      </c>
      <c r="K1415" s="4" t="s">
        <v>60</v>
      </c>
      <c r="L1415" s="4" t="s">
        <v>131</v>
      </c>
      <c r="M1415" s="4" t="s">
        <v>63</v>
      </c>
      <c r="N1415" s="4" t="s">
        <v>132</v>
      </c>
      <c r="O1415" s="2" t="s">
        <v>132</v>
      </c>
      <c r="P1415" s="2">
        <v>7.47442644E8</v>
      </c>
      <c r="Q1415" s="2" t="s">
        <v>68</v>
      </c>
      <c r="R1415" s="4" t="s">
        <v>6916</v>
      </c>
    </row>
    <row r="1416">
      <c r="A1416" s="4" t="s">
        <v>44</v>
      </c>
      <c r="B1416" s="4" t="s">
        <v>44</v>
      </c>
      <c r="C1416" s="4">
        <v>1415.0</v>
      </c>
      <c r="D1416" s="13" t="str">
        <f>HYPERLINK("https://www.linkedin.com/ad-library/detail/747540944","Open Ad")</f>
        <v>Open Ad</v>
      </c>
      <c r="E1416" s="4" t="s">
        <v>91</v>
      </c>
      <c r="F1416" s="4" t="s">
        <v>53</v>
      </c>
      <c r="G1416" s="4" t="s">
        <v>6915</v>
      </c>
      <c r="H1416" s="4" t="s">
        <v>55</v>
      </c>
      <c r="I1416" s="4" t="s">
        <v>985</v>
      </c>
      <c r="J1416" s="4" t="s">
        <v>91</v>
      </c>
      <c r="K1416" s="4" t="s">
        <v>60</v>
      </c>
      <c r="L1416" s="4" t="s">
        <v>131</v>
      </c>
      <c r="M1416" s="4" t="s">
        <v>63</v>
      </c>
      <c r="N1416" s="4" t="s">
        <v>132</v>
      </c>
      <c r="O1416" s="2" t="s">
        <v>132</v>
      </c>
      <c r="P1416" s="2">
        <v>7.47540944E8</v>
      </c>
      <c r="Q1416" s="2" t="s">
        <v>68</v>
      </c>
      <c r="R1416" s="4" t="s">
        <v>6916</v>
      </c>
    </row>
    <row r="1417">
      <c r="A1417" s="4" t="s">
        <v>44</v>
      </c>
      <c r="B1417" s="4" t="s">
        <v>44</v>
      </c>
      <c r="C1417" s="4">
        <v>1416.0</v>
      </c>
      <c r="D1417" s="13" t="str">
        <f>HYPERLINK("https://www.linkedin.com/ad-library/detail/747405144","Open Ad")</f>
        <v>Open Ad</v>
      </c>
      <c r="E1417" s="4" t="s">
        <v>91</v>
      </c>
      <c r="F1417" s="4" t="s">
        <v>53</v>
      </c>
      <c r="G1417" s="4" t="s">
        <v>6915</v>
      </c>
      <c r="H1417" s="4" t="s">
        <v>55</v>
      </c>
      <c r="I1417" s="4" t="s">
        <v>985</v>
      </c>
      <c r="J1417" s="4" t="s">
        <v>91</v>
      </c>
      <c r="K1417" s="4" t="s">
        <v>60</v>
      </c>
      <c r="L1417" s="4" t="s">
        <v>131</v>
      </c>
      <c r="M1417" s="4" t="s">
        <v>63</v>
      </c>
      <c r="N1417" s="4" t="s">
        <v>132</v>
      </c>
      <c r="O1417" s="2" t="s">
        <v>132</v>
      </c>
      <c r="P1417" s="2">
        <v>7.47405144E8</v>
      </c>
      <c r="Q1417" s="2" t="s">
        <v>68</v>
      </c>
      <c r="R1417" s="4" t="s">
        <v>6916</v>
      </c>
    </row>
    <row r="1418">
      <c r="A1418" s="4" t="s">
        <v>44</v>
      </c>
      <c r="B1418" s="4" t="s">
        <v>44</v>
      </c>
      <c r="C1418" s="4">
        <v>1417.0</v>
      </c>
      <c r="D1418" s="13" t="str">
        <f>HYPERLINK("https://www.linkedin.com/ad-library/detail/747511904","Open Ad")</f>
        <v>Open Ad</v>
      </c>
      <c r="E1418" s="4" t="s">
        <v>91</v>
      </c>
      <c r="F1418" s="4" t="s">
        <v>53</v>
      </c>
      <c r="G1418" s="4" t="s">
        <v>6915</v>
      </c>
      <c r="H1418" s="4" t="s">
        <v>55</v>
      </c>
      <c r="I1418" s="4" t="s">
        <v>985</v>
      </c>
      <c r="J1418" s="4" t="s">
        <v>91</v>
      </c>
      <c r="K1418" s="4" t="s">
        <v>60</v>
      </c>
      <c r="L1418" s="4" t="s">
        <v>131</v>
      </c>
      <c r="M1418" s="4" t="s">
        <v>63</v>
      </c>
      <c r="N1418" s="4" t="s">
        <v>132</v>
      </c>
      <c r="O1418" s="2" t="s">
        <v>132</v>
      </c>
      <c r="P1418" s="2">
        <v>7.47511904E8</v>
      </c>
      <c r="Q1418" s="2" t="s">
        <v>68</v>
      </c>
      <c r="R1418" s="4" t="s">
        <v>6916</v>
      </c>
    </row>
    <row r="1419">
      <c r="A1419" s="4" t="s">
        <v>44</v>
      </c>
      <c r="B1419" s="4" t="s">
        <v>44</v>
      </c>
      <c r="C1419" s="4">
        <v>1418.0</v>
      </c>
      <c r="D1419" s="13" t="str">
        <f>HYPERLINK("https://www.linkedin.com/ad-library/detail/747462064","Open Ad")</f>
        <v>Open Ad</v>
      </c>
      <c r="E1419" s="4" t="s">
        <v>91</v>
      </c>
      <c r="F1419" s="4" t="s">
        <v>53</v>
      </c>
      <c r="G1419" s="4" t="s">
        <v>6915</v>
      </c>
      <c r="H1419" s="4" t="s">
        <v>55</v>
      </c>
      <c r="I1419" s="4" t="s">
        <v>985</v>
      </c>
      <c r="J1419" s="4" t="s">
        <v>91</v>
      </c>
      <c r="K1419" s="4" t="s">
        <v>60</v>
      </c>
      <c r="L1419" s="4" t="s">
        <v>131</v>
      </c>
      <c r="M1419" s="4" t="s">
        <v>63</v>
      </c>
      <c r="N1419" s="4" t="s">
        <v>132</v>
      </c>
      <c r="O1419" s="2" t="s">
        <v>132</v>
      </c>
      <c r="P1419" s="2">
        <v>7.47462064E8</v>
      </c>
      <c r="Q1419" s="2" t="s">
        <v>68</v>
      </c>
      <c r="R1419" s="4" t="s">
        <v>6916</v>
      </c>
    </row>
    <row r="1420">
      <c r="A1420" s="4" t="s">
        <v>44</v>
      </c>
      <c r="B1420" s="4" t="s">
        <v>44</v>
      </c>
      <c r="C1420" s="4">
        <v>1419.0</v>
      </c>
      <c r="D1420" s="13" t="str">
        <f>HYPERLINK("https://www.linkedin.com/ad-library/detail/747452614","Open Ad")</f>
        <v>Open Ad</v>
      </c>
      <c r="E1420" s="4" t="s">
        <v>91</v>
      </c>
      <c r="F1420" s="4" t="s">
        <v>53</v>
      </c>
      <c r="G1420" s="4" t="s">
        <v>6915</v>
      </c>
      <c r="H1420" s="4" t="s">
        <v>55</v>
      </c>
      <c r="I1420" s="4" t="s">
        <v>985</v>
      </c>
      <c r="J1420" s="4" t="s">
        <v>91</v>
      </c>
      <c r="K1420" s="4" t="s">
        <v>60</v>
      </c>
      <c r="L1420" s="4" t="s">
        <v>131</v>
      </c>
      <c r="M1420" s="4" t="s">
        <v>63</v>
      </c>
      <c r="N1420" s="4" t="s">
        <v>132</v>
      </c>
      <c r="O1420" s="2" t="s">
        <v>132</v>
      </c>
      <c r="P1420" s="2">
        <v>7.47452614E8</v>
      </c>
      <c r="Q1420" s="2" t="s">
        <v>68</v>
      </c>
      <c r="R1420" s="4" t="s">
        <v>6916</v>
      </c>
    </row>
    <row r="1421">
      <c r="A1421" s="4" t="s">
        <v>44</v>
      </c>
      <c r="B1421" s="4" t="s">
        <v>44</v>
      </c>
      <c r="C1421" s="4">
        <v>1420.0</v>
      </c>
      <c r="D1421" s="13" t="str">
        <f>HYPERLINK("https://www.linkedin.com/ad-library/detail/747531134","Open Ad")</f>
        <v>Open Ad</v>
      </c>
      <c r="E1421" s="4" t="s">
        <v>91</v>
      </c>
      <c r="F1421" s="4" t="s">
        <v>53</v>
      </c>
      <c r="G1421" s="4" t="s">
        <v>6915</v>
      </c>
      <c r="H1421" s="4" t="s">
        <v>55</v>
      </c>
      <c r="I1421" s="4" t="s">
        <v>985</v>
      </c>
      <c r="J1421" s="4" t="s">
        <v>91</v>
      </c>
      <c r="K1421" s="4" t="s">
        <v>60</v>
      </c>
      <c r="L1421" s="4" t="s">
        <v>131</v>
      </c>
      <c r="M1421" s="4" t="s">
        <v>63</v>
      </c>
      <c r="N1421" s="4" t="s">
        <v>132</v>
      </c>
      <c r="O1421" s="2" t="s">
        <v>132</v>
      </c>
      <c r="P1421" s="2">
        <v>7.47531134E8</v>
      </c>
      <c r="Q1421" s="2" t="s">
        <v>68</v>
      </c>
      <c r="R1421" s="4" t="s">
        <v>6916</v>
      </c>
    </row>
    <row r="1422">
      <c r="A1422" s="4" t="s">
        <v>44</v>
      </c>
      <c r="B1422" s="4" t="s">
        <v>44</v>
      </c>
      <c r="C1422" s="4">
        <v>1421.0</v>
      </c>
      <c r="D1422" s="13" t="str">
        <f>HYPERLINK("https://www.linkedin.com/ad-library/detail/747531114","Open Ad")</f>
        <v>Open Ad</v>
      </c>
      <c r="E1422" s="4" t="s">
        <v>91</v>
      </c>
      <c r="F1422" s="4" t="s">
        <v>53</v>
      </c>
      <c r="G1422" s="4" t="s">
        <v>6915</v>
      </c>
      <c r="H1422" s="4" t="s">
        <v>55</v>
      </c>
      <c r="I1422" s="4" t="s">
        <v>985</v>
      </c>
      <c r="J1422" s="4" t="s">
        <v>91</v>
      </c>
      <c r="K1422" s="4" t="s">
        <v>60</v>
      </c>
      <c r="L1422" s="4" t="s">
        <v>131</v>
      </c>
      <c r="M1422" s="4" t="s">
        <v>63</v>
      </c>
      <c r="N1422" s="4" t="s">
        <v>132</v>
      </c>
      <c r="O1422" s="2" t="s">
        <v>132</v>
      </c>
      <c r="P1422" s="2">
        <v>7.47531114E8</v>
      </c>
      <c r="Q1422" s="2" t="s">
        <v>68</v>
      </c>
      <c r="R1422" s="4" t="s">
        <v>6916</v>
      </c>
    </row>
    <row r="1423">
      <c r="A1423" s="4" t="s">
        <v>44</v>
      </c>
      <c r="B1423" s="4" t="s">
        <v>44</v>
      </c>
      <c r="C1423" s="4">
        <v>1422.0</v>
      </c>
      <c r="D1423" s="13" t="str">
        <f>HYPERLINK("https://www.linkedin.com/ad-library/detail/747511884","Open Ad")</f>
        <v>Open Ad</v>
      </c>
      <c r="E1423" s="4" t="s">
        <v>91</v>
      </c>
      <c r="F1423" s="4" t="s">
        <v>53</v>
      </c>
      <c r="G1423" s="4" t="s">
        <v>6915</v>
      </c>
      <c r="H1423" s="4" t="s">
        <v>55</v>
      </c>
      <c r="I1423" s="4" t="s">
        <v>985</v>
      </c>
      <c r="J1423" s="4" t="s">
        <v>91</v>
      </c>
      <c r="K1423" s="4" t="s">
        <v>60</v>
      </c>
      <c r="L1423" s="4" t="s">
        <v>131</v>
      </c>
      <c r="M1423" s="4" t="s">
        <v>63</v>
      </c>
      <c r="N1423" s="4" t="s">
        <v>132</v>
      </c>
      <c r="O1423" s="2" t="s">
        <v>132</v>
      </c>
      <c r="P1423" s="2">
        <v>7.47511884E8</v>
      </c>
      <c r="Q1423" s="2" t="s">
        <v>68</v>
      </c>
      <c r="R1423" s="4" t="s">
        <v>6916</v>
      </c>
    </row>
    <row r="1424">
      <c r="A1424" s="4" t="s">
        <v>44</v>
      </c>
      <c r="B1424" s="4" t="s">
        <v>44</v>
      </c>
      <c r="C1424" s="4">
        <v>1423.0</v>
      </c>
      <c r="D1424" s="13" t="str">
        <f>HYPERLINK("https://www.linkedin.com/ad-library/detail/747415894","Open Ad")</f>
        <v>Open Ad</v>
      </c>
      <c r="E1424" s="4" t="s">
        <v>91</v>
      </c>
      <c r="F1424" s="4" t="s">
        <v>53</v>
      </c>
      <c r="G1424" s="4" t="s">
        <v>6915</v>
      </c>
      <c r="H1424" s="4" t="s">
        <v>55</v>
      </c>
      <c r="I1424" s="4" t="s">
        <v>985</v>
      </c>
      <c r="J1424" s="4" t="s">
        <v>91</v>
      </c>
      <c r="K1424" s="4" t="s">
        <v>60</v>
      </c>
      <c r="L1424" s="4" t="s">
        <v>131</v>
      </c>
      <c r="M1424" s="4" t="s">
        <v>63</v>
      </c>
      <c r="N1424" s="4" t="s">
        <v>132</v>
      </c>
      <c r="O1424" s="2" t="s">
        <v>132</v>
      </c>
      <c r="P1424" s="2">
        <v>7.47415894E8</v>
      </c>
      <c r="Q1424" s="2" t="s">
        <v>68</v>
      </c>
      <c r="R1424" s="4" t="s">
        <v>6916</v>
      </c>
    </row>
    <row r="1425">
      <c r="A1425" s="4" t="s">
        <v>44</v>
      </c>
      <c r="B1425" s="4" t="s">
        <v>44</v>
      </c>
      <c r="C1425" s="4">
        <v>1424.0</v>
      </c>
      <c r="D1425" s="13" t="str">
        <f>HYPERLINK("https://www.linkedin.com/ad-library/detail/747491984","Open Ad")</f>
        <v>Open Ad</v>
      </c>
      <c r="E1425" s="4" t="s">
        <v>91</v>
      </c>
      <c r="F1425" s="4" t="s">
        <v>53</v>
      </c>
      <c r="G1425" s="4" t="s">
        <v>6915</v>
      </c>
      <c r="H1425" s="4" t="s">
        <v>55</v>
      </c>
      <c r="I1425" s="4" t="s">
        <v>985</v>
      </c>
      <c r="J1425" s="4" t="s">
        <v>91</v>
      </c>
      <c r="K1425" s="4" t="s">
        <v>60</v>
      </c>
      <c r="L1425" s="4" t="s">
        <v>131</v>
      </c>
      <c r="M1425" s="4" t="s">
        <v>63</v>
      </c>
      <c r="N1425" s="4" t="s">
        <v>132</v>
      </c>
      <c r="O1425" s="2" t="s">
        <v>132</v>
      </c>
      <c r="P1425" s="2">
        <v>7.47491984E8</v>
      </c>
      <c r="Q1425" s="2" t="s">
        <v>68</v>
      </c>
      <c r="R1425" s="4" t="s">
        <v>6916</v>
      </c>
    </row>
    <row r="1426">
      <c r="A1426" s="4" t="s">
        <v>44</v>
      </c>
      <c r="B1426" s="4" t="s">
        <v>44</v>
      </c>
      <c r="C1426" s="4">
        <v>1425.0</v>
      </c>
      <c r="D1426" s="13" t="str">
        <f>HYPERLINK("https://www.linkedin.com/ad-library/detail/747415904","Open Ad")</f>
        <v>Open Ad</v>
      </c>
      <c r="E1426" s="4" t="s">
        <v>91</v>
      </c>
      <c r="F1426" s="4" t="s">
        <v>53</v>
      </c>
      <c r="G1426" s="4" t="s">
        <v>6915</v>
      </c>
      <c r="H1426" s="4" t="s">
        <v>55</v>
      </c>
      <c r="I1426" s="4" t="s">
        <v>985</v>
      </c>
      <c r="J1426" s="4" t="s">
        <v>91</v>
      </c>
      <c r="K1426" s="4" t="s">
        <v>60</v>
      </c>
      <c r="L1426" s="4" t="s">
        <v>131</v>
      </c>
      <c r="M1426" s="4" t="s">
        <v>63</v>
      </c>
      <c r="N1426" s="4" t="s">
        <v>132</v>
      </c>
      <c r="O1426" s="2" t="s">
        <v>132</v>
      </c>
      <c r="P1426" s="2">
        <v>7.47415904E8</v>
      </c>
      <c r="Q1426" s="2" t="s">
        <v>68</v>
      </c>
      <c r="R1426" s="4" t="s">
        <v>6916</v>
      </c>
    </row>
    <row r="1427">
      <c r="A1427" s="4" t="s">
        <v>44</v>
      </c>
      <c r="B1427" s="4" t="s">
        <v>44</v>
      </c>
      <c r="C1427" s="4">
        <v>1426.0</v>
      </c>
      <c r="D1427" s="13" t="str">
        <f>HYPERLINK("https://www.linkedin.com/ad-library/detail/747395474","Open Ad")</f>
        <v>Open Ad</v>
      </c>
      <c r="E1427" s="4" t="s">
        <v>91</v>
      </c>
      <c r="F1427" s="4" t="s">
        <v>53</v>
      </c>
      <c r="G1427" s="4" t="s">
        <v>6915</v>
      </c>
      <c r="H1427" s="4" t="s">
        <v>55</v>
      </c>
      <c r="I1427" s="4" t="s">
        <v>985</v>
      </c>
      <c r="J1427" s="4" t="s">
        <v>91</v>
      </c>
      <c r="K1427" s="4" t="s">
        <v>60</v>
      </c>
      <c r="L1427" s="4" t="s">
        <v>131</v>
      </c>
      <c r="M1427" s="4" t="s">
        <v>63</v>
      </c>
      <c r="N1427" s="4" t="s">
        <v>132</v>
      </c>
      <c r="O1427" s="2" t="s">
        <v>132</v>
      </c>
      <c r="P1427" s="2">
        <v>7.47395474E8</v>
      </c>
      <c r="Q1427" s="2" t="s">
        <v>68</v>
      </c>
      <c r="R1427" s="4" t="s">
        <v>6916</v>
      </c>
    </row>
    <row r="1428">
      <c r="A1428" s="4" t="s">
        <v>44</v>
      </c>
      <c r="B1428" s="4" t="s">
        <v>44</v>
      </c>
      <c r="C1428" s="4">
        <v>1427.0</v>
      </c>
      <c r="D1428" s="13" t="str">
        <f>HYPERLINK("https://www.linkedin.com/ad-library/detail/747482034","Open Ad")</f>
        <v>Open Ad</v>
      </c>
      <c r="E1428" s="4" t="s">
        <v>91</v>
      </c>
      <c r="F1428" s="4" t="s">
        <v>53</v>
      </c>
      <c r="G1428" s="4" t="s">
        <v>6915</v>
      </c>
      <c r="H1428" s="4" t="s">
        <v>55</v>
      </c>
      <c r="I1428" s="4" t="s">
        <v>985</v>
      </c>
      <c r="J1428" s="4" t="s">
        <v>91</v>
      </c>
      <c r="K1428" s="4" t="s">
        <v>60</v>
      </c>
      <c r="L1428" s="4" t="s">
        <v>131</v>
      </c>
      <c r="M1428" s="4" t="s">
        <v>63</v>
      </c>
      <c r="N1428" s="4" t="s">
        <v>132</v>
      </c>
      <c r="O1428" s="2" t="s">
        <v>132</v>
      </c>
      <c r="P1428" s="2">
        <v>7.47482034E8</v>
      </c>
      <c r="Q1428" s="2" t="s">
        <v>68</v>
      </c>
      <c r="R1428" s="4" t="s">
        <v>6916</v>
      </c>
    </row>
    <row r="1429">
      <c r="A1429" s="4" t="s">
        <v>44</v>
      </c>
      <c r="B1429" s="4" t="s">
        <v>44</v>
      </c>
      <c r="C1429" s="4">
        <v>1428.0</v>
      </c>
      <c r="D1429" s="13" t="str">
        <f>HYPERLINK("https://www.linkedin.com/ad-library/detail/747432544","Open Ad")</f>
        <v>Open Ad</v>
      </c>
      <c r="E1429" s="4" t="s">
        <v>91</v>
      </c>
      <c r="F1429" s="4" t="s">
        <v>53</v>
      </c>
      <c r="G1429" s="4" t="s">
        <v>6915</v>
      </c>
      <c r="H1429" s="4" t="s">
        <v>55</v>
      </c>
      <c r="I1429" s="4" t="s">
        <v>985</v>
      </c>
      <c r="J1429" s="4" t="s">
        <v>91</v>
      </c>
      <c r="K1429" s="4" t="s">
        <v>60</v>
      </c>
      <c r="L1429" s="4" t="s">
        <v>131</v>
      </c>
      <c r="M1429" s="4" t="s">
        <v>63</v>
      </c>
      <c r="N1429" s="4" t="s">
        <v>132</v>
      </c>
      <c r="O1429" s="2" t="s">
        <v>132</v>
      </c>
      <c r="P1429" s="2">
        <v>7.47432544E8</v>
      </c>
      <c r="Q1429" s="2" t="s">
        <v>68</v>
      </c>
      <c r="R1429" s="4" t="s">
        <v>6916</v>
      </c>
    </row>
    <row r="1430">
      <c r="A1430" s="4" t="s">
        <v>44</v>
      </c>
      <c r="B1430" s="4" t="s">
        <v>44</v>
      </c>
      <c r="C1430" s="4">
        <v>1429.0</v>
      </c>
      <c r="D1430" s="13" t="str">
        <f>HYPERLINK("https://www.linkedin.com/ad-library/detail/747395454","Open Ad")</f>
        <v>Open Ad</v>
      </c>
      <c r="E1430" s="4" t="s">
        <v>91</v>
      </c>
      <c r="F1430" s="4" t="s">
        <v>53</v>
      </c>
      <c r="G1430" s="4" t="s">
        <v>6915</v>
      </c>
      <c r="H1430" s="4" t="s">
        <v>55</v>
      </c>
      <c r="I1430" s="4" t="s">
        <v>985</v>
      </c>
      <c r="J1430" s="4" t="s">
        <v>91</v>
      </c>
      <c r="K1430" s="4" t="s">
        <v>60</v>
      </c>
      <c r="L1430" s="4" t="s">
        <v>131</v>
      </c>
      <c r="M1430" s="4" t="s">
        <v>63</v>
      </c>
      <c r="N1430" s="4" t="s">
        <v>132</v>
      </c>
      <c r="O1430" s="2" t="s">
        <v>132</v>
      </c>
      <c r="P1430" s="2">
        <v>7.47395454E8</v>
      </c>
      <c r="Q1430" s="2" t="s">
        <v>68</v>
      </c>
      <c r="R1430" s="4" t="s">
        <v>6916</v>
      </c>
    </row>
    <row r="1431">
      <c r="A1431" s="4" t="s">
        <v>44</v>
      </c>
      <c r="B1431" s="4" t="s">
        <v>44</v>
      </c>
      <c r="C1431" s="4">
        <v>1430.0</v>
      </c>
      <c r="D1431" s="13" t="str">
        <f>HYPERLINK("https://www.linkedin.com/ad-library/detail/747395464","Open Ad")</f>
        <v>Open Ad</v>
      </c>
      <c r="E1431" s="4" t="s">
        <v>91</v>
      </c>
      <c r="F1431" s="4" t="s">
        <v>53</v>
      </c>
      <c r="G1431" s="4" t="s">
        <v>6915</v>
      </c>
      <c r="H1431" s="4" t="s">
        <v>55</v>
      </c>
      <c r="I1431" s="4" t="s">
        <v>985</v>
      </c>
      <c r="J1431" s="4" t="s">
        <v>91</v>
      </c>
      <c r="K1431" s="4" t="s">
        <v>60</v>
      </c>
      <c r="L1431" s="4" t="s">
        <v>131</v>
      </c>
      <c r="M1431" s="4" t="s">
        <v>63</v>
      </c>
      <c r="N1431" s="4" t="s">
        <v>132</v>
      </c>
      <c r="O1431" s="2" t="s">
        <v>132</v>
      </c>
      <c r="P1431" s="2">
        <v>7.47395464E8</v>
      </c>
      <c r="Q1431" s="2" t="s">
        <v>68</v>
      </c>
      <c r="R1431" s="4" t="s">
        <v>6916</v>
      </c>
    </row>
    <row r="1432">
      <c r="A1432" s="4" t="s">
        <v>44</v>
      </c>
      <c r="B1432" s="4" t="s">
        <v>44</v>
      </c>
      <c r="C1432" s="4">
        <v>1431.0</v>
      </c>
      <c r="D1432" s="13" t="str">
        <f>HYPERLINK("https://www.linkedin.com/ad-library/detail/747540884","Open Ad")</f>
        <v>Open Ad</v>
      </c>
      <c r="E1432" s="4" t="s">
        <v>91</v>
      </c>
      <c r="F1432" s="4" t="s">
        <v>53</v>
      </c>
      <c r="G1432" s="4" t="s">
        <v>6915</v>
      </c>
      <c r="H1432" s="4" t="s">
        <v>55</v>
      </c>
      <c r="I1432" s="4" t="s">
        <v>985</v>
      </c>
      <c r="J1432" s="4" t="s">
        <v>91</v>
      </c>
      <c r="K1432" s="4" t="s">
        <v>60</v>
      </c>
      <c r="L1432" s="4" t="s">
        <v>131</v>
      </c>
      <c r="M1432" s="4" t="s">
        <v>63</v>
      </c>
      <c r="N1432" s="4" t="s">
        <v>132</v>
      </c>
      <c r="O1432" s="2" t="s">
        <v>132</v>
      </c>
      <c r="P1432" s="2">
        <v>7.47540884E8</v>
      </c>
      <c r="Q1432" s="2" t="s">
        <v>68</v>
      </c>
      <c r="R1432" s="4" t="s">
        <v>6916</v>
      </c>
    </row>
    <row r="1433">
      <c r="A1433" s="4" t="s">
        <v>44</v>
      </c>
      <c r="B1433" s="4" t="s">
        <v>44</v>
      </c>
      <c r="C1433" s="4">
        <v>1432.0</v>
      </c>
      <c r="D1433" s="13" t="str">
        <f>HYPERLINK("https://www.linkedin.com/ad-library/detail/747425024","Open Ad")</f>
        <v>Open Ad</v>
      </c>
      <c r="E1433" s="4" t="s">
        <v>91</v>
      </c>
      <c r="F1433" s="4" t="s">
        <v>53</v>
      </c>
      <c r="G1433" s="4" t="s">
        <v>6915</v>
      </c>
      <c r="H1433" s="4" t="s">
        <v>55</v>
      </c>
      <c r="I1433" s="4" t="s">
        <v>985</v>
      </c>
      <c r="J1433" s="4" t="s">
        <v>91</v>
      </c>
      <c r="K1433" s="4" t="s">
        <v>60</v>
      </c>
      <c r="L1433" s="4" t="s">
        <v>131</v>
      </c>
      <c r="M1433" s="4" t="s">
        <v>63</v>
      </c>
      <c r="N1433" s="4" t="s">
        <v>132</v>
      </c>
      <c r="O1433" s="2" t="s">
        <v>132</v>
      </c>
      <c r="P1433" s="2">
        <v>7.47425024E8</v>
      </c>
      <c r="Q1433" s="2" t="s">
        <v>68</v>
      </c>
      <c r="R1433" s="4" t="s">
        <v>6916</v>
      </c>
    </row>
    <row r="1434">
      <c r="A1434" s="4" t="s">
        <v>44</v>
      </c>
      <c r="B1434" s="4" t="s">
        <v>44</v>
      </c>
      <c r="C1434" s="4">
        <v>1433.0</v>
      </c>
      <c r="D1434" s="13" t="str">
        <f>HYPERLINK("https://www.linkedin.com/ad-library/detail/747501964","Open Ad")</f>
        <v>Open Ad</v>
      </c>
      <c r="E1434" s="4" t="s">
        <v>91</v>
      </c>
      <c r="F1434" s="4" t="s">
        <v>53</v>
      </c>
      <c r="G1434" s="4" t="s">
        <v>6915</v>
      </c>
      <c r="H1434" s="4" t="s">
        <v>55</v>
      </c>
      <c r="I1434" s="4" t="s">
        <v>985</v>
      </c>
      <c r="J1434" s="4" t="s">
        <v>91</v>
      </c>
      <c r="K1434" s="4" t="s">
        <v>60</v>
      </c>
      <c r="L1434" s="4" t="s">
        <v>131</v>
      </c>
      <c r="M1434" s="4" t="s">
        <v>63</v>
      </c>
      <c r="N1434" s="4" t="s">
        <v>132</v>
      </c>
      <c r="O1434" s="2" t="s">
        <v>132</v>
      </c>
      <c r="P1434" s="2">
        <v>7.47501964E8</v>
      </c>
      <c r="Q1434" s="2" t="s">
        <v>68</v>
      </c>
      <c r="R1434" s="4" t="s">
        <v>6916</v>
      </c>
    </row>
    <row r="1435">
      <c r="A1435" s="4" t="s">
        <v>44</v>
      </c>
      <c r="B1435" s="4" t="s">
        <v>44</v>
      </c>
      <c r="C1435" s="4">
        <v>1434.0</v>
      </c>
      <c r="D1435" s="13" t="str">
        <f>HYPERLINK("https://www.linkedin.com/ad-library/detail/747425014","Open Ad")</f>
        <v>Open Ad</v>
      </c>
      <c r="E1435" s="4" t="s">
        <v>91</v>
      </c>
      <c r="F1435" s="4" t="s">
        <v>53</v>
      </c>
      <c r="G1435" s="4" t="s">
        <v>6915</v>
      </c>
      <c r="H1435" s="4" t="s">
        <v>55</v>
      </c>
      <c r="I1435" s="4" t="s">
        <v>985</v>
      </c>
      <c r="J1435" s="4" t="s">
        <v>91</v>
      </c>
      <c r="K1435" s="4" t="s">
        <v>60</v>
      </c>
      <c r="L1435" s="4" t="s">
        <v>131</v>
      </c>
      <c r="M1435" s="4" t="s">
        <v>63</v>
      </c>
      <c r="N1435" s="4" t="s">
        <v>132</v>
      </c>
      <c r="O1435" s="2" t="s">
        <v>132</v>
      </c>
      <c r="P1435" s="2">
        <v>7.47425014E8</v>
      </c>
      <c r="Q1435" s="2" t="s">
        <v>68</v>
      </c>
      <c r="R1435" s="4" t="s">
        <v>6916</v>
      </c>
    </row>
    <row r="1436">
      <c r="A1436" s="4" t="s">
        <v>44</v>
      </c>
      <c r="B1436" s="4" t="s">
        <v>44</v>
      </c>
      <c r="C1436" s="4">
        <v>1435.0</v>
      </c>
      <c r="D1436" s="13" t="str">
        <f>HYPERLINK("https://www.linkedin.com/ad-library/detail/747442624","Open Ad")</f>
        <v>Open Ad</v>
      </c>
      <c r="E1436" s="4" t="s">
        <v>91</v>
      </c>
      <c r="F1436" s="4" t="s">
        <v>53</v>
      </c>
      <c r="G1436" s="4" t="s">
        <v>6915</v>
      </c>
      <c r="H1436" s="4" t="s">
        <v>55</v>
      </c>
      <c r="I1436" s="4" t="s">
        <v>985</v>
      </c>
      <c r="J1436" s="4" t="s">
        <v>91</v>
      </c>
      <c r="K1436" s="4" t="s">
        <v>60</v>
      </c>
      <c r="L1436" s="4" t="s">
        <v>131</v>
      </c>
      <c r="M1436" s="4" t="s">
        <v>63</v>
      </c>
      <c r="N1436" s="4" t="s">
        <v>132</v>
      </c>
      <c r="O1436" s="2" t="s">
        <v>132</v>
      </c>
      <c r="P1436" s="2">
        <v>7.47442624E8</v>
      </c>
      <c r="Q1436" s="2" t="s">
        <v>68</v>
      </c>
      <c r="R1436" s="4" t="s">
        <v>6916</v>
      </c>
    </row>
    <row r="1437">
      <c r="A1437" s="4" t="s">
        <v>44</v>
      </c>
      <c r="B1437" s="4" t="s">
        <v>44</v>
      </c>
      <c r="C1437" s="4">
        <v>1436.0</v>
      </c>
      <c r="D1437" s="13" t="str">
        <f>HYPERLINK("https://www.linkedin.com/ad-library/detail/747395424","Open Ad")</f>
        <v>Open Ad</v>
      </c>
      <c r="E1437" s="4" t="s">
        <v>91</v>
      </c>
      <c r="F1437" s="4" t="s">
        <v>53</v>
      </c>
      <c r="G1437" s="4" t="s">
        <v>6915</v>
      </c>
      <c r="H1437" s="4" t="s">
        <v>55</v>
      </c>
      <c r="I1437" s="4" t="s">
        <v>985</v>
      </c>
      <c r="J1437" s="4" t="s">
        <v>91</v>
      </c>
      <c r="K1437" s="4" t="s">
        <v>60</v>
      </c>
      <c r="L1437" s="4" t="s">
        <v>131</v>
      </c>
      <c r="M1437" s="4" t="s">
        <v>63</v>
      </c>
      <c r="N1437" s="4" t="s">
        <v>132</v>
      </c>
      <c r="O1437" s="2" t="s">
        <v>132</v>
      </c>
      <c r="P1437" s="2">
        <v>7.47395424E8</v>
      </c>
      <c r="Q1437" s="2" t="s">
        <v>68</v>
      </c>
      <c r="R1437" s="4" t="s">
        <v>6916</v>
      </c>
    </row>
    <row r="1438">
      <c r="A1438" s="4" t="s">
        <v>44</v>
      </c>
      <c r="B1438" s="4" t="s">
        <v>44</v>
      </c>
      <c r="C1438" s="4">
        <v>1437.0</v>
      </c>
      <c r="D1438" s="13" t="str">
        <f>HYPERLINK("https://www.linkedin.com/ad-library/detail/747462044","Open Ad")</f>
        <v>Open Ad</v>
      </c>
      <c r="E1438" s="4" t="s">
        <v>91</v>
      </c>
      <c r="F1438" s="4" t="s">
        <v>53</v>
      </c>
      <c r="G1438" s="4" t="s">
        <v>6915</v>
      </c>
      <c r="H1438" s="4" t="s">
        <v>55</v>
      </c>
      <c r="I1438" s="4" t="s">
        <v>985</v>
      </c>
      <c r="J1438" s="4" t="s">
        <v>91</v>
      </c>
      <c r="K1438" s="4" t="s">
        <v>60</v>
      </c>
      <c r="L1438" s="4" t="s">
        <v>131</v>
      </c>
      <c r="M1438" s="4" t="s">
        <v>63</v>
      </c>
      <c r="N1438" s="4" t="s">
        <v>132</v>
      </c>
      <c r="O1438" s="2" t="s">
        <v>132</v>
      </c>
      <c r="P1438" s="2">
        <v>7.47462044E8</v>
      </c>
      <c r="Q1438" s="2" t="s">
        <v>68</v>
      </c>
      <c r="R1438" s="4" t="s">
        <v>6916</v>
      </c>
    </row>
    <row r="1439">
      <c r="A1439" s="4" t="s">
        <v>44</v>
      </c>
      <c r="B1439" s="4" t="s">
        <v>44</v>
      </c>
      <c r="C1439" s="4">
        <v>1438.0</v>
      </c>
      <c r="D1439" s="13" t="str">
        <f>HYPERLINK("https://www.linkedin.com/ad-library/detail/747531094","Open Ad")</f>
        <v>Open Ad</v>
      </c>
      <c r="E1439" s="4" t="s">
        <v>91</v>
      </c>
      <c r="F1439" s="4" t="s">
        <v>53</v>
      </c>
      <c r="G1439" s="4" t="s">
        <v>6915</v>
      </c>
      <c r="H1439" s="4" t="s">
        <v>55</v>
      </c>
      <c r="I1439" s="4" t="s">
        <v>985</v>
      </c>
      <c r="J1439" s="4" t="s">
        <v>91</v>
      </c>
      <c r="K1439" s="4" t="s">
        <v>60</v>
      </c>
      <c r="L1439" s="4" t="s">
        <v>131</v>
      </c>
      <c r="M1439" s="4" t="s">
        <v>63</v>
      </c>
      <c r="N1439" s="4" t="s">
        <v>132</v>
      </c>
      <c r="O1439" s="2" t="s">
        <v>132</v>
      </c>
      <c r="P1439" s="2">
        <v>7.47531094E8</v>
      </c>
      <c r="Q1439" s="2" t="s">
        <v>68</v>
      </c>
      <c r="R1439" s="4" t="s">
        <v>6916</v>
      </c>
    </row>
    <row r="1440">
      <c r="A1440" s="4" t="s">
        <v>44</v>
      </c>
      <c r="B1440" s="4" t="s">
        <v>44</v>
      </c>
      <c r="C1440" s="4">
        <v>1439.0</v>
      </c>
      <c r="D1440" s="13" t="str">
        <f>HYPERLINK("https://www.linkedin.com/ad-library/detail/747481994","Open Ad")</f>
        <v>Open Ad</v>
      </c>
      <c r="E1440" s="4" t="s">
        <v>91</v>
      </c>
      <c r="F1440" s="4" t="s">
        <v>53</v>
      </c>
      <c r="G1440" s="4" t="s">
        <v>6915</v>
      </c>
      <c r="H1440" s="4" t="s">
        <v>55</v>
      </c>
      <c r="I1440" s="4" t="s">
        <v>985</v>
      </c>
      <c r="J1440" s="4" t="s">
        <v>91</v>
      </c>
      <c r="K1440" s="4" t="s">
        <v>60</v>
      </c>
      <c r="L1440" s="4" t="s">
        <v>131</v>
      </c>
      <c r="M1440" s="4" t="s">
        <v>63</v>
      </c>
      <c r="N1440" s="4" t="s">
        <v>132</v>
      </c>
      <c r="O1440" s="2" t="s">
        <v>132</v>
      </c>
      <c r="P1440" s="2">
        <v>7.47481994E8</v>
      </c>
      <c r="Q1440" s="2" t="s">
        <v>68</v>
      </c>
      <c r="R1440" s="4" t="s">
        <v>6916</v>
      </c>
    </row>
    <row r="1441">
      <c r="A1441" s="4" t="s">
        <v>44</v>
      </c>
      <c r="B1441" s="4" t="s">
        <v>44</v>
      </c>
      <c r="C1441" s="4">
        <v>1440.0</v>
      </c>
      <c r="D1441" s="13" t="str">
        <f>HYPERLINK("https://www.linkedin.com/ad-library/detail/747425034","Open Ad")</f>
        <v>Open Ad</v>
      </c>
      <c r="E1441" s="4" t="s">
        <v>91</v>
      </c>
      <c r="F1441" s="4" t="s">
        <v>53</v>
      </c>
      <c r="G1441" s="4" t="s">
        <v>6915</v>
      </c>
      <c r="H1441" s="4" t="s">
        <v>55</v>
      </c>
      <c r="I1441" s="4" t="s">
        <v>985</v>
      </c>
      <c r="J1441" s="4" t="s">
        <v>91</v>
      </c>
      <c r="K1441" s="4" t="s">
        <v>60</v>
      </c>
      <c r="L1441" s="4" t="s">
        <v>131</v>
      </c>
      <c r="M1441" s="4" t="s">
        <v>63</v>
      </c>
      <c r="N1441" s="4" t="s">
        <v>132</v>
      </c>
      <c r="O1441" s="2" t="s">
        <v>132</v>
      </c>
      <c r="P1441" s="2">
        <v>7.47425034E8</v>
      </c>
      <c r="Q1441" s="2" t="s">
        <v>68</v>
      </c>
      <c r="R1441" s="4" t="s">
        <v>6916</v>
      </c>
    </row>
    <row r="1442">
      <c r="A1442" s="4" t="s">
        <v>44</v>
      </c>
      <c r="B1442" s="4" t="s">
        <v>44</v>
      </c>
      <c r="C1442" s="4">
        <v>1441.0</v>
      </c>
      <c r="D1442" s="13" t="str">
        <f>HYPERLINK("https://www.linkedin.com/ad-library/detail/742489664","Open Ad")</f>
        <v>Open Ad</v>
      </c>
      <c r="E1442" s="4" t="s">
        <v>91</v>
      </c>
      <c r="F1442" s="4" t="s">
        <v>53</v>
      </c>
      <c r="G1442" s="4" t="s">
        <v>6915</v>
      </c>
      <c r="H1442" s="4" t="s">
        <v>55</v>
      </c>
      <c r="I1442" s="4" t="s">
        <v>985</v>
      </c>
      <c r="J1442" s="4" t="s">
        <v>91</v>
      </c>
      <c r="K1442" s="4" t="s">
        <v>60</v>
      </c>
      <c r="L1442" s="4" t="s">
        <v>131</v>
      </c>
      <c r="M1442" s="4" t="s">
        <v>63</v>
      </c>
      <c r="N1442" s="4" t="s">
        <v>132</v>
      </c>
      <c r="O1442" s="2" t="s">
        <v>132</v>
      </c>
      <c r="P1442" s="2">
        <v>7.42489664E8</v>
      </c>
      <c r="Q1442" s="2" t="s">
        <v>68</v>
      </c>
      <c r="R1442" s="4" t="s">
        <v>6916</v>
      </c>
    </row>
    <row r="1443">
      <c r="A1443" s="4" t="s">
        <v>44</v>
      </c>
      <c r="B1443" s="4" t="s">
        <v>44</v>
      </c>
      <c r="C1443" s="4">
        <v>1442.0</v>
      </c>
      <c r="D1443" s="13" t="str">
        <f>HYPERLINK("https://www.linkedin.com/ad-library/detail/742439684","Open Ad")</f>
        <v>Open Ad</v>
      </c>
      <c r="E1443" s="4" t="s">
        <v>91</v>
      </c>
      <c r="F1443" s="4" t="s">
        <v>53</v>
      </c>
      <c r="G1443" s="4" t="s">
        <v>6915</v>
      </c>
      <c r="H1443" s="4" t="s">
        <v>55</v>
      </c>
      <c r="I1443" s="4" t="s">
        <v>985</v>
      </c>
      <c r="J1443" s="4" t="s">
        <v>91</v>
      </c>
      <c r="K1443" s="4" t="s">
        <v>60</v>
      </c>
      <c r="L1443" s="4" t="s">
        <v>131</v>
      </c>
      <c r="M1443" s="4" t="s">
        <v>63</v>
      </c>
      <c r="N1443" s="4" t="s">
        <v>132</v>
      </c>
      <c r="O1443" s="2" t="s">
        <v>132</v>
      </c>
      <c r="P1443" s="2">
        <v>7.42439684E8</v>
      </c>
      <c r="Q1443" s="2" t="s">
        <v>68</v>
      </c>
      <c r="R1443" s="4" t="s">
        <v>6916</v>
      </c>
    </row>
    <row r="1444">
      <c r="A1444" s="4" t="s">
        <v>44</v>
      </c>
      <c r="B1444" s="4" t="s">
        <v>44</v>
      </c>
      <c r="C1444" s="4">
        <v>1443.0</v>
      </c>
      <c r="D1444" s="13" t="str">
        <f>HYPERLINK("https://www.linkedin.com/ad-library/detail/742569794","Open Ad")</f>
        <v>Open Ad</v>
      </c>
      <c r="E1444" s="4" t="s">
        <v>91</v>
      </c>
      <c r="F1444" s="4" t="s">
        <v>53</v>
      </c>
      <c r="G1444" s="4" t="s">
        <v>6915</v>
      </c>
      <c r="H1444" s="4" t="s">
        <v>55</v>
      </c>
      <c r="I1444" s="4" t="s">
        <v>985</v>
      </c>
      <c r="J1444" s="4" t="s">
        <v>91</v>
      </c>
      <c r="K1444" s="4" t="s">
        <v>60</v>
      </c>
      <c r="L1444" s="4" t="s">
        <v>131</v>
      </c>
      <c r="M1444" s="4" t="s">
        <v>63</v>
      </c>
      <c r="N1444" s="4" t="s">
        <v>132</v>
      </c>
      <c r="O1444" s="2" t="s">
        <v>132</v>
      </c>
      <c r="P1444" s="2">
        <v>7.42569794E8</v>
      </c>
      <c r="Q1444" s="2" t="s">
        <v>68</v>
      </c>
      <c r="R1444" s="4" t="s">
        <v>6916</v>
      </c>
    </row>
    <row r="1445">
      <c r="A1445" s="4" t="s">
        <v>44</v>
      </c>
      <c r="B1445" s="4" t="s">
        <v>44</v>
      </c>
      <c r="C1445" s="4">
        <v>1444.0</v>
      </c>
      <c r="D1445" s="13" t="str">
        <f>HYPERLINK("https://www.linkedin.com/ad-library/detail/742527854","Open Ad")</f>
        <v>Open Ad</v>
      </c>
      <c r="E1445" s="4" t="s">
        <v>91</v>
      </c>
      <c r="F1445" s="4" t="s">
        <v>53</v>
      </c>
      <c r="G1445" s="4" t="s">
        <v>6915</v>
      </c>
      <c r="H1445" s="4" t="s">
        <v>55</v>
      </c>
      <c r="I1445" s="4" t="s">
        <v>985</v>
      </c>
      <c r="J1445" s="4" t="s">
        <v>91</v>
      </c>
      <c r="K1445" s="4" t="s">
        <v>60</v>
      </c>
      <c r="L1445" s="4" t="s">
        <v>131</v>
      </c>
      <c r="M1445" s="4" t="s">
        <v>63</v>
      </c>
      <c r="N1445" s="4" t="s">
        <v>132</v>
      </c>
      <c r="O1445" s="2" t="s">
        <v>132</v>
      </c>
      <c r="P1445" s="2">
        <v>7.42527854E8</v>
      </c>
      <c r="Q1445" s="2" t="s">
        <v>68</v>
      </c>
      <c r="R1445" s="4" t="s">
        <v>6916</v>
      </c>
    </row>
    <row r="1446">
      <c r="A1446" s="4" t="s">
        <v>44</v>
      </c>
      <c r="B1446" s="4" t="s">
        <v>44</v>
      </c>
      <c r="C1446" s="4">
        <v>1445.0</v>
      </c>
      <c r="D1446" s="13" t="str">
        <f>HYPERLINK("https://www.linkedin.com/ad-library/detail/742569784","Open Ad")</f>
        <v>Open Ad</v>
      </c>
      <c r="E1446" s="4" t="s">
        <v>91</v>
      </c>
      <c r="F1446" s="4" t="s">
        <v>53</v>
      </c>
      <c r="G1446" s="4" t="s">
        <v>6915</v>
      </c>
      <c r="H1446" s="4" t="s">
        <v>55</v>
      </c>
      <c r="I1446" s="4" t="s">
        <v>985</v>
      </c>
      <c r="J1446" s="4" t="s">
        <v>91</v>
      </c>
      <c r="K1446" s="4" t="s">
        <v>60</v>
      </c>
      <c r="L1446" s="4" t="s">
        <v>131</v>
      </c>
      <c r="M1446" s="4" t="s">
        <v>63</v>
      </c>
      <c r="N1446" s="4" t="s">
        <v>132</v>
      </c>
      <c r="O1446" s="2" t="s">
        <v>132</v>
      </c>
      <c r="P1446" s="2">
        <v>7.42569784E8</v>
      </c>
      <c r="Q1446" s="2" t="s">
        <v>68</v>
      </c>
      <c r="R1446" s="4" t="s">
        <v>6916</v>
      </c>
    </row>
    <row r="1447">
      <c r="A1447" s="4" t="s">
        <v>44</v>
      </c>
      <c r="B1447" s="4" t="s">
        <v>44</v>
      </c>
      <c r="C1447" s="4">
        <v>1446.0</v>
      </c>
      <c r="D1447" s="13" t="str">
        <f>HYPERLINK("https://www.linkedin.com/ad-library/detail/743168734","Open Ad")</f>
        <v>Open Ad</v>
      </c>
      <c r="E1447" s="4" t="s">
        <v>91</v>
      </c>
      <c r="F1447" s="4" t="s">
        <v>53</v>
      </c>
      <c r="G1447" s="4" t="s">
        <v>6915</v>
      </c>
      <c r="H1447" s="4" t="s">
        <v>55</v>
      </c>
      <c r="I1447" s="4" t="s">
        <v>985</v>
      </c>
      <c r="J1447" s="4" t="s">
        <v>91</v>
      </c>
      <c r="K1447" s="4" t="s">
        <v>60</v>
      </c>
      <c r="L1447" s="4" t="s">
        <v>131</v>
      </c>
      <c r="M1447" s="4" t="s">
        <v>63</v>
      </c>
      <c r="N1447" s="4" t="s">
        <v>132</v>
      </c>
      <c r="O1447" s="2" t="s">
        <v>132</v>
      </c>
      <c r="P1447" s="2">
        <v>7.43168734E8</v>
      </c>
      <c r="Q1447" s="2" t="s">
        <v>68</v>
      </c>
      <c r="R1447" s="4" t="s">
        <v>6916</v>
      </c>
    </row>
    <row r="1448">
      <c r="A1448" s="4" t="s">
        <v>44</v>
      </c>
      <c r="B1448" s="4" t="s">
        <v>44</v>
      </c>
      <c r="C1448" s="4">
        <v>1447.0</v>
      </c>
      <c r="D1448" s="13" t="str">
        <f>HYPERLINK("https://www.linkedin.com/ad-library/detail/742530204","Open Ad")</f>
        <v>Open Ad</v>
      </c>
      <c r="E1448" s="4" t="s">
        <v>91</v>
      </c>
      <c r="F1448" s="4" t="s">
        <v>53</v>
      </c>
      <c r="G1448" s="4" t="s">
        <v>6915</v>
      </c>
      <c r="H1448" s="4" t="s">
        <v>55</v>
      </c>
      <c r="I1448" s="4" t="s">
        <v>985</v>
      </c>
      <c r="J1448" s="4" t="s">
        <v>91</v>
      </c>
      <c r="K1448" s="4" t="s">
        <v>60</v>
      </c>
      <c r="L1448" s="4" t="s">
        <v>131</v>
      </c>
      <c r="M1448" s="4" t="s">
        <v>63</v>
      </c>
      <c r="N1448" s="4" t="s">
        <v>132</v>
      </c>
      <c r="O1448" s="2" t="s">
        <v>132</v>
      </c>
      <c r="P1448" s="2">
        <v>7.42530204E8</v>
      </c>
      <c r="Q1448" s="2" t="s">
        <v>68</v>
      </c>
      <c r="R1448" s="4" t="s">
        <v>6916</v>
      </c>
    </row>
    <row r="1449">
      <c r="A1449" s="4" t="s">
        <v>44</v>
      </c>
      <c r="B1449" s="4" t="s">
        <v>44</v>
      </c>
      <c r="C1449" s="4">
        <v>1448.0</v>
      </c>
      <c r="D1449" s="13" t="str">
        <f>HYPERLINK("https://www.linkedin.com/ad-library/detail/743158984","Open Ad")</f>
        <v>Open Ad</v>
      </c>
      <c r="E1449" s="4" t="s">
        <v>91</v>
      </c>
      <c r="F1449" s="4" t="s">
        <v>53</v>
      </c>
      <c r="G1449" s="4" t="s">
        <v>6915</v>
      </c>
      <c r="H1449" s="4" t="s">
        <v>55</v>
      </c>
      <c r="I1449" s="4" t="s">
        <v>985</v>
      </c>
      <c r="J1449" s="4" t="s">
        <v>91</v>
      </c>
      <c r="K1449" s="4" t="s">
        <v>60</v>
      </c>
      <c r="L1449" s="4" t="s">
        <v>131</v>
      </c>
      <c r="M1449" s="4" t="s">
        <v>63</v>
      </c>
      <c r="N1449" s="4" t="s">
        <v>132</v>
      </c>
      <c r="O1449" s="2" t="s">
        <v>132</v>
      </c>
      <c r="P1449" s="2">
        <v>7.43158984E8</v>
      </c>
      <c r="Q1449" s="2" t="s">
        <v>68</v>
      </c>
      <c r="R1449" s="4" t="s">
        <v>6916</v>
      </c>
    </row>
    <row r="1450">
      <c r="A1450" s="4" t="s">
        <v>44</v>
      </c>
      <c r="B1450" s="4" t="s">
        <v>44</v>
      </c>
      <c r="C1450" s="4">
        <v>1449.0</v>
      </c>
      <c r="D1450" s="13" t="str">
        <f>HYPERLINK("https://www.linkedin.com/ad-library/detail/742877784","Open Ad")</f>
        <v>Open Ad</v>
      </c>
      <c r="E1450" s="4" t="s">
        <v>91</v>
      </c>
      <c r="F1450" s="4" t="s">
        <v>53</v>
      </c>
      <c r="G1450" s="4" t="s">
        <v>6915</v>
      </c>
      <c r="H1450" s="4" t="s">
        <v>55</v>
      </c>
      <c r="I1450" s="4" t="s">
        <v>985</v>
      </c>
      <c r="J1450" s="4" t="s">
        <v>91</v>
      </c>
      <c r="K1450" s="4" t="s">
        <v>60</v>
      </c>
      <c r="L1450" s="4" t="s">
        <v>131</v>
      </c>
      <c r="M1450" s="4" t="s">
        <v>63</v>
      </c>
      <c r="N1450" s="4" t="s">
        <v>132</v>
      </c>
      <c r="O1450" s="2" t="s">
        <v>132</v>
      </c>
      <c r="P1450" s="2">
        <v>7.42877784E8</v>
      </c>
      <c r="Q1450" s="2" t="s">
        <v>68</v>
      </c>
      <c r="R1450" s="4" t="s">
        <v>6916</v>
      </c>
    </row>
    <row r="1451">
      <c r="A1451" s="4" t="s">
        <v>44</v>
      </c>
      <c r="B1451" s="4" t="s">
        <v>44</v>
      </c>
      <c r="C1451" s="4">
        <v>1450.0</v>
      </c>
      <c r="D1451" s="13" t="str">
        <f>HYPERLINK("https://www.linkedin.com/ad-library/detail/742569774","Open Ad")</f>
        <v>Open Ad</v>
      </c>
      <c r="E1451" s="4" t="s">
        <v>91</v>
      </c>
      <c r="F1451" s="4" t="s">
        <v>53</v>
      </c>
      <c r="G1451" s="4" t="s">
        <v>6915</v>
      </c>
      <c r="H1451" s="4" t="s">
        <v>55</v>
      </c>
      <c r="I1451" s="4" t="s">
        <v>985</v>
      </c>
      <c r="J1451" s="4" t="s">
        <v>91</v>
      </c>
      <c r="K1451" s="4" t="s">
        <v>60</v>
      </c>
      <c r="L1451" s="4" t="s">
        <v>131</v>
      </c>
      <c r="M1451" s="4" t="s">
        <v>63</v>
      </c>
      <c r="N1451" s="4" t="s">
        <v>132</v>
      </c>
      <c r="O1451" s="2" t="s">
        <v>132</v>
      </c>
      <c r="P1451" s="2">
        <v>7.42569774E8</v>
      </c>
      <c r="Q1451" s="2" t="s">
        <v>68</v>
      </c>
      <c r="R1451" s="4" t="s">
        <v>6916</v>
      </c>
    </row>
    <row r="1452">
      <c r="A1452" s="4" t="s">
        <v>44</v>
      </c>
      <c r="B1452" s="4" t="s">
        <v>44</v>
      </c>
      <c r="C1452" s="4">
        <v>1451.0</v>
      </c>
      <c r="D1452" s="13" t="str">
        <f>HYPERLINK("https://www.linkedin.com/ad-library/detail/742540004","Open Ad")</f>
        <v>Open Ad</v>
      </c>
      <c r="E1452" s="4" t="s">
        <v>91</v>
      </c>
      <c r="F1452" s="4" t="s">
        <v>53</v>
      </c>
      <c r="G1452" s="4" t="s">
        <v>6915</v>
      </c>
      <c r="H1452" s="4" t="s">
        <v>55</v>
      </c>
      <c r="I1452" s="4" t="s">
        <v>985</v>
      </c>
      <c r="J1452" s="4" t="s">
        <v>91</v>
      </c>
      <c r="K1452" s="4" t="s">
        <v>60</v>
      </c>
      <c r="L1452" s="4" t="s">
        <v>131</v>
      </c>
      <c r="M1452" s="4" t="s">
        <v>63</v>
      </c>
      <c r="N1452" s="4" t="s">
        <v>132</v>
      </c>
      <c r="O1452" s="2" t="s">
        <v>132</v>
      </c>
      <c r="P1452" s="2">
        <v>7.42540004E8</v>
      </c>
      <c r="Q1452" s="2" t="s">
        <v>68</v>
      </c>
      <c r="R1452" s="4" t="s">
        <v>6916</v>
      </c>
    </row>
    <row r="1453">
      <c r="A1453" s="4" t="s">
        <v>44</v>
      </c>
      <c r="B1453" s="4" t="s">
        <v>44</v>
      </c>
      <c r="C1453" s="4">
        <v>1452.0</v>
      </c>
      <c r="D1453" s="13" t="str">
        <f>HYPERLINK("https://www.linkedin.com/ad-library/detail/747452594","Open Ad")</f>
        <v>Open Ad</v>
      </c>
      <c r="E1453" s="4" t="s">
        <v>91</v>
      </c>
      <c r="F1453" s="4" t="s">
        <v>53</v>
      </c>
      <c r="G1453" s="4" t="s">
        <v>6915</v>
      </c>
      <c r="H1453" s="4" t="s">
        <v>55</v>
      </c>
      <c r="I1453" s="4" t="s">
        <v>985</v>
      </c>
      <c r="J1453" s="4" t="s">
        <v>91</v>
      </c>
      <c r="K1453" s="4" t="s">
        <v>60</v>
      </c>
      <c r="L1453" s="4" t="s">
        <v>131</v>
      </c>
      <c r="M1453" s="4" t="s">
        <v>63</v>
      </c>
      <c r="N1453" s="4" t="s">
        <v>132</v>
      </c>
      <c r="O1453" s="2" t="s">
        <v>132</v>
      </c>
      <c r="P1453" s="2">
        <v>7.47452594E8</v>
      </c>
      <c r="Q1453" s="2" t="s">
        <v>68</v>
      </c>
      <c r="R1453" s="4" t="s">
        <v>6916</v>
      </c>
    </row>
    <row r="1454">
      <c r="A1454" s="4" t="s">
        <v>44</v>
      </c>
      <c r="B1454" s="4" t="s">
        <v>44</v>
      </c>
      <c r="C1454" s="4">
        <v>1453.0</v>
      </c>
      <c r="D1454" s="13" t="str">
        <f>HYPERLINK("https://www.linkedin.com/ad-library/detail/742540014","Open Ad")</f>
        <v>Open Ad</v>
      </c>
      <c r="E1454" s="4" t="s">
        <v>91</v>
      </c>
      <c r="F1454" s="4" t="s">
        <v>53</v>
      </c>
      <c r="G1454" s="4" t="s">
        <v>6915</v>
      </c>
      <c r="H1454" s="4" t="s">
        <v>55</v>
      </c>
      <c r="I1454" s="4" t="s">
        <v>985</v>
      </c>
      <c r="J1454" s="4" t="s">
        <v>91</v>
      </c>
      <c r="K1454" s="4" t="s">
        <v>60</v>
      </c>
      <c r="L1454" s="4" t="s">
        <v>131</v>
      </c>
      <c r="M1454" s="4" t="s">
        <v>63</v>
      </c>
      <c r="N1454" s="4" t="s">
        <v>132</v>
      </c>
      <c r="O1454" s="2" t="s">
        <v>132</v>
      </c>
      <c r="P1454" s="2">
        <v>7.42540014E8</v>
      </c>
      <c r="Q1454" s="2" t="s">
        <v>68</v>
      </c>
      <c r="R1454" s="4" t="s">
        <v>6916</v>
      </c>
    </row>
    <row r="1455">
      <c r="A1455" s="4" t="s">
        <v>44</v>
      </c>
      <c r="B1455" s="4" t="s">
        <v>44</v>
      </c>
      <c r="C1455" s="4">
        <v>1454.0</v>
      </c>
      <c r="D1455" s="13" t="str">
        <f>HYPERLINK("https://www.linkedin.com/ad-library/detail/743179264","Open Ad")</f>
        <v>Open Ad</v>
      </c>
      <c r="E1455" s="4" t="s">
        <v>91</v>
      </c>
      <c r="F1455" s="4" t="s">
        <v>53</v>
      </c>
      <c r="G1455" s="4" t="s">
        <v>6915</v>
      </c>
      <c r="H1455" s="4" t="s">
        <v>55</v>
      </c>
      <c r="I1455" s="4" t="s">
        <v>985</v>
      </c>
      <c r="J1455" s="4" t="s">
        <v>91</v>
      </c>
      <c r="K1455" s="4" t="s">
        <v>60</v>
      </c>
      <c r="L1455" s="4" t="s">
        <v>131</v>
      </c>
      <c r="M1455" s="4" t="s">
        <v>63</v>
      </c>
      <c r="N1455" s="4" t="s">
        <v>132</v>
      </c>
      <c r="O1455" s="2" t="s">
        <v>132</v>
      </c>
      <c r="P1455" s="2">
        <v>7.43179264E8</v>
      </c>
      <c r="Q1455" s="2" t="s">
        <v>68</v>
      </c>
      <c r="R1455" s="4" t="s">
        <v>6916</v>
      </c>
    </row>
    <row r="1456">
      <c r="A1456" s="4" t="s">
        <v>44</v>
      </c>
      <c r="B1456" s="4" t="s">
        <v>44</v>
      </c>
      <c r="C1456" s="4">
        <v>1455.0</v>
      </c>
      <c r="D1456" s="13" t="str">
        <f>HYPERLINK("https://www.linkedin.com/ad-library/detail/742540024","Open Ad")</f>
        <v>Open Ad</v>
      </c>
      <c r="E1456" s="4" t="s">
        <v>91</v>
      </c>
      <c r="F1456" s="4" t="s">
        <v>53</v>
      </c>
      <c r="G1456" s="4" t="s">
        <v>6915</v>
      </c>
      <c r="H1456" s="4" t="s">
        <v>55</v>
      </c>
      <c r="I1456" s="4" t="s">
        <v>985</v>
      </c>
      <c r="J1456" s="4" t="s">
        <v>91</v>
      </c>
      <c r="K1456" s="4" t="s">
        <v>60</v>
      </c>
      <c r="L1456" s="4" t="s">
        <v>131</v>
      </c>
      <c r="M1456" s="4" t="s">
        <v>63</v>
      </c>
      <c r="N1456" s="4" t="s">
        <v>132</v>
      </c>
      <c r="O1456" s="2" t="s">
        <v>132</v>
      </c>
      <c r="P1456" s="2">
        <v>7.42540024E8</v>
      </c>
      <c r="Q1456" s="2" t="s">
        <v>68</v>
      </c>
      <c r="R1456" s="4" t="s">
        <v>6916</v>
      </c>
    </row>
    <row r="1457">
      <c r="A1457" s="4" t="s">
        <v>44</v>
      </c>
      <c r="B1457" s="4" t="s">
        <v>44</v>
      </c>
      <c r="C1457" s="4">
        <v>1456.0</v>
      </c>
      <c r="D1457" s="13" t="str">
        <f>HYPERLINK("https://www.linkedin.com/ad-library/detail/743020204","Open Ad")</f>
        <v>Open Ad</v>
      </c>
      <c r="E1457" s="4" t="s">
        <v>91</v>
      </c>
      <c r="F1457" s="4" t="s">
        <v>53</v>
      </c>
      <c r="G1457" s="4" t="s">
        <v>6915</v>
      </c>
      <c r="H1457" s="4" t="s">
        <v>55</v>
      </c>
      <c r="I1457" s="4" t="s">
        <v>985</v>
      </c>
      <c r="J1457" s="4" t="s">
        <v>91</v>
      </c>
      <c r="K1457" s="4" t="s">
        <v>60</v>
      </c>
      <c r="L1457" s="4" t="s">
        <v>131</v>
      </c>
      <c r="M1457" s="4" t="s">
        <v>63</v>
      </c>
      <c r="N1457" s="4" t="s">
        <v>132</v>
      </c>
      <c r="O1457" s="2" t="s">
        <v>132</v>
      </c>
      <c r="P1457" s="2">
        <v>7.43020204E8</v>
      </c>
      <c r="Q1457" s="2" t="s">
        <v>68</v>
      </c>
      <c r="R1457" s="4" t="s">
        <v>6916</v>
      </c>
    </row>
    <row r="1458">
      <c r="A1458" s="4" t="s">
        <v>44</v>
      </c>
      <c r="B1458" s="4" t="s">
        <v>44</v>
      </c>
      <c r="C1458" s="4">
        <v>1457.0</v>
      </c>
      <c r="D1458" s="13" t="str">
        <f>HYPERLINK("https://www.linkedin.com/ad-library/detail/742530194","Open Ad")</f>
        <v>Open Ad</v>
      </c>
      <c r="E1458" s="4" t="s">
        <v>91</v>
      </c>
      <c r="F1458" s="4" t="s">
        <v>53</v>
      </c>
      <c r="G1458" s="4" t="s">
        <v>6915</v>
      </c>
      <c r="H1458" s="4" t="s">
        <v>55</v>
      </c>
      <c r="I1458" s="4" t="s">
        <v>985</v>
      </c>
      <c r="J1458" s="4" t="s">
        <v>91</v>
      </c>
      <c r="K1458" s="4" t="s">
        <v>60</v>
      </c>
      <c r="L1458" s="4" t="s">
        <v>131</v>
      </c>
      <c r="M1458" s="4" t="s">
        <v>63</v>
      </c>
      <c r="N1458" s="4" t="s">
        <v>132</v>
      </c>
      <c r="O1458" s="2" t="s">
        <v>132</v>
      </c>
      <c r="P1458" s="2">
        <v>7.42530194E8</v>
      </c>
      <c r="Q1458" s="2" t="s">
        <v>68</v>
      </c>
      <c r="R1458" s="4" t="s">
        <v>6916</v>
      </c>
    </row>
    <row r="1459">
      <c r="A1459" s="4" t="s">
        <v>44</v>
      </c>
      <c r="B1459" s="4" t="s">
        <v>44</v>
      </c>
      <c r="C1459" s="4">
        <v>1458.0</v>
      </c>
      <c r="D1459" s="13" t="str">
        <f>HYPERLINK("https://www.linkedin.com/ad-library/detail/747432534","Open Ad")</f>
        <v>Open Ad</v>
      </c>
      <c r="E1459" s="4" t="s">
        <v>91</v>
      </c>
      <c r="F1459" s="4" t="s">
        <v>53</v>
      </c>
      <c r="G1459" s="4" t="s">
        <v>6915</v>
      </c>
      <c r="H1459" s="4" t="s">
        <v>55</v>
      </c>
      <c r="I1459" s="4" t="s">
        <v>985</v>
      </c>
      <c r="J1459" s="4" t="s">
        <v>91</v>
      </c>
      <c r="K1459" s="4" t="s">
        <v>60</v>
      </c>
      <c r="L1459" s="4" t="s">
        <v>131</v>
      </c>
      <c r="M1459" s="4" t="s">
        <v>63</v>
      </c>
      <c r="N1459" s="4" t="s">
        <v>132</v>
      </c>
      <c r="O1459" s="2" t="s">
        <v>132</v>
      </c>
      <c r="P1459" s="2">
        <v>7.47432534E8</v>
      </c>
      <c r="Q1459" s="2" t="s">
        <v>68</v>
      </c>
      <c r="R1459" s="4" t="s">
        <v>6916</v>
      </c>
    </row>
    <row r="1460">
      <c r="A1460" s="4" t="s">
        <v>44</v>
      </c>
      <c r="B1460" s="4" t="s">
        <v>44</v>
      </c>
      <c r="C1460" s="4">
        <v>1459.0</v>
      </c>
      <c r="D1460" s="13" t="str">
        <f>HYPERLINK("https://www.linkedin.com/ad-library/detail/743040004","Open Ad")</f>
        <v>Open Ad</v>
      </c>
      <c r="E1460" s="4" t="s">
        <v>91</v>
      </c>
      <c r="F1460" s="4" t="s">
        <v>53</v>
      </c>
      <c r="G1460" s="4" t="s">
        <v>6915</v>
      </c>
      <c r="H1460" s="4" t="s">
        <v>55</v>
      </c>
      <c r="I1460" s="4" t="s">
        <v>985</v>
      </c>
      <c r="J1460" s="4" t="s">
        <v>91</v>
      </c>
      <c r="K1460" s="4" t="s">
        <v>60</v>
      </c>
      <c r="L1460" s="4" t="s">
        <v>131</v>
      </c>
      <c r="M1460" s="4" t="s">
        <v>63</v>
      </c>
      <c r="N1460" s="4" t="s">
        <v>132</v>
      </c>
      <c r="O1460" s="2" t="s">
        <v>132</v>
      </c>
      <c r="P1460" s="2">
        <v>7.43040004E8</v>
      </c>
      <c r="Q1460" s="2" t="s">
        <v>68</v>
      </c>
      <c r="R1460" s="4" t="s">
        <v>6916</v>
      </c>
    </row>
    <row r="1461">
      <c r="A1461" s="4" t="s">
        <v>44</v>
      </c>
      <c r="B1461" s="4" t="s">
        <v>44</v>
      </c>
      <c r="C1461" s="4">
        <v>1460.0</v>
      </c>
      <c r="D1461" s="13" t="str">
        <f>HYPERLINK("https://www.linkedin.com/ad-library/detail/747395354","Open Ad")</f>
        <v>Open Ad</v>
      </c>
      <c r="E1461" s="4" t="s">
        <v>91</v>
      </c>
      <c r="F1461" s="4" t="s">
        <v>53</v>
      </c>
      <c r="G1461" s="4" t="s">
        <v>6915</v>
      </c>
      <c r="H1461" s="4" t="s">
        <v>55</v>
      </c>
      <c r="I1461" s="4" t="s">
        <v>985</v>
      </c>
      <c r="J1461" s="4" t="s">
        <v>91</v>
      </c>
      <c r="K1461" s="4" t="s">
        <v>60</v>
      </c>
      <c r="L1461" s="4" t="s">
        <v>131</v>
      </c>
      <c r="M1461" s="4" t="s">
        <v>63</v>
      </c>
      <c r="N1461" s="4" t="s">
        <v>132</v>
      </c>
      <c r="O1461" s="2" t="s">
        <v>132</v>
      </c>
      <c r="P1461" s="2">
        <v>7.47395354E8</v>
      </c>
      <c r="Q1461" s="2" t="s">
        <v>68</v>
      </c>
      <c r="R1461" s="4" t="s">
        <v>6916</v>
      </c>
    </row>
    <row r="1462">
      <c r="A1462" s="4" t="s">
        <v>44</v>
      </c>
      <c r="B1462" s="4" t="s">
        <v>44</v>
      </c>
      <c r="C1462" s="4">
        <v>1461.0</v>
      </c>
      <c r="D1462" s="13" t="str">
        <f>HYPERLINK("https://www.linkedin.com/ad-library/detail/743148664","Open Ad")</f>
        <v>Open Ad</v>
      </c>
      <c r="E1462" s="4" t="s">
        <v>91</v>
      </c>
      <c r="F1462" s="4" t="s">
        <v>53</v>
      </c>
      <c r="G1462" s="4" t="s">
        <v>6915</v>
      </c>
      <c r="H1462" s="4" t="s">
        <v>55</v>
      </c>
      <c r="I1462" s="4" t="s">
        <v>985</v>
      </c>
      <c r="J1462" s="4" t="s">
        <v>91</v>
      </c>
      <c r="K1462" s="4" t="s">
        <v>60</v>
      </c>
      <c r="L1462" s="4" t="s">
        <v>131</v>
      </c>
      <c r="M1462" s="4" t="s">
        <v>63</v>
      </c>
      <c r="N1462" s="4" t="s">
        <v>132</v>
      </c>
      <c r="O1462" s="2" t="s">
        <v>132</v>
      </c>
      <c r="P1462" s="2">
        <v>7.43148664E8</v>
      </c>
      <c r="Q1462" s="2" t="s">
        <v>68</v>
      </c>
      <c r="R1462" s="4" t="s">
        <v>6916</v>
      </c>
    </row>
    <row r="1463">
      <c r="A1463" s="4" t="s">
        <v>44</v>
      </c>
      <c r="B1463" s="4" t="s">
        <v>44</v>
      </c>
      <c r="C1463" s="4">
        <v>1462.0</v>
      </c>
      <c r="D1463" s="13" t="str">
        <f>HYPERLINK("https://www.linkedin.com/ad-library/detail/742449354","Open Ad")</f>
        <v>Open Ad</v>
      </c>
      <c r="E1463" s="4" t="s">
        <v>91</v>
      </c>
      <c r="F1463" s="4" t="s">
        <v>53</v>
      </c>
      <c r="G1463" s="4" t="s">
        <v>6915</v>
      </c>
      <c r="H1463" s="4" t="s">
        <v>55</v>
      </c>
      <c r="I1463" s="4" t="s">
        <v>985</v>
      </c>
      <c r="J1463" s="4" t="s">
        <v>91</v>
      </c>
      <c r="K1463" s="4" t="s">
        <v>60</v>
      </c>
      <c r="L1463" s="4" t="s">
        <v>131</v>
      </c>
      <c r="M1463" s="4" t="s">
        <v>63</v>
      </c>
      <c r="N1463" s="4" t="s">
        <v>132</v>
      </c>
      <c r="O1463" s="2" t="s">
        <v>132</v>
      </c>
      <c r="P1463" s="2">
        <v>7.42449354E8</v>
      </c>
      <c r="Q1463" s="2" t="s">
        <v>68</v>
      </c>
      <c r="R1463" s="4" t="s">
        <v>6916</v>
      </c>
    </row>
    <row r="1464">
      <c r="A1464" s="4" t="s">
        <v>44</v>
      </c>
      <c r="B1464" s="4" t="s">
        <v>44</v>
      </c>
      <c r="C1464" s="4">
        <v>1463.0</v>
      </c>
      <c r="D1464" s="13" t="str">
        <f>HYPERLINK("https://www.linkedin.com/ad-library/detail/747531074","Open Ad")</f>
        <v>Open Ad</v>
      </c>
      <c r="E1464" s="4" t="s">
        <v>91</v>
      </c>
      <c r="F1464" s="4" t="s">
        <v>53</v>
      </c>
      <c r="G1464" s="4" t="s">
        <v>6915</v>
      </c>
      <c r="H1464" s="4" t="s">
        <v>55</v>
      </c>
      <c r="I1464" s="4" t="s">
        <v>985</v>
      </c>
      <c r="J1464" s="4" t="s">
        <v>91</v>
      </c>
      <c r="K1464" s="4" t="s">
        <v>60</v>
      </c>
      <c r="L1464" s="4" t="s">
        <v>131</v>
      </c>
      <c r="M1464" s="4" t="s">
        <v>63</v>
      </c>
      <c r="N1464" s="4" t="s">
        <v>132</v>
      </c>
      <c r="O1464" s="2" t="s">
        <v>132</v>
      </c>
      <c r="P1464" s="2">
        <v>7.47531074E8</v>
      </c>
      <c r="Q1464" s="2" t="s">
        <v>68</v>
      </c>
      <c r="R1464" s="4" t="s">
        <v>6916</v>
      </c>
    </row>
    <row r="1465">
      <c r="A1465" s="4" t="s">
        <v>44</v>
      </c>
      <c r="B1465" s="4" t="s">
        <v>44</v>
      </c>
      <c r="C1465" s="4">
        <v>1464.0</v>
      </c>
      <c r="D1465" s="13" t="str">
        <f>HYPERLINK("https://www.linkedin.com/ad-library/detail/747531084","Open Ad")</f>
        <v>Open Ad</v>
      </c>
      <c r="E1465" s="4" t="s">
        <v>91</v>
      </c>
      <c r="F1465" s="4" t="s">
        <v>53</v>
      </c>
      <c r="G1465" s="4" t="s">
        <v>6915</v>
      </c>
      <c r="H1465" s="4" t="s">
        <v>55</v>
      </c>
      <c r="I1465" s="4" t="s">
        <v>985</v>
      </c>
      <c r="J1465" s="4" t="s">
        <v>91</v>
      </c>
      <c r="K1465" s="4" t="s">
        <v>60</v>
      </c>
      <c r="L1465" s="4" t="s">
        <v>131</v>
      </c>
      <c r="M1465" s="4" t="s">
        <v>63</v>
      </c>
      <c r="N1465" s="4" t="s">
        <v>132</v>
      </c>
      <c r="O1465" s="2" t="s">
        <v>132</v>
      </c>
      <c r="P1465" s="2">
        <v>7.47531084E8</v>
      </c>
      <c r="Q1465" s="2" t="s">
        <v>68</v>
      </c>
      <c r="R1465" s="4" t="s">
        <v>6916</v>
      </c>
    </row>
    <row r="1466">
      <c r="A1466" s="4" t="s">
        <v>44</v>
      </c>
      <c r="B1466" s="4" t="s">
        <v>44</v>
      </c>
      <c r="C1466" s="4">
        <v>1465.0</v>
      </c>
      <c r="D1466" s="13" t="str">
        <f>HYPERLINK("https://www.linkedin.com/ad-library/detail/742527844","Open Ad")</f>
        <v>Open Ad</v>
      </c>
      <c r="E1466" s="4" t="s">
        <v>91</v>
      </c>
      <c r="F1466" s="4" t="s">
        <v>53</v>
      </c>
      <c r="G1466" s="4" t="s">
        <v>6915</v>
      </c>
      <c r="H1466" s="4" t="s">
        <v>55</v>
      </c>
      <c r="I1466" s="4" t="s">
        <v>985</v>
      </c>
      <c r="J1466" s="4" t="s">
        <v>91</v>
      </c>
      <c r="K1466" s="4" t="s">
        <v>60</v>
      </c>
      <c r="L1466" s="4" t="s">
        <v>131</v>
      </c>
      <c r="M1466" s="4" t="s">
        <v>63</v>
      </c>
      <c r="N1466" s="4" t="s">
        <v>132</v>
      </c>
      <c r="O1466" s="2" t="s">
        <v>132</v>
      </c>
      <c r="P1466" s="2">
        <v>7.42527844E8</v>
      </c>
      <c r="Q1466" s="2" t="s">
        <v>68</v>
      </c>
      <c r="R1466" s="4" t="s">
        <v>6916</v>
      </c>
    </row>
    <row r="1467">
      <c r="A1467" s="4" t="s">
        <v>44</v>
      </c>
      <c r="B1467" s="4" t="s">
        <v>44</v>
      </c>
      <c r="C1467" s="4">
        <v>1466.0</v>
      </c>
      <c r="D1467" s="13" t="str">
        <f>HYPERLINK("https://www.linkedin.com/ad-library/detail/742439664","Open Ad")</f>
        <v>Open Ad</v>
      </c>
      <c r="E1467" s="4" t="s">
        <v>91</v>
      </c>
      <c r="F1467" s="4" t="s">
        <v>53</v>
      </c>
      <c r="G1467" s="4" t="s">
        <v>6915</v>
      </c>
      <c r="H1467" s="4" t="s">
        <v>55</v>
      </c>
      <c r="I1467" s="4" t="s">
        <v>985</v>
      </c>
      <c r="J1467" s="4" t="s">
        <v>91</v>
      </c>
      <c r="K1467" s="4" t="s">
        <v>60</v>
      </c>
      <c r="L1467" s="4" t="s">
        <v>131</v>
      </c>
      <c r="M1467" s="4" t="s">
        <v>63</v>
      </c>
      <c r="N1467" s="4" t="s">
        <v>132</v>
      </c>
      <c r="O1467" s="2" t="s">
        <v>132</v>
      </c>
      <c r="P1467" s="2">
        <v>7.42439664E8</v>
      </c>
      <c r="Q1467" s="2" t="s">
        <v>68</v>
      </c>
      <c r="R1467" s="4" t="s">
        <v>6916</v>
      </c>
    </row>
    <row r="1468">
      <c r="A1468" s="4" t="s">
        <v>44</v>
      </c>
      <c r="B1468" s="4" t="s">
        <v>44</v>
      </c>
      <c r="C1468" s="4">
        <v>1467.0</v>
      </c>
      <c r="D1468" s="13" t="str">
        <f>HYPERLINK("https://www.linkedin.com/ad-library/detail/742527804","Open Ad")</f>
        <v>Open Ad</v>
      </c>
      <c r="E1468" s="4" t="s">
        <v>91</v>
      </c>
      <c r="F1468" s="4" t="s">
        <v>53</v>
      </c>
      <c r="G1468" s="4" t="s">
        <v>6915</v>
      </c>
      <c r="H1468" s="4" t="s">
        <v>55</v>
      </c>
      <c r="I1468" s="4" t="s">
        <v>985</v>
      </c>
      <c r="J1468" s="4" t="s">
        <v>91</v>
      </c>
      <c r="K1468" s="4" t="s">
        <v>60</v>
      </c>
      <c r="L1468" s="4" t="s">
        <v>131</v>
      </c>
      <c r="M1468" s="4" t="s">
        <v>63</v>
      </c>
      <c r="N1468" s="4" t="s">
        <v>132</v>
      </c>
      <c r="O1468" s="2" t="s">
        <v>132</v>
      </c>
      <c r="P1468" s="2">
        <v>7.42527804E8</v>
      </c>
      <c r="Q1468" s="2" t="s">
        <v>68</v>
      </c>
      <c r="R1468" s="4" t="s">
        <v>6916</v>
      </c>
    </row>
    <row r="1469">
      <c r="A1469" s="4" t="s">
        <v>44</v>
      </c>
      <c r="B1469" s="4" t="s">
        <v>44</v>
      </c>
      <c r="C1469" s="4">
        <v>1468.0</v>
      </c>
      <c r="D1469" s="13" t="str">
        <f>HYPERLINK("https://www.linkedin.com/ad-library/detail/742489644","Open Ad")</f>
        <v>Open Ad</v>
      </c>
      <c r="E1469" s="4" t="s">
        <v>91</v>
      </c>
      <c r="F1469" s="4" t="s">
        <v>53</v>
      </c>
      <c r="G1469" s="4" t="s">
        <v>6915</v>
      </c>
      <c r="H1469" s="4" t="s">
        <v>55</v>
      </c>
      <c r="I1469" s="4" t="s">
        <v>985</v>
      </c>
      <c r="J1469" s="4" t="s">
        <v>91</v>
      </c>
      <c r="K1469" s="4" t="s">
        <v>60</v>
      </c>
      <c r="L1469" s="4" t="s">
        <v>131</v>
      </c>
      <c r="M1469" s="4" t="s">
        <v>63</v>
      </c>
      <c r="N1469" s="4" t="s">
        <v>132</v>
      </c>
      <c r="O1469" s="2" t="s">
        <v>132</v>
      </c>
      <c r="P1469" s="2">
        <v>7.42489644E8</v>
      </c>
      <c r="Q1469" s="2" t="s">
        <v>68</v>
      </c>
      <c r="R1469" s="4" t="s">
        <v>6916</v>
      </c>
    </row>
    <row r="1470">
      <c r="A1470" s="4" t="s">
        <v>44</v>
      </c>
      <c r="B1470" s="4" t="s">
        <v>44</v>
      </c>
      <c r="C1470" s="4">
        <v>1469.0</v>
      </c>
      <c r="D1470" s="13" t="str">
        <f>HYPERLINK("https://www.linkedin.com/ad-library/detail/742489654","Open Ad")</f>
        <v>Open Ad</v>
      </c>
      <c r="E1470" s="4" t="s">
        <v>91</v>
      </c>
      <c r="F1470" s="4" t="s">
        <v>53</v>
      </c>
      <c r="G1470" s="4" t="s">
        <v>6915</v>
      </c>
      <c r="H1470" s="4" t="s">
        <v>55</v>
      </c>
      <c r="I1470" s="4" t="s">
        <v>985</v>
      </c>
      <c r="J1470" s="4" t="s">
        <v>91</v>
      </c>
      <c r="K1470" s="4" t="s">
        <v>60</v>
      </c>
      <c r="L1470" s="4" t="s">
        <v>131</v>
      </c>
      <c r="M1470" s="4" t="s">
        <v>63</v>
      </c>
      <c r="N1470" s="4" t="s">
        <v>132</v>
      </c>
      <c r="O1470" s="2" t="s">
        <v>132</v>
      </c>
      <c r="P1470" s="2">
        <v>7.42489654E8</v>
      </c>
      <c r="Q1470" s="2" t="s">
        <v>68</v>
      </c>
      <c r="R1470" s="4" t="s">
        <v>6916</v>
      </c>
    </row>
    <row r="1471">
      <c r="A1471" s="4" t="s">
        <v>44</v>
      </c>
      <c r="B1471" s="4" t="s">
        <v>44</v>
      </c>
      <c r="C1471" s="4">
        <v>1470.0</v>
      </c>
      <c r="D1471" s="13" t="str">
        <f>HYPERLINK("https://www.linkedin.com/ad-library/detail/742527814","Open Ad")</f>
        <v>Open Ad</v>
      </c>
      <c r="E1471" s="4" t="s">
        <v>91</v>
      </c>
      <c r="F1471" s="4" t="s">
        <v>53</v>
      </c>
      <c r="G1471" s="4" t="s">
        <v>6915</v>
      </c>
      <c r="H1471" s="4" t="s">
        <v>55</v>
      </c>
      <c r="I1471" s="4" t="s">
        <v>985</v>
      </c>
      <c r="J1471" s="4" t="s">
        <v>91</v>
      </c>
      <c r="K1471" s="4" t="s">
        <v>60</v>
      </c>
      <c r="L1471" s="4" t="s">
        <v>131</v>
      </c>
      <c r="M1471" s="4" t="s">
        <v>63</v>
      </c>
      <c r="N1471" s="4" t="s">
        <v>132</v>
      </c>
      <c r="O1471" s="2" t="s">
        <v>132</v>
      </c>
      <c r="P1471" s="2">
        <v>7.42527814E8</v>
      </c>
      <c r="Q1471" s="2" t="s">
        <v>68</v>
      </c>
      <c r="R1471" s="4" t="s">
        <v>6916</v>
      </c>
    </row>
    <row r="1472">
      <c r="A1472" s="4" t="s">
        <v>44</v>
      </c>
      <c r="B1472" s="4" t="s">
        <v>44</v>
      </c>
      <c r="C1472" s="4">
        <v>1471.0</v>
      </c>
      <c r="D1472" s="13" t="str">
        <f>HYPERLINK("https://www.linkedin.com/ad-library/detail/742499724","Open Ad")</f>
        <v>Open Ad</v>
      </c>
      <c r="E1472" s="4" t="s">
        <v>91</v>
      </c>
      <c r="F1472" s="4" t="s">
        <v>53</v>
      </c>
      <c r="G1472" s="4" t="s">
        <v>6915</v>
      </c>
      <c r="H1472" s="4" t="s">
        <v>55</v>
      </c>
      <c r="I1472" s="4" t="s">
        <v>985</v>
      </c>
      <c r="J1472" s="4" t="s">
        <v>91</v>
      </c>
      <c r="K1472" s="4" t="s">
        <v>60</v>
      </c>
      <c r="L1472" s="4" t="s">
        <v>131</v>
      </c>
      <c r="M1472" s="4" t="s">
        <v>63</v>
      </c>
      <c r="N1472" s="4" t="s">
        <v>132</v>
      </c>
      <c r="O1472" s="2" t="s">
        <v>132</v>
      </c>
      <c r="P1472" s="2">
        <v>7.42499724E8</v>
      </c>
      <c r="Q1472" s="2" t="s">
        <v>68</v>
      </c>
      <c r="R1472" s="4" t="s">
        <v>6916</v>
      </c>
    </row>
    <row r="1473">
      <c r="A1473" s="4" t="s">
        <v>44</v>
      </c>
      <c r="B1473" s="4" t="s">
        <v>44</v>
      </c>
      <c r="C1473" s="4">
        <v>1472.0</v>
      </c>
      <c r="D1473" s="13" t="str">
        <f>HYPERLINK("https://www.linkedin.com/ad-library/detail/742469684","Open Ad")</f>
        <v>Open Ad</v>
      </c>
      <c r="E1473" s="4" t="s">
        <v>91</v>
      </c>
      <c r="F1473" s="4" t="s">
        <v>53</v>
      </c>
      <c r="G1473" s="4" t="s">
        <v>6915</v>
      </c>
      <c r="H1473" s="4" t="s">
        <v>55</v>
      </c>
      <c r="I1473" s="4" t="s">
        <v>985</v>
      </c>
      <c r="J1473" s="4" t="s">
        <v>91</v>
      </c>
      <c r="K1473" s="4" t="s">
        <v>60</v>
      </c>
      <c r="L1473" s="4" t="s">
        <v>131</v>
      </c>
      <c r="M1473" s="4" t="s">
        <v>63</v>
      </c>
      <c r="N1473" s="4" t="s">
        <v>132</v>
      </c>
      <c r="O1473" s="2" t="s">
        <v>132</v>
      </c>
      <c r="P1473" s="2">
        <v>7.42469684E8</v>
      </c>
      <c r="Q1473" s="2" t="s">
        <v>68</v>
      </c>
      <c r="R1473" s="4" t="s">
        <v>6916</v>
      </c>
    </row>
    <row r="1474">
      <c r="A1474" s="4" t="s">
        <v>44</v>
      </c>
      <c r="B1474" s="4" t="s">
        <v>44</v>
      </c>
      <c r="C1474" s="4">
        <v>1473.0</v>
      </c>
      <c r="D1474" s="13" t="str">
        <f>HYPERLINK("https://www.linkedin.com/ad-library/detail/742509724","Open Ad")</f>
        <v>Open Ad</v>
      </c>
      <c r="E1474" s="4" t="s">
        <v>91</v>
      </c>
      <c r="F1474" s="4" t="s">
        <v>53</v>
      </c>
      <c r="G1474" s="4" t="s">
        <v>6915</v>
      </c>
      <c r="H1474" s="4" t="s">
        <v>55</v>
      </c>
      <c r="I1474" s="4" t="s">
        <v>985</v>
      </c>
      <c r="J1474" s="4" t="s">
        <v>91</v>
      </c>
      <c r="K1474" s="4" t="s">
        <v>60</v>
      </c>
      <c r="L1474" s="4" t="s">
        <v>131</v>
      </c>
      <c r="M1474" s="4" t="s">
        <v>63</v>
      </c>
      <c r="N1474" s="4" t="s">
        <v>132</v>
      </c>
      <c r="O1474" s="2" t="s">
        <v>132</v>
      </c>
      <c r="P1474" s="2">
        <v>7.42509724E8</v>
      </c>
      <c r="Q1474" s="2" t="s">
        <v>68</v>
      </c>
      <c r="R1474" s="4" t="s">
        <v>6916</v>
      </c>
    </row>
    <row r="1475">
      <c r="A1475" s="4" t="s">
        <v>44</v>
      </c>
      <c r="B1475" s="4" t="s">
        <v>44</v>
      </c>
      <c r="C1475" s="4">
        <v>1474.0</v>
      </c>
      <c r="D1475" s="13" t="str">
        <f>HYPERLINK("https://www.linkedin.com/ad-library/detail/742469694","Open Ad")</f>
        <v>Open Ad</v>
      </c>
      <c r="E1475" s="4" t="s">
        <v>91</v>
      </c>
      <c r="F1475" s="4" t="s">
        <v>53</v>
      </c>
      <c r="G1475" s="4" t="s">
        <v>6915</v>
      </c>
      <c r="H1475" s="4" t="s">
        <v>55</v>
      </c>
      <c r="I1475" s="4" t="s">
        <v>985</v>
      </c>
      <c r="J1475" s="4" t="s">
        <v>91</v>
      </c>
      <c r="K1475" s="4" t="s">
        <v>60</v>
      </c>
      <c r="L1475" s="4" t="s">
        <v>131</v>
      </c>
      <c r="M1475" s="4" t="s">
        <v>63</v>
      </c>
      <c r="N1475" s="4" t="s">
        <v>132</v>
      </c>
      <c r="O1475" s="2" t="s">
        <v>132</v>
      </c>
      <c r="P1475" s="2">
        <v>7.42469694E8</v>
      </c>
      <c r="Q1475" s="2" t="s">
        <v>68</v>
      </c>
      <c r="R1475" s="4" t="s">
        <v>6916</v>
      </c>
    </row>
    <row r="1476">
      <c r="A1476" s="4" t="s">
        <v>44</v>
      </c>
      <c r="B1476" s="4" t="s">
        <v>44</v>
      </c>
      <c r="C1476" s="4">
        <v>1475.0</v>
      </c>
      <c r="D1476" s="13" t="str">
        <f>HYPERLINK("https://www.linkedin.com/ad-library/detail/742509734","Open Ad")</f>
        <v>Open Ad</v>
      </c>
      <c r="E1476" s="4" t="s">
        <v>91</v>
      </c>
      <c r="F1476" s="4" t="s">
        <v>53</v>
      </c>
      <c r="G1476" s="4" t="s">
        <v>6915</v>
      </c>
      <c r="H1476" s="4" t="s">
        <v>55</v>
      </c>
      <c r="I1476" s="4" t="s">
        <v>985</v>
      </c>
      <c r="J1476" s="4" t="s">
        <v>91</v>
      </c>
      <c r="K1476" s="4" t="s">
        <v>60</v>
      </c>
      <c r="L1476" s="4" t="s">
        <v>131</v>
      </c>
      <c r="M1476" s="4" t="s">
        <v>63</v>
      </c>
      <c r="N1476" s="4" t="s">
        <v>132</v>
      </c>
      <c r="O1476" s="2" t="s">
        <v>132</v>
      </c>
      <c r="P1476" s="2">
        <v>7.42509734E8</v>
      </c>
      <c r="Q1476" s="2" t="s">
        <v>68</v>
      </c>
      <c r="R1476" s="4" t="s">
        <v>6916</v>
      </c>
    </row>
    <row r="1477">
      <c r="A1477" s="4" t="s">
        <v>44</v>
      </c>
      <c r="B1477" s="4" t="s">
        <v>44</v>
      </c>
      <c r="C1477" s="4">
        <v>1476.0</v>
      </c>
      <c r="D1477" s="13" t="str">
        <f>HYPERLINK("https://www.linkedin.com/ad-library/detail/742499704","Open Ad")</f>
        <v>Open Ad</v>
      </c>
      <c r="E1477" s="4" t="s">
        <v>91</v>
      </c>
      <c r="F1477" s="4" t="s">
        <v>53</v>
      </c>
      <c r="G1477" s="4" t="s">
        <v>6915</v>
      </c>
      <c r="H1477" s="4" t="s">
        <v>55</v>
      </c>
      <c r="I1477" s="4" t="s">
        <v>985</v>
      </c>
      <c r="J1477" s="4" t="s">
        <v>91</v>
      </c>
      <c r="K1477" s="4" t="s">
        <v>60</v>
      </c>
      <c r="L1477" s="4" t="s">
        <v>131</v>
      </c>
      <c r="M1477" s="4" t="s">
        <v>63</v>
      </c>
      <c r="N1477" s="4" t="s">
        <v>132</v>
      </c>
      <c r="O1477" s="2" t="s">
        <v>132</v>
      </c>
      <c r="P1477" s="2">
        <v>7.42499704E8</v>
      </c>
      <c r="Q1477" s="2" t="s">
        <v>68</v>
      </c>
      <c r="R1477" s="4" t="s">
        <v>6916</v>
      </c>
    </row>
    <row r="1478">
      <c r="A1478" s="4" t="s">
        <v>44</v>
      </c>
      <c r="B1478" s="4" t="s">
        <v>44</v>
      </c>
      <c r="C1478" s="4">
        <v>1477.0</v>
      </c>
      <c r="D1478" s="13" t="str">
        <f>HYPERLINK("https://www.linkedin.com/ad-library/detail/742499714","Open Ad")</f>
        <v>Open Ad</v>
      </c>
      <c r="E1478" s="4" t="s">
        <v>91</v>
      </c>
      <c r="F1478" s="4" t="s">
        <v>53</v>
      </c>
      <c r="G1478" s="4" t="s">
        <v>6915</v>
      </c>
      <c r="H1478" s="4" t="s">
        <v>55</v>
      </c>
      <c r="I1478" s="4" t="s">
        <v>985</v>
      </c>
      <c r="J1478" s="4" t="s">
        <v>91</v>
      </c>
      <c r="K1478" s="4" t="s">
        <v>60</v>
      </c>
      <c r="L1478" s="4" t="s">
        <v>131</v>
      </c>
      <c r="M1478" s="4" t="s">
        <v>63</v>
      </c>
      <c r="N1478" s="4" t="s">
        <v>132</v>
      </c>
      <c r="O1478" s="2" t="s">
        <v>132</v>
      </c>
      <c r="P1478" s="2">
        <v>7.42499714E8</v>
      </c>
      <c r="Q1478" s="2" t="s">
        <v>68</v>
      </c>
      <c r="R1478" s="4" t="s">
        <v>6916</v>
      </c>
    </row>
    <row r="1479">
      <c r="A1479" s="4" t="s">
        <v>44</v>
      </c>
      <c r="B1479" s="4" t="s">
        <v>44</v>
      </c>
      <c r="C1479" s="4">
        <v>1478.0</v>
      </c>
      <c r="D1479" s="13" t="str">
        <f>HYPERLINK("https://www.linkedin.com/ad-library/detail/742439644","Open Ad")</f>
        <v>Open Ad</v>
      </c>
      <c r="E1479" s="4" t="s">
        <v>91</v>
      </c>
      <c r="F1479" s="4" t="s">
        <v>53</v>
      </c>
      <c r="G1479" s="4" t="s">
        <v>6915</v>
      </c>
      <c r="H1479" s="4" t="s">
        <v>55</v>
      </c>
      <c r="I1479" s="4" t="s">
        <v>985</v>
      </c>
      <c r="J1479" s="4" t="s">
        <v>91</v>
      </c>
      <c r="K1479" s="4" t="s">
        <v>60</v>
      </c>
      <c r="L1479" s="4" t="s">
        <v>131</v>
      </c>
      <c r="M1479" s="4" t="s">
        <v>63</v>
      </c>
      <c r="N1479" s="4" t="s">
        <v>132</v>
      </c>
      <c r="O1479" s="2" t="s">
        <v>132</v>
      </c>
      <c r="P1479" s="2">
        <v>7.42439644E8</v>
      </c>
      <c r="Q1479" s="2" t="s">
        <v>68</v>
      </c>
      <c r="R1479" s="4" t="s">
        <v>6916</v>
      </c>
    </row>
    <row r="1480">
      <c r="A1480" s="4" t="s">
        <v>44</v>
      </c>
      <c r="B1480" s="4" t="s">
        <v>44</v>
      </c>
      <c r="C1480" s="4">
        <v>1479.0</v>
      </c>
      <c r="D1480" s="13" t="str">
        <f>HYPERLINK("https://www.linkedin.com/ad-library/detail/742549844","Open Ad")</f>
        <v>Open Ad</v>
      </c>
      <c r="E1480" s="4" t="s">
        <v>91</v>
      </c>
      <c r="F1480" s="4" t="s">
        <v>53</v>
      </c>
      <c r="G1480" s="4" t="s">
        <v>6915</v>
      </c>
      <c r="H1480" s="4" t="s">
        <v>55</v>
      </c>
      <c r="I1480" s="4" t="s">
        <v>985</v>
      </c>
      <c r="J1480" s="4" t="s">
        <v>91</v>
      </c>
      <c r="K1480" s="4" t="s">
        <v>60</v>
      </c>
      <c r="L1480" s="4" t="s">
        <v>131</v>
      </c>
      <c r="M1480" s="4" t="s">
        <v>63</v>
      </c>
      <c r="N1480" s="4" t="s">
        <v>132</v>
      </c>
      <c r="O1480" s="2" t="s">
        <v>132</v>
      </c>
      <c r="P1480" s="2">
        <v>7.42549844E8</v>
      </c>
      <c r="Q1480" s="2" t="s">
        <v>68</v>
      </c>
      <c r="R1480" s="4" t="s">
        <v>6916</v>
      </c>
    </row>
    <row r="1481">
      <c r="A1481" s="4" t="s">
        <v>44</v>
      </c>
      <c r="B1481" s="4" t="s">
        <v>44</v>
      </c>
      <c r="C1481" s="4">
        <v>1480.0</v>
      </c>
      <c r="D1481" s="13" t="str">
        <f>HYPERLINK("https://www.linkedin.com/ad-library/detail/742479744","Open Ad")</f>
        <v>Open Ad</v>
      </c>
      <c r="E1481" s="4" t="s">
        <v>91</v>
      </c>
      <c r="F1481" s="4" t="s">
        <v>53</v>
      </c>
      <c r="G1481" s="4" t="s">
        <v>6915</v>
      </c>
      <c r="H1481" s="4" t="s">
        <v>55</v>
      </c>
      <c r="I1481" s="4" t="s">
        <v>985</v>
      </c>
      <c r="J1481" s="4" t="s">
        <v>91</v>
      </c>
      <c r="K1481" s="4" t="s">
        <v>60</v>
      </c>
      <c r="L1481" s="4" t="s">
        <v>131</v>
      </c>
      <c r="M1481" s="4" t="s">
        <v>63</v>
      </c>
      <c r="N1481" s="4" t="s">
        <v>132</v>
      </c>
      <c r="O1481" s="2" t="s">
        <v>132</v>
      </c>
      <c r="P1481" s="2">
        <v>7.42479744E8</v>
      </c>
      <c r="Q1481" s="2" t="s">
        <v>68</v>
      </c>
      <c r="R1481" s="4" t="s">
        <v>6916</v>
      </c>
    </row>
    <row r="1482">
      <c r="A1482" s="4" t="s">
        <v>44</v>
      </c>
      <c r="B1482" s="4" t="s">
        <v>44</v>
      </c>
      <c r="C1482" s="4">
        <v>1481.0</v>
      </c>
      <c r="D1482" s="13" t="str">
        <f>HYPERLINK("https://www.linkedin.com/ad-library/detail/742499764","Open Ad")</f>
        <v>Open Ad</v>
      </c>
      <c r="E1482" s="4" t="s">
        <v>91</v>
      </c>
      <c r="F1482" s="4" t="s">
        <v>53</v>
      </c>
      <c r="G1482" s="4" t="s">
        <v>6915</v>
      </c>
      <c r="H1482" s="4" t="s">
        <v>55</v>
      </c>
      <c r="I1482" s="4" t="s">
        <v>985</v>
      </c>
      <c r="J1482" s="4" t="s">
        <v>91</v>
      </c>
      <c r="K1482" s="4" t="s">
        <v>60</v>
      </c>
      <c r="L1482" s="4" t="s">
        <v>131</v>
      </c>
      <c r="M1482" s="4" t="s">
        <v>63</v>
      </c>
      <c r="N1482" s="4" t="s">
        <v>132</v>
      </c>
      <c r="O1482" s="2" t="s">
        <v>132</v>
      </c>
      <c r="P1482" s="2">
        <v>7.42499764E8</v>
      </c>
      <c r="Q1482" s="2" t="s">
        <v>68</v>
      </c>
      <c r="R1482" s="4" t="s">
        <v>6916</v>
      </c>
    </row>
    <row r="1483">
      <c r="A1483" s="4" t="s">
        <v>44</v>
      </c>
      <c r="B1483" s="4" t="s">
        <v>44</v>
      </c>
      <c r="C1483" s="4">
        <v>1482.0</v>
      </c>
      <c r="D1483" s="13" t="str">
        <f>HYPERLINK("https://www.linkedin.com/ad-library/detail/742479764","Open Ad")</f>
        <v>Open Ad</v>
      </c>
      <c r="E1483" s="4" t="s">
        <v>91</v>
      </c>
      <c r="F1483" s="4" t="s">
        <v>53</v>
      </c>
      <c r="G1483" s="4" t="s">
        <v>6915</v>
      </c>
      <c r="H1483" s="4" t="s">
        <v>55</v>
      </c>
      <c r="I1483" s="4" t="s">
        <v>985</v>
      </c>
      <c r="J1483" s="4" t="s">
        <v>91</v>
      </c>
      <c r="K1483" s="4" t="s">
        <v>60</v>
      </c>
      <c r="L1483" s="4" t="s">
        <v>131</v>
      </c>
      <c r="M1483" s="4" t="s">
        <v>63</v>
      </c>
      <c r="N1483" s="4" t="s">
        <v>132</v>
      </c>
      <c r="O1483" s="2" t="s">
        <v>132</v>
      </c>
      <c r="P1483" s="2">
        <v>7.42479764E8</v>
      </c>
      <c r="Q1483" s="2" t="s">
        <v>68</v>
      </c>
      <c r="R1483" s="4" t="s">
        <v>6916</v>
      </c>
    </row>
    <row r="1484">
      <c r="A1484" s="4" t="s">
        <v>44</v>
      </c>
      <c r="B1484" s="4" t="s">
        <v>44</v>
      </c>
      <c r="C1484" s="4">
        <v>1483.0</v>
      </c>
      <c r="D1484" s="13" t="str">
        <f>HYPERLINK("https://www.linkedin.com/ad-library/detail/742499754","Open Ad")</f>
        <v>Open Ad</v>
      </c>
      <c r="E1484" s="4" t="s">
        <v>91</v>
      </c>
      <c r="F1484" s="4" t="s">
        <v>53</v>
      </c>
      <c r="G1484" s="4" t="s">
        <v>6915</v>
      </c>
      <c r="H1484" s="4" t="s">
        <v>55</v>
      </c>
      <c r="I1484" s="4" t="s">
        <v>985</v>
      </c>
      <c r="J1484" s="4" t="s">
        <v>91</v>
      </c>
      <c r="K1484" s="4" t="s">
        <v>60</v>
      </c>
      <c r="L1484" s="4" t="s">
        <v>131</v>
      </c>
      <c r="M1484" s="4" t="s">
        <v>63</v>
      </c>
      <c r="N1484" s="4" t="s">
        <v>132</v>
      </c>
      <c r="O1484" s="2" t="s">
        <v>132</v>
      </c>
      <c r="P1484" s="2">
        <v>7.42499754E8</v>
      </c>
      <c r="Q1484" s="2" t="s">
        <v>68</v>
      </c>
      <c r="R1484" s="4" t="s">
        <v>6916</v>
      </c>
    </row>
    <row r="1485">
      <c r="A1485" s="4" t="s">
        <v>44</v>
      </c>
      <c r="B1485" s="4" t="s">
        <v>44</v>
      </c>
      <c r="C1485" s="4">
        <v>1484.0</v>
      </c>
      <c r="D1485" s="13" t="str">
        <f>HYPERLINK("https://www.linkedin.com/ad-library/detail/742518654","Open Ad")</f>
        <v>Open Ad</v>
      </c>
      <c r="E1485" s="4" t="s">
        <v>91</v>
      </c>
      <c r="F1485" s="4" t="s">
        <v>53</v>
      </c>
      <c r="G1485" s="4" t="s">
        <v>6915</v>
      </c>
      <c r="H1485" s="4" t="s">
        <v>55</v>
      </c>
      <c r="I1485" s="4" t="s">
        <v>985</v>
      </c>
      <c r="J1485" s="4" t="s">
        <v>91</v>
      </c>
      <c r="K1485" s="4" t="s">
        <v>60</v>
      </c>
      <c r="L1485" s="4" t="s">
        <v>131</v>
      </c>
      <c r="M1485" s="4" t="s">
        <v>63</v>
      </c>
      <c r="N1485" s="4" t="s">
        <v>132</v>
      </c>
      <c r="O1485" s="2" t="s">
        <v>132</v>
      </c>
      <c r="P1485" s="2">
        <v>7.42518654E8</v>
      </c>
      <c r="Q1485" s="2" t="s">
        <v>68</v>
      </c>
      <c r="R1485" s="4" t="s">
        <v>6916</v>
      </c>
    </row>
    <row r="1486">
      <c r="A1486" s="4" t="s">
        <v>44</v>
      </c>
      <c r="B1486" s="4" t="s">
        <v>44</v>
      </c>
      <c r="C1486" s="4">
        <v>1485.0</v>
      </c>
      <c r="D1486" s="13" t="str">
        <f>HYPERLINK("https://www.linkedin.com/ad-library/detail/742518634","Open Ad")</f>
        <v>Open Ad</v>
      </c>
      <c r="E1486" s="4" t="s">
        <v>91</v>
      </c>
      <c r="F1486" s="4" t="s">
        <v>53</v>
      </c>
      <c r="G1486" s="4" t="s">
        <v>6915</v>
      </c>
      <c r="H1486" s="4" t="s">
        <v>55</v>
      </c>
      <c r="I1486" s="4" t="s">
        <v>985</v>
      </c>
      <c r="J1486" s="4" t="s">
        <v>91</v>
      </c>
      <c r="K1486" s="4" t="s">
        <v>60</v>
      </c>
      <c r="L1486" s="4" t="s">
        <v>131</v>
      </c>
      <c r="M1486" s="4" t="s">
        <v>63</v>
      </c>
      <c r="N1486" s="4" t="s">
        <v>132</v>
      </c>
      <c r="O1486" s="2" t="s">
        <v>132</v>
      </c>
      <c r="P1486" s="2">
        <v>7.42518634E8</v>
      </c>
      <c r="Q1486" s="2" t="s">
        <v>68</v>
      </c>
      <c r="R1486" s="4" t="s">
        <v>6916</v>
      </c>
    </row>
    <row r="1487">
      <c r="A1487" s="4" t="s">
        <v>44</v>
      </c>
      <c r="B1487" s="4" t="s">
        <v>44</v>
      </c>
      <c r="C1487" s="4">
        <v>1486.0</v>
      </c>
      <c r="D1487" s="13" t="str">
        <f>HYPERLINK("https://www.linkedin.com/ad-library/detail/742539994","Open Ad")</f>
        <v>Open Ad</v>
      </c>
      <c r="E1487" s="4" t="s">
        <v>91</v>
      </c>
      <c r="F1487" s="4" t="s">
        <v>53</v>
      </c>
      <c r="G1487" s="4" t="s">
        <v>6915</v>
      </c>
      <c r="H1487" s="4" t="s">
        <v>55</v>
      </c>
      <c r="I1487" s="4" t="s">
        <v>985</v>
      </c>
      <c r="J1487" s="4" t="s">
        <v>91</v>
      </c>
      <c r="K1487" s="4" t="s">
        <v>60</v>
      </c>
      <c r="L1487" s="4" t="s">
        <v>131</v>
      </c>
      <c r="M1487" s="4" t="s">
        <v>63</v>
      </c>
      <c r="N1487" s="4" t="s">
        <v>132</v>
      </c>
      <c r="O1487" s="2" t="s">
        <v>132</v>
      </c>
      <c r="P1487" s="2">
        <v>7.42539994E8</v>
      </c>
      <c r="Q1487" s="2" t="s">
        <v>68</v>
      </c>
      <c r="R1487" s="4" t="s">
        <v>6916</v>
      </c>
    </row>
    <row r="1488">
      <c r="A1488" s="4" t="s">
        <v>44</v>
      </c>
      <c r="B1488" s="4" t="s">
        <v>44</v>
      </c>
      <c r="C1488" s="4">
        <v>1487.0</v>
      </c>
      <c r="D1488" s="13" t="str">
        <f>HYPERLINK("https://www.linkedin.com/ad-library/detail/742518674","Open Ad")</f>
        <v>Open Ad</v>
      </c>
      <c r="E1488" s="4" t="s">
        <v>91</v>
      </c>
      <c r="F1488" s="4" t="s">
        <v>53</v>
      </c>
      <c r="G1488" s="4" t="s">
        <v>6915</v>
      </c>
      <c r="H1488" s="4" t="s">
        <v>55</v>
      </c>
      <c r="I1488" s="4" t="s">
        <v>985</v>
      </c>
      <c r="J1488" s="4" t="s">
        <v>91</v>
      </c>
      <c r="K1488" s="4" t="s">
        <v>60</v>
      </c>
      <c r="L1488" s="4" t="s">
        <v>131</v>
      </c>
      <c r="M1488" s="4" t="s">
        <v>63</v>
      </c>
      <c r="N1488" s="4" t="s">
        <v>132</v>
      </c>
      <c r="O1488" s="2" t="s">
        <v>132</v>
      </c>
      <c r="P1488" s="2">
        <v>7.42518674E8</v>
      </c>
      <c r="Q1488" s="2" t="s">
        <v>68</v>
      </c>
      <c r="R1488" s="4" t="s">
        <v>6916</v>
      </c>
    </row>
    <row r="1489">
      <c r="A1489" s="4" t="s">
        <v>44</v>
      </c>
      <c r="B1489" s="4" t="s">
        <v>44</v>
      </c>
      <c r="C1489" s="4">
        <v>1488.0</v>
      </c>
      <c r="D1489" s="13" t="str">
        <f>HYPERLINK("https://www.linkedin.com/ad-library/detail/742469704","Open Ad")</f>
        <v>Open Ad</v>
      </c>
      <c r="E1489" s="4" t="s">
        <v>91</v>
      </c>
      <c r="F1489" s="4" t="s">
        <v>53</v>
      </c>
      <c r="G1489" s="4" t="s">
        <v>6915</v>
      </c>
      <c r="H1489" s="4" t="s">
        <v>55</v>
      </c>
      <c r="I1489" s="4" t="s">
        <v>985</v>
      </c>
      <c r="J1489" s="4" t="s">
        <v>91</v>
      </c>
      <c r="K1489" s="4" t="s">
        <v>60</v>
      </c>
      <c r="L1489" s="4" t="s">
        <v>131</v>
      </c>
      <c r="M1489" s="4" t="s">
        <v>63</v>
      </c>
      <c r="N1489" s="4" t="s">
        <v>132</v>
      </c>
      <c r="O1489" s="2" t="s">
        <v>132</v>
      </c>
      <c r="P1489" s="2">
        <v>7.42469704E8</v>
      </c>
      <c r="Q1489" s="2" t="s">
        <v>68</v>
      </c>
      <c r="R1489" s="4" t="s">
        <v>6916</v>
      </c>
    </row>
    <row r="1490">
      <c r="A1490" s="4" t="s">
        <v>44</v>
      </c>
      <c r="B1490" s="4" t="s">
        <v>44</v>
      </c>
      <c r="C1490" s="4">
        <v>1489.0</v>
      </c>
      <c r="D1490" s="13" t="str">
        <f>HYPERLINK("https://www.linkedin.com/ad-library/detail/742549794","Open Ad")</f>
        <v>Open Ad</v>
      </c>
      <c r="E1490" s="4" t="s">
        <v>91</v>
      </c>
      <c r="F1490" s="4" t="s">
        <v>53</v>
      </c>
      <c r="G1490" s="4" t="s">
        <v>6915</v>
      </c>
      <c r="H1490" s="4" t="s">
        <v>55</v>
      </c>
      <c r="I1490" s="4" t="s">
        <v>985</v>
      </c>
      <c r="J1490" s="4" t="s">
        <v>91</v>
      </c>
      <c r="K1490" s="4" t="s">
        <v>60</v>
      </c>
      <c r="L1490" s="4" t="s">
        <v>131</v>
      </c>
      <c r="M1490" s="4" t="s">
        <v>63</v>
      </c>
      <c r="N1490" s="4" t="s">
        <v>132</v>
      </c>
      <c r="O1490" s="2" t="s">
        <v>132</v>
      </c>
      <c r="P1490" s="2">
        <v>7.42549794E8</v>
      </c>
      <c r="Q1490" s="2" t="s">
        <v>68</v>
      </c>
      <c r="R1490" s="4" t="s">
        <v>6916</v>
      </c>
    </row>
    <row r="1491">
      <c r="A1491" s="4" t="s">
        <v>44</v>
      </c>
      <c r="B1491" s="4" t="s">
        <v>44</v>
      </c>
      <c r="C1491" s="4">
        <v>1490.0</v>
      </c>
      <c r="D1491" s="13" t="str">
        <f>HYPERLINK("https://www.linkedin.com/ad-library/detail/742489624","Open Ad")</f>
        <v>Open Ad</v>
      </c>
      <c r="E1491" s="4" t="s">
        <v>91</v>
      </c>
      <c r="F1491" s="4" t="s">
        <v>53</v>
      </c>
      <c r="G1491" s="4" t="s">
        <v>6915</v>
      </c>
      <c r="H1491" s="4" t="s">
        <v>55</v>
      </c>
      <c r="I1491" s="4" t="s">
        <v>985</v>
      </c>
      <c r="J1491" s="4" t="s">
        <v>91</v>
      </c>
      <c r="K1491" s="4" t="s">
        <v>60</v>
      </c>
      <c r="L1491" s="4" t="s">
        <v>131</v>
      </c>
      <c r="M1491" s="4" t="s">
        <v>63</v>
      </c>
      <c r="N1491" s="4" t="s">
        <v>132</v>
      </c>
      <c r="O1491" s="2" t="s">
        <v>132</v>
      </c>
      <c r="P1491" s="2">
        <v>7.42489624E8</v>
      </c>
      <c r="Q1491" s="2" t="s">
        <v>68</v>
      </c>
      <c r="R1491" s="4" t="s">
        <v>6916</v>
      </c>
    </row>
    <row r="1492">
      <c r="A1492" s="4" t="s">
        <v>44</v>
      </c>
      <c r="B1492" s="4" t="s">
        <v>44</v>
      </c>
      <c r="C1492" s="4">
        <v>1491.0</v>
      </c>
      <c r="D1492" s="13" t="str">
        <f>HYPERLINK("https://www.linkedin.com/ad-library/detail/742469654","Open Ad")</f>
        <v>Open Ad</v>
      </c>
      <c r="E1492" s="4" t="s">
        <v>91</v>
      </c>
      <c r="F1492" s="4" t="s">
        <v>53</v>
      </c>
      <c r="G1492" s="4" t="s">
        <v>6915</v>
      </c>
      <c r="H1492" s="4" t="s">
        <v>55</v>
      </c>
      <c r="I1492" s="4" t="s">
        <v>985</v>
      </c>
      <c r="J1492" s="4" t="s">
        <v>91</v>
      </c>
      <c r="K1492" s="4" t="s">
        <v>60</v>
      </c>
      <c r="L1492" s="4" t="s">
        <v>131</v>
      </c>
      <c r="M1492" s="4" t="s">
        <v>63</v>
      </c>
      <c r="N1492" s="4" t="s">
        <v>132</v>
      </c>
      <c r="O1492" s="2" t="s">
        <v>132</v>
      </c>
      <c r="P1492" s="2">
        <v>7.42469654E8</v>
      </c>
      <c r="Q1492" s="2" t="s">
        <v>68</v>
      </c>
      <c r="R1492" s="4" t="s">
        <v>6916</v>
      </c>
    </row>
    <row r="1493">
      <c r="A1493" s="4" t="s">
        <v>44</v>
      </c>
      <c r="B1493" s="4" t="s">
        <v>44</v>
      </c>
      <c r="C1493" s="4">
        <v>1492.0</v>
      </c>
      <c r="D1493" s="13" t="str">
        <f>HYPERLINK("https://www.linkedin.com/ad-library/detail/742509714","Open Ad")</f>
        <v>Open Ad</v>
      </c>
      <c r="E1493" s="4" t="s">
        <v>91</v>
      </c>
      <c r="F1493" s="4" t="s">
        <v>53</v>
      </c>
      <c r="G1493" s="4" t="s">
        <v>6915</v>
      </c>
      <c r="H1493" s="4" t="s">
        <v>55</v>
      </c>
      <c r="I1493" s="4" t="s">
        <v>985</v>
      </c>
      <c r="J1493" s="4" t="s">
        <v>91</v>
      </c>
      <c r="K1493" s="4" t="s">
        <v>60</v>
      </c>
      <c r="L1493" s="4" t="s">
        <v>131</v>
      </c>
      <c r="M1493" s="4" t="s">
        <v>63</v>
      </c>
      <c r="N1493" s="4" t="s">
        <v>132</v>
      </c>
      <c r="O1493" s="2" t="s">
        <v>132</v>
      </c>
      <c r="P1493" s="2">
        <v>7.42509714E8</v>
      </c>
      <c r="Q1493" s="2" t="s">
        <v>68</v>
      </c>
      <c r="R1493" s="4" t="s">
        <v>6916</v>
      </c>
    </row>
    <row r="1494">
      <c r="A1494" s="4" t="s">
        <v>44</v>
      </c>
      <c r="B1494" s="4" t="s">
        <v>44</v>
      </c>
      <c r="C1494" s="4">
        <v>1493.0</v>
      </c>
      <c r="D1494" s="13" t="str">
        <f>HYPERLINK("https://www.linkedin.com/ad-library/detail/742549804","Open Ad")</f>
        <v>Open Ad</v>
      </c>
      <c r="E1494" s="4" t="s">
        <v>91</v>
      </c>
      <c r="F1494" s="4" t="s">
        <v>53</v>
      </c>
      <c r="G1494" s="4" t="s">
        <v>6915</v>
      </c>
      <c r="H1494" s="4" t="s">
        <v>55</v>
      </c>
      <c r="I1494" s="4" t="s">
        <v>985</v>
      </c>
      <c r="J1494" s="4" t="s">
        <v>91</v>
      </c>
      <c r="K1494" s="4" t="s">
        <v>60</v>
      </c>
      <c r="L1494" s="4" t="s">
        <v>131</v>
      </c>
      <c r="M1494" s="4" t="s">
        <v>63</v>
      </c>
      <c r="N1494" s="4" t="s">
        <v>132</v>
      </c>
      <c r="O1494" s="2" t="s">
        <v>132</v>
      </c>
      <c r="P1494" s="2">
        <v>7.42549804E8</v>
      </c>
      <c r="Q1494" s="2" t="s">
        <v>68</v>
      </c>
      <c r="R1494" s="4" t="s">
        <v>6916</v>
      </c>
    </row>
    <row r="1495">
      <c r="A1495" s="4" t="s">
        <v>44</v>
      </c>
      <c r="B1495" s="4" t="s">
        <v>44</v>
      </c>
      <c r="C1495" s="4">
        <v>1494.0</v>
      </c>
      <c r="D1495" s="13" t="str">
        <f>HYPERLINK("https://www.linkedin.com/ad-library/detail/742549814","Open Ad")</f>
        <v>Open Ad</v>
      </c>
      <c r="E1495" s="4" t="s">
        <v>91</v>
      </c>
      <c r="F1495" s="4" t="s">
        <v>53</v>
      </c>
      <c r="G1495" s="4" t="s">
        <v>6915</v>
      </c>
      <c r="H1495" s="4" t="s">
        <v>55</v>
      </c>
      <c r="I1495" s="4" t="s">
        <v>985</v>
      </c>
      <c r="J1495" s="4" t="s">
        <v>91</v>
      </c>
      <c r="K1495" s="4" t="s">
        <v>60</v>
      </c>
      <c r="L1495" s="4" t="s">
        <v>131</v>
      </c>
      <c r="M1495" s="4" t="s">
        <v>63</v>
      </c>
      <c r="N1495" s="4" t="s">
        <v>132</v>
      </c>
      <c r="O1495" s="2" t="s">
        <v>132</v>
      </c>
      <c r="P1495" s="2">
        <v>7.42549814E8</v>
      </c>
      <c r="Q1495" s="2" t="s">
        <v>68</v>
      </c>
      <c r="R1495" s="4" t="s">
        <v>6916</v>
      </c>
    </row>
    <row r="1496">
      <c r="A1496" s="4" t="s">
        <v>44</v>
      </c>
      <c r="B1496" s="4" t="s">
        <v>44</v>
      </c>
      <c r="C1496" s="4">
        <v>1495.0</v>
      </c>
      <c r="D1496" s="13" t="str">
        <f>HYPERLINK("https://www.linkedin.com/ad-library/detail/742549824","Open Ad")</f>
        <v>Open Ad</v>
      </c>
      <c r="E1496" s="4" t="s">
        <v>91</v>
      </c>
      <c r="F1496" s="4" t="s">
        <v>53</v>
      </c>
      <c r="G1496" s="4" t="s">
        <v>6915</v>
      </c>
      <c r="H1496" s="4" t="s">
        <v>55</v>
      </c>
      <c r="I1496" s="4" t="s">
        <v>985</v>
      </c>
      <c r="J1496" s="4" t="s">
        <v>91</v>
      </c>
      <c r="K1496" s="4" t="s">
        <v>60</v>
      </c>
      <c r="L1496" s="4" t="s">
        <v>131</v>
      </c>
      <c r="M1496" s="4" t="s">
        <v>63</v>
      </c>
      <c r="N1496" s="4" t="s">
        <v>132</v>
      </c>
      <c r="O1496" s="2" t="s">
        <v>132</v>
      </c>
      <c r="P1496" s="2">
        <v>7.42549824E8</v>
      </c>
      <c r="Q1496" s="2" t="s">
        <v>68</v>
      </c>
      <c r="R1496" s="4" t="s">
        <v>6916</v>
      </c>
    </row>
    <row r="1497">
      <c r="A1497" s="4" t="s">
        <v>44</v>
      </c>
      <c r="B1497" s="4" t="s">
        <v>44</v>
      </c>
      <c r="C1497" s="4">
        <v>1496.0</v>
      </c>
      <c r="D1497" s="13" t="str">
        <f>HYPERLINK("https://www.linkedin.com/ad-library/detail/742479704","Open Ad")</f>
        <v>Open Ad</v>
      </c>
      <c r="E1497" s="4" t="s">
        <v>91</v>
      </c>
      <c r="F1497" s="4" t="s">
        <v>53</v>
      </c>
      <c r="G1497" s="4" t="s">
        <v>6915</v>
      </c>
      <c r="H1497" s="4" t="s">
        <v>55</v>
      </c>
      <c r="I1497" s="4" t="s">
        <v>985</v>
      </c>
      <c r="J1497" s="4" t="s">
        <v>91</v>
      </c>
      <c r="K1497" s="4" t="s">
        <v>60</v>
      </c>
      <c r="L1497" s="4" t="s">
        <v>131</v>
      </c>
      <c r="M1497" s="4" t="s">
        <v>63</v>
      </c>
      <c r="N1497" s="4" t="s">
        <v>132</v>
      </c>
      <c r="O1497" s="2" t="s">
        <v>132</v>
      </c>
      <c r="P1497" s="2">
        <v>7.42479704E8</v>
      </c>
      <c r="Q1497" s="2" t="s">
        <v>68</v>
      </c>
      <c r="R1497" s="4" t="s">
        <v>6916</v>
      </c>
    </row>
    <row r="1498">
      <c r="A1498" s="4" t="s">
        <v>44</v>
      </c>
      <c r="B1498" s="4" t="s">
        <v>44</v>
      </c>
      <c r="C1498" s="4">
        <v>1497.0</v>
      </c>
      <c r="D1498" s="13" t="str">
        <f>HYPERLINK("https://www.linkedin.com/ad-library/detail/742527794","Open Ad")</f>
        <v>Open Ad</v>
      </c>
      <c r="E1498" s="4" t="s">
        <v>91</v>
      </c>
      <c r="F1498" s="4" t="s">
        <v>53</v>
      </c>
      <c r="G1498" s="4" t="s">
        <v>6915</v>
      </c>
      <c r="H1498" s="4" t="s">
        <v>55</v>
      </c>
      <c r="I1498" s="4" t="s">
        <v>985</v>
      </c>
      <c r="J1498" s="4" t="s">
        <v>91</v>
      </c>
      <c r="K1498" s="4" t="s">
        <v>60</v>
      </c>
      <c r="L1498" s="4" t="s">
        <v>131</v>
      </c>
      <c r="M1498" s="4" t="s">
        <v>63</v>
      </c>
      <c r="N1498" s="4" t="s">
        <v>132</v>
      </c>
      <c r="O1498" s="2" t="s">
        <v>132</v>
      </c>
      <c r="P1498" s="2">
        <v>7.42527794E8</v>
      </c>
      <c r="Q1498" s="2" t="s">
        <v>68</v>
      </c>
      <c r="R1498" s="4" t="s">
        <v>6916</v>
      </c>
    </row>
    <row r="1499">
      <c r="A1499" s="4" t="s">
        <v>44</v>
      </c>
      <c r="B1499" s="4" t="s">
        <v>44</v>
      </c>
      <c r="C1499" s="4">
        <v>1498.0</v>
      </c>
      <c r="D1499" s="13" t="str">
        <f>HYPERLINK("https://www.linkedin.com/ad-library/detail/742439614","Open Ad")</f>
        <v>Open Ad</v>
      </c>
      <c r="E1499" s="4" t="s">
        <v>91</v>
      </c>
      <c r="F1499" s="4" t="s">
        <v>53</v>
      </c>
      <c r="G1499" s="4" t="s">
        <v>6915</v>
      </c>
      <c r="H1499" s="4" t="s">
        <v>55</v>
      </c>
      <c r="I1499" s="4" t="s">
        <v>985</v>
      </c>
      <c r="J1499" s="4" t="s">
        <v>91</v>
      </c>
      <c r="K1499" s="4" t="s">
        <v>60</v>
      </c>
      <c r="L1499" s="4" t="s">
        <v>131</v>
      </c>
      <c r="M1499" s="4" t="s">
        <v>63</v>
      </c>
      <c r="N1499" s="4" t="s">
        <v>132</v>
      </c>
      <c r="O1499" s="2" t="s">
        <v>132</v>
      </c>
      <c r="P1499" s="2">
        <v>7.42439614E8</v>
      </c>
      <c r="Q1499" s="2" t="s">
        <v>68</v>
      </c>
      <c r="R1499" s="4" t="s">
        <v>6916</v>
      </c>
    </row>
    <row r="1500">
      <c r="A1500" s="4" t="s">
        <v>44</v>
      </c>
      <c r="B1500" s="4" t="s">
        <v>44</v>
      </c>
      <c r="C1500" s="4">
        <v>1499.0</v>
      </c>
      <c r="D1500" s="13" t="str">
        <f>HYPERLINK("https://www.linkedin.com/ad-library/detail/742539954","Open Ad")</f>
        <v>Open Ad</v>
      </c>
      <c r="E1500" s="4" t="s">
        <v>91</v>
      </c>
      <c r="F1500" s="4" t="s">
        <v>53</v>
      </c>
      <c r="G1500" s="4" t="s">
        <v>6915</v>
      </c>
      <c r="H1500" s="4" t="s">
        <v>55</v>
      </c>
      <c r="I1500" s="4" t="s">
        <v>985</v>
      </c>
      <c r="J1500" s="4" t="s">
        <v>91</v>
      </c>
      <c r="K1500" s="4" t="s">
        <v>60</v>
      </c>
      <c r="L1500" s="4" t="s">
        <v>131</v>
      </c>
      <c r="M1500" s="4" t="s">
        <v>63</v>
      </c>
      <c r="N1500" s="4" t="s">
        <v>132</v>
      </c>
      <c r="O1500" s="2" t="s">
        <v>132</v>
      </c>
      <c r="P1500" s="2">
        <v>7.42539954E8</v>
      </c>
      <c r="Q1500" s="2" t="s">
        <v>68</v>
      </c>
      <c r="R1500" s="4" t="s">
        <v>6916</v>
      </c>
    </row>
    <row r="1501">
      <c r="A1501" s="4" t="s">
        <v>44</v>
      </c>
      <c r="B1501" s="4" t="s">
        <v>44</v>
      </c>
      <c r="C1501" s="4">
        <v>1500.0</v>
      </c>
      <c r="D1501" s="13" t="str">
        <f>HYPERLINK("https://www.linkedin.com/ad-library/detail/742539964","Open Ad")</f>
        <v>Open Ad</v>
      </c>
      <c r="E1501" s="4" t="s">
        <v>91</v>
      </c>
      <c r="F1501" s="4" t="s">
        <v>53</v>
      </c>
      <c r="G1501" s="4" t="s">
        <v>6915</v>
      </c>
      <c r="H1501" s="4" t="s">
        <v>55</v>
      </c>
      <c r="I1501" s="4" t="s">
        <v>985</v>
      </c>
      <c r="J1501" s="4" t="s">
        <v>91</v>
      </c>
      <c r="K1501" s="4" t="s">
        <v>60</v>
      </c>
      <c r="L1501" s="4" t="s">
        <v>131</v>
      </c>
      <c r="M1501" s="4" t="s">
        <v>63</v>
      </c>
      <c r="N1501" s="4" t="s">
        <v>132</v>
      </c>
      <c r="O1501" s="2" t="s">
        <v>132</v>
      </c>
      <c r="P1501" s="2">
        <v>7.42539964E8</v>
      </c>
      <c r="Q1501" s="2" t="s">
        <v>68</v>
      </c>
      <c r="R1501" s="4" t="s">
        <v>6916</v>
      </c>
    </row>
    <row r="1502">
      <c r="A1502" s="4" t="s">
        <v>44</v>
      </c>
      <c r="B1502" s="4" t="s">
        <v>44</v>
      </c>
      <c r="C1502" s="4">
        <v>1501.0</v>
      </c>
      <c r="D1502" s="13" t="str">
        <f>HYPERLINK("https://www.linkedin.com/ad-library/detail/742539934","Open Ad")</f>
        <v>Open Ad</v>
      </c>
      <c r="E1502" s="4" t="s">
        <v>91</v>
      </c>
      <c r="F1502" s="4" t="s">
        <v>53</v>
      </c>
      <c r="G1502" s="4" t="s">
        <v>6915</v>
      </c>
      <c r="H1502" s="4" t="s">
        <v>55</v>
      </c>
      <c r="I1502" s="4" t="s">
        <v>985</v>
      </c>
      <c r="J1502" s="4" t="s">
        <v>91</v>
      </c>
      <c r="K1502" s="4" t="s">
        <v>60</v>
      </c>
      <c r="L1502" s="4" t="s">
        <v>131</v>
      </c>
      <c r="M1502" s="4" t="s">
        <v>63</v>
      </c>
      <c r="N1502" s="4" t="s">
        <v>132</v>
      </c>
      <c r="O1502" s="2" t="s">
        <v>132</v>
      </c>
      <c r="P1502" s="2">
        <v>7.42539934E8</v>
      </c>
      <c r="Q1502" s="2" t="s">
        <v>68</v>
      </c>
      <c r="R1502" s="4" t="s">
        <v>6916</v>
      </c>
    </row>
    <row r="1503">
      <c r="A1503" s="4" t="s">
        <v>44</v>
      </c>
      <c r="B1503" s="4" t="s">
        <v>44</v>
      </c>
      <c r="C1503" s="4">
        <v>1502.0</v>
      </c>
      <c r="D1503" s="13" t="str">
        <f>HYPERLINK("https://www.linkedin.com/ad-library/detail/742479724","Open Ad")</f>
        <v>Open Ad</v>
      </c>
      <c r="E1503" s="4" t="s">
        <v>91</v>
      </c>
      <c r="F1503" s="4" t="s">
        <v>53</v>
      </c>
      <c r="G1503" s="4" t="s">
        <v>6915</v>
      </c>
      <c r="H1503" s="4" t="s">
        <v>55</v>
      </c>
      <c r="I1503" s="4" t="s">
        <v>985</v>
      </c>
      <c r="J1503" s="4" t="s">
        <v>91</v>
      </c>
      <c r="K1503" s="4" t="s">
        <v>60</v>
      </c>
      <c r="L1503" s="4" t="s">
        <v>131</v>
      </c>
      <c r="M1503" s="4" t="s">
        <v>63</v>
      </c>
      <c r="N1503" s="4" t="s">
        <v>132</v>
      </c>
      <c r="O1503" s="2" t="s">
        <v>132</v>
      </c>
      <c r="P1503" s="2">
        <v>7.42479724E8</v>
      </c>
      <c r="Q1503" s="2" t="s">
        <v>68</v>
      </c>
      <c r="R1503" s="4" t="s">
        <v>6916</v>
      </c>
    </row>
    <row r="1504">
      <c r="A1504" s="4" t="s">
        <v>44</v>
      </c>
      <c r="B1504" s="4" t="s">
        <v>44</v>
      </c>
      <c r="C1504" s="4">
        <v>1503.0</v>
      </c>
      <c r="D1504" s="13" t="str">
        <f>HYPERLINK("https://www.linkedin.com/ad-library/detail/742499684","Open Ad")</f>
        <v>Open Ad</v>
      </c>
      <c r="E1504" s="4" t="s">
        <v>91</v>
      </c>
      <c r="F1504" s="4" t="s">
        <v>53</v>
      </c>
      <c r="G1504" s="4" t="s">
        <v>6915</v>
      </c>
      <c r="H1504" s="4" t="s">
        <v>55</v>
      </c>
      <c r="I1504" s="4" t="s">
        <v>985</v>
      </c>
      <c r="J1504" s="4" t="s">
        <v>91</v>
      </c>
      <c r="K1504" s="4" t="s">
        <v>60</v>
      </c>
      <c r="L1504" s="4" t="s">
        <v>131</v>
      </c>
      <c r="M1504" s="4" t="s">
        <v>63</v>
      </c>
      <c r="N1504" s="4" t="s">
        <v>132</v>
      </c>
      <c r="O1504" s="2" t="s">
        <v>132</v>
      </c>
      <c r="P1504" s="2">
        <v>7.42499684E8</v>
      </c>
      <c r="Q1504" s="2" t="s">
        <v>68</v>
      </c>
      <c r="R1504" s="4" t="s">
        <v>6916</v>
      </c>
    </row>
    <row r="1505">
      <c r="A1505" s="4" t="s">
        <v>44</v>
      </c>
      <c r="B1505" s="4" t="s">
        <v>44</v>
      </c>
      <c r="C1505" s="4">
        <v>1504.0</v>
      </c>
      <c r="D1505" s="13" t="str">
        <f>HYPERLINK("https://www.linkedin.com/ad-library/detail/742539944","Open Ad")</f>
        <v>Open Ad</v>
      </c>
      <c r="E1505" s="4" t="s">
        <v>91</v>
      </c>
      <c r="F1505" s="4" t="s">
        <v>53</v>
      </c>
      <c r="G1505" s="4" t="s">
        <v>6915</v>
      </c>
      <c r="H1505" s="4" t="s">
        <v>55</v>
      </c>
      <c r="I1505" s="4" t="s">
        <v>985</v>
      </c>
      <c r="J1505" s="4" t="s">
        <v>91</v>
      </c>
      <c r="K1505" s="4" t="s">
        <v>60</v>
      </c>
      <c r="L1505" s="4" t="s">
        <v>131</v>
      </c>
      <c r="M1505" s="4" t="s">
        <v>63</v>
      </c>
      <c r="N1505" s="4" t="s">
        <v>132</v>
      </c>
      <c r="O1505" s="2" t="s">
        <v>132</v>
      </c>
      <c r="P1505" s="2">
        <v>7.42539944E8</v>
      </c>
      <c r="Q1505" s="2" t="s">
        <v>68</v>
      </c>
      <c r="R1505" s="4" t="s">
        <v>6916</v>
      </c>
    </row>
    <row r="1506">
      <c r="A1506" s="4" t="s">
        <v>44</v>
      </c>
      <c r="B1506" s="4" t="s">
        <v>44</v>
      </c>
      <c r="C1506" s="4">
        <v>1505.0</v>
      </c>
      <c r="D1506" s="13" t="str">
        <f>HYPERLINK("https://www.linkedin.com/ad-library/detail/742479734","Open Ad")</f>
        <v>Open Ad</v>
      </c>
      <c r="E1506" s="4" t="s">
        <v>91</v>
      </c>
      <c r="F1506" s="4" t="s">
        <v>53</v>
      </c>
      <c r="G1506" s="4" t="s">
        <v>6915</v>
      </c>
      <c r="H1506" s="4" t="s">
        <v>55</v>
      </c>
      <c r="I1506" s="4" t="s">
        <v>985</v>
      </c>
      <c r="J1506" s="4" t="s">
        <v>91</v>
      </c>
      <c r="K1506" s="4" t="s">
        <v>60</v>
      </c>
      <c r="L1506" s="4" t="s">
        <v>131</v>
      </c>
      <c r="M1506" s="4" t="s">
        <v>63</v>
      </c>
      <c r="N1506" s="4" t="s">
        <v>132</v>
      </c>
      <c r="O1506" s="2" t="s">
        <v>132</v>
      </c>
      <c r="P1506" s="2">
        <v>7.42479734E8</v>
      </c>
      <c r="Q1506" s="2" t="s">
        <v>68</v>
      </c>
      <c r="R1506" s="4" t="s">
        <v>6916</v>
      </c>
    </row>
    <row r="1507">
      <c r="A1507" s="4" t="s">
        <v>44</v>
      </c>
      <c r="B1507" s="4" t="s">
        <v>44</v>
      </c>
      <c r="C1507" s="4">
        <v>1506.0</v>
      </c>
      <c r="D1507" s="13" t="str">
        <f>HYPERLINK("https://www.linkedin.com/ad-library/detail/742518614","Open Ad")</f>
        <v>Open Ad</v>
      </c>
      <c r="E1507" s="4" t="s">
        <v>91</v>
      </c>
      <c r="F1507" s="4" t="s">
        <v>53</v>
      </c>
      <c r="G1507" s="4" t="s">
        <v>6915</v>
      </c>
      <c r="H1507" s="4" t="s">
        <v>55</v>
      </c>
      <c r="I1507" s="4" t="s">
        <v>985</v>
      </c>
      <c r="J1507" s="4" t="s">
        <v>91</v>
      </c>
      <c r="K1507" s="4" t="s">
        <v>60</v>
      </c>
      <c r="L1507" s="4" t="s">
        <v>131</v>
      </c>
      <c r="M1507" s="4" t="s">
        <v>63</v>
      </c>
      <c r="N1507" s="4" t="s">
        <v>132</v>
      </c>
      <c r="O1507" s="2" t="s">
        <v>132</v>
      </c>
      <c r="P1507" s="2">
        <v>7.42518614E8</v>
      </c>
      <c r="Q1507" s="2" t="s">
        <v>68</v>
      </c>
      <c r="R1507" s="4" t="s">
        <v>6916</v>
      </c>
    </row>
    <row r="1508">
      <c r="A1508" s="4" t="s">
        <v>44</v>
      </c>
      <c r="B1508" s="4" t="s">
        <v>44</v>
      </c>
      <c r="C1508" s="4">
        <v>1507.0</v>
      </c>
      <c r="D1508" s="13" t="str">
        <f>HYPERLINK("https://www.linkedin.com/ad-library/detail/742518624","Open Ad")</f>
        <v>Open Ad</v>
      </c>
      <c r="E1508" s="4" t="s">
        <v>91</v>
      </c>
      <c r="F1508" s="4" t="s">
        <v>53</v>
      </c>
      <c r="G1508" s="4" t="s">
        <v>6915</v>
      </c>
      <c r="H1508" s="4" t="s">
        <v>55</v>
      </c>
      <c r="I1508" s="4" t="s">
        <v>985</v>
      </c>
      <c r="J1508" s="4" t="s">
        <v>91</v>
      </c>
      <c r="K1508" s="4" t="s">
        <v>60</v>
      </c>
      <c r="L1508" s="4" t="s">
        <v>131</v>
      </c>
      <c r="M1508" s="4" t="s">
        <v>63</v>
      </c>
      <c r="N1508" s="4" t="s">
        <v>132</v>
      </c>
      <c r="O1508" s="2" t="s">
        <v>132</v>
      </c>
      <c r="P1508" s="2">
        <v>7.42518624E8</v>
      </c>
      <c r="Q1508" s="2" t="s">
        <v>68</v>
      </c>
      <c r="R1508" s="4" t="s">
        <v>6916</v>
      </c>
    </row>
    <row r="1509">
      <c r="A1509" s="4" t="s">
        <v>44</v>
      </c>
      <c r="B1509" s="4" t="s">
        <v>44</v>
      </c>
      <c r="C1509" s="4">
        <v>1508.0</v>
      </c>
      <c r="D1509" s="13" t="str">
        <f>HYPERLINK("https://www.linkedin.com/ad-library/detail/742449334","Open Ad")</f>
        <v>Open Ad</v>
      </c>
      <c r="E1509" s="4" t="s">
        <v>91</v>
      </c>
      <c r="F1509" s="4" t="s">
        <v>53</v>
      </c>
      <c r="G1509" s="4" t="s">
        <v>6915</v>
      </c>
      <c r="H1509" s="4" t="s">
        <v>55</v>
      </c>
      <c r="I1509" s="4" t="s">
        <v>985</v>
      </c>
      <c r="J1509" s="4" t="s">
        <v>91</v>
      </c>
      <c r="K1509" s="4" t="s">
        <v>60</v>
      </c>
      <c r="L1509" s="4" t="s">
        <v>131</v>
      </c>
      <c r="M1509" s="4" t="s">
        <v>63</v>
      </c>
      <c r="N1509" s="4" t="s">
        <v>132</v>
      </c>
      <c r="O1509" s="2" t="s">
        <v>132</v>
      </c>
      <c r="P1509" s="2">
        <v>7.42449334E8</v>
      </c>
      <c r="Q1509" s="2" t="s">
        <v>68</v>
      </c>
      <c r="R1509" s="4" t="s">
        <v>6916</v>
      </c>
    </row>
    <row r="1510">
      <c r="A1510" s="4" t="s">
        <v>44</v>
      </c>
      <c r="B1510" s="4" t="s">
        <v>44</v>
      </c>
      <c r="C1510" s="4">
        <v>1509.0</v>
      </c>
      <c r="D1510" s="13" t="str">
        <f>HYPERLINK("https://www.linkedin.com/ad-library/detail/742539924","Open Ad")</f>
        <v>Open Ad</v>
      </c>
      <c r="E1510" s="4" t="s">
        <v>91</v>
      </c>
      <c r="F1510" s="4" t="s">
        <v>53</v>
      </c>
      <c r="G1510" s="4" t="s">
        <v>6915</v>
      </c>
      <c r="H1510" s="4" t="s">
        <v>55</v>
      </c>
      <c r="I1510" s="4" t="s">
        <v>985</v>
      </c>
      <c r="J1510" s="4" t="s">
        <v>91</v>
      </c>
      <c r="K1510" s="4" t="s">
        <v>60</v>
      </c>
      <c r="L1510" s="4" t="s">
        <v>131</v>
      </c>
      <c r="M1510" s="4" t="s">
        <v>63</v>
      </c>
      <c r="N1510" s="4" t="s">
        <v>132</v>
      </c>
      <c r="O1510" s="2" t="s">
        <v>132</v>
      </c>
      <c r="P1510" s="2">
        <v>7.42539924E8</v>
      </c>
      <c r="Q1510" s="2" t="s">
        <v>68</v>
      </c>
      <c r="R1510" s="4" t="s">
        <v>6916</v>
      </c>
    </row>
    <row r="1511">
      <c r="A1511" s="4" t="s">
        <v>44</v>
      </c>
      <c r="B1511" s="4" t="s">
        <v>44</v>
      </c>
      <c r="C1511" s="4">
        <v>1510.0</v>
      </c>
      <c r="D1511" s="13" t="str">
        <f>HYPERLINK("https://www.linkedin.com/ad-library/detail/742518604","Open Ad")</f>
        <v>Open Ad</v>
      </c>
      <c r="E1511" s="4" t="s">
        <v>91</v>
      </c>
      <c r="F1511" s="4" t="s">
        <v>53</v>
      </c>
      <c r="G1511" s="4" t="s">
        <v>6915</v>
      </c>
      <c r="H1511" s="4" t="s">
        <v>55</v>
      </c>
      <c r="I1511" s="4" t="s">
        <v>985</v>
      </c>
      <c r="J1511" s="4" t="s">
        <v>91</v>
      </c>
      <c r="K1511" s="4" t="s">
        <v>60</v>
      </c>
      <c r="L1511" s="4" t="s">
        <v>131</v>
      </c>
      <c r="M1511" s="4" t="s">
        <v>63</v>
      </c>
      <c r="N1511" s="4" t="s">
        <v>132</v>
      </c>
      <c r="O1511" s="2" t="s">
        <v>132</v>
      </c>
      <c r="P1511" s="2">
        <v>7.42518604E8</v>
      </c>
      <c r="Q1511" s="2" t="s">
        <v>68</v>
      </c>
      <c r="R1511" s="4" t="s">
        <v>6916</v>
      </c>
    </row>
    <row r="1512">
      <c r="A1512" s="4" t="s">
        <v>44</v>
      </c>
      <c r="B1512" s="4" t="s">
        <v>44</v>
      </c>
      <c r="C1512" s="4">
        <v>1511.0</v>
      </c>
      <c r="D1512" s="13" t="str">
        <f>HYPERLINK("https://www.linkedin.com/ad-library/detail/742449324","Open Ad")</f>
        <v>Open Ad</v>
      </c>
      <c r="E1512" s="4" t="s">
        <v>91</v>
      </c>
      <c r="F1512" s="4" t="s">
        <v>53</v>
      </c>
      <c r="G1512" s="4" t="s">
        <v>6915</v>
      </c>
      <c r="H1512" s="4" t="s">
        <v>55</v>
      </c>
      <c r="I1512" s="4" t="s">
        <v>985</v>
      </c>
      <c r="J1512" s="4" t="s">
        <v>91</v>
      </c>
      <c r="K1512" s="4" t="s">
        <v>60</v>
      </c>
      <c r="L1512" s="4" t="s">
        <v>131</v>
      </c>
      <c r="M1512" s="4" t="s">
        <v>63</v>
      </c>
      <c r="N1512" s="4" t="s">
        <v>132</v>
      </c>
      <c r="O1512" s="2" t="s">
        <v>132</v>
      </c>
      <c r="P1512" s="2">
        <v>7.42449324E8</v>
      </c>
      <c r="Q1512" s="2" t="s">
        <v>68</v>
      </c>
      <c r="R1512" s="4" t="s">
        <v>6916</v>
      </c>
    </row>
    <row r="1513">
      <c r="A1513" s="4" t="s">
        <v>44</v>
      </c>
      <c r="B1513" s="4" t="s">
        <v>44</v>
      </c>
      <c r="C1513" s="4">
        <v>1512.0</v>
      </c>
      <c r="D1513" s="13" t="str">
        <f>HYPERLINK("https://www.linkedin.com/ad-library/detail/742449314","Open Ad")</f>
        <v>Open Ad</v>
      </c>
      <c r="E1513" s="4" t="s">
        <v>91</v>
      </c>
      <c r="F1513" s="4" t="s">
        <v>53</v>
      </c>
      <c r="G1513" s="4" t="s">
        <v>6915</v>
      </c>
      <c r="H1513" s="4" t="s">
        <v>55</v>
      </c>
      <c r="I1513" s="4" t="s">
        <v>985</v>
      </c>
      <c r="J1513" s="4" t="s">
        <v>91</v>
      </c>
      <c r="K1513" s="4" t="s">
        <v>60</v>
      </c>
      <c r="L1513" s="4" t="s">
        <v>131</v>
      </c>
      <c r="M1513" s="4" t="s">
        <v>63</v>
      </c>
      <c r="N1513" s="4" t="s">
        <v>132</v>
      </c>
      <c r="O1513" s="2" t="s">
        <v>132</v>
      </c>
      <c r="P1513" s="2">
        <v>7.42449314E8</v>
      </c>
      <c r="Q1513" s="2" t="s">
        <v>68</v>
      </c>
      <c r="R1513" s="4" t="s">
        <v>6916</v>
      </c>
    </row>
    <row r="1514">
      <c r="A1514" s="4" t="s">
        <v>44</v>
      </c>
      <c r="B1514" s="4" t="s">
        <v>44</v>
      </c>
      <c r="C1514" s="4">
        <v>1513.0</v>
      </c>
      <c r="D1514" s="13" t="str">
        <f>HYPERLINK("https://www.linkedin.com/ad-library/detail/742549784","Open Ad")</f>
        <v>Open Ad</v>
      </c>
      <c r="E1514" s="4" t="s">
        <v>91</v>
      </c>
      <c r="F1514" s="4" t="s">
        <v>53</v>
      </c>
      <c r="G1514" s="4" t="s">
        <v>6915</v>
      </c>
      <c r="H1514" s="4" t="s">
        <v>55</v>
      </c>
      <c r="I1514" s="4" t="s">
        <v>985</v>
      </c>
      <c r="J1514" s="4" t="s">
        <v>91</v>
      </c>
      <c r="K1514" s="4" t="s">
        <v>60</v>
      </c>
      <c r="L1514" s="4" t="s">
        <v>131</v>
      </c>
      <c r="M1514" s="4" t="s">
        <v>63</v>
      </c>
      <c r="N1514" s="4" t="s">
        <v>132</v>
      </c>
      <c r="O1514" s="2" t="s">
        <v>132</v>
      </c>
      <c r="P1514" s="2">
        <v>7.42549784E8</v>
      </c>
      <c r="Q1514" s="2" t="s">
        <v>68</v>
      </c>
      <c r="R1514" s="4" t="s">
        <v>6916</v>
      </c>
    </row>
    <row r="1515">
      <c r="A1515" s="4" t="s">
        <v>44</v>
      </c>
      <c r="B1515" s="4" t="s">
        <v>44</v>
      </c>
      <c r="C1515" s="4">
        <v>1514.0</v>
      </c>
      <c r="D1515" s="13" t="str">
        <f>HYPERLINK("https://www.linkedin.com/ad-library/detail/742469624","Open Ad")</f>
        <v>Open Ad</v>
      </c>
      <c r="E1515" s="4" t="s">
        <v>91</v>
      </c>
      <c r="F1515" s="4" t="s">
        <v>53</v>
      </c>
      <c r="G1515" s="4" t="s">
        <v>6915</v>
      </c>
      <c r="H1515" s="4" t="s">
        <v>55</v>
      </c>
      <c r="I1515" s="4" t="s">
        <v>985</v>
      </c>
      <c r="J1515" s="4" t="s">
        <v>91</v>
      </c>
      <c r="K1515" s="4" t="s">
        <v>60</v>
      </c>
      <c r="L1515" s="4" t="s">
        <v>131</v>
      </c>
      <c r="M1515" s="4" t="s">
        <v>63</v>
      </c>
      <c r="N1515" s="4" t="s">
        <v>132</v>
      </c>
      <c r="O1515" s="2" t="s">
        <v>132</v>
      </c>
      <c r="P1515" s="2">
        <v>7.42469624E8</v>
      </c>
      <c r="Q1515" s="2" t="s">
        <v>68</v>
      </c>
      <c r="R1515" s="4" t="s">
        <v>6916</v>
      </c>
    </row>
    <row r="1516">
      <c r="A1516" s="4" t="s">
        <v>44</v>
      </c>
      <c r="B1516" s="4" t="s">
        <v>44</v>
      </c>
      <c r="C1516" s="4">
        <v>1515.0</v>
      </c>
      <c r="D1516" s="13" t="str">
        <f>HYPERLINK("https://www.linkedin.com/ad-library/detail/742469634","Open Ad")</f>
        <v>Open Ad</v>
      </c>
      <c r="E1516" s="4" t="s">
        <v>91</v>
      </c>
      <c r="F1516" s="4" t="s">
        <v>53</v>
      </c>
      <c r="G1516" s="4" t="s">
        <v>6915</v>
      </c>
      <c r="H1516" s="4" t="s">
        <v>55</v>
      </c>
      <c r="I1516" s="4" t="s">
        <v>985</v>
      </c>
      <c r="J1516" s="4" t="s">
        <v>91</v>
      </c>
      <c r="K1516" s="4" t="s">
        <v>60</v>
      </c>
      <c r="L1516" s="4" t="s">
        <v>131</v>
      </c>
      <c r="M1516" s="4" t="s">
        <v>63</v>
      </c>
      <c r="N1516" s="4" t="s">
        <v>132</v>
      </c>
      <c r="O1516" s="2" t="s">
        <v>132</v>
      </c>
      <c r="P1516" s="2">
        <v>7.42469634E8</v>
      </c>
      <c r="Q1516" s="2" t="s">
        <v>68</v>
      </c>
      <c r="R1516" s="4" t="s">
        <v>6916</v>
      </c>
    </row>
    <row r="1517">
      <c r="A1517" s="4" t="s">
        <v>44</v>
      </c>
      <c r="B1517" s="4" t="s">
        <v>44</v>
      </c>
      <c r="C1517" s="4">
        <v>1516.0</v>
      </c>
      <c r="D1517" s="13" t="str">
        <f>HYPERLINK("https://www.linkedin.com/ad-library/detail/742469644","Open Ad")</f>
        <v>Open Ad</v>
      </c>
      <c r="E1517" s="4" t="s">
        <v>91</v>
      </c>
      <c r="F1517" s="4" t="s">
        <v>53</v>
      </c>
      <c r="G1517" s="4" t="s">
        <v>6915</v>
      </c>
      <c r="H1517" s="4" t="s">
        <v>55</v>
      </c>
      <c r="I1517" s="4" t="s">
        <v>985</v>
      </c>
      <c r="J1517" s="4" t="s">
        <v>91</v>
      </c>
      <c r="K1517" s="4" t="s">
        <v>60</v>
      </c>
      <c r="L1517" s="4" t="s">
        <v>131</v>
      </c>
      <c r="M1517" s="4" t="s">
        <v>63</v>
      </c>
      <c r="N1517" s="4" t="s">
        <v>132</v>
      </c>
      <c r="O1517" s="2" t="s">
        <v>132</v>
      </c>
      <c r="P1517" s="2">
        <v>7.42469644E8</v>
      </c>
      <c r="Q1517" s="2" t="s">
        <v>68</v>
      </c>
      <c r="R1517" s="4" t="s">
        <v>6916</v>
      </c>
    </row>
    <row r="1518">
      <c r="A1518" s="4" t="s">
        <v>44</v>
      </c>
      <c r="B1518" s="4" t="s">
        <v>44</v>
      </c>
      <c r="C1518" s="4">
        <v>1517.0</v>
      </c>
      <c r="D1518" s="13" t="str">
        <f>HYPERLINK("https://www.linkedin.com/ad-library/detail/742509704","Open Ad")</f>
        <v>Open Ad</v>
      </c>
      <c r="E1518" s="4" t="s">
        <v>91</v>
      </c>
      <c r="F1518" s="4" t="s">
        <v>53</v>
      </c>
      <c r="G1518" s="4" t="s">
        <v>6915</v>
      </c>
      <c r="H1518" s="4" t="s">
        <v>55</v>
      </c>
      <c r="I1518" s="4" t="s">
        <v>985</v>
      </c>
      <c r="J1518" s="4" t="s">
        <v>91</v>
      </c>
      <c r="K1518" s="4" t="s">
        <v>60</v>
      </c>
      <c r="L1518" s="4" t="s">
        <v>131</v>
      </c>
      <c r="M1518" s="4" t="s">
        <v>63</v>
      </c>
      <c r="N1518" s="4" t="s">
        <v>132</v>
      </c>
      <c r="O1518" s="2" t="s">
        <v>132</v>
      </c>
      <c r="P1518" s="2">
        <v>7.42509704E8</v>
      </c>
      <c r="Q1518" s="2" t="s">
        <v>68</v>
      </c>
      <c r="R1518" s="4" t="s">
        <v>6916</v>
      </c>
    </row>
    <row r="1519">
      <c r="A1519" s="4" t="s">
        <v>44</v>
      </c>
      <c r="B1519" s="4" t="s">
        <v>44</v>
      </c>
      <c r="C1519" s="4">
        <v>1518.0</v>
      </c>
      <c r="D1519" s="13" t="str">
        <f>HYPERLINK("https://www.linkedin.com/ad-library/detail/742439604","Open Ad")</f>
        <v>Open Ad</v>
      </c>
      <c r="E1519" s="4" t="s">
        <v>91</v>
      </c>
      <c r="F1519" s="4" t="s">
        <v>53</v>
      </c>
      <c r="G1519" s="4" t="s">
        <v>6915</v>
      </c>
      <c r="H1519" s="4" t="s">
        <v>55</v>
      </c>
      <c r="I1519" s="4" t="s">
        <v>985</v>
      </c>
      <c r="J1519" s="4" t="s">
        <v>91</v>
      </c>
      <c r="K1519" s="4" t="s">
        <v>60</v>
      </c>
      <c r="L1519" s="4" t="s">
        <v>131</v>
      </c>
      <c r="M1519" s="4" t="s">
        <v>63</v>
      </c>
      <c r="N1519" s="4" t="s">
        <v>132</v>
      </c>
      <c r="O1519" s="2" t="s">
        <v>132</v>
      </c>
      <c r="P1519" s="2">
        <v>7.42439604E8</v>
      </c>
      <c r="Q1519" s="2" t="s">
        <v>68</v>
      </c>
      <c r="R1519" s="4" t="s">
        <v>6916</v>
      </c>
    </row>
    <row r="1520">
      <c r="A1520" s="4" t="s">
        <v>44</v>
      </c>
      <c r="B1520" s="4" t="s">
        <v>44</v>
      </c>
      <c r="C1520" s="4">
        <v>1519.0</v>
      </c>
      <c r="D1520" s="13" t="str">
        <f>HYPERLINK("https://www.linkedin.com/ad-library/detail/742509664","Open Ad")</f>
        <v>Open Ad</v>
      </c>
      <c r="E1520" s="4" t="s">
        <v>91</v>
      </c>
      <c r="F1520" s="4" t="s">
        <v>53</v>
      </c>
      <c r="G1520" s="4" t="s">
        <v>6915</v>
      </c>
      <c r="H1520" s="4" t="s">
        <v>55</v>
      </c>
      <c r="I1520" s="4" t="s">
        <v>985</v>
      </c>
      <c r="J1520" s="4" t="s">
        <v>91</v>
      </c>
      <c r="K1520" s="4" t="s">
        <v>60</v>
      </c>
      <c r="L1520" s="4" t="s">
        <v>131</v>
      </c>
      <c r="M1520" s="4" t="s">
        <v>63</v>
      </c>
      <c r="N1520" s="4" t="s">
        <v>132</v>
      </c>
      <c r="O1520" s="2" t="s">
        <v>132</v>
      </c>
      <c r="P1520" s="2">
        <v>7.42509664E8</v>
      </c>
      <c r="Q1520" s="2" t="s">
        <v>68</v>
      </c>
      <c r="R1520" s="4" t="s">
        <v>6916</v>
      </c>
    </row>
    <row r="1521">
      <c r="A1521" s="4" t="s">
        <v>44</v>
      </c>
      <c r="B1521" s="4" t="s">
        <v>44</v>
      </c>
      <c r="C1521" s="4">
        <v>1520.0</v>
      </c>
      <c r="D1521" s="13" t="str">
        <f>HYPERLINK("https://www.linkedin.com/ad-library/detail/742509674","Open Ad")</f>
        <v>Open Ad</v>
      </c>
      <c r="E1521" s="4" t="s">
        <v>91</v>
      </c>
      <c r="F1521" s="4" t="s">
        <v>53</v>
      </c>
      <c r="G1521" s="4" t="s">
        <v>6915</v>
      </c>
      <c r="H1521" s="4" t="s">
        <v>55</v>
      </c>
      <c r="I1521" s="4" t="s">
        <v>985</v>
      </c>
      <c r="J1521" s="4" t="s">
        <v>91</v>
      </c>
      <c r="K1521" s="4" t="s">
        <v>60</v>
      </c>
      <c r="L1521" s="4" t="s">
        <v>131</v>
      </c>
      <c r="M1521" s="4" t="s">
        <v>63</v>
      </c>
      <c r="N1521" s="4" t="s">
        <v>132</v>
      </c>
      <c r="O1521" s="2" t="s">
        <v>132</v>
      </c>
      <c r="P1521" s="2">
        <v>7.42509674E8</v>
      </c>
      <c r="Q1521" s="2" t="s">
        <v>68</v>
      </c>
      <c r="R1521" s="4" t="s">
        <v>6916</v>
      </c>
    </row>
    <row r="1522">
      <c r="A1522" s="4" t="s">
        <v>44</v>
      </c>
      <c r="B1522" s="4" t="s">
        <v>44</v>
      </c>
      <c r="C1522" s="4">
        <v>1521.0</v>
      </c>
      <c r="D1522" s="13" t="str">
        <f>HYPERLINK("https://www.linkedin.com/ad-library/detail/742527784","Open Ad")</f>
        <v>Open Ad</v>
      </c>
      <c r="E1522" s="4" t="s">
        <v>91</v>
      </c>
      <c r="F1522" s="4" t="s">
        <v>53</v>
      </c>
      <c r="G1522" s="4" t="s">
        <v>6915</v>
      </c>
      <c r="H1522" s="4" t="s">
        <v>55</v>
      </c>
      <c r="I1522" s="4" t="s">
        <v>985</v>
      </c>
      <c r="J1522" s="4" t="s">
        <v>91</v>
      </c>
      <c r="K1522" s="4" t="s">
        <v>60</v>
      </c>
      <c r="L1522" s="4" t="s">
        <v>131</v>
      </c>
      <c r="M1522" s="4" t="s">
        <v>63</v>
      </c>
      <c r="N1522" s="4" t="s">
        <v>132</v>
      </c>
      <c r="O1522" s="2" t="s">
        <v>132</v>
      </c>
      <c r="P1522" s="2">
        <v>7.42527784E8</v>
      </c>
      <c r="Q1522" s="2" t="s">
        <v>68</v>
      </c>
      <c r="R1522" s="4" t="s">
        <v>6916</v>
      </c>
    </row>
    <row r="1523">
      <c r="A1523" s="4" t="s">
        <v>44</v>
      </c>
      <c r="B1523" s="4" t="s">
        <v>44</v>
      </c>
      <c r="C1523" s="4">
        <v>1522.0</v>
      </c>
      <c r="D1523" s="13" t="str">
        <f>HYPERLINK("https://www.linkedin.com/ad-library/detail/742509684","Open Ad")</f>
        <v>Open Ad</v>
      </c>
      <c r="E1523" s="4" t="s">
        <v>91</v>
      </c>
      <c r="F1523" s="4" t="s">
        <v>53</v>
      </c>
      <c r="G1523" s="4" t="s">
        <v>6915</v>
      </c>
      <c r="H1523" s="4" t="s">
        <v>55</v>
      </c>
      <c r="I1523" s="4" t="s">
        <v>985</v>
      </c>
      <c r="J1523" s="4" t="s">
        <v>91</v>
      </c>
      <c r="K1523" s="4" t="s">
        <v>60</v>
      </c>
      <c r="L1523" s="4" t="s">
        <v>131</v>
      </c>
      <c r="M1523" s="4" t="s">
        <v>63</v>
      </c>
      <c r="N1523" s="4" t="s">
        <v>132</v>
      </c>
      <c r="O1523" s="2" t="s">
        <v>132</v>
      </c>
      <c r="P1523" s="2">
        <v>7.42509684E8</v>
      </c>
      <c r="Q1523" s="2" t="s">
        <v>68</v>
      </c>
      <c r="R1523" s="4" t="s">
        <v>6916</v>
      </c>
    </row>
    <row r="1524">
      <c r="A1524" s="4" t="s">
        <v>44</v>
      </c>
      <c r="B1524" s="4" t="s">
        <v>44</v>
      </c>
      <c r="C1524" s="4">
        <v>1523.0</v>
      </c>
      <c r="D1524" s="13" t="str">
        <f>HYPERLINK("https://www.linkedin.com/ad-library/detail/742509694","Open Ad")</f>
        <v>Open Ad</v>
      </c>
      <c r="E1524" s="4" t="s">
        <v>91</v>
      </c>
      <c r="F1524" s="4" t="s">
        <v>53</v>
      </c>
      <c r="G1524" s="4" t="s">
        <v>6915</v>
      </c>
      <c r="H1524" s="4" t="s">
        <v>55</v>
      </c>
      <c r="I1524" s="4" t="s">
        <v>985</v>
      </c>
      <c r="J1524" s="4" t="s">
        <v>91</v>
      </c>
      <c r="K1524" s="4" t="s">
        <v>60</v>
      </c>
      <c r="L1524" s="4" t="s">
        <v>131</v>
      </c>
      <c r="M1524" s="4" t="s">
        <v>63</v>
      </c>
      <c r="N1524" s="4" t="s">
        <v>132</v>
      </c>
      <c r="O1524" s="2" t="s">
        <v>132</v>
      </c>
      <c r="P1524" s="2">
        <v>7.42509694E8</v>
      </c>
      <c r="Q1524" s="2" t="s">
        <v>68</v>
      </c>
      <c r="R1524" s="4" t="s">
        <v>6916</v>
      </c>
    </row>
    <row r="1525">
      <c r="A1525" s="4" t="s">
        <v>44</v>
      </c>
      <c r="B1525" s="4" t="s">
        <v>44</v>
      </c>
      <c r="C1525" s="4">
        <v>1524.0</v>
      </c>
      <c r="D1525" s="13" t="str">
        <f>HYPERLINK("https://www.linkedin.com/ad-library/detail/742499674","Open Ad")</f>
        <v>Open Ad</v>
      </c>
      <c r="E1525" s="4" t="s">
        <v>91</v>
      </c>
      <c r="F1525" s="4" t="s">
        <v>53</v>
      </c>
      <c r="G1525" s="4" t="s">
        <v>6915</v>
      </c>
      <c r="H1525" s="4" t="s">
        <v>55</v>
      </c>
      <c r="I1525" s="4" t="s">
        <v>985</v>
      </c>
      <c r="J1525" s="4" t="s">
        <v>91</v>
      </c>
      <c r="K1525" s="4" t="s">
        <v>60</v>
      </c>
      <c r="L1525" s="4" t="s">
        <v>131</v>
      </c>
      <c r="M1525" s="4" t="s">
        <v>63</v>
      </c>
      <c r="N1525" s="4" t="s">
        <v>132</v>
      </c>
      <c r="O1525" s="2" t="s">
        <v>132</v>
      </c>
      <c r="P1525" s="2">
        <v>7.42499674E8</v>
      </c>
      <c r="Q1525" s="2" t="s">
        <v>68</v>
      </c>
      <c r="R1525" s="4" t="s">
        <v>6916</v>
      </c>
    </row>
    <row r="1526">
      <c r="A1526" s="4" t="s">
        <v>44</v>
      </c>
      <c r="B1526" s="4" t="s">
        <v>44</v>
      </c>
      <c r="C1526" s="4">
        <v>1525.0</v>
      </c>
      <c r="D1526" s="13" t="str">
        <f>HYPERLINK("https://www.linkedin.com/ad-library/detail/742479674","Open Ad")</f>
        <v>Open Ad</v>
      </c>
      <c r="E1526" s="4" t="s">
        <v>91</v>
      </c>
      <c r="F1526" s="4" t="s">
        <v>53</v>
      </c>
      <c r="G1526" s="4" t="s">
        <v>6915</v>
      </c>
      <c r="H1526" s="4" t="s">
        <v>55</v>
      </c>
      <c r="I1526" s="4" t="s">
        <v>985</v>
      </c>
      <c r="J1526" s="4" t="s">
        <v>91</v>
      </c>
      <c r="K1526" s="4" t="s">
        <v>60</v>
      </c>
      <c r="L1526" s="4" t="s">
        <v>131</v>
      </c>
      <c r="M1526" s="4" t="s">
        <v>63</v>
      </c>
      <c r="N1526" s="4" t="s">
        <v>132</v>
      </c>
      <c r="O1526" s="2" t="s">
        <v>132</v>
      </c>
      <c r="P1526" s="2">
        <v>7.42479674E8</v>
      </c>
      <c r="Q1526" s="2" t="s">
        <v>68</v>
      </c>
      <c r="R1526" s="4" t="s">
        <v>6916</v>
      </c>
    </row>
    <row r="1527">
      <c r="A1527" s="4" t="s">
        <v>44</v>
      </c>
      <c r="B1527" s="4" t="s">
        <v>44</v>
      </c>
      <c r="C1527" s="4">
        <v>1526.0</v>
      </c>
      <c r="D1527" s="13" t="str">
        <f>HYPERLINK("https://www.linkedin.com/ad-library/detail/742499664","Open Ad")</f>
        <v>Open Ad</v>
      </c>
      <c r="E1527" s="4" t="s">
        <v>91</v>
      </c>
      <c r="F1527" s="4" t="s">
        <v>53</v>
      </c>
      <c r="G1527" s="4" t="s">
        <v>6915</v>
      </c>
      <c r="H1527" s="4" t="s">
        <v>55</v>
      </c>
      <c r="I1527" s="4" t="s">
        <v>985</v>
      </c>
      <c r="J1527" s="4" t="s">
        <v>91</v>
      </c>
      <c r="K1527" s="4" t="s">
        <v>60</v>
      </c>
      <c r="L1527" s="4" t="s">
        <v>131</v>
      </c>
      <c r="M1527" s="4" t="s">
        <v>63</v>
      </c>
      <c r="N1527" s="4" t="s">
        <v>132</v>
      </c>
      <c r="O1527" s="2" t="s">
        <v>132</v>
      </c>
      <c r="P1527" s="2">
        <v>7.42499664E8</v>
      </c>
      <c r="Q1527" s="2" t="s">
        <v>68</v>
      </c>
      <c r="R1527" s="4" t="s">
        <v>6916</v>
      </c>
    </row>
    <row r="1528">
      <c r="A1528" s="4" t="s">
        <v>44</v>
      </c>
      <c r="B1528" s="4" t="s">
        <v>44</v>
      </c>
      <c r="C1528" s="4">
        <v>1527.0</v>
      </c>
      <c r="D1528" s="13" t="str">
        <f>HYPERLINK("https://www.linkedin.com/ad-library/detail/742479654","Open Ad")</f>
        <v>Open Ad</v>
      </c>
      <c r="E1528" s="4" t="s">
        <v>91</v>
      </c>
      <c r="F1528" s="4" t="s">
        <v>53</v>
      </c>
      <c r="G1528" s="4" t="s">
        <v>6915</v>
      </c>
      <c r="H1528" s="4" t="s">
        <v>55</v>
      </c>
      <c r="I1528" s="4" t="s">
        <v>985</v>
      </c>
      <c r="J1528" s="4" t="s">
        <v>91</v>
      </c>
      <c r="K1528" s="4" t="s">
        <v>60</v>
      </c>
      <c r="L1528" s="4" t="s">
        <v>131</v>
      </c>
      <c r="M1528" s="4" t="s">
        <v>63</v>
      </c>
      <c r="N1528" s="4" t="s">
        <v>132</v>
      </c>
      <c r="O1528" s="2" t="s">
        <v>132</v>
      </c>
      <c r="P1528" s="2">
        <v>7.42479654E8</v>
      </c>
      <c r="Q1528" s="2" t="s">
        <v>68</v>
      </c>
      <c r="R1528" s="4" t="s">
        <v>6916</v>
      </c>
    </row>
    <row r="1529">
      <c r="A1529" s="4" t="s">
        <v>44</v>
      </c>
      <c r="B1529" s="4" t="s">
        <v>44</v>
      </c>
      <c r="C1529" s="4">
        <v>1528.0</v>
      </c>
      <c r="D1529" s="13" t="str">
        <f>HYPERLINK("https://www.linkedin.com/ad-library/detail/742539904","Open Ad")</f>
        <v>Open Ad</v>
      </c>
      <c r="E1529" s="4" t="s">
        <v>91</v>
      </c>
      <c r="F1529" s="4" t="s">
        <v>53</v>
      </c>
      <c r="G1529" s="4" t="s">
        <v>6915</v>
      </c>
      <c r="H1529" s="4" t="s">
        <v>55</v>
      </c>
      <c r="I1529" s="4" t="s">
        <v>985</v>
      </c>
      <c r="J1529" s="4" t="s">
        <v>91</v>
      </c>
      <c r="K1529" s="4" t="s">
        <v>60</v>
      </c>
      <c r="L1529" s="4" t="s">
        <v>131</v>
      </c>
      <c r="M1529" s="4" t="s">
        <v>63</v>
      </c>
      <c r="N1529" s="4" t="s">
        <v>132</v>
      </c>
      <c r="O1529" s="2" t="s">
        <v>132</v>
      </c>
      <c r="P1529" s="2">
        <v>7.42539904E8</v>
      </c>
      <c r="Q1529" s="2" t="s">
        <v>68</v>
      </c>
      <c r="R1529" s="4" t="s">
        <v>6916</v>
      </c>
    </row>
    <row r="1530">
      <c r="A1530" s="4" t="s">
        <v>44</v>
      </c>
      <c r="B1530" s="4" t="s">
        <v>44</v>
      </c>
      <c r="C1530" s="4">
        <v>1529.0</v>
      </c>
      <c r="D1530" s="13" t="str">
        <f>HYPERLINK("https://www.linkedin.com/ad-library/detail/742479664","Open Ad")</f>
        <v>Open Ad</v>
      </c>
      <c r="E1530" s="4" t="s">
        <v>91</v>
      </c>
      <c r="F1530" s="4" t="s">
        <v>53</v>
      </c>
      <c r="G1530" s="4" t="s">
        <v>6915</v>
      </c>
      <c r="H1530" s="4" t="s">
        <v>55</v>
      </c>
      <c r="I1530" s="4" t="s">
        <v>985</v>
      </c>
      <c r="J1530" s="4" t="s">
        <v>91</v>
      </c>
      <c r="K1530" s="4" t="s">
        <v>60</v>
      </c>
      <c r="L1530" s="4" t="s">
        <v>131</v>
      </c>
      <c r="M1530" s="4" t="s">
        <v>63</v>
      </c>
      <c r="N1530" s="4" t="s">
        <v>132</v>
      </c>
      <c r="O1530" s="2" t="s">
        <v>132</v>
      </c>
      <c r="P1530" s="2">
        <v>7.42479664E8</v>
      </c>
      <c r="Q1530" s="2" t="s">
        <v>68</v>
      </c>
      <c r="R1530" s="4" t="s">
        <v>6916</v>
      </c>
    </row>
    <row r="1531">
      <c r="A1531" s="4" t="s">
        <v>44</v>
      </c>
      <c r="B1531" s="4" t="s">
        <v>44</v>
      </c>
      <c r="C1531" s="4">
        <v>1530.0</v>
      </c>
      <c r="D1531" s="13" t="str">
        <f>HYPERLINK("https://www.linkedin.com/ad-library/detail/742479694","Open Ad")</f>
        <v>Open Ad</v>
      </c>
      <c r="E1531" s="4" t="s">
        <v>91</v>
      </c>
      <c r="F1531" s="4" t="s">
        <v>53</v>
      </c>
      <c r="G1531" s="4" t="s">
        <v>6915</v>
      </c>
      <c r="H1531" s="4" t="s">
        <v>55</v>
      </c>
      <c r="I1531" s="4" t="s">
        <v>985</v>
      </c>
      <c r="J1531" s="4" t="s">
        <v>91</v>
      </c>
      <c r="K1531" s="4" t="s">
        <v>60</v>
      </c>
      <c r="L1531" s="4" t="s">
        <v>131</v>
      </c>
      <c r="M1531" s="4" t="s">
        <v>63</v>
      </c>
      <c r="N1531" s="4" t="s">
        <v>132</v>
      </c>
      <c r="O1531" s="2" t="s">
        <v>132</v>
      </c>
      <c r="P1531" s="2">
        <v>7.42479694E8</v>
      </c>
      <c r="Q1531" s="2" t="s">
        <v>68</v>
      </c>
      <c r="R1531" s="4" t="s">
        <v>6916</v>
      </c>
    </row>
    <row r="1532">
      <c r="A1532" s="4" t="s">
        <v>44</v>
      </c>
      <c r="B1532" s="4" t="s">
        <v>44</v>
      </c>
      <c r="C1532" s="4">
        <v>1531.0</v>
      </c>
      <c r="D1532" s="13" t="str">
        <f>HYPERLINK("https://www.linkedin.com/ad-library/detail/742489614","Open Ad")</f>
        <v>Open Ad</v>
      </c>
      <c r="E1532" s="4" t="s">
        <v>91</v>
      </c>
      <c r="F1532" s="4" t="s">
        <v>53</v>
      </c>
      <c r="G1532" s="4" t="s">
        <v>6915</v>
      </c>
      <c r="H1532" s="4" t="s">
        <v>55</v>
      </c>
      <c r="I1532" s="4" t="s">
        <v>985</v>
      </c>
      <c r="J1532" s="4" t="s">
        <v>91</v>
      </c>
      <c r="K1532" s="4" t="s">
        <v>60</v>
      </c>
      <c r="L1532" s="4" t="s">
        <v>131</v>
      </c>
      <c r="M1532" s="4" t="s">
        <v>63</v>
      </c>
      <c r="N1532" s="4" t="s">
        <v>132</v>
      </c>
      <c r="O1532" s="2" t="s">
        <v>132</v>
      </c>
      <c r="P1532" s="2">
        <v>7.42489614E8</v>
      </c>
      <c r="Q1532" s="2" t="s">
        <v>68</v>
      </c>
      <c r="R1532" s="4" t="s">
        <v>6916</v>
      </c>
    </row>
    <row r="1533">
      <c r="A1533" s="4" t="s">
        <v>44</v>
      </c>
      <c r="B1533" s="4" t="s">
        <v>44</v>
      </c>
      <c r="C1533" s="4">
        <v>1532.0</v>
      </c>
      <c r="D1533" s="13" t="str">
        <f>HYPERLINK("https://www.linkedin.com/ad-library/detail/742539884","Open Ad")</f>
        <v>Open Ad</v>
      </c>
      <c r="E1533" s="4" t="s">
        <v>91</v>
      </c>
      <c r="F1533" s="4" t="s">
        <v>53</v>
      </c>
      <c r="G1533" s="4" t="s">
        <v>6915</v>
      </c>
      <c r="H1533" s="4" t="s">
        <v>55</v>
      </c>
      <c r="I1533" s="4" t="s">
        <v>985</v>
      </c>
      <c r="J1533" s="4" t="s">
        <v>91</v>
      </c>
      <c r="K1533" s="4" t="s">
        <v>60</v>
      </c>
      <c r="L1533" s="4" t="s">
        <v>131</v>
      </c>
      <c r="M1533" s="4" t="s">
        <v>63</v>
      </c>
      <c r="N1533" s="4" t="s">
        <v>132</v>
      </c>
      <c r="O1533" s="2" t="s">
        <v>132</v>
      </c>
      <c r="P1533" s="2">
        <v>7.42539884E8</v>
      </c>
      <c r="Q1533" s="2" t="s">
        <v>68</v>
      </c>
      <c r="R1533" s="4" t="s">
        <v>6916</v>
      </c>
    </row>
    <row r="1534">
      <c r="A1534" s="4" t="s">
        <v>44</v>
      </c>
      <c r="B1534" s="4" t="s">
        <v>44</v>
      </c>
      <c r="C1534" s="4">
        <v>1533.0</v>
      </c>
      <c r="D1534" s="13" t="str">
        <f>HYPERLINK("https://www.linkedin.com/ad-library/detail/742530164","Open Ad")</f>
        <v>Open Ad</v>
      </c>
      <c r="E1534" s="4" t="s">
        <v>91</v>
      </c>
      <c r="F1534" s="4" t="s">
        <v>53</v>
      </c>
      <c r="G1534" s="4" t="s">
        <v>6915</v>
      </c>
      <c r="H1534" s="4" t="s">
        <v>55</v>
      </c>
      <c r="I1534" s="4" t="s">
        <v>985</v>
      </c>
      <c r="J1534" s="4" t="s">
        <v>91</v>
      </c>
      <c r="K1534" s="4" t="s">
        <v>60</v>
      </c>
      <c r="L1534" s="4" t="s">
        <v>131</v>
      </c>
      <c r="M1534" s="4" t="s">
        <v>63</v>
      </c>
      <c r="N1534" s="4" t="s">
        <v>132</v>
      </c>
      <c r="O1534" s="2" t="s">
        <v>132</v>
      </c>
      <c r="P1534" s="2">
        <v>7.42530164E8</v>
      </c>
      <c r="Q1534" s="2" t="s">
        <v>68</v>
      </c>
      <c r="R1534" s="4" t="s">
        <v>6916</v>
      </c>
    </row>
    <row r="1535">
      <c r="A1535" s="4" t="s">
        <v>44</v>
      </c>
      <c r="B1535" s="4" t="s">
        <v>44</v>
      </c>
      <c r="C1535" s="4">
        <v>1534.0</v>
      </c>
      <c r="D1535" s="13" t="str">
        <f>HYPERLINK("https://www.linkedin.com/ad-library/detail/742530174","Open Ad")</f>
        <v>Open Ad</v>
      </c>
      <c r="E1535" s="4" t="s">
        <v>91</v>
      </c>
      <c r="F1535" s="4" t="s">
        <v>53</v>
      </c>
      <c r="G1535" s="4" t="s">
        <v>6915</v>
      </c>
      <c r="H1535" s="4" t="s">
        <v>55</v>
      </c>
      <c r="I1535" s="4" t="s">
        <v>985</v>
      </c>
      <c r="J1535" s="4" t="s">
        <v>91</v>
      </c>
      <c r="K1535" s="4" t="s">
        <v>60</v>
      </c>
      <c r="L1535" s="4" t="s">
        <v>131</v>
      </c>
      <c r="M1535" s="4" t="s">
        <v>63</v>
      </c>
      <c r="N1535" s="4" t="s">
        <v>132</v>
      </c>
      <c r="O1535" s="2" t="s">
        <v>132</v>
      </c>
      <c r="P1535" s="2">
        <v>7.42530174E8</v>
      </c>
      <c r="Q1535" s="2" t="s">
        <v>68</v>
      </c>
      <c r="R1535" s="4" t="s">
        <v>6916</v>
      </c>
    </row>
    <row r="1536">
      <c r="A1536" s="4" t="s">
        <v>44</v>
      </c>
      <c r="B1536" s="4" t="s">
        <v>44</v>
      </c>
      <c r="C1536" s="4">
        <v>1535.0</v>
      </c>
      <c r="D1536" s="13" t="str">
        <f>HYPERLINK("https://www.linkedin.com/ad-library/detail/742518594","Open Ad")</f>
        <v>Open Ad</v>
      </c>
      <c r="E1536" s="4" t="s">
        <v>91</v>
      </c>
      <c r="F1536" s="4" t="s">
        <v>53</v>
      </c>
      <c r="G1536" s="4" t="s">
        <v>6915</v>
      </c>
      <c r="H1536" s="4" t="s">
        <v>55</v>
      </c>
      <c r="I1536" s="4" t="s">
        <v>985</v>
      </c>
      <c r="J1536" s="4" t="s">
        <v>91</v>
      </c>
      <c r="K1536" s="4" t="s">
        <v>60</v>
      </c>
      <c r="L1536" s="4" t="s">
        <v>131</v>
      </c>
      <c r="M1536" s="4" t="s">
        <v>63</v>
      </c>
      <c r="N1536" s="4" t="s">
        <v>132</v>
      </c>
      <c r="O1536" s="2" t="s">
        <v>132</v>
      </c>
      <c r="P1536" s="2">
        <v>7.42518594E8</v>
      </c>
      <c r="Q1536" s="2" t="s">
        <v>68</v>
      </c>
      <c r="R1536" s="4" t="s">
        <v>6916</v>
      </c>
    </row>
    <row r="1537">
      <c r="A1537" s="4" t="s">
        <v>44</v>
      </c>
      <c r="B1537" s="4" t="s">
        <v>44</v>
      </c>
      <c r="C1537" s="4">
        <v>1536.0</v>
      </c>
      <c r="D1537" s="13" t="str">
        <f>HYPERLINK("https://www.linkedin.com/ad-library/detail/742530154","Open Ad")</f>
        <v>Open Ad</v>
      </c>
      <c r="E1537" s="4" t="s">
        <v>91</v>
      </c>
      <c r="F1537" s="4" t="s">
        <v>7521</v>
      </c>
      <c r="G1537" s="4" t="s">
        <v>7522</v>
      </c>
      <c r="H1537" s="4" t="s">
        <v>55</v>
      </c>
      <c r="I1537" s="4" t="s">
        <v>1086</v>
      </c>
      <c r="J1537" s="4" t="s">
        <v>91</v>
      </c>
      <c r="K1537" s="13" t="str">
        <f>HYPERLINK("https://media.licdn.com/dms/image/v2/D4E10AQEYqd8xAk86_w/image-shrink_1280/B4EZjzsGGVHoAQ-/0/1756435080215?e=2147483647&amp;v=beta&amp;t=YmxZNPNDoHOW2t6bCJ-hDp6HUY_xN_LSuulurgMMHEg","Open Creative")</f>
        <v>Open Creative</v>
      </c>
      <c r="L1537" s="4" t="s">
        <v>62</v>
      </c>
      <c r="M1537" s="4" t="s">
        <v>63</v>
      </c>
      <c r="N1537" s="4" t="s">
        <v>7523</v>
      </c>
      <c r="O1537" s="2" t="s">
        <v>132</v>
      </c>
      <c r="P1537" s="2">
        <v>7.42530154E8</v>
      </c>
      <c r="Q1537" s="2" t="s">
        <v>68</v>
      </c>
      <c r="R1537" s="4" t="s">
        <v>7524</v>
      </c>
    </row>
    <row r="1538">
      <c r="A1538" s="4" t="s">
        <v>44</v>
      </c>
      <c r="B1538" s="4" t="s">
        <v>44</v>
      </c>
      <c r="C1538" s="4">
        <v>1537.0</v>
      </c>
      <c r="D1538" s="13" t="str">
        <f>HYPERLINK("https://www.linkedin.com/ad-library/detail/742549774","Open Ad")</f>
        <v>Open Ad</v>
      </c>
      <c r="E1538" s="4" t="s">
        <v>91</v>
      </c>
      <c r="F1538" s="4" t="s">
        <v>7525</v>
      </c>
      <c r="G1538" s="4" t="s">
        <v>7526</v>
      </c>
      <c r="H1538" s="4" t="s">
        <v>55</v>
      </c>
      <c r="I1538" s="4" t="s">
        <v>6645</v>
      </c>
      <c r="J1538" s="4" t="s">
        <v>91</v>
      </c>
      <c r="K1538" s="13" t="str">
        <f>HYPERLINK("https://media.licdn.com/dms/image/v2/D4E10AQHHdDfk08ijDQ/image-shrink_1280/B4EZjzsA41GUAU-/0/1756435059177?e=2147483647&amp;v=beta&amp;t=75NeQ5Jgv3zP7AYt6k1oZz4R647DPfh0je6_aY6o55c","Open Creative")</f>
        <v>Open Creative</v>
      </c>
      <c r="L1538" s="4" t="s">
        <v>62</v>
      </c>
      <c r="M1538" s="4" t="s">
        <v>63</v>
      </c>
      <c r="N1538" s="4" t="s">
        <v>7523</v>
      </c>
      <c r="O1538" s="2" t="s">
        <v>132</v>
      </c>
      <c r="P1538" s="2">
        <v>7.42549774E8</v>
      </c>
      <c r="Q1538" s="2" t="s">
        <v>68</v>
      </c>
      <c r="R1538" s="4" t="s">
        <v>7527</v>
      </c>
    </row>
    <row r="1539">
      <c r="A1539" s="4" t="s">
        <v>44</v>
      </c>
      <c r="B1539" s="4" t="s">
        <v>44</v>
      </c>
      <c r="C1539" s="4">
        <v>1538.0</v>
      </c>
      <c r="D1539" s="13" t="str">
        <f>HYPERLINK("https://www.linkedin.com/ad-library/detail/742469614","Open Ad")</f>
        <v>Open Ad</v>
      </c>
      <c r="E1539" s="4" t="s">
        <v>91</v>
      </c>
      <c r="F1539" s="4" t="s">
        <v>7525</v>
      </c>
      <c r="G1539" s="4" t="s">
        <v>7526</v>
      </c>
      <c r="H1539" s="4" t="s">
        <v>55</v>
      </c>
      <c r="I1539" s="4" t="s">
        <v>6645</v>
      </c>
      <c r="J1539" s="4" t="s">
        <v>91</v>
      </c>
      <c r="K1539" s="13" t="str">
        <f>HYPERLINK("https://media.licdn.com/dms/image/v2/D4E10AQFnrZLHIMmTkA/image-shrink_1280/B4EZjzr2H4GYAU-/0/1756435014754?e=2147483647&amp;v=beta&amp;t=EGiN7FB-_RXb8KCi5ZyzSgSCyniP855lxm2zrMQCROE","Open Creative")</f>
        <v>Open Creative</v>
      </c>
      <c r="L1539" s="4" t="s">
        <v>62</v>
      </c>
      <c r="M1539" s="4" t="s">
        <v>63</v>
      </c>
      <c r="N1539" s="4" t="s">
        <v>7523</v>
      </c>
      <c r="O1539" s="2" t="s">
        <v>132</v>
      </c>
      <c r="P1539" s="2">
        <v>7.42469614E8</v>
      </c>
      <c r="Q1539" s="2" t="s">
        <v>68</v>
      </c>
      <c r="R1539" s="4" t="s">
        <v>7528</v>
      </c>
    </row>
    <row r="1540">
      <c r="A1540" s="4" t="s">
        <v>44</v>
      </c>
      <c r="B1540" s="4" t="s">
        <v>44</v>
      </c>
      <c r="C1540" s="4">
        <v>1539.0</v>
      </c>
      <c r="D1540" s="13" t="str">
        <f>HYPERLINK("https://www.linkedin.com/ad-library/detail/742527754","Open Ad")</f>
        <v>Open Ad</v>
      </c>
      <c r="E1540" s="4" t="s">
        <v>91</v>
      </c>
      <c r="F1540" s="4" t="s">
        <v>7521</v>
      </c>
      <c r="G1540" s="4" t="s">
        <v>7522</v>
      </c>
      <c r="H1540" s="4" t="s">
        <v>55</v>
      </c>
      <c r="I1540" s="4" t="s">
        <v>1086</v>
      </c>
      <c r="J1540" s="4" t="s">
        <v>91</v>
      </c>
      <c r="K1540" s="13" t="str">
        <f>HYPERLINK("https://media.licdn.com/dms/image/v2/D4E10AQGhgQU0wHqLfw/image-shrink_1280/B4EZjzr2bBIQAM-/0/1756435016362?e=2147483647&amp;v=beta&amp;t=vUIPIZN5v6mliQZGFTAGEyWoq6x4TrjShDE0geA3J7U","Open Creative")</f>
        <v>Open Creative</v>
      </c>
      <c r="L1540" s="4" t="s">
        <v>62</v>
      </c>
      <c r="M1540" s="4" t="s">
        <v>63</v>
      </c>
      <c r="N1540" s="4" t="s">
        <v>7523</v>
      </c>
      <c r="O1540" s="2" t="s">
        <v>132</v>
      </c>
      <c r="P1540" s="2">
        <v>7.42527754E8</v>
      </c>
      <c r="Q1540" s="2" t="s">
        <v>68</v>
      </c>
      <c r="R1540" s="4" t="s">
        <v>7529</v>
      </c>
    </row>
    <row r="1541">
      <c r="A1541" s="4" t="s">
        <v>44</v>
      </c>
      <c r="B1541" s="4" t="s">
        <v>44</v>
      </c>
      <c r="C1541" s="4">
        <v>1540.0</v>
      </c>
      <c r="D1541" s="13" t="str">
        <f>HYPERLINK("https://www.linkedin.com/ad-library/detail/742489584","Open Ad")</f>
        <v>Open Ad</v>
      </c>
      <c r="E1541" s="4" t="s">
        <v>91</v>
      </c>
      <c r="F1541" s="4" t="s">
        <v>7521</v>
      </c>
      <c r="G1541" s="4" t="s">
        <v>7522</v>
      </c>
      <c r="H1541" s="4" t="s">
        <v>55</v>
      </c>
      <c r="I1541" s="4" t="s">
        <v>1086</v>
      </c>
      <c r="J1541" s="4" t="s">
        <v>91</v>
      </c>
      <c r="K1541" s="13" t="str">
        <f>HYPERLINK("https://media.licdn.com/dms/image/v2/D4E10AQEBX22npJb68Q/image-shrink_1280/B4EZjzsArOIQAM-/0/1756435058007?e=2147483647&amp;v=beta&amp;t=xRKNfx-Jb0Qzo9GH3kn152WFIPZ2okg3sGsqqf2SgGU","Open Creative")</f>
        <v>Open Creative</v>
      </c>
      <c r="L1541" s="4" t="s">
        <v>62</v>
      </c>
      <c r="M1541" s="4" t="s">
        <v>63</v>
      </c>
      <c r="N1541" s="4" t="s">
        <v>7523</v>
      </c>
      <c r="O1541" s="2" t="s">
        <v>132</v>
      </c>
      <c r="P1541" s="2">
        <v>7.42489584E8</v>
      </c>
      <c r="Q1541" s="2" t="s">
        <v>68</v>
      </c>
      <c r="R1541" s="4" t="s">
        <v>7530</v>
      </c>
    </row>
    <row r="1542">
      <c r="A1542" s="4" t="s">
        <v>44</v>
      </c>
      <c r="B1542" s="4" t="s">
        <v>44</v>
      </c>
      <c r="C1542" s="4">
        <v>1541.0</v>
      </c>
      <c r="D1542" s="13" t="str">
        <f>HYPERLINK("https://www.linkedin.com/ad-library/detail/742439594","Open Ad")</f>
        <v>Open Ad</v>
      </c>
      <c r="E1542" s="4" t="s">
        <v>91</v>
      </c>
      <c r="F1542" s="4" t="s">
        <v>7525</v>
      </c>
      <c r="G1542" s="4" t="s">
        <v>7526</v>
      </c>
      <c r="H1542" s="4" t="s">
        <v>55</v>
      </c>
      <c r="I1542" s="4" t="s">
        <v>6645</v>
      </c>
      <c r="J1542" s="4" t="s">
        <v>91</v>
      </c>
      <c r="K1542" s="13" t="str">
        <f>HYPERLINK("https://media.licdn.com/dms/image/v2/D4E10AQGuUuCDR3VjLw/image-shrink_1280/B4EZjzsA11GcAM-/0/1756435058989?e=2147483647&amp;v=beta&amp;t=EWUQ1GGx3z_iFJ0zCVoMyh9p_4xp-v2TrjPdNPXauKI","Open Creative")</f>
        <v>Open Creative</v>
      </c>
      <c r="L1542" s="4" t="s">
        <v>62</v>
      </c>
      <c r="M1542" s="4" t="s">
        <v>63</v>
      </c>
      <c r="N1542" s="4" t="s">
        <v>7523</v>
      </c>
      <c r="O1542" s="2" t="s">
        <v>132</v>
      </c>
      <c r="P1542" s="2">
        <v>7.42439594E8</v>
      </c>
      <c r="Q1542" s="2" t="s">
        <v>68</v>
      </c>
      <c r="R1542" s="4" t="s">
        <v>7531</v>
      </c>
    </row>
    <row r="1543">
      <c r="A1543" s="4" t="s">
        <v>44</v>
      </c>
      <c r="B1543" s="4" t="s">
        <v>44</v>
      </c>
      <c r="C1543" s="4">
        <v>1542.0</v>
      </c>
      <c r="D1543" s="13" t="str">
        <f>HYPERLINK("https://www.linkedin.com/ad-library/detail/742459764","Open Ad")</f>
        <v>Open Ad</v>
      </c>
      <c r="E1543" s="4" t="s">
        <v>91</v>
      </c>
      <c r="F1543" s="4" t="s">
        <v>7525</v>
      </c>
      <c r="G1543" s="4" t="s">
        <v>7526</v>
      </c>
      <c r="H1543" s="4" t="s">
        <v>55</v>
      </c>
      <c r="I1543" s="4" t="s">
        <v>6645</v>
      </c>
      <c r="J1543" s="4" t="s">
        <v>91</v>
      </c>
      <c r="K1543" s="13" t="str">
        <f>HYPERLINK("https://media.licdn.com/dms/image/v2/D4E10AQHBsP8ls4e5Uw/image-shrink_1280/B4EZjzsA7DIQAM-/0/1756435059392?e=2147483647&amp;v=beta&amp;t=rHCqi1iz70fmE0_Q3LtVESpMf5P4bYIpnMxoRhHNB1s","Open Creative")</f>
        <v>Open Creative</v>
      </c>
      <c r="L1543" s="4" t="s">
        <v>62</v>
      </c>
      <c r="M1543" s="4" t="s">
        <v>63</v>
      </c>
      <c r="N1543" s="4" t="s">
        <v>7523</v>
      </c>
      <c r="O1543" s="2" t="s">
        <v>132</v>
      </c>
      <c r="P1543" s="2">
        <v>7.42459764E8</v>
      </c>
      <c r="Q1543" s="2" t="s">
        <v>68</v>
      </c>
      <c r="R1543" s="4" t="s">
        <v>7532</v>
      </c>
    </row>
    <row r="1544">
      <c r="A1544" s="4" t="s">
        <v>44</v>
      </c>
      <c r="B1544" s="4" t="s">
        <v>44</v>
      </c>
      <c r="C1544" s="4">
        <v>1543.0</v>
      </c>
      <c r="D1544" s="13" t="str">
        <f>HYPERLINK("https://www.linkedin.com/ad-library/detail/742509634","Open Ad")</f>
        <v>Open Ad</v>
      </c>
      <c r="E1544" s="4" t="s">
        <v>91</v>
      </c>
      <c r="F1544" s="4" t="s">
        <v>7521</v>
      </c>
      <c r="G1544" s="4" t="s">
        <v>7522</v>
      </c>
      <c r="H1544" s="4" t="s">
        <v>55</v>
      </c>
      <c r="I1544" s="4" t="s">
        <v>1086</v>
      </c>
      <c r="J1544" s="4" t="s">
        <v>91</v>
      </c>
      <c r="K1544" s="13" t="str">
        <f>HYPERLINK("https://media.licdn.com/dms/image/v2/D4E10AQHbyQmjM2XKaw/image-shrink_1280/B4EZjzr7UWIMAM-/0/1756435036401?e=2147483647&amp;v=beta&amp;t=OOHiwBDmNlC2m5MA5aQK5dfHV0MupxR1V7C-c1i8IJs","Open Creative")</f>
        <v>Open Creative</v>
      </c>
      <c r="L1544" s="4" t="s">
        <v>62</v>
      </c>
      <c r="M1544" s="4" t="s">
        <v>63</v>
      </c>
      <c r="N1544" s="4" t="s">
        <v>7523</v>
      </c>
      <c r="O1544" s="2" t="s">
        <v>132</v>
      </c>
      <c r="P1544" s="2">
        <v>7.42509634E8</v>
      </c>
      <c r="Q1544" s="2" t="s">
        <v>68</v>
      </c>
      <c r="R1544" s="4" t="s">
        <v>7533</v>
      </c>
    </row>
    <row r="1545">
      <c r="A1545" s="4" t="s">
        <v>44</v>
      </c>
      <c r="B1545" s="4" t="s">
        <v>44</v>
      </c>
      <c r="C1545" s="4">
        <v>1544.0</v>
      </c>
      <c r="D1545" s="13" t="str">
        <f>HYPERLINK("https://www.linkedin.com/ad-library/detail/742459754","Open Ad")</f>
        <v>Open Ad</v>
      </c>
      <c r="E1545" s="4" t="s">
        <v>91</v>
      </c>
      <c r="F1545" s="4" t="s">
        <v>7521</v>
      </c>
      <c r="G1545" s="4" t="s">
        <v>7522</v>
      </c>
      <c r="H1545" s="4" t="s">
        <v>55</v>
      </c>
      <c r="I1545" s="4" t="s">
        <v>1086</v>
      </c>
      <c r="J1545" s="4" t="s">
        <v>91</v>
      </c>
      <c r="K1545" s="13" t="str">
        <f>HYPERLINK("https://media.licdn.com/dms/image/v2/D4E10AQEzA6PgeJRyLg/image-shrink_1280/B4EZjzsA7DGYAM-/0/1756435059373?e=2147483647&amp;v=beta&amp;t=DwiZKPOFyJliLqu7Iwf_6c3GVdwKlX3YM4nHNUJo6HA","Open Creative")</f>
        <v>Open Creative</v>
      </c>
      <c r="L1545" s="4" t="s">
        <v>62</v>
      </c>
      <c r="M1545" s="4" t="s">
        <v>63</v>
      </c>
      <c r="N1545" s="4" t="s">
        <v>7523</v>
      </c>
      <c r="O1545" s="2" t="s">
        <v>132</v>
      </c>
      <c r="P1545" s="2">
        <v>7.42459754E8</v>
      </c>
      <c r="Q1545" s="2" t="s">
        <v>68</v>
      </c>
      <c r="R1545" s="4" t="s">
        <v>7534</v>
      </c>
    </row>
    <row r="1546">
      <c r="A1546" s="4" t="s">
        <v>44</v>
      </c>
      <c r="B1546" s="4" t="s">
        <v>44</v>
      </c>
      <c r="C1546" s="4">
        <v>1545.0</v>
      </c>
      <c r="D1546" s="13" t="str">
        <f>HYPERLINK("https://www.linkedin.com/ad-library/detail/742509644","Open Ad")</f>
        <v>Open Ad</v>
      </c>
      <c r="E1546" s="4" t="s">
        <v>91</v>
      </c>
      <c r="F1546" s="4" t="s">
        <v>7525</v>
      </c>
      <c r="G1546" s="4" t="s">
        <v>7526</v>
      </c>
      <c r="H1546" s="4" t="s">
        <v>55</v>
      </c>
      <c r="I1546" s="4" t="s">
        <v>6645</v>
      </c>
      <c r="J1546" s="4" t="s">
        <v>91</v>
      </c>
      <c r="K1546" s="13" t="str">
        <f>HYPERLINK("https://media.licdn.com/dms/image/v2/D4E10AQHmXsG6HB78Og/image-shrink_1280/B4EZjzr7QkGUAM-/0/1756435036132?e=2147483647&amp;v=beta&amp;t=gSmyXXOqixev1M1230xzThZLCEQOifa66TaqUWJ08kg","Open Creative")</f>
        <v>Open Creative</v>
      </c>
      <c r="L1546" s="4" t="s">
        <v>62</v>
      </c>
      <c r="M1546" s="4" t="s">
        <v>63</v>
      </c>
      <c r="N1546" s="4" t="s">
        <v>7523</v>
      </c>
      <c r="O1546" s="2" t="s">
        <v>132</v>
      </c>
      <c r="P1546" s="2">
        <v>7.42509644E8</v>
      </c>
      <c r="Q1546" s="2" t="s">
        <v>68</v>
      </c>
      <c r="R1546" s="4" t="s">
        <v>7535</v>
      </c>
    </row>
    <row r="1547">
      <c r="A1547" s="4" t="s">
        <v>44</v>
      </c>
      <c r="B1547" s="4" t="s">
        <v>44</v>
      </c>
      <c r="C1547" s="4">
        <v>1546.0</v>
      </c>
      <c r="D1547" s="13" t="str">
        <f>HYPERLINK("https://www.linkedin.com/ad-library/detail/742509654","Open Ad")</f>
        <v>Open Ad</v>
      </c>
      <c r="E1547" s="4" t="s">
        <v>91</v>
      </c>
      <c r="F1547" s="4" t="s">
        <v>7525</v>
      </c>
      <c r="G1547" s="4" t="s">
        <v>7526</v>
      </c>
      <c r="H1547" s="4" t="s">
        <v>55</v>
      </c>
      <c r="I1547" s="4" t="s">
        <v>6645</v>
      </c>
      <c r="J1547" s="4" t="s">
        <v>91</v>
      </c>
      <c r="K1547" s="13" t="str">
        <f>HYPERLINK("https://media.licdn.com/dms/image/v2/D4E10AQHXby5FesbHkw/image-shrink_1280/B4EZjzsF1bIMAM-/0/1756435079332?e=2147483647&amp;v=beta&amp;t=VXreV5jLNCjj75DvyrSglz4Gp8BhPKYx3QzQ4UxsXD4","Open Creative")</f>
        <v>Open Creative</v>
      </c>
      <c r="L1547" s="4" t="s">
        <v>62</v>
      </c>
      <c r="M1547" s="4" t="s">
        <v>63</v>
      </c>
      <c r="N1547" s="4" t="s">
        <v>7523</v>
      </c>
      <c r="O1547" s="2" t="s">
        <v>132</v>
      </c>
      <c r="P1547" s="2">
        <v>7.42509654E8</v>
      </c>
      <c r="Q1547" s="2" t="s">
        <v>68</v>
      </c>
      <c r="R1547" s="4" t="s">
        <v>7536</v>
      </c>
    </row>
    <row r="1548">
      <c r="A1548" s="4" t="s">
        <v>44</v>
      </c>
      <c r="B1548" s="4" t="s">
        <v>44</v>
      </c>
      <c r="C1548" s="4">
        <v>1547.0</v>
      </c>
      <c r="D1548" s="13" t="str">
        <f>HYPERLINK("https://www.linkedin.com/ad-library/detail/742527774","Open Ad")</f>
        <v>Open Ad</v>
      </c>
      <c r="E1548" s="4" t="s">
        <v>91</v>
      </c>
      <c r="F1548" s="4" t="s">
        <v>53</v>
      </c>
      <c r="G1548" s="4" t="s">
        <v>6915</v>
      </c>
      <c r="H1548" s="4" t="s">
        <v>55</v>
      </c>
      <c r="I1548" s="4" t="s">
        <v>985</v>
      </c>
      <c r="J1548" s="4" t="s">
        <v>91</v>
      </c>
      <c r="K1548" s="4" t="s">
        <v>60</v>
      </c>
      <c r="L1548" s="4" t="s">
        <v>131</v>
      </c>
      <c r="M1548" s="4" t="s">
        <v>63</v>
      </c>
      <c r="N1548" s="4" t="s">
        <v>132</v>
      </c>
      <c r="O1548" s="2" t="s">
        <v>132</v>
      </c>
      <c r="P1548" s="2">
        <v>7.42527774E8</v>
      </c>
      <c r="Q1548" s="2" t="s">
        <v>68</v>
      </c>
      <c r="R1548" s="4" t="s">
        <v>6916</v>
      </c>
    </row>
    <row r="1549">
      <c r="A1549" s="4" t="s">
        <v>44</v>
      </c>
      <c r="B1549" s="4" t="s">
        <v>44</v>
      </c>
      <c r="C1549" s="4">
        <v>1548.0</v>
      </c>
      <c r="D1549" s="13" t="str">
        <f>HYPERLINK("https://www.linkedin.com/ad-library/detail/742527764","Open Ad")</f>
        <v>Open Ad</v>
      </c>
      <c r="E1549" s="4" t="s">
        <v>91</v>
      </c>
      <c r="F1549" s="4" t="s">
        <v>53</v>
      </c>
      <c r="G1549" s="4" t="s">
        <v>6915</v>
      </c>
      <c r="H1549" s="4" t="s">
        <v>55</v>
      </c>
      <c r="I1549" s="4" t="s">
        <v>985</v>
      </c>
      <c r="J1549" s="4" t="s">
        <v>91</v>
      </c>
      <c r="K1549" s="4" t="s">
        <v>60</v>
      </c>
      <c r="L1549" s="4" t="s">
        <v>131</v>
      </c>
      <c r="M1549" s="4" t="s">
        <v>63</v>
      </c>
      <c r="N1549" s="4" t="s">
        <v>132</v>
      </c>
      <c r="O1549" s="2" t="s">
        <v>132</v>
      </c>
      <c r="P1549" s="2">
        <v>7.42527764E8</v>
      </c>
      <c r="Q1549" s="2" t="s">
        <v>68</v>
      </c>
      <c r="R1549" s="4" t="s">
        <v>6916</v>
      </c>
    </row>
    <row r="1550">
      <c r="A1550" s="4" t="s">
        <v>44</v>
      </c>
      <c r="B1550" s="4" t="s">
        <v>44</v>
      </c>
      <c r="C1550" s="4">
        <v>1549.0</v>
      </c>
      <c r="D1550" s="13" t="str">
        <f>HYPERLINK("https://www.linkedin.com/ad-library/detail/742449274","Open Ad")</f>
        <v>Open Ad</v>
      </c>
      <c r="E1550" s="4" t="s">
        <v>91</v>
      </c>
      <c r="F1550" s="4" t="s">
        <v>53</v>
      </c>
      <c r="G1550" s="4" t="s">
        <v>6915</v>
      </c>
      <c r="H1550" s="4" t="s">
        <v>55</v>
      </c>
      <c r="I1550" s="4" t="s">
        <v>985</v>
      </c>
      <c r="J1550" s="4" t="s">
        <v>91</v>
      </c>
      <c r="K1550" s="4" t="s">
        <v>60</v>
      </c>
      <c r="L1550" s="4" t="s">
        <v>131</v>
      </c>
      <c r="M1550" s="4" t="s">
        <v>63</v>
      </c>
      <c r="N1550" s="4" t="s">
        <v>132</v>
      </c>
      <c r="O1550" s="2" t="s">
        <v>132</v>
      </c>
      <c r="P1550" s="2">
        <v>7.42449274E8</v>
      </c>
      <c r="Q1550" s="2" t="s">
        <v>68</v>
      </c>
      <c r="R1550" s="4" t="s">
        <v>6916</v>
      </c>
    </row>
    <row r="1551">
      <c r="A1551" s="4" t="s">
        <v>44</v>
      </c>
      <c r="B1551" s="4" t="s">
        <v>44</v>
      </c>
      <c r="C1551" s="4">
        <v>1550.0</v>
      </c>
      <c r="D1551" s="13" t="str">
        <f>HYPERLINK("https://www.linkedin.com/ad-library/detail/742479644","Open Ad")</f>
        <v>Open Ad</v>
      </c>
      <c r="E1551" s="4" t="s">
        <v>91</v>
      </c>
      <c r="F1551" s="4" t="s">
        <v>53</v>
      </c>
      <c r="G1551" s="4" t="s">
        <v>6915</v>
      </c>
      <c r="H1551" s="4" t="s">
        <v>55</v>
      </c>
      <c r="I1551" s="4" t="s">
        <v>985</v>
      </c>
      <c r="J1551" s="4" t="s">
        <v>91</v>
      </c>
      <c r="K1551" s="4" t="s">
        <v>60</v>
      </c>
      <c r="L1551" s="4" t="s">
        <v>131</v>
      </c>
      <c r="M1551" s="4" t="s">
        <v>63</v>
      </c>
      <c r="N1551" s="4" t="s">
        <v>132</v>
      </c>
      <c r="O1551" s="2" t="s">
        <v>132</v>
      </c>
      <c r="P1551" s="2">
        <v>7.42479644E8</v>
      </c>
      <c r="Q1551" s="2" t="s">
        <v>68</v>
      </c>
      <c r="R1551" s="4" t="s">
        <v>6916</v>
      </c>
    </row>
    <row r="1552">
      <c r="A1552" s="4" t="s">
        <v>44</v>
      </c>
      <c r="B1552" s="4" t="s">
        <v>44</v>
      </c>
      <c r="C1552" s="4">
        <v>1551.0</v>
      </c>
      <c r="D1552" s="13" t="str">
        <f>HYPERLINK("https://www.linkedin.com/ad-library/detail/742449264","Open Ad")</f>
        <v>Open Ad</v>
      </c>
      <c r="E1552" s="4" t="s">
        <v>91</v>
      </c>
      <c r="F1552" s="4" t="s">
        <v>53</v>
      </c>
      <c r="G1552" s="4" t="s">
        <v>6915</v>
      </c>
      <c r="H1552" s="4" t="s">
        <v>55</v>
      </c>
      <c r="I1552" s="4" t="s">
        <v>985</v>
      </c>
      <c r="J1552" s="4" t="s">
        <v>91</v>
      </c>
      <c r="K1552" s="4" t="s">
        <v>60</v>
      </c>
      <c r="L1552" s="4" t="s">
        <v>131</v>
      </c>
      <c r="M1552" s="4" t="s">
        <v>63</v>
      </c>
      <c r="N1552" s="4" t="s">
        <v>132</v>
      </c>
      <c r="O1552" s="2" t="s">
        <v>132</v>
      </c>
      <c r="P1552" s="2">
        <v>7.42449264E8</v>
      </c>
      <c r="Q1552" s="2" t="s">
        <v>68</v>
      </c>
      <c r="R1552" s="4" t="s">
        <v>6916</v>
      </c>
    </row>
    <row r="1553">
      <c r="A1553" s="4" t="s">
        <v>44</v>
      </c>
      <c r="B1553" s="4" t="s">
        <v>44</v>
      </c>
      <c r="C1553" s="4">
        <v>1552.0</v>
      </c>
      <c r="D1553" s="13" t="str">
        <f>HYPERLINK("https://www.linkedin.com/ad-library/detail/742539854","Open Ad")</f>
        <v>Open Ad</v>
      </c>
      <c r="E1553" s="4" t="s">
        <v>91</v>
      </c>
      <c r="F1553" s="4" t="s">
        <v>53</v>
      </c>
      <c r="G1553" s="4" t="s">
        <v>6915</v>
      </c>
      <c r="H1553" s="4" t="s">
        <v>55</v>
      </c>
      <c r="I1553" s="4" t="s">
        <v>985</v>
      </c>
      <c r="J1553" s="4" t="s">
        <v>91</v>
      </c>
      <c r="K1553" s="4" t="s">
        <v>60</v>
      </c>
      <c r="L1553" s="4" t="s">
        <v>131</v>
      </c>
      <c r="M1553" s="4" t="s">
        <v>63</v>
      </c>
      <c r="N1553" s="4" t="s">
        <v>132</v>
      </c>
      <c r="O1553" s="2" t="s">
        <v>132</v>
      </c>
      <c r="P1553" s="2">
        <v>7.42539854E8</v>
      </c>
      <c r="Q1553" s="2" t="s">
        <v>68</v>
      </c>
      <c r="R1553" s="4" t="s">
        <v>6916</v>
      </c>
    </row>
    <row r="1554">
      <c r="A1554" s="4" t="s">
        <v>44</v>
      </c>
      <c r="B1554" s="4" t="s">
        <v>44</v>
      </c>
      <c r="C1554" s="4">
        <v>1553.0</v>
      </c>
      <c r="D1554" s="13" t="str">
        <f>HYPERLINK("https://www.linkedin.com/ad-library/detail/742449284","Open Ad")</f>
        <v>Open Ad</v>
      </c>
      <c r="E1554" s="4" t="s">
        <v>91</v>
      </c>
      <c r="F1554" s="4" t="s">
        <v>53</v>
      </c>
      <c r="G1554" s="4" t="s">
        <v>6915</v>
      </c>
      <c r="H1554" s="4" t="s">
        <v>55</v>
      </c>
      <c r="I1554" s="4" t="s">
        <v>985</v>
      </c>
      <c r="J1554" s="4" t="s">
        <v>91</v>
      </c>
      <c r="K1554" s="4" t="s">
        <v>60</v>
      </c>
      <c r="L1554" s="4" t="s">
        <v>131</v>
      </c>
      <c r="M1554" s="4" t="s">
        <v>63</v>
      </c>
      <c r="N1554" s="4" t="s">
        <v>132</v>
      </c>
      <c r="O1554" s="2" t="s">
        <v>132</v>
      </c>
      <c r="P1554" s="2">
        <v>7.42449284E8</v>
      </c>
      <c r="Q1554" s="2" t="s">
        <v>68</v>
      </c>
      <c r="R1554" s="4" t="s">
        <v>6916</v>
      </c>
    </row>
    <row r="1555">
      <c r="A1555" s="4" t="s">
        <v>44</v>
      </c>
      <c r="B1555" s="4" t="s">
        <v>44</v>
      </c>
      <c r="C1555" s="4">
        <v>1554.0</v>
      </c>
      <c r="D1555" s="13" t="str">
        <f>HYPERLINK("https://www.linkedin.com/ad-library/detail/742499654","Open Ad")</f>
        <v>Open Ad</v>
      </c>
      <c r="E1555" s="4" t="s">
        <v>91</v>
      </c>
      <c r="F1555" s="4" t="s">
        <v>53</v>
      </c>
      <c r="G1555" s="4" t="s">
        <v>6915</v>
      </c>
      <c r="H1555" s="4" t="s">
        <v>55</v>
      </c>
      <c r="I1555" s="4" t="s">
        <v>985</v>
      </c>
      <c r="J1555" s="4" t="s">
        <v>91</v>
      </c>
      <c r="K1555" s="4" t="s">
        <v>60</v>
      </c>
      <c r="L1555" s="4" t="s">
        <v>131</v>
      </c>
      <c r="M1555" s="4" t="s">
        <v>63</v>
      </c>
      <c r="N1555" s="4" t="s">
        <v>132</v>
      </c>
      <c r="O1555" s="2" t="s">
        <v>132</v>
      </c>
      <c r="P1555" s="2">
        <v>7.42499654E8</v>
      </c>
      <c r="Q1555" s="2" t="s">
        <v>68</v>
      </c>
      <c r="R1555" s="4" t="s">
        <v>6916</v>
      </c>
    </row>
    <row r="1556">
      <c r="A1556" s="4" t="s">
        <v>44</v>
      </c>
      <c r="B1556" s="4" t="s">
        <v>44</v>
      </c>
      <c r="C1556" s="4">
        <v>1555.0</v>
      </c>
      <c r="D1556" s="13" t="str">
        <f>HYPERLINK("https://www.linkedin.com/ad-library/detail/742518584","Open Ad")</f>
        <v>Open Ad</v>
      </c>
      <c r="E1556" s="4" t="s">
        <v>91</v>
      </c>
      <c r="F1556" s="4" t="s">
        <v>53</v>
      </c>
      <c r="G1556" s="4" t="s">
        <v>6915</v>
      </c>
      <c r="H1556" s="4" t="s">
        <v>55</v>
      </c>
      <c r="I1556" s="4" t="s">
        <v>985</v>
      </c>
      <c r="J1556" s="4" t="s">
        <v>91</v>
      </c>
      <c r="K1556" s="4" t="s">
        <v>60</v>
      </c>
      <c r="L1556" s="4" t="s">
        <v>131</v>
      </c>
      <c r="M1556" s="4" t="s">
        <v>63</v>
      </c>
      <c r="N1556" s="4" t="s">
        <v>132</v>
      </c>
      <c r="O1556" s="2" t="s">
        <v>132</v>
      </c>
      <c r="P1556" s="2">
        <v>7.42518584E8</v>
      </c>
      <c r="Q1556" s="2" t="s">
        <v>68</v>
      </c>
      <c r="R1556" s="4" t="s">
        <v>6916</v>
      </c>
    </row>
    <row r="1557">
      <c r="A1557" s="4" t="s">
        <v>44</v>
      </c>
      <c r="B1557" s="4" t="s">
        <v>44</v>
      </c>
      <c r="C1557" s="4">
        <v>1556.0</v>
      </c>
      <c r="D1557" s="13" t="str">
        <f>HYPERLINK("https://www.linkedin.com/ad-library/detail/742539864","Open Ad")</f>
        <v>Open Ad</v>
      </c>
      <c r="E1557" s="4" t="s">
        <v>91</v>
      </c>
      <c r="F1557" s="4" t="s">
        <v>53</v>
      </c>
      <c r="G1557" s="4" t="s">
        <v>6915</v>
      </c>
      <c r="H1557" s="4" t="s">
        <v>55</v>
      </c>
      <c r="I1557" s="4" t="s">
        <v>985</v>
      </c>
      <c r="J1557" s="4" t="s">
        <v>91</v>
      </c>
      <c r="K1557" s="4" t="s">
        <v>60</v>
      </c>
      <c r="L1557" s="4" t="s">
        <v>131</v>
      </c>
      <c r="M1557" s="4" t="s">
        <v>63</v>
      </c>
      <c r="N1557" s="4" t="s">
        <v>132</v>
      </c>
      <c r="O1557" s="2" t="s">
        <v>132</v>
      </c>
      <c r="P1557" s="2">
        <v>7.42539864E8</v>
      </c>
      <c r="Q1557" s="2" t="s">
        <v>68</v>
      </c>
      <c r="R1557" s="4" t="s">
        <v>6916</v>
      </c>
    </row>
    <row r="1558">
      <c r="A1558" s="4" t="s">
        <v>44</v>
      </c>
      <c r="B1558" s="4" t="s">
        <v>44</v>
      </c>
      <c r="C1558" s="4">
        <v>1557.0</v>
      </c>
      <c r="D1558" s="13" t="str">
        <f>HYPERLINK("https://www.linkedin.com/ad-library/detail/742530144","Open Ad")</f>
        <v>Open Ad</v>
      </c>
      <c r="E1558" s="4" t="s">
        <v>91</v>
      </c>
      <c r="F1558" s="4" t="s">
        <v>53</v>
      </c>
      <c r="G1558" s="4" t="s">
        <v>6915</v>
      </c>
      <c r="H1558" s="4" t="s">
        <v>55</v>
      </c>
      <c r="I1558" s="4" t="s">
        <v>985</v>
      </c>
      <c r="J1558" s="4" t="s">
        <v>91</v>
      </c>
      <c r="K1558" s="4" t="s">
        <v>60</v>
      </c>
      <c r="L1558" s="4" t="s">
        <v>131</v>
      </c>
      <c r="M1558" s="4" t="s">
        <v>63</v>
      </c>
      <c r="N1558" s="4" t="s">
        <v>132</v>
      </c>
      <c r="O1558" s="2" t="s">
        <v>132</v>
      </c>
      <c r="P1558" s="2">
        <v>7.42530144E8</v>
      </c>
      <c r="Q1558" s="2" t="s">
        <v>68</v>
      </c>
      <c r="R1558" s="4" t="s">
        <v>6916</v>
      </c>
    </row>
    <row r="1559">
      <c r="A1559" s="4" t="s">
        <v>44</v>
      </c>
      <c r="B1559" s="4" t="s">
        <v>44</v>
      </c>
      <c r="C1559" s="4">
        <v>1558.0</v>
      </c>
      <c r="D1559" s="13" t="str">
        <f>HYPERLINK("https://www.linkedin.com/ad-library/detail/742518564","Open Ad")</f>
        <v>Open Ad</v>
      </c>
      <c r="E1559" s="4" t="s">
        <v>91</v>
      </c>
      <c r="F1559" s="4" t="s">
        <v>53</v>
      </c>
      <c r="G1559" s="4" t="s">
        <v>6915</v>
      </c>
      <c r="H1559" s="4" t="s">
        <v>55</v>
      </c>
      <c r="I1559" s="4" t="s">
        <v>985</v>
      </c>
      <c r="J1559" s="4" t="s">
        <v>91</v>
      </c>
      <c r="K1559" s="4" t="s">
        <v>60</v>
      </c>
      <c r="L1559" s="4" t="s">
        <v>131</v>
      </c>
      <c r="M1559" s="4" t="s">
        <v>63</v>
      </c>
      <c r="N1559" s="4" t="s">
        <v>132</v>
      </c>
      <c r="O1559" s="2" t="s">
        <v>132</v>
      </c>
      <c r="P1559" s="2">
        <v>7.42518564E8</v>
      </c>
      <c r="Q1559" s="2" t="s">
        <v>68</v>
      </c>
      <c r="R1559" s="4" t="s">
        <v>6916</v>
      </c>
    </row>
    <row r="1560">
      <c r="A1560" s="4" t="s">
        <v>44</v>
      </c>
      <c r="B1560" s="4" t="s">
        <v>44</v>
      </c>
      <c r="C1560" s="4">
        <v>1559.0</v>
      </c>
      <c r="D1560" s="13" t="str">
        <f>HYPERLINK("https://www.linkedin.com/ad-library/detail/742539874","Open Ad")</f>
        <v>Open Ad</v>
      </c>
      <c r="E1560" s="4" t="s">
        <v>91</v>
      </c>
      <c r="F1560" s="4" t="s">
        <v>53</v>
      </c>
      <c r="G1560" s="4" t="s">
        <v>6915</v>
      </c>
      <c r="H1560" s="4" t="s">
        <v>55</v>
      </c>
      <c r="I1560" s="4" t="s">
        <v>985</v>
      </c>
      <c r="J1560" s="4" t="s">
        <v>91</v>
      </c>
      <c r="K1560" s="4" t="s">
        <v>60</v>
      </c>
      <c r="L1560" s="4" t="s">
        <v>131</v>
      </c>
      <c r="M1560" s="4" t="s">
        <v>63</v>
      </c>
      <c r="N1560" s="4" t="s">
        <v>132</v>
      </c>
      <c r="O1560" s="2" t="s">
        <v>132</v>
      </c>
      <c r="P1560" s="2">
        <v>7.42539874E8</v>
      </c>
      <c r="Q1560" s="2" t="s">
        <v>68</v>
      </c>
      <c r="R1560" s="4" t="s">
        <v>6916</v>
      </c>
    </row>
    <row r="1561">
      <c r="A1561" s="4" t="s">
        <v>44</v>
      </c>
      <c r="B1561" s="4" t="s">
        <v>44</v>
      </c>
      <c r="C1561" s="4">
        <v>1560.0</v>
      </c>
      <c r="D1561" s="13" t="str">
        <f>HYPERLINK("https://www.linkedin.com/ad-library/detail/742518574","Open Ad")</f>
        <v>Open Ad</v>
      </c>
      <c r="E1561" s="4" t="s">
        <v>91</v>
      </c>
      <c r="F1561" s="4" t="s">
        <v>53</v>
      </c>
      <c r="G1561" s="4" t="s">
        <v>6915</v>
      </c>
      <c r="H1561" s="4" t="s">
        <v>55</v>
      </c>
      <c r="I1561" s="4" t="s">
        <v>985</v>
      </c>
      <c r="J1561" s="4" t="s">
        <v>91</v>
      </c>
      <c r="K1561" s="4" t="s">
        <v>60</v>
      </c>
      <c r="L1561" s="4" t="s">
        <v>131</v>
      </c>
      <c r="M1561" s="4" t="s">
        <v>63</v>
      </c>
      <c r="N1561" s="4" t="s">
        <v>132</v>
      </c>
      <c r="O1561" s="2" t="s">
        <v>132</v>
      </c>
      <c r="P1561" s="2">
        <v>7.42518574E8</v>
      </c>
      <c r="Q1561" s="2" t="s">
        <v>68</v>
      </c>
      <c r="R1561" s="4" t="s">
        <v>6916</v>
      </c>
    </row>
    <row r="1562">
      <c r="A1562" s="4" t="s">
        <v>44</v>
      </c>
      <c r="B1562" s="4" t="s">
        <v>44</v>
      </c>
      <c r="C1562" s="4">
        <v>1561.0</v>
      </c>
      <c r="D1562" s="13" t="str">
        <f>HYPERLINK("https://www.linkedin.com/ad-library/detail/742469604","Open Ad")</f>
        <v>Open Ad</v>
      </c>
      <c r="E1562" s="4" t="s">
        <v>91</v>
      </c>
      <c r="F1562" s="4" t="s">
        <v>53</v>
      </c>
      <c r="G1562" s="4" t="s">
        <v>6915</v>
      </c>
      <c r="H1562" s="4" t="s">
        <v>55</v>
      </c>
      <c r="I1562" s="4" t="s">
        <v>985</v>
      </c>
      <c r="J1562" s="4" t="s">
        <v>91</v>
      </c>
      <c r="K1562" s="4" t="s">
        <v>60</v>
      </c>
      <c r="L1562" s="4" t="s">
        <v>131</v>
      </c>
      <c r="M1562" s="4" t="s">
        <v>63</v>
      </c>
      <c r="N1562" s="4" t="s">
        <v>132</v>
      </c>
      <c r="O1562" s="2" t="s">
        <v>132</v>
      </c>
      <c r="P1562" s="2">
        <v>7.42469604E8</v>
      </c>
      <c r="Q1562" s="2" t="s">
        <v>68</v>
      </c>
      <c r="R1562" s="4" t="s">
        <v>6916</v>
      </c>
    </row>
    <row r="1563">
      <c r="A1563" s="4" t="s">
        <v>44</v>
      </c>
      <c r="B1563" s="4" t="s">
        <v>44</v>
      </c>
      <c r="C1563" s="4">
        <v>1562.0</v>
      </c>
      <c r="D1563" s="13" t="str">
        <f>HYPERLINK("https://www.linkedin.com/ad-library/detail/742489554","Open Ad")</f>
        <v>Open Ad</v>
      </c>
      <c r="E1563" s="4" t="s">
        <v>91</v>
      </c>
      <c r="F1563" s="4" t="s">
        <v>53</v>
      </c>
      <c r="G1563" s="4" t="s">
        <v>6915</v>
      </c>
      <c r="H1563" s="4" t="s">
        <v>55</v>
      </c>
      <c r="I1563" s="4" t="s">
        <v>985</v>
      </c>
      <c r="J1563" s="4" t="s">
        <v>91</v>
      </c>
      <c r="K1563" s="4" t="s">
        <v>60</v>
      </c>
      <c r="L1563" s="4" t="s">
        <v>131</v>
      </c>
      <c r="M1563" s="4" t="s">
        <v>63</v>
      </c>
      <c r="N1563" s="4" t="s">
        <v>132</v>
      </c>
      <c r="O1563" s="2" t="s">
        <v>132</v>
      </c>
      <c r="P1563" s="2">
        <v>7.42489554E8</v>
      </c>
      <c r="Q1563" s="2" t="s">
        <v>68</v>
      </c>
      <c r="R1563" s="4" t="s">
        <v>6916</v>
      </c>
    </row>
    <row r="1564">
      <c r="A1564" s="4" t="s">
        <v>44</v>
      </c>
      <c r="B1564" s="4" t="s">
        <v>44</v>
      </c>
      <c r="C1564" s="4">
        <v>1563.0</v>
      </c>
      <c r="D1564" s="13" t="str">
        <f>HYPERLINK("https://www.linkedin.com/ad-library/detail/742439574","Open Ad")</f>
        <v>Open Ad</v>
      </c>
      <c r="E1564" s="4" t="s">
        <v>91</v>
      </c>
      <c r="F1564" s="4" t="s">
        <v>53</v>
      </c>
      <c r="G1564" s="4" t="s">
        <v>6915</v>
      </c>
      <c r="H1564" s="4" t="s">
        <v>55</v>
      </c>
      <c r="I1564" s="4" t="s">
        <v>985</v>
      </c>
      <c r="J1564" s="4" t="s">
        <v>91</v>
      </c>
      <c r="K1564" s="4" t="s">
        <v>60</v>
      </c>
      <c r="L1564" s="4" t="s">
        <v>131</v>
      </c>
      <c r="M1564" s="4" t="s">
        <v>63</v>
      </c>
      <c r="N1564" s="4" t="s">
        <v>132</v>
      </c>
      <c r="O1564" s="2" t="s">
        <v>132</v>
      </c>
      <c r="P1564" s="2">
        <v>7.42439574E8</v>
      </c>
      <c r="Q1564" s="2" t="s">
        <v>68</v>
      </c>
      <c r="R1564" s="4" t="s">
        <v>6916</v>
      </c>
    </row>
    <row r="1565">
      <c r="A1565" s="4" t="s">
        <v>44</v>
      </c>
      <c r="B1565" s="4" t="s">
        <v>44</v>
      </c>
      <c r="C1565" s="4">
        <v>1564.0</v>
      </c>
      <c r="D1565" s="13" t="str">
        <f>HYPERLINK("https://www.linkedin.com/ad-library/detail/742489564","Open Ad")</f>
        <v>Open Ad</v>
      </c>
      <c r="E1565" s="4" t="s">
        <v>91</v>
      </c>
      <c r="F1565" s="4" t="s">
        <v>53</v>
      </c>
      <c r="G1565" s="4" t="s">
        <v>6915</v>
      </c>
      <c r="H1565" s="4" t="s">
        <v>55</v>
      </c>
      <c r="I1565" s="4" t="s">
        <v>985</v>
      </c>
      <c r="J1565" s="4" t="s">
        <v>91</v>
      </c>
      <c r="K1565" s="4" t="s">
        <v>60</v>
      </c>
      <c r="L1565" s="4" t="s">
        <v>131</v>
      </c>
      <c r="M1565" s="4" t="s">
        <v>63</v>
      </c>
      <c r="N1565" s="4" t="s">
        <v>132</v>
      </c>
      <c r="O1565" s="2" t="s">
        <v>132</v>
      </c>
      <c r="P1565" s="2">
        <v>7.42489564E8</v>
      </c>
      <c r="Q1565" s="2" t="s">
        <v>68</v>
      </c>
      <c r="R1565" s="4" t="s">
        <v>6916</v>
      </c>
    </row>
    <row r="1566">
      <c r="A1566" s="4" t="s">
        <v>44</v>
      </c>
      <c r="B1566" s="4" t="s">
        <v>44</v>
      </c>
      <c r="C1566" s="4">
        <v>1565.0</v>
      </c>
      <c r="D1566" s="13" t="str">
        <f>HYPERLINK("https://www.linkedin.com/ad-library/detail/742489574","Open Ad")</f>
        <v>Open Ad</v>
      </c>
      <c r="E1566" s="4" t="s">
        <v>91</v>
      </c>
      <c r="F1566" s="4" t="s">
        <v>53</v>
      </c>
      <c r="G1566" s="4" t="s">
        <v>6915</v>
      </c>
      <c r="H1566" s="4" t="s">
        <v>55</v>
      </c>
      <c r="I1566" s="4" t="s">
        <v>985</v>
      </c>
      <c r="J1566" s="4" t="s">
        <v>91</v>
      </c>
      <c r="K1566" s="4" t="s">
        <v>60</v>
      </c>
      <c r="L1566" s="4" t="s">
        <v>131</v>
      </c>
      <c r="M1566" s="4" t="s">
        <v>63</v>
      </c>
      <c r="N1566" s="4" t="s">
        <v>132</v>
      </c>
      <c r="O1566" s="2" t="s">
        <v>132</v>
      </c>
      <c r="P1566" s="2">
        <v>7.42489574E8</v>
      </c>
      <c r="Q1566" s="2" t="s">
        <v>68</v>
      </c>
      <c r="R1566" s="4" t="s">
        <v>6916</v>
      </c>
    </row>
    <row r="1567">
      <c r="A1567" s="4" t="s">
        <v>44</v>
      </c>
      <c r="B1567" s="4" t="s">
        <v>44</v>
      </c>
      <c r="C1567" s="4">
        <v>1566.0</v>
      </c>
      <c r="D1567" s="13" t="str">
        <f>HYPERLINK("https://www.linkedin.com/ad-library/detail/742489524","Open Ad")</f>
        <v>Open Ad</v>
      </c>
      <c r="E1567" s="4" t="s">
        <v>91</v>
      </c>
      <c r="F1567" s="4" t="s">
        <v>53</v>
      </c>
      <c r="G1567" s="4" t="s">
        <v>6915</v>
      </c>
      <c r="H1567" s="4" t="s">
        <v>55</v>
      </c>
      <c r="I1567" s="4" t="s">
        <v>985</v>
      </c>
      <c r="J1567" s="4" t="s">
        <v>91</v>
      </c>
      <c r="K1567" s="4" t="s">
        <v>60</v>
      </c>
      <c r="L1567" s="4" t="s">
        <v>131</v>
      </c>
      <c r="M1567" s="4" t="s">
        <v>63</v>
      </c>
      <c r="N1567" s="4" t="s">
        <v>132</v>
      </c>
      <c r="O1567" s="2" t="s">
        <v>132</v>
      </c>
      <c r="P1567" s="2">
        <v>7.42489524E8</v>
      </c>
      <c r="Q1567" s="2" t="s">
        <v>68</v>
      </c>
      <c r="R1567" s="4" t="s">
        <v>6916</v>
      </c>
    </row>
    <row r="1568">
      <c r="A1568" s="4" t="s">
        <v>44</v>
      </c>
      <c r="B1568" s="4" t="s">
        <v>44</v>
      </c>
      <c r="C1568" s="4">
        <v>1567.0</v>
      </c>
      <c r="D1568" s="13" t="str">
        <f>HYPERLINK("https://www.linkedin.com/ad-library/detail/742499614","Open Ad")</f>
        <v>Open Ad</v>
      </c>
      <c r="E1568" s="4" t="s">
        <v>91</v>
      </c>
      <c r="F1568" s="4" t="s">
        <v>53</v>
      </c>
      <c r="G1568" s="4" t="s">
        <v>6915</v>
      </c>
      <c r="H1568" s="4" t="s">
        <v>55</v>
      </c>
      <c r="I1568" s="4" t="s">
        <v>985</v>
      </c>
      <c r="J1568" s="4" t="s">
        <v>91</v>
      </c>
      <c r="K1568" s="4" t="s">
        <v>60</v>
      </c>
      <c r="L1568" s="4" t="s">
        <v>131</v>
      </c>
      <c r="M1568" s="4" t="s">
        <v>63</v>
      </c>
      <c r="N1568" s="4" t="s">
        <v>132</v>
      </c>
      <c r="O1568" s="2" t="s">
        <v>132</v>
      </c>
      <c r="P1568" s="2">
        <v>7.42499614E8</v>
      </c>
      <c r="Q1568" s="2" t="s">
        <v>68</v>
      </c>
      <c r="R1568" s="4" t="s">
        <v>6916</v>
      </c>
    </row>
    <row r="1569">
      <c r="A1569" s="4" t="s">
        <v>44</v>
      </c>
      <c r="B1569" s="4" t="s">
        <v>44</v>
      </c>
      <c r="C1569" s="4">
        <v>1568.0</v>
      </c>
      <c r="D1569" s="13" t="str">
        <f>HYPERLINK("https://www.linkedin.com/ad-library/detail/742469574","Open Ad")</f>
        <v>Open Ad</v>
      </c>
      <c r="E1569" s="4" t="s">
        <v>91</v>
      </c>
      <c r="F1569" s="4" t="s">
        <v>53</v>
      </c>
      <c r="G1569" s="4" t="s">
        <v>6915</v>
      </c>
      <c r="H1569" s="4" t="s">
        <v>55</v>
      </c>
      <c r="I1569" s="4" t="s">
        <v>985</v>
      </c>
      <c r="J1569" s="4" t="s">
        <v>91</v>
      </c>
      <c r="K1569" s="4" t="s">
        <v>60</v>
      </c>
      <c r="L1569" s="4" t="s">
        <v>131</v>
      </c>
      <c r="M1569" s="4" t="s">
        <v>63</v>
      </c>
      <c r="N1569" s="4" t="s">
        <v>132</v>
      </c>
      <c r="O1569" s="2" t="s">
        <v>132</v>
      </c>
      <c r="P1569" s="2">
        <v>7.42469574E8</v>
      </c>
      <c r="Q1569" s="2" t="s">
        <v>68</v>
      </c>
      <c r="R1569" s="4" t="s">
        <v>6916</v>
      </c>
    </row>
    <row r="1570">
      <c r="A1570" s="4" t="s">
        <v>44</v>
      </c>
      <c r="B1570" s="4" t="s">
        <v>44</v>
      </c>
      <c r="C1570" s="4">
        <v>1569.0</v>
      </c>
      <c r="D1570" s="13" t="str">
        <f>HYPERLINK("https://www.linkedin.com/ad-library/detail/742459744","Open Ad")</f>
        <v>Open Ad</v>
      </c>
      <c r="E1570" s="4" t="s">
        <v>91</v>
      </c>
      <c r="F1570" s="4" t="s">
        <v>53</v>
      </c>
      <c r="G1570" s="4" t="s">
        <v>6915</v>
      </c>
      <c r="H1570" s="4" t="s">
        <v>55</v>
      </c>
      <c r="I1570" s="4" t="s">
        <v>985</v>
      </c>
      <c r="J1570" s="4" t="s">
        <v>91</v>
      </c>
      <c r="K1570" s="4" t="s">
        <v>60</v>
      </c>
      <c r="L1570" s="4" t="s">
        <v>131</v>
      </c>
      <c r="M1570" s="4" t="s">
        <v>63</v>
      </c>
      <c r="N1570" s="4" t="s">
        <v>132</v>
      </c>
      <c r="O1570" s="2" t="s">
        <v>132</v>
      </c>
      <c r="P1570" s="2">
        <v>7.42459744E8</v>
      </c>
      <c r="Q1570" s="2" t="s">
        <v>68</v>
      </c>
      <c r="R1570" s="4" t="s">
        <v>6916</v>
      </c>
    </row>
    <row r="1571">
      <c r="A1571" s="4" t="s">
        <v>44</v>
      </c>
      <c r="B1571" s="4" t="s">
        <v>44</v>
      </c>
      <c r="C1571" s="4">
        <v>1570.0</v>
      </c>
      <c r="D1571" s="13" t="str">
        <f>HYPERLINK("https://www.linkedin.com/ad-library/detail/742459724","Open Ad")</f>
        <v>Open Ad</v>
      </c>
      <c r="E1571" s="4" t="s">
        <v>91</v>
      </c>
      <c r="F1571" s="4" t="s">
        <v>53</v>
      </c>
      <c r="G1571" s="4" t="s">
        <v>6915</v>
      </c>
      <c r="H1571" s="4" t="s">
        <v>55</v>
      </c>
      <c r="I1571" s="4" t="s">
        <v>985</v>
      </c>
      <c r="J1571" s="4" t="s">
        <v>91</v>
      </c>
      <c r="K1571" s="4" t="s">
        <v>60</v>
      </c>
      <c r="L1571" s="4" t="s">
        <v>131</v>
      </c>
      <c r="M1571" s="4" t="s">
        <v>63</v>
      </c>
      <c r="N1571" s="4" t="s">
        <v>132</v>
      </c>
      <c r="O1571" s="2" t="s">
        <v>132</v>
      </c>
      <c r="P1571" s="2">
        <v>7.42459724E8</v>
      </c>
      <c r="Q1571" s="2" t="s">
        <v>68</v>
      </c>
      <c r="R1571" s="4" t="s">
        <v>6916</v>
      </c>
    </row>
    <row r="1572">
      <c r="A1572" s="4" t="s">
        <v>44</v>
      </c>
      <c r="B1572" s="4" t="s">
        <v>44</v>
      </c>
      <c r="C1572" s="4">
        <v>1571.0</v>
      </c>
      <c r="D1572" s="13" t="str">
        <f>HYPERLINK("https://www.linkedin.com/ad-library/detail/742459734","Open Ad")</f>
        <v>Open Ad</v>
      </c>
      <c r="E1572" s="4" t="s">
        <v>91</v>
      </c>
      <c r="F1572" s="4" t="s">
        <v>53</v>
      </c>
      <c r="G1572" s="4" t="s">
        <v>6915</v>
      </c>
      <c r="H1572" s="4" t="s">
        <v>55</v>
      </c>
      <c r="I1572" s="4" t="s">
        <v>985</v>
      </c>
      <c r="J1572" s="4" t="s">
        <v>91</v>
      </c>
      <c r="K1572" s="4" t="s">
        <v>60</v>
      </c>
      <c r="L1572" s="4" t="s">
        <v>131</v>
      </c>
      <c r="M1572" s="4" t="s">
        <v>63</v>
      </c>
      <c r="N1572" s="4" t="s">
        <v>132</v>
      </c>
      <c r="O1572" s="2" t="s">
        <v>132</v>
      </c>
      <c r="P1572" s="2">
        <v>7.42459734E8</v>
      </c>
      <c r="Q1572" s="2" t="s">
        <v>68</v>
      </c>
      <c r="R1572" s="4" t="s">
        <v>6916</v>
      </c>
    </row>
    <row r="1573">
      <c r="A1573" s="4" t="s">
        <v>44</v>
      </c>
      <c r="B1573" s="4" t="s">
        <v>44</v>
      </c>
      <c r="C1573" s="4">
        <v>1572.0</v>
      </c>
      <c r="D1573" s="13" t="str">
        <f>HYPERLINK("https://www.linkedin.com/ad-library/detail/742539844","Open Ad")</f>
        <v>Open Ad</v>
      </c>
      <c r="E1573" s="4" t="s">
        <v>91</v>
      </c>
      <c r="F1573" s="4" t="s">
        <v>53</v>
      </c>
      <c r="G1573" s="4" t="s">
        <v>6915</v>
      </c>
      <c r="H1573" s="4" t="s">
        <v>55</v>
      </c>
      <c r="I1573" s="4" t="s">
        <v>985</v>
      </c>
      <c r="J1573" s="4" t="s">
        <v>91</v>
      </c>
      <c r="K1573" s="4" t="s">
        <v>60</v>
      </c>
      <c r="L1573" s="4" t="s">
        <v>131</v>
      </c>
      <c r="M1573" s="4" t="s">
        <v>63</v>
      </c>
      <c r="N1573" s="4" t="s">
        <v>132</v>
      </c>
      <c r="O1573" s="2" t="s">
        <v>132</v>
      </c>
      <c r="P1573" s="2">
        <v>7.42539844E8</v>
      </c>
      <c r="Q1573" s="2" t="s">
        <v>68</v>
      </c>
      <c r="R1573" s="4" t="s">
        <v>6916</v>
      </c>
    </row>
    <row r="1574">
      <c r="A1574" s="4" t="s">
        <v>44</v>
      </c>
      <c r="B1574" s="4" t="s">
        <v>44</v>
      </c>
      <c r="C1574" s="4">
        <v>1573.0</v>
      </c>
      <c r="D1574" s="13" t="str">
        <f>HYPERLINK("https://www.linkedin.com/ad-library/detail/742479634","Open Ad")</f>
        <v>Open Ad</v>
      </c>
      <c r="E1574" s="4" t="s">
        <v>91</v>
      </c>
      <c r="F1574" s="4" t="s">
        <v>53</v>
      </c>
      <c r="G1574" s="4" t="s">
        <v>6915</v>
      </c>
      <c r="H1574" s="4" t="s">
        <v>55</v>
      </c>
      <c r="I1574" s="4" t="s">
        <v>985</v>
      </c>
      <c r="J1574" s="4" t="s">
        <v>91</v>
      </c>
      <c r="K1574" s="4" t="s">
        <v>60</v>
      </c>
      <c r="L1574" s="4" t="s">
        <v>131</v>
      </c>
      <c r="M1574" s="4" t="s">
        <v>63</v>
      </c>
      <c r="N1574" s="4" t="s">
        <v>132</v>
      </c>
      <c r="O1574" s="2" t="s">
        <v>132</v>
      </c>
      <c r="P1574" s="2">
        <v>7.42479634E8</v>
      </c>
      <c r="Q1574" s="2" t="s">
        <v>68</v>
      </c>
      <c r="R1574" s="4" t="s">
        <v>6916</v>
      </c>
    </row>
    <row r="1575">
      <c r="A1575" s="4" t="s">
        <v>44</v>
      </c>
      <c r="B1575" s="4" t="s">
        <v>44</v>
      </c>
      <c r="C1575" s="4">
        <v>1574.0</v>
      </c>
      <c r="D1575" s="13" t="str">
        <f>HYPERLINK("https://www.linkedin.com/ad-library/detail/742499584","Open Ad")</f>
        <v>Open Ad</v>
      </c>
      <c r="E1575" s="4" t="s">
        <v>91</v>
      </c>
      <c r="F1575" s="4" t="s">
        <v>53</v>
      </c>
      <c r="G1575" s="4" t="s">
        <v>6915</v>
      </c>
      <c r="H1575" s="4" t="s">
        <v>55</v>
      </c>
      <c r="I1575" s="4" t="s">
        <v>985</v>
      </c>
      <c r="J1575" s="4" t="s">
        <v>91</v>
      </c>
      <c r="K1575" s="4" t="s">
        <v>60</v>
      </c>
      <c r="L1575" s="4" t="s">
        <v>131</v>
      </c>
      <c r="M1575" s="4" t="s">
        <v>63</v>
      </c>
      <c r="N1575" s="4" t="s">
        <v>132</v>
      </c>
      <c r="O1575" s="2" t="s">
        <v>132</v>
      </c>
      <c r="P1575" s="2">
        <v>7.42499584E8</v>
      </c>
      <c r="Q1575" s="2" t="s">
        <v>68</v>
      </c>
      <c r="R1575" s="4" t="s">
        <v>6916</v>
      </c>
    </row>
    <row r="1576">
      <c r="A1576" s="4" t="s">
        <v>44</v>
      </c>
      <c r="B1576" s="4" t="s">
        <v>44</v>
      </c>
      <c r="C1576" s="4">
        <v>1575.0</v>
      </c>
      <c r="D1576" s="13" t="str">
        <f>HYPERLINK("https://www.linkedin.com/ad-library/detail/742499594","Open Ad")</f>
        <v>Open Ad</v>
      </c>
      <c r="E1576" s="4" t="s">
        <v>91</v>
      </c>
      <c r="F1576" s="4" t="s">
        <v>53</v>
      </c>
      <c r="G1576" s="4" t="s">
        <v>6915</v>
      </c>
      <c r="H1576" s="4" t="s">
        <v>55</v>
      </c>
      <c r="I1576" s="4" t="s">
        <v>985</v>
      </c>
      <c r="J1576" s="4" t="s">
        <v>91</v>
      </c>
      <c r="K1576" s="4" t="s">
        <v>60</v>
      </c>
      <c r="L1576" s="4" t="s">
        <v>131</v>
      </c>
      <c r="M1576" s="4" t="s">
        <v>63</v>
      </c>
      <c r="N1576" s="4" t="s">
        <v>132</v>
      </c>
      <c r="O1576" s="2" t="s">
        <v>132</v>
      </c>
      <c r="P1576" s="2">
        <v>7.42499594E8</v>
      </c>
      <c r="Q1576" s="2" t="s">
        <v>68</v>
      </c>
      <c r="R1576" s="4" t="s">
        <v>6916</v>
      </c>
    </row>
    <row r="1577">
      <c r="A1577" s="4" t="s">
        <v>44</v>
      </c>
      <c r="B1577" s="4" t="s">
        <v>44</v>
      </c>
      <c r="C1577" s="4">
        <v>1576.0</v>
      </c>
      <c r="D1577" s="13" t="str">
        <f>HYPERLINK("https://www.linkedin.com/ad-library/detail/742449234","Open Ad")</f>
        <v>Open Ad</v>
      </c>
      <c r="E1577" s="4" t="s">
        <v>91</v>
      </c>
      <c r="F1577" s="4" t="s">
        <v>53</v>
      </c>
      <c r="G1577" s="4" t="s">
        <v>6915</v>
      </c>
      <c r="H1577" s="4" t="s">
        <v>55</v>
      </c>
      <c r="I1577" s="4" t="s">
        <v>985</v>
      </c>
      <c r="J1577" s="4" t="s">
        <v>91</v>
      </c>
      <c r="K1577" s="4" t="s">
        <v>60</v>
      </c>
      <c r="L1577" s="4" t="s">
        <v>131</v>
      </c>
      <c r="M1577" s="4" t="s">
        <v>63</v>
      </c>
      <c r="N1577" s="4" t="s">
        <v>132</v>
      </c>
      <c r="O1577" s="2" t="s">
        <v>132</v>
      </c>
      <c r="P1577" s="2">
        <v>7.42449234E8</v>
      </c>
      <c r="Q1577" s="2" t="s">
        <v>68</v>
      </c>
      <c r="R1577" s="4" t="s">
        <v>6916</v>
      </c>
    </row>
    <row r="1578">
      <c r="A1578" s="4" t="s">
        <v>44</v>
      </c>
      <c r="B1578" s="4" t="s">
        <v>44</v>
      </c>
      <c r="C1578" s="4">
        <v>1577.0</v>
      </c>
      <c r="D1578" s="13" t="str">
        <f>HYPERLINK("https://www.linkedin.com/ad-library/detail/742518504","Open Ad")</f>
        <v>Open Ad</v>
      </c>
      <c r="E1578" s="4" t="s">
        <v>91</v>
      </c>
      <c r="F1578" s="4" t="s">
        <v>53</v>
      </c>
      <c r="G1578" s="4" t="s">
        <v>6915</v>
      </c>
      <c r="H1578" s="4" t="s">
        <v>55</v>
      </c>
      <c r="I1578" s="4" t="s">
        <v>985</v>
      </c>
      <c r="J1578" s="4" t="s">
        <v>91</v>
      </c>
      <c r="K1578" s="4" t="s">
        <v>60</v>
      </c>
      <c r="L1578" s="4" t="s">
        <v>131</v>
      </c>
      <c r="M1578" s="4" t="s">
        <v>63</v>
      </c>
      <c r="N1578" s="4" t="s">
        <v>132</v>
      </c>
      <c r="O1578" s="2" t="s">
        <v>132</v>
      </c>
      <c r="P1578" s="2">
        <v>7.42518504E8</v>
      </c>
      <c r="Q1578" s="2" t="s">
        <v>68</v>
      </c>
      <c r="R1578" s="4" t="s">
        <v>6916</v>
      </c>
    </row>
    <row r="1579">
      <c r="A1579" s="4" t="s">
        <v>44</v>
      </c>
      <c r="B1579" s="4" t="s">
        <v>44</v>
      </c>
      <c r="C1579" s="4">
        <v>1578.0</v>
      </c>
      <c r="D1579" s="13" t="str">
        <f>HYPERLINK("https://www.linkedin.com/ad-library/detail/742518514","Open Ad")</f>
        <v>Open Ad</v>
      </c>
      <c r="E1579" s="4" t="s">
        <v>91</v>
      </c>
      <c r="F1579" s="4" t="s">
        <v>53</v>
      </c>
      <c r="G1579" s="4" t="s">
        <v>6915</v>
      </c>
      <c r="H1579" s="4" t="s">
        <v>55</v>
      </c>
      <c r="I1579" s="4" t="s">
        <v>985</v>
      </c>
      <c r="J1579" s="4" t="s">
        <v>91</v>
      </c>
      <c r="K1579" s="4" t="s">
        <v>60</v>
      </c>
      <c r="L1579" s="4" t="s">
        <v>131</v>
      </c>
      <c r="M1579" s="4" t="s">
        <v>63</v>
      </c>
      <c r="N1579" s="4" t="s">
        <v>132</v>
      </c>
      <c r="O1579" s="2" t="s">
        <v>132</v>
      </c>
      <c r="P1579" s="2">
        <v>7.42518514E8</v>
      </c>
      <c r="Q1579" s="2" t="s">
        <v>68</v>
      </c>
      <c r="R1579" s="4" t="s">
        <v>6916</v>
      </c>
    </row>
    <row r="1580">
      <c r="A1580" s="4" t="s">
        <v>44</v>
      </c>
      <c r="B1580" s="4" t="s">
        <v>44</v>
      </c>
      <c r="C1580" s="4">
        <v>1579.0</v>
      </c>
      <c r="D1580" s="13" t="str">
        <f>HYPERLINK("https://www.linkedin.com/ad-library/detail/742449254","Open Ad")</f>
        <v>Open Ad</v>
      </c>
      <c r="E1580" s="4" t="s">
        <v>91</v>
      </c>
      <c r="F1580" s="4" t="s">
        <v>53</v>
      </c>
      <c r="G1580" s="4" t="s">
        <v>6915</v>
      </c>
      <c r="H1580" s="4" t="s">
        <v>55</v>
      </c>
      <c r="I1580" s="4" t="s">
        <v>985</v>
      </c>
      <c r="J1580" s="4" t="s">
        <v>91</v>
      </c>
      <c r="K1580" s="4" t="s">
        <v>60</v>
      </c>
      <c r="L1580" s="4" t="s">
        <v>131</v>
      </c>
      <c r="M1580" s="4" t="s">
        <v>63</v>
      </c>
      <c r="N1580" s="4" t="s">
        <v>132</v>
      </c>
      <c r="O1580" s="2" t="s">
        <v>132</v>
      </c>
      <c r="P1580" s="2">
        <v>7.42449254E8</v>
      </c>
      <c r="Q1580" s="2" t="s">
        <v>68</v>
      </c>
      <c r="R1580" s="4" t="s">
        <v>6916</v>
      </c>
    </row>
    <row r="1581">
      <c r="A1581" s="4" t="s">
        <v>44</v>
      </c>
      <c r="B1581" s="4" t="s">
        <v>44</v>
      </c>
      <c r="C1581" s="4">
        <v>1580.0</v>
      </c>
      <c r="D1581" s="13" t="str">
        <f>HYPERLINK("https://www.linkedin.com/ad-library/detail/742518544","Open Ad")</f>
        <v>Open Ad</v>
      </c>
      <c r="E1581" s="4" t="s">
        <v>91</v>
      </c>
      <c r="F1581" s="4" t="s">
        <v>53</v>
      </c>
      <c r="G1581" s="4" t="s">
        <v>6915</v>
      </c>
      <c r="H1581" s="4" t="s">
        <v>55</v>
      </c>
      <c r="I1581" s="4" t="s">
        <v>985</v>
      </c>
      <c r="J1581" s="4" t="s">
        <v>91</v>
      </c>
      <c r="K1581" s="4" t="s">
        <v>60</v>
      </c>
      <c r="L1581" s="4" t="s">
        <v>131</v>
      </c>
      <c r="M1581" s="4" t="s">
        <v>63</v>
      </c>
      <c r="N1581" s="4" t="s">
        <v>132</v>
      </c>
      <c r="O1581" s="2" t="s">
        <v>132</v>
      </c>
      <c r="P1581" s="2">
        <v>7.42518544E8</v>
      </c>
      <c r="Q1581" s="2" t="s">
        <v>68</v>
      </c>
      <c r="R1581" s="4" t="s">
        <v>6916</v>
      </c>
    </row>
    <row r="1582">
      <c r="A1582" s="4" t="s">
        <v>44</v>
      </c>
      <c r="B1582" s="4" t="s">
        <v>44</v>
      </c>
      <c r="C1582" s="4">
        <v>1581.0</v>
      </c>
      <c r="D1582" s="13" t="str">
        <f>HYPERLINK("https://www.linkedin.com/ad-library/detail/742518554","Open Ad")</f>
        <v>Open Ad</v>
      </c>
      <c r="E1582" s="4" t="s">
        <v>91</v>
      </c>
      <c r="F1582" s="4" t="s">
        <v>53</v>
      </c>
      <c r="G1582" s="4" t="s">
        <v>6915</v>
      </c>
      <c r="H1582" s="4" t="s">
        <v>55</v>
      </c>
      <c r="I1582" s="4" t="s">
        <v>985</v>
      </c>
      <c r="J1582" s="4" t="s">
        <v>91</v>
      </c>
      <c r="K1582" s="4" t="s">
        <v>60</v>
      </c>
      <c r="L1582" s="4" t="s">
        <v>131</v>
      </c>
      <c r="M1582" s="4" t="s">
        <v>63</v>
      </c>
      <c r="N1582" s="4" t="s">
        <v>132</v>
      </c>
      <c r="O1582" s="2" t="s">
        <v>132</v>
      </c>
      <c r="P1582" s="2">
        <v>7.42518554E8</v>
      </c>
      <c r="Q1582" s="2" t="s">
        <v>68</v>
      </c>
      <c r="R1582" s="4" t="s">
        <v>6916</v>
      </c>
    </row>
    <row r="1583">
      <c r="A1583" s="4" t="s">
        <v>44</v>
      </c>
      <c r="B1583" s="4" t="s">
        <v>44</v>
      </c>
      <c r="C1583" s="4">
        <v>1582.0</v>
      </c>
      <c r="D1583" s="13" t="str">
        <f>HYPERLINK("https://www.linkedin.com/ad-library/detail/742518524","Open Ad")</f>
        <v>Open Ad</v>
      </c>
      <c r="E1583" s="4" t="s">
        <v>91</v>
      </c>
      <c r="F1583" s="4" t="s">
        <v>53</v>
      </c>
      <c r="G1583" s="4" t="s">
        <v>6915</v>
      </c>
      <c r="H1583" s="4" t="s">
        <v>55</v>
      </c>
      <c r="I1583" s="4" t="s">
        <v>985</v>
      </c>
      <c r="J1583" s="4" t="s">
        <v>91</v>
      </c>
      <c r="K1583" s="4" t="s">
        <v>60</v>
      </c>
      <c r="L1583" s="4" t="s">
        <v>131</v>
      </c>
      <c r="M1583" s="4" t="s">
        <v>63</v>
      </c>
      <c r="N1583" s="4" t="s">
        <v>132</v>
      </c>
      <c r="O1583" s="2" t="s">
        <v>132</v>
      </c>
      <c r="P1583" s="2">
        <v>7.42518524E8</v>
      </c>
      <c r="Q1583" s="2" t="s">
        <v>68</v>
      </c>
      <c r="R1583" s="4" t="s">
        <v>6916</v>
      </c>
    </row>
    <row r="1584">
      <c r="A1584" s="4" t="s">
        <v>44</v>
      </c>
      <c r="B1584" s="4" t="s">
        <v>44</v>
      </c>
      <c r="C1584" s="4">
        <v>1583.0</v>
      </c>
      <c r="D1584" s="13" t="str">
        <f>HYPERLINK("https://www.linkedin.com/ad-library/detail/742449214","Open Ad")</f>
        <v>Open Ad</v>
      </c>
      <c r="E1584" s="4" t="s">
        <v>91</v>
      </c>
      <c r="F1584" s="4" t="s">
        <v>53</v>
      </c>
      <c r="G1584" s="4" t="s">
        <v>6915</v>
      </c>
      <c r="H1584" s="4" t="s">
        <v>55</v>
      </c>
      <c r="I1584" s="4" t="s">
        <v>985</v>
      </c>
      <c r="J1584" s="4" t="s">
        <v>91</v>
      </c>
      <c r="K1584" s="4" t="s">
        <v>60</v>
      </c>
      <c r="L1584" s="4" t="s">
        <v>131</v>
      </c>
      <c r="M1584" s="4" t="s">
        <v>63</v>
      </c>
      <c r="N1584" s="4" t="s">
        <v>132</v>
      </c>
      <c r="O1584" s="2" t="s">
        <v>132</v>
      </c>
      <c r="P1584" s="2">
        <v>7.42449214E8</v>
      </c>
      <c r="Q1584" s="2" t="s">
        <v>68</v>
      </c>
      <c r="R1584" s="4" t="s">
        <v>6916</v>
      </c>
    </row>
    <row r="1585">
      <c r="A1585" s="4" t="s">
        <v>44</v>
      </c>
      <c r="B1585" s="4" t="s">
        <v>44</v>
      </c>
      <c r="C1585" s="4">
        <v>1584.0</v>
      </c>
      <c r="D1585" s="13" t="str">
        <f>HYPERLINK("https://www.linkedin.com/ad-library/detail/742518534","Open Ad")</f>
        <v>Open Ad</v>
      </c>
      <c r="E1585" s="4" t="s">
        <v>91</v>
      </c>
      <c r="F1585" s="4" t="s">
        <v>53</v>
      </c>
      <c r="G1585" s="4" t="s">
        <v>6915</v>
      </c>
      <c r="H1585" s="4" t="s">
        <v>55</v>
      </c>
      <c r="I1585" s="4" t="s">
        <v>985</v>
      </c>
      <c r="J1585" s="4" t="s">
        <v>91</v>
      </c>
      <c r="K1585" s="4" t="s">
        <v>60</v>
      </c>
      <c r="L1585" s="4" t="s">
        <v>131</v>
      </c>
      <c r="M1585" s="4" t="s">
        <v>63</v>
      </c>
      <c r="N1585" s="4" t="s">
        <v>132</v>
      </c>
      <c r="O1585" s="2" t="s">
        <v>132</v>
      </c>
      <c r="P1585" s="2">
        <v>7.42518534E8</v>
      </c>
      <c r="Q1585" s="2" t="s">
        <v>68</v>
      </c>
      <c r="R1585" s="4" t="s">
        <v>6916</v>
      </c>
    </row>
    <row r="1586">
      <c r="A1586" s="4" t="s">
        <v>44</v>
      </c>
      <c r="B1586" s="4" t="s">
        <v>44</v>
      </c>
      <c r="C1586" s="4">
        <v>1585.0</v>
      </c>
      <c r="D1586" s="13" t="str">
        <f>HYPERLINK("https://www.linkedin.com/ad-library/detail/742439454","Open Ad")</f>
        <v>Open Ad</v>
      </c>
      <c r="E1586" s="4" t="s">
        <v>91</v>
      </c>
      <c r="F1586" s="4" t="s">
        <v>53</v>
      </c>
      <c r="G1586" s="4" t="s">
        <v>6915</v>
      </c>
      <c r="H1586" s="4" t="s">
        <v>55</v>
      </c>
      <c r="I1586" s="4" t="s">
        <v>985</v>
      </c>
      <c r="J1586" s="4" t="s">
        <v>91</v>
      </c>
      <c r="K1586" s="4" t="s">
        <v>60</v>
      </c>
      <c r="L1586" s="4" t="s">
        <v>131</v>
      </c>
      <c r="M1586" s="4" t="s">
        <v>63</v>
      </c>
      <c r="N1586" s="4" t="s">
        <v>132</v>
      </c>
      <c r="O1586" s="2" t="s">
        <v>132</v>
      </c>
      <c r="P1586" s="2">
        <v>7.42439454E8</v>
      </c>
      <c r="Q1586" s="2" t="s">
        <v>68</v>
      </c>
      <c r="R1586" s="4" t="s">
        <v>6916</v>
      </c>
    </row>
    <row r="1587">
      <c r="A1587" s="4" t="s">
        <v>44</v>
      </c>
      <c r="B1587" s="4" t="s">
        <v>44</v>
      </c>
      <c r="C1587" s="4">
        <v>1586.0</v>
      </c>
      <c r="D1587" s="13" t="str">
        <f>HYPERLINK("https://www.linkedin.com/ad-library/detail/742469524","Open Ad")</f>
        <v>Open Ad</v>
      </c>
      <c r="E1587" s="4" t="s">
        <v>91</v>
      </c>
      <c r="F1587" s="4" t="s">
        <v>53</v>
      </c>
      <c r="G1587" s="4" t="s">
        <v>6915</v>
      </c>
      <c r="H1587" s="4" t="s">
        <v>55</v>
      </c>
      <c r="I1587" s="4" t="s">
        <v>985</v>
      </c>
      <c r="J1587" s="4" t="s">
        <v>91</v>
      </c>
      <c r="K1587" s="4" t="s">
        <v>60</v>
      </c>
      <c r="L1587" s="4" t="s">
        <v>131</v>
      </c>
      <c r="M1587" s="4" t="s">
        <v>63</v>
      </c>
      <c r="N1587" s="4" t="s">
        <v>132</v>
      </c>
      <c r="O1587" s="2" t="s">
        <v>132</v>
      </c>
      <c r="P1587" s="2">
        <v>7.42469524E8</v>
      </c>
      <c r="Q1587" s="2" t="s">
        <v>68</v>
      </c>
      <c r="R1587" s="4" t="s">
        <v>6916</v>
      </c>
    </row>
    <row r="1588">
      <c r="A1588" s="4" t="s">
        <v>44</v>
      </c>
      <c r="B1588" s="4" t="s">
        <v>44</v>
      </c>
      <c r="C1588" s="4">
        <v>1587.0</v>
      </c>
      <c r="D1588" s="13" t="str">
        <f>HYPERLINK("https://www.linkedin.com/ad-library/detail/742469534","Open Ad")</f>
        <v>Open Ad</v>
      </c>
      <c r="E1588" s="4" t="s">
        <v>91</v>
      </c>
      <c r="F1588" s="4" t="s">
        <v>53</v>
      </c>
      <c r="G1588" s="4" t="s">
        <v>6915</v>
      </c>
      <c r="H1588" s="4" t="s">
        <v>55</v>
      </c>
      <c r="I1588" s="4" t="s">
        <v>985</v>
      </c>
      <c r="J1588" s="4" t="s">
        <v>91</v>
      </c>
      <c r="K1588" s="4" t="s">
        <v>60</v>
      </c>
      <c r="L1588" s="4" t="s">
        <v>131</v>
      </c>
      <c r="M1588" s="4" t="s">
        <v>63</v>
      </c>
      <c r="N1588" s="4" t="s">
        <v>132</v>
      </c>
      <c r="O1588" s="2" t="s">
        <v>132</v>
      </c>
      <c r="P1588" s="2">
        <v>7.42469534E8</v>
      </c>
      <c r="Q1588" s="2" t="s">
        <v>68</v>
      </c>
      <c r="R1588" s="4" t="s">
        <v>6916</v>
      </c>
    </row>
    <row r="1589">
      <c r="A1589" s="4" t="s">
        <v>44</v>
      </c>
      <c r="B1589" s="4" t="s">
        <v>44</v>
      </c>
      <c r="C1589" s="4">
        <v>1588.0</v>
      </c>
      <c r="D1589" s="13" t="str">
        <f>HYPERLINK("https://www.linkedin.com/ad-library/detail/742469554","Open Ad")</f>
        <v>Open Ad</v>
      </c>
      <c r="E1589" s="4" t="s">
        <v>91</v>
      </c>
      <c r="F1589" s="4" t="s">
        <v>53</v>
      </c>
      <c r="G1589" s="4" t="s">
        <v>6915</v>
      </c>
      <c r="H1589" s="4" t="s">
        <v>55</v>
      </c>
      <c r="I1589" s="4" t="s">
        <v>985</v>
      </c>
      <c r="J1589" s="4" t="s">
        <v>91</v>
      </c>
      <c r="K1589" s="4" t="s">
        <v>60</v>
      </c>
      <c r="L1589" s="4" t="s">
        <v>131</v>
      </c>
      <c r="M1589" s="4" t="s">
        <v>63</v>
      </c>
      <c r="N1589" s="4" t="s">
        <v>132</v>
      </c>
      <c r="O1589" s="2" t="s">
        <v>132</v>
      </c>
      <c r="P1589" s="2">
        <v>7.42469554E8</v>
      </c>
      <c r="Q1589" s="2" t="s">
        <v>68</v>
      </c>
      <c r="R1589" s="4" t="s">
        <v>6916</v>
      </c>
    </row>
    <row r="1590">
      <c r="A1590" s="4" t="s">
        <v>44</v>
      </c>
      <c r="B1590" s="4" t="s">
        <v>44</v>
      </c>
      <c r="C1590" s="4">
        <v>1589.0</v>
      </c>
      <c r="D1590" s="13" t="str">
        <f>HYPERLINK("https://www.linkedin.com/ad-library/detail/742459674","Open Ad")</f>
        <v>Open Ad</v>
      </c>
      <c r="E1590" s="4" t="s">
        <v>91</v>
      </c>
      <c r="F1590" s="4" t="s">
        <v>53</v>
      </c>
      <c r="G1590" s="4" t="s">
        <v>6915</v>
      </c>
      <c r="H1590" s="4" t="s">
        <v>55</v>
      </c>
      <c r="I1590" s="4" t="s">
        <v>985</v>
      </c>
      <c r="J1590" s="4" t="s">
        <v>91</v>
      </c>
      <c r="K1590" s="4" t="s">
        <v>60</v>
      </c>
      <c r="L1590" s="4" t="s">
        <v>131</v>
      </c>
      <c r="M1590" s="4" t="s">
        <v>63</v>
      </c>
      <c r="N1590" s="4" t="s">
        <v>132</v>
      </c>
      <c r="O1590" s="2" t="s">
        <v>132</v>
      </c>
      <c r="P1590" s="2">
        <v>7.42459674E8</v>
      </c>
      <c r="Q1590" s="2" t="s">
        <v>68</v>
      </c>
      <c r="R1590" s="4" t="s">
        <v>6916</v>
      </c>
    </row>
    <row r="1591">
      <c r="A1591" s="4" t="s">
        <v>44</v>
      </c>
      <c r="B1591" s="4" t="s">
        <v>44</v>
      </c>
      <c r="C1591" s="4">
        <v>1590.0</v>
      </c>
      <c r="D1591" s="13" t="str">
        <f>HYPERLINK("https://www.linkedin.com/ad-library/detail/742509604","Open Ad")</f>
        <v>Open Ad</v>
      </c>
      <c r="E1591" s="4" t="s">
        <v>91</v>
      </c>
      <c r="F1591" s="4" t="s">
        <v>53</v>
      </c>
      <c r="G1591" s="4" t="s">
        <v>6915</v>
      </c>
      <c r="H1591" s="4" t="s">
        <v>55</v>
      </c>
      <c r="I1591" s="4" t="s">
        <v>985</v>
      </c>
      <c r="J1591" s="4" t="s">
        <v>91</v>
      </c>
      <c r="K1591" s="4" t="s">
        <v>60</v>
      </c>
      <c r="L1591" s="4" t="s">
        <v>131</v>
      </c>
      <c r="M1591" s="4" t="s">
        <v>63</v>
      </c>
      <c r="N1591" s="4" t="s">
        <v>132</v>
      </c>
      <c r="O1591" s="2" t="s">
        <v>132</v>
      </c>
      <c r="P1591" s="2">
        <v>7.42509604E8</v>
      </c>
      <c r="Q1591" s="2" t="s">
        <v>68</v>
      </c>
      <c r="R1591" s="4" t="s">
        <v>6916</v>
      </c>
    </row>
    <row r="1592">
      <c r="A1592" s="4" t="s">
        <v>44</v>
      </c>
      <c r="B1592" s="4" t="s">
        <v>44</v>
      </c>
      <c r="C1592" s="4">
        <v>1591.0</v>
      </c>
      <c r="D1592" s="13" t="str">
        <f>HYPERLINK("https://www.linkedin.com/ad-library/detail/742459684","Open Ad")</f>
        <v>Open Ad</v>
      </c>
      <c r="E1592" s="4" t="s">
        <v>91</v>
      </c>
      <c r="F1592" s="4" t="s">
        <v>53</v>
      </c>
      <c r="G1592" s="4" t="s">
        <v>6915</v>
      </c>
      <c r="H1592" s="4" t="s">
        <v>55</v>
      </c>
      <c r="I1592" s="4" t="s">
        <v>985</v>
      </c>
      <c r="J1592" s="4" t="s">
        <v>91</v>
      </c>
      <c r="K1592" s="4" t="s">
        <v>60</v>
      </c>
      <c r="L1592" s="4" t="s">
        <v>131</v>
      </c>
      <c r="M1592" s="4" t="s">
        <v>63</v>
      </c>
      <c r="N1592" s="4" t="s">
        <v>132</v>
      </c>
      <c r="O1592" s="2" t="s">
        <v>132</v>
      </c>
      <c r="P1592" s="2">
        <v>7.42459684E8</v>
      </c>
      <c r="Q1592" s="2" t="s">
        <v>68</v>
      </c>
      <c r="R1592" s="4" t="s">
        <v>6916</v>
      </c>
    </row>
    <row r="1593">
      <c r="A1593" s="4" t="s">
        <v>44</v>
      </c>
      <c r="B1593" s="4" t="s">
        <v>44</v>
      </c>
      <c r="C1593" s="4">
        <v>1592.0</v>
      </c>
      <c r="D1593" s="13" t="str">
        <f>HYPERLINK("https://www.linkedin.com/ad-library/detail/742469464","Open Ad")</f>
        <v>Open Ad</v>
      </c>
      <c r="E1593" s="4" t="s">
        <v>91</v>
      </c>
      <c r="F1593" s="4" t="s">
        <v>53</v>
      </c>
      <c r="G1593" s="4" t="s">
        <v>6915</v>
      </c>
      <c r="H1593" s="4" t="s">
        <v>55</v>
      </c>
      <c r="I1593" s="4" t="s">
        <v>985</v>
      </c>
      <c r="J1593" s="4" t="s">
        <v>91</v>
      </c>
      <c r="K1593" s="4" t="s">
        <v>60</v>
      </c>
      <c r="L1593" s="4" t="s">
        <v>131</v>
      </c>
      <c r="M1593" s="4" t="s">
        <v>63</v>
      </c>
      <c r="N1593" s="4" t="s">
        <v>132</v>
      </c>
      <c r="O1593" s="2" t="s">
        <v>132</v>
      </c>
      <c r="P1593" s="2">
        <v>7.42469464E8</v>
      </c>
      <c r="Q1593" s="2" t="s">
        <v>68</v>
      </c>
      <c r="R1593" s="4" t="s">
        <v>6916</v>
      </c>
    </row>
    <row r="1594">
      <c r="A1594" s="4" t="s">
        <v>44</v>
      </c>
      <c r="B1594" s="4" t="s">
        <v>44</v>
      </c>
      <c r="C1594" s="4">
        <v>1593.0</v>
      </c>
      <c r="D1594" s="13" t="str">
        <f>HYPERLINK("https://www.linkedin.com/ad-library/detail/742459664","Open Ad")</f>
        <v>Open Ad</v>
      </c>
      <c r="E1594" s="4" t="s">
        <v>91</v>
      </c>
      <c r="F1594" s="4" t="s">
        <v>53</v>
      </c>
      <c r="G1594" s="4" t="s">
        <v>6915</v>
      </c>
      <c r="H1594" s="4" t="s">
        <v>55</v>
      </c>
      <c r="I1594" s="4" t="s">
        <v>985</v>
      </c>
      <c r="J1594" s="4" t="s">
        <v>91</v>
      </c>
      <c r="K1594" s="4" t="s">
        <v>60</v>
      </c>
      <c r="L1594" s="4" t="s">
        <v>131</v>
      </c>
      <c r="M1594" s="4" t="s">
        <v>63</v>
      </c>
      <c r="N1594" s="4" t="s">
        <v>132</v>
      </c>
      <c r="O1594" s="2" t="s">
        <v>132</v>
      </c>
      <c r="P1594" s="2">
        <v>7.42459664E8</v>
      </c>
      <c r="Q1594" s="2" t="s">
        <v>68</v>
      </c>
      <c r="R1594" s="4" t="s">
        <v>6916</v>
      </c>
    </row>
    <row r="1595">
      <c r="A1595" s="4" t="s">
        <v>44</v>
      </c>
      <c r="B1595" s="4" t="s">
        <v>44</v>
      </c>
      <c r="C1595" s="4">
        <v>1594.0</v>
      </c>
      <c r="D1595" s="13" t="str">
        <f>HYPERLINK("https://www.linkedin.com/ad-library/detail/742527664","Open Ad")</f>
        <v>Open Ad</v>
      </c>
      <c r="E1595" s="4" t="s">
        <v>91</v>
      </c>
      <c r="F1595" s="4" t="s">
        <v>53</v>
      </c>
      <c r="G1595" s="4" t="s">
        <v>6915</v>
      </c>
      <c r="H1595" s="4" t="s">
        <v>55</v>
      </c>
      <c r="I1595" s="4" t="s">
        <v>985</v>
      </c>
      <c r="J1595" s="4" t="s">
        <v>91</v>
      </c>
      <c r="K1595" s="4" t="s">
        <v>60</v>
      </c>
      <c r="L1595" s="4" t="s">
        <v>131</v>
      </c>
      <c r="M1595" s="4" t="s">
        <v>63</v>
      </c>
      <c r="N1595" s="4" t="s">
        <v>132</v>
      </c>
      <c r="O1595" s="2" t="s">
        <v>132</v>
      </c>
      <c r="P1595" s="2">
        <v>7.42527664E8</v>
      </c>
      <c r="Q1595" s="2" t="s">
        <v>68</v>
      </c>
      <c r="R1595" s="4" t="s">
        <v>6916</v>
      </c>
    </row>
    <row r="1596">
      <c r="A1596" s="4" t="s">
        <v>44</v>
      </c>
      <c r="B1596" s="4" t="s">
        <v>44</v>
      </c>
      <c r="C1596" s="4">
        <v>1595.0</v>
      </c>
      <c r="D1596" s="13" t="str">
        <f>HYPERLINK("https://www.linkedin.com/ad-library/detail/742527684","Open Ad")</f>
        <v>Open Ad</v>
      </c>
      <c r="E1596" s="4" t="s">
        <v>91</v>
      </c>
      <c r="F1596" s="4" t="s">
        <v>53</v>
      </c>
      <c r="G1596" s="4" t="s">
        <v>6915</v>
      </c>
      <c r="H1596" s="4" t="s">
        <v>55</v>
      </c>
      <c r="I1596" s="4" t="s">
        <v>985</v>
      </c>
      <c r="J1596" s="4" t="s">
        <v>91</v>
      </c>
      <c r="K1596" s="4" t="s">
        <v>60</v>
      </c>
      <c r="L1596" s="4" t="s">
        <v>131</v>
      </c>
      <c r="M1596" s="4" t="s">
        <v>63</v>
      </c>
      <c r="N1596" s="4" t="s">
        <v>132</v>
      </c>
      <c r="O1596" s="2" t="s">
        <v>132</v>
      </c>
      <c r="P1596" s="2">
        <v>7.42527684E8</v>
      </c>
      <c r="Q1596" s="2" t="s">
        <v>68</v>
      </c>
      <c r="R1596" s="4" t="s">
        <v>6916</v>
      </c>
    </row>
    <row r="1597">
      <c r="A1597" s="4" t="s">
        <v>44</v>
      </c>
      <c r="B1597" s="4" t="s">
        <v>44</v>
      </c>
      <c r="C1597" s="4">
        <v>1596.0</v>
      </c>
      <c r="D1597" s="13" t="str">
        <f>HYPERLINK("https://www.linkedin.com/ad-library/detail/742509564","Open Ad")</f>
        <v>Open Ad</v>
      </c>
      <c r="E1597" s="4" t="s">
        <v>91</v>
      </c>
      <c r="F1597" s="4" t="s">
        <v>53</v>
      </c>
      <c r="G1597" s="4" t="s">
        <v>6915</v>
      </c>
      <c r="H1597" s="4" t="s">
        <v>55</v>
      </c>
      <c r="I1597" s="4" t="s">
        <v>985</v>
      </c>
      <c r="J1597" s="4" t="s">
        <v>91</v>
      </c>
      <c r="K1597" s="4" t="s">
        <v>60</v>
      </c>
      <c r="L1597" s="4" t="s">
        <v>131</v>
      </c>
      <c r="M1597" s="4" t="s">
        <v>63</v>
      </c>
      <c r="N1597" s="4" t="s">
        <v>132</v>
      </c>
      <c r="O1597" s="2" t="s">
        <v>132</v>
      </c>
      <c r="P1597" s="2">
        <v>7.42509564E8</v>
      </c>
      <c r="Q1597" s="2" t="s">
        <v>68</v>
      </c>
      <c r="R1597" s="4" t="s">
        <v>6916</v>
      </c>
    </row>
    <row r="1598">
      <c r="A1598" s="4" t="s">
        <v>44</v>
      </c>
      <c r="B1598" s="4" t="s">
        <v>44</v>
      </c>
      <c r="C1598" s="4">
        <v>1597.0</v>
      </c>
      <c r="D1598" s="13" t="str">
        <f>HYPERLINK("https://www.linkedin.com/ad-library/detail/742527674","Open Ad")</f>
        <v>Open Ad</v>
      </c>
      <c r="E1598" s="4" t="s">
        <v>91</v>
      </c>
      <c r="F1598" s="4" t="s">
        <v>53</v>
      </c>
      <c r="G1598" s="4" t="s">
        <v>6915</v>
      </c>
      <c r="H1598" s="4" t="s">
        <v>55</v>
      </c>
      <c r="I1598" s="4" t="s">
        <v>985</v>
      </c>
      <c r="J1598" s="4" t="s">
        <v>91</v>
      </c>
      <c r="K1598" s="4" t="s">
        <v>60</v>
      </c>
      <c r="L1598" s="4" t="s">
        <v>131</v>
      </c>
      <c r="M1598" s="4" t="s">
        <v>63</v>
      </c>
      <c r="N1598" s="4" t="s">
        <v>132</v>
      </c>
      <c r="O1598" s="2" t="s">
        <v>132</v>
      </c>
      <c r="P1598" s="2">
        <v>7.42527674E8</v>
      </c>
      <c r="Q1598" s="2" t="s">
        <v>68</v>
      </c>
      <c r="R1598" s="4" t="s">
        <v>6916</v>
      </c>
    </row>
    <row r="1599">
      <c r="A1599" s="4" t="s">
        <v>44</v>
      </c>
      <c r="B1599" s="4" t="s">
        <v>44</v>
      </c>
      <c r="C1599" s="4">
        <v>1598.0</v>
      </c>
      <c r="D1599" s="13" t="str">
        <f>HYPERLINK("https://www.linkedin.com/ad-library/detail/742449164","Open Ad")</f>
        <v>Open Ad</v>
      </c>
      <c r="E1599" s="4" t="s">
        <v>91</v>
      </c>
      <c r="F1599" s="4" t="s">
        <v>53</v>
      </c>
      <c r="G1599" s="4" t="s">
        <v>6915</v>
      </c>
      <c r="H1599" s="4" t="s">
        <v>55</v>
      </c>
      <c r="I1599" s="4" t="s">
        <v>985</v>
      </c>
      <c r="J1599" s="4" t="s">
        <v>91</v>
      </c>
      <c r="K1599" s="4" t="s">
        <v>60</v>
      </c>
      <c r="L1599" s="4" t="s">
        <v>131</v>
      </c>
      <c r="M1599" s="4" t="s">
        <v>63</v>
      </c>
      <c r="N1599" s="4" t="s">
        <v>132</v>
      </c>
      <c r="O1599" s="2" t="s">
        <v>132</v>
      </c>
      <c r="P1599" s="2">
        <v>7.42449164E8</v>
      </c>
      <c r="Q1599" s="2" t="s">
        <v>68</v>
      </c>
      <c r="R1599" s="4" t="s">
        <v>6916</v>
      </c>
    </row>
    <row r="1600">
      <c r="A1600" s="4" t="s">
        <v>44</v>
      </c>
      <c r="B1600" s="4" t="s">
        <v>44</v>
      </c>
      <c r="C1600" s="4">
        <v>1599.0</v>
      </c>
      <c r="D1600" s="13" t="str">
        <f>HYPERLINK("https://www.linkedin.com/ad-library/detail/742479564","Open Ad")</f>
        <v>Open Ad</v>
      </c>
      <c r="E1600" s="4" t="s">
        <v>91</v>
      </c>
      <c r="F1600" s="4" t="s">
        <v>53</v>
      </c>
      <c r="G1600" s="4" t="s">
        <v>6915</v>
      </c>
      <c r="H1600" s="4" t="s">
        <v>55</v>
      </c>
      <c r="I1600" s="4" t="s">
        <v>985</v>
      </c>
      <c r="J1600" s="4" t="s">
        <v>91</v>
      </c>
      <c r="K1600" s="4" t="s">
        <v>60</v>
      </c>
      <c r="L1600" s="4" t="s">
        <v>131</v>
      </c>
      <c r="M1600" s="4" t="s">
        <v>63</v>
      </c>
      <c r="N1600" s="4" t="s">
        <v>132</v>
      </c>
      <c r="O1600" s="2" t="s">
        <v>132</v>
      </c>
      <c r="P1600" s="2">
        <v>7.42479564E8</v>
      </c>
      <c r="Q1600" s="2" t="s">
        <v>68</v>
      </c>
      <c r="R1600" s="4" t="s">
        <v>6916</v>
      </c>
    </row>
    <row r="1601">
      <c r="A1601" s="4" t="s">
        <v>44</v>
      </c>
      <c r="B1601" s="4" t="s">
        <v>44</v>
      </c>
      <c r="C1601" s="4">
        <v>1600.0</v>
      </c>
      <c r="D1601" s="13" t="str">
        <f>HYPERLINK("https://www.linkedin.com/ad-library/detail/742499554","Open Ad")</f>
        <v>Open Ad</v>
      </c>
      <c r="E1601" s="4" t="s">
        <v>91</v>
      </c>
      <c r="F1601" s="4" t="s">
        <v>53</v>
      </c>
      <c r="G1601" s="4" t="s">
        <v>6915</v>
      </c>
      <c r="H1601" s="4" t="s">
        <v>55</v>
      </c>
      <c r="I1601" s="4" t="s">
        <v>985</v>
      </c>
      <c r="J1601" s="4" t="s">
        <v>91</v>
      </c>
      <c r="K1601" s="4" t="s">
        <v>60</v>
      </c>
      <c r="L1601" s="4" t="s">
        <v>131</v>
      </c>
      <c r="M1601" s="4" t="s">
        <v>63</v>
      </c>
      <c r="N1601" s="4" t="s">
        <v>132</v>
      </c>
      <c r="O1601" s="2" t="s">
        <v>132</v>
      </c>
      <c r="P1601" s="2">
        <v>7.42499554E8</v>
      </c>
      <c r="Q1601" s="2" t="s">
        <v>68</v>
      </c>
      <c r="R1601" s="4" t="s">
        <v>6916</v>
      </c>
    </row>
    <row r="1602">
      <c r="A1602" s="4" t="s">
        <v>44</v>
      </c>
      <c r="B1602" s="4" t="s">
        <v>44</v>
      </c>
      <c r="C1602" s="4">
        <v>1601.0</v>
      </c>
      <c r="D1602" s="13" t="str">
        <f>HYPERLINK("https://www.linkedin.com/ad-library/detail/742479544","Open Ad")</f>
        <v>Open Ad</v>
      </c>
      <c r="E1602" s="4" t="s">
        <v>91</v>
      </c>
      <c r="F1602" s="4" t="s">
        <v>53</v>
      </c>
      <c r="G1602" s="4" t="s">
        <v>6915</v>
      </c>
      <c r="H1602" s="4" t="s">
        <v>55</v>
      </c>
      <c r="I1602" s="4" t="s">
        <v>985</v>
      </c>
      <c r="J1602" s="4" t="s">
        <v>91</v>
      </c>
      <c r="K1602" s="4" t="s">
        <v>60</v>
      </c>
      <c r="L1602" s="4" t="s">
        <v>131</v>
      </c>
      <c r="M1602" s="4" t="s">
        <v>63</v>
      </c>
      <c r="N1602" s="4" t="s">
        <v>132</v>
      </c>
      <c r="O1602" s="2" t="s">
        <v>132</v>
      </c>
      <c r="P1602" s="2">
        <v>7.42479544E8</v>
      </c>
      <c r="Q1602" s="2" t="s">
        <v>68</v>
      </c>
      <c r="R1602" s="4" t="s">
        <v>6916</v>
      </c>
    </row>
    <row r="1603">
      <c r="A1603" s="4" t="s">
        <v>44</v>
      </c>
      <c r="B1603" s="4" t="s">
        <v>44</v>
      </c>
      <c r="C1603" s="4">
        <v>1602.0</v>
      </c>
      <c r="D1603" s="13" t="str">
        <f>HYPERLINK("https://www.linkedin.com/ad-library/detail/742449134","Open Ad")</f>
        <v>Open Ad</v>
      </c>
      <c r="E1603" s="4" t="s">
        <v>91</v>
      </c>
      <c r="F1603" s="4" t="s">
        <v>53</v>
      </c>
      <c r="G1603" s="4" t="s">
        <v>6915</v>
      </c>
      <c r="H1603" s="4" t="s">
        <v>55</v>
      </c>
      <c r="I1603" s="4" t="s">
        <v>985</v>
      </c>
      <c r="J1603" s="4" t="s">
        <v>91</v>
      </c>
      <c r="K1603" s="4" t="s">
        <v>60</v>
      </c>
      <c r="L1603" s="4" t="s">
        <v>131</v>
      </c>
      <c r="M1603" s="4" t="s">
        <v>63</v>
      </c>
      <c r="N1603" s="4" t="s">
        <v>132</v>
      </c>
      <c r="O1603" s="2" t="s">
        <v>132</v>
      </c>
      <c r="P1603" s="2">
        <v>7.42449134E8</v>
      </c>
      <c r="Q1603" s="2" t="s">
        <v>68</v>
      </c>
      <c r="R1603" s="4" t="s">
        <v>6916</v>
      </c>
    </row>
    <row r="1604">
      <c r="A1604" s="4" t="s">
        <v>44</v>
      </c>
      <c r="B1604" s="4" t="s">
        <v>44</v>
      </c>
      <c r="C1604" s="4">
        <v>1603.0</v>
      </c>
      <c r="D1604" s="13" t="str">
        <f>HYPERLINK("https://www.linkedin.com/ad-library/detail/742518444","Open Ad")</f>
        <v>Open Ad</v>
      </c>
      <c r="E1604" s="4" t="s">
        <v>91</v>
      </c>
      <c r="F1604" s="4" t="s">
        <v>53</v>
      </c>
      <c r="G1604" s="4" t="s">
        <v>6915</v>
      </c>
      <c r="H1604" s="4" t="s">
        <v>55</v>
      </c>
      <c r="I1604" s="4" t="s">
        <v>985</v>
      </c>
      <c r="J1604" s="4" t="s">
        <v>91</v>
      </c>
      <c r="K1604" s="4" t="s">
        <v>60</v>
      </c>
      <c r="L1604" s="4" t="s">
        <v>131</v>
      </c>
      <c r="M1604" s="4" t="s">
        <v>63</v>
      </c>
      <c r="N1604" s="4" t="s">
        <v>132</v>
      </c>
      <c r="O1604" s="2" t="s">
        <v>132</v>
      </c>
      <c r="P1604" s="2">
        <v>7.42518444E8</v>
      </c>
      <c r="Q1604" s="2" t="s">
        <v>68</v>
      </c>
      <c r="R1604" s="4" t="s">
        <v>6916</v>
      </c>
    </row>
    <row r="1605">
      <c r="A1605" s="4" t="s">
        <v>44</v>
      </c>
      <c r="B1605" s="4" t="s">
        <v>44</v>
      </c>
      <c r="C1605" s="4">
        <v>1604.0</v>
      </c>
      <c r="D1605" s="13" t="str">
        <f>HYPERLINK("https://www.linkedin.com/ad-library/detail/742479584","Open Ad")</f>
        <v>Open Ad</v>
      </c>
      <c r="E1605" s="4" t="s">
        <v>91</v>
      </c>
      <c r="F1605" s="4" t="s">
        <v>53</v>
      </c>
      <c r="G1605" s="4" t="s">
        <v>6915</v>
      </c>
      <c r="H1605" s="4" t="s">
        <v>55</v>
      </c>
      <c r="I1605" s="4" t="s">
        <v>985</v>
      </c>
      <c r="J1605" s="4" t="s">
        <v>91</v>
      </c>
      <c r="K1605" s="4" t="s">
        <v>60</v>
      </c>
      <c r="L1605" s="4" t="s">
        <v>131</v>
      </c>
      <c r="M1605" s="4" t="s">
        <v>63</v>
      </c>
      <c r="N1605" s="4" t="s">
        <v>132</v>
      </c>
      <c r="O1605" s="2" t="s">
        <v>132</v>
      </c>
      <c r="P1605" s="2">
        <v>7.42479584E8</v>
      </c>
      <c r="Q1605" s="2" t="s">
        <v>68</v>
      </c>
      <c r="R1605" s="4" t="s">
        <v>6916</v>
      </c>
    </row>
    <row r="1606">
      <c r="A1606" s="4" t="s">
        <v>44</v>
      </c>
      <c r="B1606" s="4" t="s">
        <v>44</v>
      </c>
      <c r="C1606" s="4">
        <v>1605.0</v>
      </c>
      <c r="D1606" s="13" t="str">
        <f>HYPERLINK("https://www.linkedin.com/ad-library/detail/742518424","Open Ad")</f>
        <v>Open Ad</v>
      </c>
      <c r="E1606" s="4" t="s">
        <v>91</v>
      </c>
      <c r="F1606" s="4" t="s">
        <v>53</v>
      </c>
      <c r="G1606" s="4" t="s">
        <v>6915</v>
      </c>
      <c r="H1606" s="4" t="s">
        <v>55</v>
      </c>
      <c r="I1606" s="4" t="s">
        <v>985</v>
      </c>
      <c r="J1606" s="4" t="s">
        <v>91</v>
      </c>
      <c r="K1606" s="4" t="s">
        <v>60</v>
      </c>
      <c r="L1606" s="4" t="s">
        <v>131</v>
      </c>
      <c r="M1606" s="4" t="s">
        <v>63</v>
      </c>
      <c r="N1606" s="4" t="s">
        <v>132</v>
      </c>
      <c r="O1606" s="2" t="s">
        <v>132</v>
      </c>
      <c r="P1606" s="2">
        <v>7.42518424E8</v>
      </c>
      <c r="Q1606" s="2" t="s">
        <v>68</v>
      </c>
      <c r="R1606" s="4" t="s">
        <v>6916</v>
      </c>
    </row>
    <row r="1607">
      <c r="A1607" s="4" t="s">
        <v>44</v>
      </c>
      <c r="B1607" s="4" t="s">
        <v>44</v>
      </c>
      <c r="C1607" s="4">
        <v>1606.0</v>
      </c>
      <c r="D1607" s="13" t="str">
        <f>HYPERLINK("https://www.linkedin.com/ad-library/detail/742518474","Open Ad")</f>
        <v>Open Ad</v>
      </c>
      <c r="E1607" s="4" t="s">
        <v>91</v>
      </c>
      <c r="F1607" s="4" t="s">
        <v>53</v>
      </c>
      <c r="G1607" s="4" t="s">
        <v>6915</v>
      </c>
      <c r="H1607" s="4" t="s">
        <v>55</v>
      </c>
      <c r="I1607" s="4" t="s">
        <v>985</v>
      </c>
      <c r="J1607" s="4" t="s">
        <v>91</v>
      </c>
      <c r="K1607" s="4" t="s">
        <v>60</v>
      </c>
      <c r="L1607" s="4" t="s">
        <v>131</v>
      </c>
      <c r="M1607" s="4" t="s">
        <v>63</v>
      </c>
      <c r="N1607" s="4" t="s">
        <v>132</v>
      </c>
      <c r="O1607" s="2" t="s">
        <v>132</v>
      </c>
      <c r="P1607" s="2">
        <v>7.42518474E8</v>
      </c>
      <c r="Q1607" s="2" t="s">
        <v>68</v>
      </c>
      <c r="R1607" s="4" t="s">
        <v>6916</v>
      </c>
    </row>
    <row r="1608">
      <c r="A1608" s="4" t="s">
        <v>44</v>
      </c>
      <c r="B1608" s="4" t="s">
        <v>44</v>
      </c>
      <c r="C1608" s="4">
        <v>1607.0</v>
      </c>
      <c r="D1608" s="13" t="str">
        <f>HYPERLINK("https://www.linkedin.com/ad-library/detail/742539784","Open Ad")</f>
        <v>Open Ad</v>
      </c>
      <c r="E1608" s="4" t="s">
        <v>91</v>
      </c>
      <c r="F1608" s="4" t="s">
        <v>53</v>
      </c>
      <c r="G1608" s="4" t="s">
        <v>6915</v>
      </c>
      <c r="H1608" s="4" t="s">
        <v>55</v>
      </c>
      <c r="I1608" s="4" t="s">
        <v>985</v>
      </c>
      <c r="J1608" s="4" t="s">
        <v>91</v>
      </c>
      <c r="K1608" s="4" t="s">
        <v>60</v>
      </c>
      <c r="L1608" s="4" t="s">
        <v>131</v>
      </c>
      <c r="M1608" s="4" t="s">
        <v>63</v>
      </c>
      <c r="N1608" s="4" t="s">
        <v>132</v>
      </c>
      <c r="O1608" s="2" t="s">
        <v>132</v>
      </c>
      <c r="P1608" s="2">
        <v>7.42539784E8</v>
      </c>
      <c r="Q1608" s="2" t="s">
        <v>68</v>
      </c>
      <c r="R1608" s="4" t="s">
        <v>6916</v>
      </c>
    </row>
    <row r="1609">
      <c r="A1609" s="4" t="s">
        <v>44</v>
      </c>
      <c r="B1609" s="4" t="s">
        <v>44</v>
      </c>
      <c r="C1609" s="4">
        <v>1608.0</v>
      </c>
      <c r="D1609" s="13" t="str">
        <f>HYPERLINK("https://www.linkedin.com/ad-library/detail/742518464","Open Ad")</f>
        <v>Open Ad</v>
      </c>
      <c r="E1609" s="4" t="s">
        <v>91</v>
      </c>
      <c r="F1609" s="4" t="s">
        <v>53</v>
      </c>
      <c r="G1609" s="4" t="s">
        <v>6915</v>
      </c>
      <c r="H1609" s="4" t="s">
        <v>55</v>
      </c>
      <c r="I1609" s="4" t="s">
        <v>985</v>
      </c>
      <c r="J1609" s="4" t="s">
        <v>91</v>
      </c>
      <c r="K1609" s="4" t="s">
        <v>60</v>
      </c>
      <c r="L1609" s="4" t="s">
        <v>131</v>
      </c>
      <c r="M1609" s="4" t="s">
        <v>63</v>
      </c>
      <c r="N1609" s="4" t="s">
        <v>132</v>
      </c>
      <c r="O1609" s="2" t="s">
        <v>132</v>
      </c>
      <c r="P1609" s="2">
        <v>7.42518464E8</v>
      </c>
      <c r="Q1609" s="2" t="s">
        <v>68</v>
      </c>
      <c r="R1609" s="4" t="s">
        <v>6916</v>
      </c>
    </row>
    <row r="1610">
      <c r="A1610" s="6" t="s">
        <v>7537</v>
      </c>
      <c r="B1610" s="6" t="s">
        <v>7537</v>
      </c>
      <c r="C1610" s="6">
        <v>1.0</v>
      </c>
      <c r="D1610" s="9" t="str">
        <f>HYPERLINK("https://www.linkedin.com/ad-library/detail/1588040836","Open Ad")</f>
        <v>Open Ad</v>
      </c>
      <c r="E1610" s="6" t="s">
        <v>154</v>
      </c>
      <c r="F1610" s="6" t="s">
        <v>53</v>
      </c>
      <c r="G1610" s="6" t="s">
        <v>7538</v>
      </c>
      <c r="H1610" s="6" t="s">
        <v>55</v>
      </c>
      <c r="I1610" s="6" t="s">
        <v>7539</v>
      </c>
      <c r="J1610" s="6" t="s">
        <v>154</v>
      </c>
      <c r="K1610" s="6" t="s">
        <v>60</v>
      </c>
      <c r="L1610" s="6" t="s">
        <v>62</v>
      </c>
      <c r="M1610" s="6" t="s">
        <v>7537</v>
      </c>
      <c r="N1610" s="6" t="s">
        <v>7540</v>
      </c>
      <c r="O1610" s="36" t="s">
        <v>67</v>
      </c>
      <c r="P1610" s="36">
        <v>1.588040836E9</v>
      </c>
      <c r="Q1610" s="36" t="s">
        <v>7541</v>
      </c>
      <c r="R1610" s="6" t="s">
        <v>7542</v>
      </c>
    </row>
    <row r="1611">
      <c r="A1611" s="6" t="s">
        <v>7537</v>
      </c>
      <c r="B1611" s="6" t="s">
        <v>7537</v>
      </c>
      <c r="C1611" s="6">
        <v>2.0</v>
      </c>
      <c r="D1611" s="9" t="str">
        <f>HYPERLINK("https://www.linkedin.com/ad-library/detail/1596454946","Open Ad")</f>
        <v>Open Ad</v>
      </c>
      <c r="E1611" s="6" t="s">
        <v>7543</v>
      </c>
      <c r="F1611" s="6" t="s">
        <v>53</v>
      </c>
      <c r="G1611" s="6" t="s">
        <v>7544</v>
      </c>
      <c r="H1611" s="6" t="s">
        <v>55</v>
      </c>
      <c r="I1611" s="6" t="s">
        <v>7545</v>
      </c>
      <c r="J1611" s="6" t="s">
        <v>7546</v>
      </c>
      <c r="K1611" s="6" t="s">
        <v>60</v>
      </c>
      <c r="L1611" s="6" t="s">
        <v>131</v>
      </c>
      <c r="M1611" s="6" t="s">
        <v>7537</v>
      </c>
      <c r="N1611" s="6" t="s">
        <v>132</v>
      </c>
      <c r="O1611" s="36" t="s">
        <v>132</v>
      </c>
      <c r="P1611" s="36">
        <v>1.596454946E9</v>
      </c>
      <c r="Q1611" s="36" t="s">
        <v>7541</v>
      </c>
      <c r="R1611" s="6" t="s">
        <v>7542</v>
      </c>
    </row>
    <row r="1612">
      <c r="A1612" s="6" t="s">
        <v>7537</v>
      </c>
      <c r="B1612" s="6" t="s">
        <v>7537</v>
      </c>
      <c r="C1612" s="6">
        <v>3.0</v>
      </c>
      <c r="D1612" s="9" t="str">
        <f>HYPERLINK("https://www.linkedin.com/ad-library/detail/1587636296","Open Ad")</f>
        <v>Open Ad</v>
      </c>
      <c r="E1612" s="6" t="s">
        <v>154</v>
      </c>
      <c r="F1612" s="6" t="s">
        <v>53</v>
      </c>
      <c r="G1612" s="6" t="s">
        <v>7538</v>
      </c>
      <c r="H1612" s="6" t="s">
        <v>55</v>
      </c>
      <c r="I1612" s="6" t="s">
        <v>7539</v>
      </c>
      <c r="J1612" s="6" t="s">
        <v>154</v>
      </c>
      <c r="K1612" s="9" t="str">
        <f>HYPERLINK("https://dms.licdn.com/playlist/vid/v2/D5610AQHiKe0AwGNXpg/mp4-640p-30fp-crf28/B56aBiNMAvK8BI-/0/1788354027638?e=2147483647&amp;v=beta&amp;t=eBwh1p0xWa8JccxZ2ohOki_fRa9vx7_sUFeQHPnYJfM","Open Creative")</f>
        <v>Open Creative</v>
      </c>
      <c r="L1612" s="6" t="s">
        <v>131</v>
      </c>
      <c r="M1612" s="6" t="s">
        <v>7537</v>
      </c>
      <c r="N1612" s="6" t="s">
        <v>132</v>
      </c>
      <c r="O1612" s="36" t="s">
        <v>132</v>
      </c>
      <c r="P1612" s="36">
        <v>1.587636296E9</v>
      </c>
      <c r="Q1612" s="36" t="s">
        <v>7541</v>
      </c>
      <c r="R1612" s="6" t="s">
        <v>7542</v>
      </c>
    </row>
    <row r="1613">
      <c r="A1613" s="6" t="s">
        <v>7537</v>
      </c>
      <c r="B1613" s="6" t="s">
        <v>7537</v>
      </c>
      <c r="C1613" s="6">
        <v>4.0</v>
      </c>
      <c r="D1613" s="9" t="str">
        <f>HYPERLINK("https://www.linkedin.com/ad-library/detail/1587897416","Open Ad")</f>
        <v>Open Ad</v>
      </c>
      <c r="E1613" s="6" t="s">
        <v>154</v>
      </c>
      <c r="F1613" s="6" t="s">
        <v>53</v>
      </c>
      <c r="G1613" s="6" t="s">
        <v>7547</v>
      </c>
      <c r="H1613" s="6" t="s">
        <v>55</v>
      </c>
      <c r="I1613" s="6" t="s">
        <v>7539</v>
      </c>
      <c r="J1613" s="6" t="s">
        <v>154</v>
      </c>
      <c r="K1613" s="9" t="str">
        <f>HYPERLINK("https://dms.licdn.com/playlist/vid/v2/D5610AQFNrODupjDfsg/mp4-720p-30fp-crf28/B56aBiNMDsIsBo-/0/1788354026940?e=2147483647&amp;v=beta&amp;t=zjfCKtJ2uhrXxkvMhQJe3jkD8_QVP2MURlEA0O-surM","Open Creative")</f>
        <v>Open Creative</v>
      </c>
      <c r="L1613" s="6" t="s">
        <v>131</v>
      </c>
      <c r="M1613" s="6" t="s">
        <v>7537</v>
      </c>
      <c r="N1613" s="6" t="s">
        <v>132</v>
      </c>
      <c r="O1613" s="36" t="s">
        <v>132</v>
      </c>
      <c r="P1613" s="36">
        <v>1.587897416E9</v>
      </c>
      <c r="Q1613" s="36" t="s">
        <v>7541</v>
      </c>
      <c r="R1613" s="6" t="s">
        <v>7542</v>
      </c>
    </row>
    <row r="1614">
      <c r="A1614" s="6" t="s">
        <v>7537</v>
      </c>
      <c r="B1614" s="6" t="s">
        <v>7537</v>
      </c>
      <c r="C1614" s="6">
        <v>5.0</v>
      </c>
      <c r="D1614" s="9" t="str">
        <f>HYPERLINK("https://www.linkedin.com/ad-library/detail/1587745086","Open Ad")</f>
        <v>Open Ad</v>
      </c>
      <c r="E1614" s="6" t="s">
        <v>154</v>
      </c>
      <c r="F1614" s="6" t="s">
        <v>53</v>
      </c>
      <c r="G1614" s="6" t="s">
        <v>7538</v>
      </c>
      <c r="H1614" s="6" t="s">
        <v>55</v>
      </c>
      <c r="I1614" s="6" t="s">
        <v>7539</v>
      </c>
      <c r="J1614" s="6" t="s">
        <v>154</v>
      </c>
      <c r="K1614" s="9" t="str">
        <f>HYPERLINK("https://dms.licdn.com/playlist/vid/v2/D5610AQHiKe0AwGNXpg/mp4-640p-30fp-crf28/B56aBiNMAvK8BI-/0/1788354027638?e=2147483647&amp;v=beta&amp;t=eBwh1p0xWa8JccxZ2ohOki_fRa9vx7_sUFeQHPnYJfM","Open Creative")</f>
        <v>Open Creative</v>
      </c>
      <c r="L1614" s="6" t="s">
        <v>62</v>
      </c>
      <c r="M1614" s="6" t="s">
        <v>7537</v>
      </c>
      <c r="N1614" s="6" t="s">
        <v>7540</v>
      </c>
      <c r="O1614" s="36" t="s">
        <v>67</v>
      </c>
      <c r="P1614" s="36">
        <v>1.587745086E9</v>
      </c>
      <c r="Q1614" s="36" t="s">
        <v>68</v>
      </c>
      <c r="R1614" s="6" t="s">
        <v>7548</v>
      </c>
    </row>
    <row r="1615">
      <c r="A1615" s="6" t="s">
        <v>7537</v>
      </c>
      <c r="B1615" s="6" t="s">
        <v>7537</v>
      </c>
      <c r="C1615" s="6">
        <v>6.0</v>
      </c>
      <c r="D1615" s="9" t="str">
        <f>HYPERLINK("https://www.linkedin.com/ad-library/detail/1587656446","Open Ad")</f>
        <v>Open Ad</v>
      </c>
      <c r="E1615" s="6" t="s">
        <v>154</v>
      </c>
      <c r="F1615" s="6" t="s">
        <v>53</v>
      </c>
      <c r="G1615" s="6" t="s">
        <v>7547</v>
      </c>
      <c r="H1615" s="6" t="s">
        <v>55</v>
      </c>
      <c r="I1615" s="6" t="s">
        <v>7539</v>
      </c>
      <c r="J1615" s="6" t="s">
        <v>154</v>
      </c>
      <c r="K1615" s="9" t="str">
        <f>HYPERLINK("https://dms.licdn.com/playlist/vid/v2/D5610AQFNrODupjDfsg/mp4-720p-30fp-crf28/B56aBiNMDsIsBo-/0/1788354026940?e=2147483647&amp;v=beta&amp;t=zjfCKtJ2uhrXxkvMhQJe3jkD8_QVP2MURlEA0O-surM","Open Creative")</f>
        <v>Open Creative</v>
      </c>
      <c r="L1615" s="6" t="s">
        <v>62</v>
      </c>
      <c r="M1615" s="6" t="s">
        <v>7537</v>
      </c>
      <c r="N1615" s="6" t="s">
        <v>7540</v>
      </c>
      <c r="O1615" s="36" t="s">
        <v>67</v>
      </c>
      <c r="P1615" s="36">
        <v>1.587656446E9</v>
      </c>
      <c r="Q1615" s="36" t="s">
        <v>68</v>
      </c>
      <c r="R1615" s="6" t="s">
        <v>7549</v>
      </c>
    </row>
    <row r="1616">
      <c r="A1616" s="6" t="s">
        <v>7537</v>
      </c>
      <c r="B1616" s="6" t="s">
        <v>7537</v>
      </c>
      <c r="C1616" s="6">
        <v>7.0</v>
      </c>
      <c r="D1616" s="9" t="str">
        <f>HYPERLINK("https://www.linkedin.com/ad-library/detail/1596445226","Open Ad")</f>
        <v>Open Ad</v>
      </c>
      <c r="E1616" s="6" t="s">
        <v>7543</v>
      </c>
      <c r="F1616" s="6" t="s">
        <v>53</v>
      </c>
      <c r="G1616" s="6" t="s">
        <v>7550</v>
      </c>
      <c r="H1616" s="6" t="s">
        <v>55</v>
      </c>
      <c r="I1616" s="6" t="s">
        <v>7545</v>
      </c>
      <c r="J1616" s="6" t="s">
        <v>7546</v>
      </c>
      <c r="K1616" s="6" t="s">
        <v>60</v>
      </c>
      <c r="L1616" s="6" t="s">
        <v>131</v>
      </c>
      <c r="M1616" s="6" t="s">
        <v>7537</v>
      </c>
      <c r="N1616" s="6" t="s">
        <v>132</v>
      </c>
      <c r="O1616" s="36" t="s">
        <v>132</v>
      </c>
      <c r="P1616" s="36">
        <v>1.596445226E9</v>
      </c>
      <c r="Q1616" s="36" t="s">
        <v>7541</v>
      </c>
      <c r="R1616" s="6" t="s">
        <v>7542</v>
      </c>
    </row>
    <row r="1617">
      <c r="A1617" s="6" t="s">
        <v>7537</v>
      </c>
      <c r="B1617" s="6" t="s">
        <v>7537</v>
      </c>
      <c r="C1617" s="6">
        <v>8.0</v>
      </c>
      <c r="D1617" s="9" t="str">
        <f>HYPERLINK("https://www.linkedin.com/ad-library/detail/1596464226","Open Ad")</f>
        <v>Open Ad</v>
      </c>
      <c r="E1617" s="6" t="s">
        <v>7543</v>
      </c>
      <c r="F1617" s="6" t="s">
        <v>53</v>
      </c>
      <c r="G1617" s="6" t="s">
        <v>7550</v>
      </c>
      <c r="H1617" s="6" t="s">
        <v>55</v>
      </c>
      <c r="I1617" s="6" t="s">
        <v>7545</v>
      </c>
      <c r="J1617" s="6" t="s">
        <v>7546</v>
      </c>
      <c r="K1617" s="6" t="s">
        <v>60</v>
      </c>
      <c r="L1617" s="6" t="s">
        <v>62</v>
      </c>
      <c r="M1617" s="6" t="s">
        <v>7537</v>
      </c>
      <c r="N1617" s="6" t="s">
        <v>84</v>
      </c>
      <c r="O1617" s="36" t="s">
        <v>132</v>
      </c>
      <c r="P1617" s="36">
        <v>1.596464226E9</v>
      </c>
      <c r="Q1617" s="36" t="s">
        <v>7541</v>
      </c>
      <c r="R1617" s="6" t="s">
        <v>7542</v>
      </c>
    </row>
    <row r="1618">
      <c r="A1618" s="6" t="s">
        <v>7537</v>
      </c>
      <c r="B1618" s="6" t="s">
        <v>7537</v>
      </c>
      <c r="C1618" s="6">
        <v>9.0</v>
      </c>
      <c r="D1618" s="9" t="str">
        <f>HYPERLINK("https://www.linkedin.com/ad-library/detail/1587725176","Open Ad")</f>
        <v>Open Ad</v>
      </c>
      <c r="E1618" s="6" t="s">
        <v>154</v>
      </c>
      <c r="F1618" s="6" t="s">
        <v>53</v>
      </c>
      <c r="G1618" s="6" t="s">
        <v>7547</v>
      </c>
      <c r="H1618" s="6" t="s">
        <v>55</v>
      </c>
      <c r="I1618" s="6" t="s">
        <v>7539</v>
      </c>
      <c r="J1618" s="6" t="s">
        <v>154</v>
      </c>
      <c r="K1618" s="9" t="str">
        <f>HYPERLINK("https://dms.licdn.com/playlist/vid/v2/D5610AQFNrODupjDfsg/mp4-720p-30fp-crf28/B56aBiNMDsIsBo-/0/1788354026940?e=2147483647&amp;v=beta&amp;t=zjfCKtJ2uhrXxkvMhQJe3jkD8_QVP2MURlEA0O-surM","Open Creative")</f>
        <v>Open Creative</v>
      </c>
      <c r="L1618" s="6" t="s">
        <v>62</v>
      </c>
      <c r="M1618" s="6" t="s">
        <v>7537</v>
      </c>
      <c r="N1618" s="6" t="s">
        <v>7540</v>
      </c>
      <c r="O1618" s="36" t="s">
        <v>132</v>
      </c>
      <c r="P1618" s="36">
        <v>1.587725176E9</v>
      </c>
      <c r="Q1618" s="36" t="s">
        <v>68</v>
      </c>
      <c r="R1618" s="6" t="s">
        <v>7551</v>
      </c>
    </row>
    <row r="1619">
      <c r="A1619" s="6" t="s">
        <v>7537</v>
      </c>
      <c r="B1619" s="6" t="s">
        <v>7537</v>
      </c>
      <c r="C1619" s="6">
        <v>10.0</v>
      </c>
      <c r="D1619" s="9" t="str">
        <f>HYPERLINK("https://www.linkedin.com/ad-library/detail/1596544106","Open Ad")</f>
        <v>Open Ad</v>
      </c>
      <c r="E1619" s="6" t="s">
        <v>7543</v>
      </c>
      <c r="F1619" s="6" t="s">
        <v>53</v>
      </c>
      <c r="G1619" s="6" t="s">
        <v>7550</v>
      </c>
      <c r="H1619" s="6" t="s">
        <v>55</v>
      </c>
      <c r="I1619" s="6" t="s">
        <v>7545</v>
      </c>
      <c r="J1619" s="6" t="s">
        <v>7546</v>
      </c>
      <c r="K1619" s="6" t="s">
        <v>60</v>
      </c>
      <c r="L1619" s="6" t="s">
        <v>131</v>
      </c>
      <c r="M1619" s="6" t="s">
        <v>7537</v>
      </c>
      <c r="N1619" s="6" t="s">
        <v>132</v>
      </c>
      <c r="O1619" s="36" t="s">
        <v>132</v>
      </c>
      <c r="P1619" s="36">
        <v>1.596544106E9</v>
      </c>
      <c r="Q1619" s="36" t="s">
        <v>7541</v>
      </c>
      <c r="R1619" s="6" t="s">
        <v>7542</v>
      </c>
    </row>
    <row r="1620">
      <c r="A1620" s="6" t="s">
        <v>7537</v>
      </c>
      <c r="B1620" s="6" t="s">
        <v>7537</v>
      </c>
      <c r="C1620" s="6">
        <v>11.0</v>
      </c>
      <c r="D1620" s="9" t="str">
        <f>HYPERLINK("https://www.linkedin.com/ad-library/detail/1584013026","Open Ad")</f>
        <v>Open Ad</v>
      </c>
      <c r="E1620" s="6" t="s">
        <v>7543</v>
      </c>
      <c r="F1620" s="6" t="s">
        <v>53</v>
      </c>
      <c r="G1620" s="6" t="s">
        <v>7544</v>
      </c>
      <c r="H1620" s="6" t="s">
        <v>55</v>
      </c>
      <c r="I1620" s="6" t="s">
        <v>7545</v>
      </c>
      <c r="J1620" s="6" t="s">
        <v>7546</v>
      </c>
      <c r="K1620" s="6" t="s">
        <v>60</v>
      </c>
      <c r="L1620" s="6" t="s">
        <v>131</v>
      </c>
      <c r="M1620" s="6" t="s">
        <v>7537</v>
      </c>
      <c r="N1620" s="6" t="s">
        <v>132</v>
      </c>
      <c r="O1620" s="36" t="s">
        <v>132</v>
      </c>
      <c r="P1620" s="36">
        <v>1.584013026E9</v>
      </c>
      <c r="Q1620" s="36" t="s">
        <v>7541</v>
      </c>
      <c r="R1620" s="6" t="s">
        <v>7542</v>
      </c>
    </row>
    <row r="1621">
      <c r="A1621" s="6" t="s">
        <v>7537</v>
      </c>
      <c r="B1621" s="6" t="s">
        <v>7537</v>
      </c>
      <c r="C1621" s="6">
        <v>12.0</v>
      </c>
      <c r="D1621" s="9" t="str">
        <f>HYPERLINK("https://www.linkedin.com/ad-library/detail/1596484686","Open Ad")</f>
        <v>Open Ad</v>
      </c>
      <c r="E1621" s="6" t="s">
        <v>7543</v>
      </c>
      <c r="F1621" s="6" t="s">
        <v>53</v>
      </c>
      <c r="G1621" s="6" t="s">
        <v>7552</v>
      </c>
      <c r="H1621" s="6" t="s">
        <v>55</v>
      </c>
      <c r="I1621" s="6" t="s">
        <v>7545</v>
      </c>
      <c r="J1621" s="6" t="s">
        <v>7546</v>
      </c>
      <c r="K1621" s="6" t="s">
        <v>60</v>
      </c>
      <c r="L1621" s="6" t="s">
        <v>62</v>
      </c>
      <c r="M1621" s="6" t="s">
        <v>7537</v>
      </c>
      <c r="N1621" s="6" t="s">
        <v>84</v>
      </c>
      <c r="O1621" s="36" t="s">
        <v>132</v>
      </c>
      <c r="P1621" s="36">
        <v>1.596484686E9</v>
      </c>
      <c r="Q1621" s="36" t="s">
        <v>7541</v>
      </c>
      <c r="R1621" s="6" t="s">
        <v>7542</v>
      </c>
    </row>
    <row r="1622">
      <c r="A1622" s="6" t="s">
        <v>7537</v>
      </c>
      <c r="B1622" s="6" t="s">
        <v>7537</v>
      </c>
      <c r="C1622" s="6">
        <v>13.0</v>
      </c>
      <c r="D1622" s="9" t="str">
        <f>HYPERLINK("https://www.linkedin.com/ad-library/detail/1587568746","Open Ad")</f>
        <v>Open Ad</v>
      </c>
      <c r="E1622" s="6" t="s">
        <v>154</v>
      </c>
      <c r="F1622" s="6" t="s">
        <v>53</v>
      </c>
      <c r="G1622" s="6" t="s">
        <v>7538</v>
      </c>
      <c r="H1622" s="6" t="s">
        <v>55</v>
      </c>
      <c r="I1622" s="6" t="s">
        <v>7539</v>
      </c>
      <c r="J1622" s="6" t="s">
        <v>154</v>
      </c>
      <c r="K1622" s="9" t="str">
        <f>HYPERLINK("https://dms.licdn.com/playlist/vid/v2/D5610AQHiKe0AwGNXpg/mp4-640p-30fp-crf28/B56aBiNMAvK8BI-/0/1788354027638?e=2147483647&amp;v=beta&amp;t=eBwh1p0xWa8JccxZ2ohOki_fRa9vx7_sUFeQHPnYJfM","Open Creative")</f>
        <v>Open Creative</v>
      </c>
      <c r="L1622" s="6" t="s">
        <v>62</v>
      </c>
      <c r="M1622" s="6" t="s">
        <v>7537</v>
      </c>
      <c r="N1622" s="6" t="s">
        <v>7540</v>
      </c>
      <c r="O1622" s="36" t="s">
        <v>132</v>
      </c>
      <c r="P1622" s="36">
        <v>1.587568746E9</v>
      </c>
      <c r="Q1622" s="36" t="s">
        <v>68</v>
      </c>
      <c r="R1622" s="6" t="s">
        <v>7553</v>
      </c>
    </row>
    <row r="1623">
      <c r="A1623" s="6" t="s">
        <v>7537</v>
      </c>
      <c r="B1623" s="6" t="s">
        <v>7537</v>
      </c>
      <c r="C1623" s="6">
        <v>14.0</v>
      </c>
      <c r="D1623" s="9" t="str">
        <f>HYPERLINK("https://www.linkedin.com/ad-library/detail/1596354556","Open Ad")</f>
        <v>Open Ad</v>
      </c>
      <c r="E1623" s="6" t="s">
        <v>7543</v>
      </c>
      <c r="F1623" s="6" t="s">
        <v>53</v>
      </c>
      <c r="G1623" s="6" t="s">
        <v>7552</v>
      </c>
      <c r="H1623" s="6" t="s">
        <v>55</v>
      </c>
      <c r="I1623" s="6" t="s">
        <v>7545</v>
      </c>
      <c r="J1623" s="6" t="s">
        <v>7546</v>
      </c>
      <c r="K1623" s="6" t="s">
        <v>60</v>
      </c>
      <c r="L1623" s="6" t="s">
        <v>62</v>
      </c>
      <c r="M1623" s="6" t="s">
        <v>7537</v>
      </c>
      <c r="N1623" s="6" t="s">
        <v>84</v>
      </c>
      <c r="O1623" s="36" t="s">
        <v>132</v>
      </c>
      <c r="P1623" s="36">
        <v>1.596354556E9</v>
      </c>
      <c r="Q1623" s="36" t="s">
        <v>7541</v>
      </c>
      <c r="R1623" s="6" t="s">
        <v>7542</v>
      </c>
    </row>
    <row r="1624">
      <c r="A1624" s="6" t="s">
        <v>7537</v>
      </c>
      <c r="B1624" s="6" t="s">
        <v>7537</v>
      </c>
      <c r="C1624" s="6">
        <v>15.0</v>
      </c>
      <c r="D1624" s="9" t="str">
        <f>HYPERLINK("https://www.linkedin.com/ad-library/detail/1596414536","Open Ad")</f>
        <v>Open Ad</v>
      </c>
      <c r="E1624" s="6" t="s">
        <v>7543</v>
      </c>
      <c r="F1624" s="6" t="s">
        <v>53</v>
      </c>
      <c r="G1624" s="6" t="s">
        <v>7550</v>
      </c>
      <c r="H1624" s="6" t="s">
        <v>55</v>
      </c>
      <c r="I1624" s="6" t="s">
        <v>7545</v>
      </c>
      <c r="J1624" s="6" t="s">
        <v>7546</v>
      </c>
      <c r="K1624" s="6" t="s">
        <v>60</v>
      </c>
      <c r="L1624" s="6" t="s">
        <v>62</v>
      </c>
      <c r="M1624" s="6" t="s">
        <v>7537</v>
      </c>
      <c r="N1624" s="6" t="s">
        <v>84</v>
      </c>
      <c r="O1624" s="36" t="s">
        <v>132</v>
      </c>
      <c r="P1624" s="36">
        <v>1.596414536E9</v>
      </c>
      <c r="Q1624" s="36" t="s">
        <v>7541</v>
      </c>
      <c r="R1624" s="6" t="s">
        <v>7542</v>
      </c>
    </row>
    <row r="1625">
      <c r="A1625" s="6" t="s">
        <v>7537</v>
      </c>
      <c r="B1625" s="6" t="s">
        <v>7537</v>
      </c>
      <c r="C1625" s="6">
        <v>16.0</v>
      </c>
      <c r="D1625" s="9" t="str">
        <f>HYPERLINK("https://www.linkedin.com/ad-library/detail/1596455046","Open Ad")</f>
        <v>Open Ad</v>
      </c>
      <c r="E1625" s="6" t="s">
        <v>7543</v>
      </c>
      <c r="F1625" s="6" t="s">
        <v>53</v>
      </c>
      <c r="G1625" s="6" t="s">
        <v>7544</v>
      </c>
      <c r="H1625" s="6" t="s">
        <v>55</v>
      </c>
      <c r="I1625" s="6" t="s">
        <v>7545</v>
      </c>
      <c r="J1625" s="6" t="s">
        <v>7546</v>
      </c>
      <c r="K1625" s="6" t="s">
        <v>60</v>
      </c>
      <c r="L1625" s="6" t="s">
        <v>62</v>
      </c>
      <c r="M1625" s="6" t="s">
        <v>7537</v>
      </c>
      <c r="N1625" s="6" t="s">
        <v>84</v>
      </c>
      <c r="O1625" s="36" t="s">
        <v>132</v>
      </c>
      <c r="P1625" s="36">
        <v>1.596455046E9</v>
      </c>
      <c r="Q1625" s="36" t="s">
        <v>7541</v>
      </c>
      <c r="R1625" s="6" t="s">
        <v>7542</v>
      </c>
    </row>
    <row r="1626">
      <c r="A1626" s="6" t="s">
        <v>7537</v>
      </c>
      <c r="B1626" s="6" t="s">
        <v>7537</v>
      </c>
      <c r="C1626" s="6">
        <v>17.0</v>
      </c>
      <c r="D1626" s="9" t="str">
        <f>HYPERLINK("https://www.linkedin.com/ad-library/detail/1587755186","Open Ad")</f>
        <v>Open Ad</v>
      </c>
      <c r="E1626" s="6" t="s">
        <v>154</v>
      </c>
      <c r="F1626" s="6" t="s">
        <v>53</v>
      </c>
      <c r="G1626" s="6" t="s">
        <v>7547</v>
      </c>
      <c r="H1626" s="6" t="s">
        <v>55</v>
      </c>
      <c r="I1626" s="6" t="s">
        <v>7539</v>
      </c>
      <c r="J1626" s="6" t="s">
        <v>154</v>
      </c>
      <c r="K1626" s="9" t="str">
        <f t="shared" ref="K1626:K1627" si="6">HYPERLINK("https://dms.licdn.com/playlist/vid/v2/D5610AQFNrODupjDfsg/mp4-720p-30fp-crf28/B56aBiNMDsIsBo-/0/1788354026940?e=2147483647&amp;v=beta&amp;t=zjfCKtJ2uhrXxkvMhQJe3jkD8_QVP2MURlEA0O-surM","Open Creative")</f>
        <v>Open Creative</v>
      </c>
      <c r="L1626" s="6" t="s">
        <v>131</v>
      </c>
      <c r="M1626" s="6" t="s">
        <v>7537</v>
      </c>
      <c r="N1626" s="6" t="s">
        <v>132</v>
      </c>
      <c r="O1626" s="36" t="s">
        <v>132</v>
      </c>
      <c r="P1626" s="36">
        <v>1.587755186E9</v>
      </c>
      <c r="Q1626" s="36" t="s">
        <v>68</v>
      </c>
      <c r="R1626" s="6" t="s">
        <v>7554</v>
      </c>
    </row>
    <row r="1627">
      <c r="A1627" s="6" t="s">
        <v>7537</v>
      </c>
      <c r="B1627" s="6" t="s">
        <v>7537</v>
      </c>
      <c r="C1627" s="6">
        <v>18.0</v>
      </c>
      <c r="D1627" s="9" t="str">
        <f>HYPERLINK("https://www.linkedin.com/ad-library/detail/1587838736","Open Ad")</f>
        <v>Open Ad</v>
      </c>
      <c r="E1627" s="6" t="s">
        <v>154</v>
      </c>
      <c r="F1627" s="6" t="s">
        <v>53</v>
      </c>
      <c r="G1627" s="6" t="s">
        <v>7547</v>
      </c>
      <c r="H1627" s="6" t="s">
        <v>55</v>
      </c>
      <c r="I1627" s="6" t="s">
        <v>7539</v>
      </c>
      <c r="J1627" s="6" t="s">
        <v>154</v>
      </c>
      <c r="K1627" s="9" t="str">
        <f t="shared" si="6"/>
        <v>Open Creative</v>
      </c>
      <c r="L1627" s="6" t="s">
        <v>62</v>
      </c>
      <c r="M1627" s="6" t="s">
        <v>7537</v>
      </c>
      <c r="N1627" s="6" t="s">
        <v>7540</v>
      </c>
      <c r="O1627" s="36" t="s">
        <v>132</v>
      </c>
      <c r="P1627" s="36">
        <v>1.587838736E9</v>
      </c>
      <c r="Q1627" s="36" t="s">
        <v>68</v>
      </c>
      <c r="R1627" s="6" t="s">
        <v>7555</v>
      </c>
    </row>
    <row r="1628">
      <c r="A1628" s="6" t="s">
        <v>7537</v>
      </c>
      <c r="B1628" s="6" t="s">
        <v>7537</v>
      </c>
      <c r="C1628" s="6">
        <v>19.0</v>
      </c>
      <c r="D1628" s="9" t="str">
        <f>HYPERLINK("https://www.linkedin.com/ad-library/detail/1596544846","Open Ad")</f>
        <v>Open Ad</v>
      </c>
      <c r="E1628" s="6" t="s">
        <v>7543</v>
      </c>
      <c r="F1628" s="6" t="s">
        <v>53</v>
      </c>
      <c r="G1628" s="6" t="s">
        <v>7550</v>
      </c>
      <c r="H1628" s="6" t="s">
        <v>55</v>
      </c>
      <c r="I1628" s="6" t="s">
        <v>7545</v>
      </c>
      <c r="J1628" s="6" t="s">
        <v>7546</v>
      </c>
      <c r="K1628" s="6" t="s">
        <v>60</v>
      </c>
      <c r="L1628" s="6" t="s">
        <v>62</v>
      </c>
      <c r="M1628" s="6" t="s">
        <v>7537</v>
      </c>
      <c r="N1628" s="6" t="s">
        <v>84</v>
      </c>
      <c r="O1628" s="36" t="s">
        <v>132</v>
      </c>
      <c r="P1628" s="36">
        <v>1.596544846E9</v>
      </c>
      <c r="Q1628" s="36" t="s">
        <v>7541</v>
      </c>
      <c r="R1628" s="6" t="s">
        <v>7542</v>
      </c>
    </row>
    <row r="1629">
      <c r="A1629" s="6" t="s">
        <v>7537</v>
      </c>
      <c r="B1629" s="6" t="s">
        <v>7537</v>
      </c>
      <c r="C1629" s="6">
        <v>20.0</v>
      </c>
      <c r="D1629" s="9" t="str">
        <f>HYPERLINK("https://www.linkedin.com/ad-library/detail/1587917036","Open Ad")</f>
        <v>Open Ad</v>
      </c>
      <c r="E1629" s="6" t="s">
        <v>154</v>
      </c>
      <c r="F1629" s="6" t="s">
        <v>53</v>
      </c>
      <c r="G1629" s="6" t="s">
        <v>7538</v>
      </c>
      <c r="H1629" s="6" t="s">
        <v>55</v>
      </c>
      <c r="I1629" s="6" t="s">
        <v>7539</v>
      </c>
      <c r="J1629" s="6" t="s">
        <v>154</v>
      </c>
      <c r="K1629" s="9" t="str">
        <f>HYPERLINK("https://dms.licdn.com/playlist/vid/v2/D5610AQHiKe0AwGNXpg/mp4-640p-30fp-crf28/B56aBiNMAvK8BI-/0/1788354027638?e=2147483647&amp;v=beta&amp;t=eBwh1p0xWa8JccxZ2ohOki_fRa9vx7_sUFeQHPnYJfM","Open Creative")</f>
        <v>Open Creative</v>
      </c>
      <c r="L1629" s="6" t="s">
        <v>131</v>
      </c>
      <c r="M1629" s="6" t="s">
        <v>7537</v>
      </c>
      <c r="N1629" s="6" t="s">
        <v>132</v>
      </c>
      <c r="O1629" s="36" t="s">
        <v>132</v>
      </c>
      <c r="P1629" s="36">
        <v>1.587917036E9</v>
      </c>
      <c r="Q1629" s="36" t="s">
        <v>68</v>
      </c>
      <c r="R1629" s="6" t="s">
        <v>7556</v>
      </c>
    </row>
    <row r="1630">
      <c r="A1630" s="6" t="s">
        <v>7537</v>
      </c>
      <c r="B1630" s="6" t="s">
        <v>7537</v>
      </c>
      <c r="C1630" s="6">
        <v>21.0</v>
      </c>
      <c r="D1630" s="9" t="str">
        <f>HYPERLINK("https://www.linkedin.com/ad-library/detail/1596384326","Open Ad")</f>
        <v>Open Ad</v>
      </c>
      <c r="E1630" s="6" t="s">
        <v>7543</v>
      </c>
      <c r="F1630" s="6" t="s">
        <v>53</v>
      </c>
      <c r="G1630" s="6" t="s">
        <v>7544</v>
      </c>
      <c r="H1630" s="6" t="s">
        <v>55</v>
      </c>
      <c r="I1630" s="6" t="s">
        <v>7545</v>
      </c>
      <c r="J1630" s="6" t="s">
        <v>7546</v>
      </c>
      <c r="K1630" s="6" t="s">
        <v>60</v>
      </c>
      <c r="L1630" s="6" t="s">
        <v>131</v>
      </c>
      <c r="M1630" s="6" t="s">
        <v>7537</v>
      </c>
      <c r="N1630" s="6" t="s">
        <v>132</v>
      </c>
      <c r="O1630" s="36" t="s">
        <v>132</v>
      </c>
      <c r="P1630" s="36">
        <v>1.596384326E9</v>
      </c>
      <c r="Q1630" s="36" t="s">
        <v>7541</v>
      </c>
      <c r="R1630" s="6" t="s">
        <v>7542</v>
      </c>
    </row>
    <row r="1631">
      <c r="A1631" s="6" t="s">
        <v>7537</v>
      </c>
      <c r="B1631" s="6" t="s">
        <v>7557</v>
      </c>
      <c r="C1631" s="6">
        <v>22.0</v>
      </c>
      <c r="D1631" s="9" t="str">
        <f>HYPERLINK("https://www.linkedin.com/ad-library/detail/1589598116","Open Ad")</f>
        <v>Open Ad</v>
      </c>
      <c r="E1631" s="6" t="s">
        <v>91</v>
      </c>
      <c r="F1631" s="6" t="s">
        <v>7558</v>
      </c>
      <c r="G1631" s="6" t="s">
        <v>7559</v>
      </c>
      <c r="H1631" s="6" t="s">
        <v>7560</v>
      </c>
      <c r="I1631" s="6" t="s">
        <v>7561</v>
      </c>
      <c r="J1631" s="6" t="s">
        <v>91</v>
      </c>
      <c r="K1631" s="9" t="str">
        <f>HYPERLINK("https://media.licdn.com/dms/image/v2/D4E10AQFEb7rTGtWc7Q/image-shrink_1280/B4EaBnxGm8IIAc-/0/1788447320819?e=2147483647&amp;v=beta&amp;t=FCvVShgF9viXOEXf_8LiesTMteBISfAyblnln0h16NA","Open Creative")</f>
        <v>Open Creative</v>
      </c>
      <c r="L1631" s="6" t="s">
        <v>131</v>
      </c>
      <c r="M1631" s="6" t="s">
        <v>7557</v>
      </c>
      <c r="N1631" s="6" t="s">
        <v>132</v>
      </c>
      <c r="O1631" s="36" t="s">
        <v>132</v>
      </c>
      <c r="P1631" s="36">
        <v>1.589598116E9</v>
      </c>
      <c r="Q1631" s="36" t="s">
        <v>68</v>
      </c>
      <c r="R1631" s="6" t="s">
        <v>7562</v>
      </c>
    </row>
    <row r="1632">
      <c r="A1632" s="6" t="s">
        <v>7537</v>
      </c>
      <c r="B1632" s="6" t="s">
        <v>7537</v>
      </c>
      <c r="C1632" s="6">
        <v>23.0</v>
      </c>
      <c r="D1632" s="9" t="str">
        <f>HYPERLINK("https://www.linkedin.com/ad-library/detail/1596544796","Open Ad")</f>
        <v>Open Ad</v>
      </c>
      <c r="E1632" s="6" t="s">
        <v>7543</v>
      </c>
      <c r="F1632" s="6" t="s">
        <v>53</v>
      </c>
      <c r="G1632" s="6" t="s">
        <v>7563</v>
      </c>
      <c r="H1632" s="6" t="s">
        <v>55</v>
      </c>
      <c r="I1632" s="6" t="s">
        <v>7564</v>
      </c>
      <c r="J1632" s="6" t="s">
        <v>7546</v>
      </c>
      <c r="K1632" s="6" t="s">
        <v>60</v>
      </c>
      <c r="L1632" s="6" t="s">
        <v>131</v>
      </c>
      <c r="M1632" s="6" t="s">
        <v>7537</v>
      </c>
      <c r="N1632" s="6" t="s">
        <v>132</v>
      </c>
      <c r="O1632" s="36" t="s">
        <v>132</v>
      </c>
      <c r="P1632" s="36">
        <v>1.596544796E9</v>
      </c>
      <c r="Q1632" s="36" t="s">
        <v>7541</v>
      </c>
      <c r="R1632" s="6" t="s">
        <v>7542</v>
      </c>
    </row>
    <row r="1633">
      <c r="A1633" s="6" t="s">
        <v>7537</v>
      </c>
      <c r="B1633" s="6" t="s">
        <v>7537</v>
      </c>
      <c r="C1633" s="6">
        <v>24.0</v>
      </c>
      <c r="D1633" s="9" t="str">
        <f>HYPERLINK("https://www.linkedin.com/ad-library/detail/1596414256","Open Ad")</f>
        <v>Open Ad</v>
      </c>
      <c r="E1633" s="6" t="s">
        <v>7543</v>
      </c>
      <c r="F1633" s="6" t="s">
        <v>53</v>
      </c>
      <c r="G1633" s="6" t="s">
        <v>7552</v>
      </c>
      <c r="H1633" s="6" t="s">
        <v>55</v>
      </c>
      <c r="I1633" s="6" t="s">
        <v>7545</v>
      </c>
      <c r="J1633" s="6" t="s">
        <v>7546</v>
      </c>
      <c r="K1633" s="6" t="s">
        <v>60</v>
      </c>
      <c r="L1633" s="6" t="s">
        <v>131</v>
      </c>
      <c r="M1633" s="6" t="s">
        <v>7537</v>
      </c>
      <c r="N1633" s="6" t="s">
        <v>132</v>
      </c>
      <c r="O1633" s="36" t="s">
        <v>132</v>
      </c>
      <c r="P1633" s="36">
        <v>1.596414256E9</v>
      </c>
      <c r="Q1633" s="36" t="s">
        <v>7541</v>
      </c>
      <c r="R1633" s="6" t="s">
        <v>7542</v>
      </c>
    </row>
    <row r="1634">
      <c r="A1634" s="6" t="s">
        <v>7537</v>
      </c>
      <c r="B1634" s="6" t="s">
        <v>7537</v>
      </c>
      <c r="C1634" s="6">
        <v>25.0</v>
      </c>
      <c r="D1634" s="9" t="str">
        <f>HYPERLINK("https://www.linkedin.com/ad-library/detail/1584003546","Open Ad")</f>
        <v>Open Ad</v>
      </c>
      <c r="E1634" s="6" t="s">
        <v>7543</v>
      </c>
      <c r="F1634" s="6" t="s">
        <v>53</v>
      </c>
      <c r="G1634" s="6" t="s">
        <v>7552</v>
      </c>
      <c r="H1634" s="6" t="s">
        <v>55</v>
      </c>
      <c r="I1634" s="6" t="s">
        <v>7545</v>
      </c>
      <c r="J1634" s="6" t="s">
        <v>7546</v>
      </c>
      <c r="K1634" s="6" t="s">
        <v>60</v>
      </c>
      <c r="L1634" s="6" t="s">
        <v>131</v>
      </c>
      <c r="M1634" s="6" t="s">
        <v>7537</v>
      </c>
      <c r="N1634" s="6" t="s">
        <v>132</v>
      </c>
      <c r="O1634" s="36" t="s">
        <v>132</v>
      </c>
      <c r="P1634" s="36">
        <v>1.584003546E9</v>
      </c>
      <c r="Q1634" s="36" t="s">
        <v>7541</v>
      </c>
      <c r="R1634" s="6" t="s">
        <v>7542</v>
      </c>
    </row>
    <row r="1635">
      <c r="A1635" s="6" t="s">
        <v>7537</v>
      </c>
      <c r="B1635" s="6" t="s">
        <v>7537</v>
      </c>
      <c r="C1635" s="6">
        <v>26.0</v>
      </c>
      <c r="D1635" s="9" t="str">
        <f>HYPERLINK("https://www.linkedin.com/ad-library/detail/1575000446","Open Ad")</f>
        <v>Open Ad</v>
      </c>
      <c r="E1635" s="6" t="s">
        <v>7543</v>
      </c>
      <c r="F1635" s="6" t="s">
        <v>53</v>
      </c>
      <c r="G1635" s="6" t="s">
        <v>7563</v>
      </c>
      <c r="H1635" s="6" t="s">
        <v>55</v>
      </c>
      <c r="I1635" s="6" t="s">
        <v>7564</v>
      </c>
      <c r="J1635" s="6" t="s">
        <v>7546</v>
      </c>
      <c r="K1635" s="6" t="s">
        <v>60</v>
      </c>
      <c r="L1635" s="6" t="s">
        <v>131</v>
      </c>
      <c r="M1635" s="6" t="s">
        <v>7537</v>
      </c>
      <c r="N1635" s="6" t="s">
        <v>132</v>
      </c>
      <c r="O1635" s="36" t="s">
        <v>132</v>
      </c>
      <c r="P1635" s="36">
        <v>1.575000446E9</v>
      </c>
      <c r="Q1635" s="36" t="s">
        <v>7541</v>
      </c>
      <c r="R1635" s="6" t="s">
        <v>7542</v>
      </c>
    </row>
    <row r="1636">
      <c r="A1636" s="6" t="s">
        <v>7537</v>
      </c>
      <c r="B1636" s="6" t="s">
        <v>7537</v>
      </c>
      <c r="C1636" s="6">
        <v>27.0</v>
      </c>
      <c r="D1636" s="9" t="str">
        <f>HYPERLINK("https://www.linkedin.com/ad-library/detail/1575050256","Open Ad")</f>
        <v>Open Ad</v>
      </c>
      <c r="E1636" s="6" t="s">
        <v>7543</v>
      </c>
      <c r="F1636" s="6" t="s">
        <v>53</v>
      </c>
      <c r="G1636" s="6" t="s">
        <v>7565</v>
      </c>
      <c r="H1636" s="6" t="s">
        <v>55</v>
      </c>
      <c r="I1636" s="6" t="s">
        <v>7566</v>
      </c>
      <c r="J1636" s="6" t="s">
        <v>7546</v>
      </c>
      <c r="K1636" s="6" t="s">
        <v>60</v>
      </c>
      <c r="L1636" s="6" t="s">
        <v>131</v>
      </c>
      <c r="M1636" s="6" t="s">
        <v>7537</v>
      </c>
      <c r="N1636" s="6" t="s">
        <v>132</v>
      </c>
      <c r="O1636" s="36" t="s">
        <v>132</v>
      </c>
      <c r="P1636" s="36">
        <v>1.575050256E9</v>
      </c>
      <c r="Q1636" s="36" t="s">
        <v>7541</v>
      </c>
      <c r="R1636" s="6" t="s">
        <v>7542</v>
      </c>
    </row>
    <row r="1637">
      <c r="A1637" s="6" t="s">
        <v>7537</v>
      </c>
      <c r="B1637" s="6" t="s">
        <v>7537</v>
      </c>
      <c r="C1637" s="6">
        <v>28.0</v>
      </c>
      <c r="D1637" s="9" t="str">
        <f>HYPERLINK("https://www.linkedin.com/ad-library/detail/1574980516","Open Ad")</f>
        <v>Open Ad</v>
      </c>
      <c r="E1637" s="6" t="s">
        <v>7543</v>
      </c>
      <c r="F1637" s="6" t="s">
        <v>53</v>
      </c>
      <c r="G1637" s="6" t="s">
        <v>7563</v>
      </c>
      <c r="H1637" s="6" t="s">
        <v>55</v>
      </c>
      <c r="I1637" s="6" t="s">
        <v>7564</v>
      </c>
      <c r="J1637" s="6" t="s">
        <v>7546</v>
      </c>
      <c r="K1637" s="6" t="s">
        <v>60</v>
      </c>
      <c r="L1637" s="6" t="s">
        <v>131</v>
      </c>
      <c r="M1637" s="6" t="s">
        <v>7537</v>
      </c>
      <c r="N1637" s="6" t="s">
        <v>132</v>
      </c>
      <c r="O1637" s="36" t="s">
        <v>132</v>
      </c>
      <c r="P1637" s="36">
        <v>1.574980516E9</v>
      </c>
      <c r="Q1637" s="36" t="s">
        <v>7541</v>
      </c>
      <c r="R1637" s="6" t="s">
        <v>7542</v>
      </c>
    </row>
    <row r="1638">
      <c r="A1638" s="6" t="s">
        <v>7537</v>
      </c>
      <c r="B1638" s="6" t="s">
        <v>7537</v>
      </c>
      <c r="C1638" s="6">
        <v>29.0</v>
      </c>
      <c r="D1638" s="9" t="str">
        <f>HYPERLINK("https://www.linkedin.com/ad-library/detail/1575029876","Open Ad")</f>
        <v>Open Ad</v>
      </c>
      <c r="E1638" s="6" t="s">
        <v>7543</v>
      </c>
      <c r="F1638" s="6" t="s">
        <v>53</v>
      </c>
      <c r="G1638" s="6" t="s">
        <v>7563</v>
      </c>
      <c r="H1638" s="6" t="s">
        <v>55</v>
      </c>
      <c r="I1638" s="6" t="s">
        <v>7564</v>
      </c>
      <c r="J1638" s="6" t="s">
        <v>7546</v>
      </c>
      <c r="K1638" s="6" t="s">
        <v>60</v>
      </c>
      <c r="L1638" s="6" t="s">
        <v>131</v>
      </c>
      <c r="M1638" s="6" t="s">
        <v>7537</v>
      </c>
      <c r="N1638" s="6" t="s">
        <v>132</v>
      </c>
      <c r="O1638" s="36" t="s">
        <v>132</v>
      </c>
      <c r="P1638" s="36">
        <v>1.575029876E9</v>
      </c>
      <c r="Q1638" s="36" t="s">
        <v>7541</v>
      </c>
      <c r="R1638" s="6" t="s">
        <v>7542</v>
      </c>
    </row>
    <row r="1639">
      <c r="A1639" s="6" t="s">
        <v>7537</v>
      </c>
      <c r="B1639" s="6" t="s">
        <v>7537</v>
      </c>
      <c r="C1639" s="6">
        <v>30.0</v>
      </c>
      <c r="D1639" s="9" t="str">
        <f>HYPERLINK("https://www.linkedin.com/ad-library/detail/1574948816","Open Ad")</f>
        <v>Open Ad</v>
      </c>
      <c r="E1639" s="6" t="s">
        <v>7543</v>
      </c>
      <c r="F1639" s="6" t="s">
        <v>53</v>
      </c>
      <c r="G1639" s="6" t="s">
        <v>7563</v>
      </c>
      <c r="H1639" s="6" t="s">
        <v>55</v>
      </c>
      <c r="I1639" s="6" t="s">
        <v>7564</v>
      </c>
      <c r="J1639" s="6" t="s">
        <v>7546</v>
      </c>
      <c r="K1639" s="6" t="s">
        <v>60</v>
      </c>
      <c r="L1639" s="6" t="s">
        <v>131</v>
      </c>
      <c r="M1639" s="6" t="s">
        <v>7537</v>
      </c>
      <c r="N1639" s="6" t="s">
        <v>132</v>
      </c>
      <c r="O1639" s="36" t="s">
        <v>132</v>
      </c>
      <c r="P1639" s="36">
        <v>1.574948816E9</v>
      </c>
      <c r="Q1639" s="36" t="s">
        <v>7541</v>
      </c>
      <c r="R1639" s="6" t="s">
        <v>7542</v>
      </c>
    </row>
    <row r="1640">
      <c r="A1640" s="6" t="s">
        <v>7537</v>
      </c>
      <c r="B1640" s="6" t="s">
        <v>7537</v>
      </c>
      <c r="C1640" s="6">
        <v>31.0</v>
      </c>
      <c r="D1640" s="9" t="str">
        <f>HYPERLINK("https://www.linkedin.com/ad-library/detail/1582723546","Open Ad")</f>
        <v>Open Ad</v>
      </c>
      <c r="E1640" s="6" t="s">
        <v>7543</v>
      </c>
      <c r="F1640" s="6" t="s">
        <v>53</v>
      </c>
      <c r="G1640" s="6" t="s">
        <v>7544</v>
      </c>
      <c r="H1640" s="6" t="s">
        <v>55</v>
      </c>
      <c r="I1640" s="6" t="s">
        <v>7545</v>
      </c>
      <c r="J1640" s="6" t="s">
        <v>7546</v>
      </c>
      <c r="K1640" s="6" t="s">
        <v>60</v>
      </c>
      <c r="L1640" s="6" t="s">
        <v>131</v>
      </c>
      <c r="M1640" s="6" t="s">
        <v>7537</v>
      </c>
      <c r="N1640" s="6" t="s">
        <v>132</v>
      </c>
      <c r="O1640" s="36" t="s">
        <v>132</v>
      </c>
      <c r="P1640" s="36">
        <v>1.582723546E9</v>
      </c>
      <c r="Q1640" s="36" t="s">
        <v>7541</v>
      </c>
      <c r="R1640" s="6" t="s">
        <v>7542</v>
      </c>
    </row>
    <row r="1641">
      <c r="A1641" s="6" t="s">
        <v>7537</v>
      </c>
      <c r="B1641" s="6" t="s">
        <v>7537</v>
      </c>
      <c r="C1641" s="6">
        <v>32.0</v>
      </c>
      <c r="D1641" s="9" t="str">
        <f>HYPERLINK("https://www.linkedin.com/ad-library/detail/1582703296","Open Ad")</f>
        <v>Open Ad</v>
      </c>
      <c r="E1641" s="6" t="s">
        <v>7543</v>
      </c>
      <c r="F1641" s="6" t="s">
        <v>53</v>
      </c>
      <c r="G1641" s="6" t="s">
        <v>7552</v>
      </c>
      <c r="H1641" s="6" t="s">
        <v>55</v>
      </c>
      <c r="I1641" s="6" t="s">
        <v>7545</v>
      </c>
      <c r="J1641" s="6" t="s">
        <v>7546</v>
      </c>
      <c r="K1641" s="6" t="s">
        <v>60</v>
      </c>
      <c r="L1641" s="6" t="s">
        <v>131</v>
      </c>
      <c r="M1641" s="6" t="s">
        <v>7537</v>
      </c>
      <c r="N1641" s="6" t="s">
        <v>132</v>
      </c>
      <c r="O1641" s="36" t="s">
        <v>132</v>
      </c>
      <c r="P1641" s="36">
        <v>1.582703296E9</v>
      </c>
      <c r="Q1641" s="36" t="s">
        <v>7541</v>
      </c>
      <c r="R1641" s="6" t="s">
        <v>7542</v>
      </c>
    </row>
    <row r="1642">
      <c r="A1642" s="6" t="s">
        <v>7537</v>
      </c>
      <c r="B1642" s="6" t="s">
        <v>7537</v>
      </c>
      <c r="C1642" s="6">
        <v>33.0</v>
      </c>
      <c r="D1642" s="9" t="str">
        <f>HYPERLINK("https://www.linkedin.com/ad-library/detail/1582584806","Open Ad")</f>
        <v>Open Ad</v>
      </c>
      <c r="E1642" s="6" t="s">
        <v>7543</v>
      </c>
      <c r="F1642" s="6" t="s">
        <v>53</v>
      </c>
      <c r="G1642" s="6" t="s">
        <v>7544</v>
      </c>
      <c r="H1642" s="6" t="s">
        <v>55</v>
      </c>
      <c r="I1642" s="6" t="s">
        <v>7545</v>
      </c>
      <c r="J1642" s="6" t="s">
        <v>7546</v>
      </c>
      <c r="K1642" s="6" t="s">
        <v>60</v>
      </c>
      <c r="L1642" s="6" t="s">
        <v>131</v>
      </c>
      <c r="M1642" s="6" t="s">
        <v>7537</v>
      </c>
      <c r="N1642" s="6" t="s">
        <v>132</v>
      </c>
      <c r="O1642" s="36" t="s">
        <v>132</v>
      </c>
      <c r="P1642" s="36">
        <v>1.582584806E9</v>
      </c>
      <c r="Q1642" s="36" t="s">
        <v>7541</v>
      </c>
      <c r="R1642" s="6" t="s">
        <v>7542</v>
      </c>
    </row>
    <row r="1643">
      <c r="A1643" s="6" t="s">
        <v>7537</v>
      </c>
      <c r="B1643" s="6" t="s">
        <v>7537</v>
      </c>
      <c r="C1643" s="6">
        <v>34.0</v>
      </c>
      <c r="D1643" s="9" t="str">
        <f>HYPERLINK("https://www.linkedin.com/ad-library/detail/1574919676","Open Ad")</f>
        <v>Open Ad</v>
      </c>
      <c r="E1643" s="6" t="s">
        <v>7543</v>
      </c>
      <c r="F1643" s="6" t="s">
        <v>53</v>
      </c>
      <c r="G1643" s="6" t="s">
        <v>7563</v>
      </c>
      <c r="H1643" s="6" t="s">
        <v>55</v>
      </c>
      <c r="I1643" s="6" t="s">
        <v>7564</v>
      </c>
      <c r="J1643" s="6" t="s">
        <v>7546</v>
      </c>
      <c r="K1643" s="6" t="s">
        <v>60</v>
      </c>
      <c r="L1643" s="6" t="s">
        <v>131</v>
      </c>
      <c r="M1643" s="6" t="s">
        <v>7537</v>
      </c>
      <c r="N1643" s="6" t="s">
        <v>132</v>
      </c>
      <c r="O1643" s="36" t="s">
        <v>132</v>
      </c>
      <c r="P1643" s="36">
        <v>1.574919676E9</v>
      </c>
      <c r="Q1643" s="36" t="s">
        <v>7541</v>
      </c>
      <c r="R1643" s="6" t="s">
        <v>7542</v>
      </c>
    </row>
    <row r="1644">
      <c r="A1644" s="6" t="s">
        <v>7537</v>
      </c>
      <c r="B1644" s="6" t="s">
        <v>7537</v>
      </c>
      <c r="C1644" s="6">
        <v>35.0</v>
      </c>
      <c r="D1644" s="9" t="str">
        <f>HYPERLINK("https://www.linkedin.com/ad-library/detail/1574958776","Open Ad")</f>
        <v>Open Ad</v>
      </c>
      <c r="E1644" s="6" t="s">
        <v>7543</v>
      </c>
      <c r="F1644" s="6" t="s">
        <v>53</v>
      </c>
      <c r="G1644" s="6" t="s">
        <v>7565</v>
      </c>
      <c r="H1644" s="6" t="s">
        <v>55</v>
      </c>
      <c r="I1644" s="6" t="s">
        <v>7566</v>
      </c>
      <c r="J1644" s="6" t="s">
        <v>7546</v>
      </c>
      <c r="K1644" s="6" t="s">
        <v>60</v>
      </c>
      <c r="L1644" s="6" t="s">
        <v>131</v>
      </c>
      <c r="M1644" s="6" t="s">
        <v>7537</v>
      </c>
      <c r="N1644" s="6" t="s">
        <v>132</v>
      </c>
      <c r="O1644" s="36" t="s">
        <v>132</v>
      </c>
      <c r="P1644" s="36">
        <v>1.574958776E9</v>
      </c>
      <c r="Q1644" s="36" t="s">
        <v>7541</v>
      </c>
      <c r="R1644" s="6" t="s">
        <v>7542</v>
      </c>
    </row>
    <row r="1645">
      <c r="A1645" s="6" t="s">
        <v>7537</v>
      </c>
      <c r="B1645" s="6" t="s">
        <v>7537</v>
      </c>
      <c r="C1645" s="6">
        <v>36.0</v>
      </c>
      <c r="D1645" s="9" t="str">
        <f>HYPERLINK("https://www.linkedin.com/ad-library/detail/1574869756","Open Ad")</f>
        <v>Open Ad</v>
      </c>
      <c r="E1645" s="6" t="s">
        <v>7543</v>
      </c>
      <c r="F1645" s="6" t="s">
        <v>53</v>
      </c>
      <c r="G1645" s="6" t="s">
        <v>7565</v>
      </c>
      <c r="H1645" s="6" t="s">
        <v>55</v>
      </c>
      <c r="I1645" s="6" t="s">
        <v>7566</v>
      </c>
      <c r="J1645" s="6" t="s">
        <v>7546</v>
      </c>
      <c r="K1645" s="6" t="s">
        <v>60</v>
      </c>
      <c r="L1645" s="6" t="s">
        <v>62</v>
      </c>
      <c r="M1645" s="6" t="s">
        <v>7537</v>
      </c>
      <c r="N1645" s="6" t="s">
        <v>7567</v>
      </c>
      <c r="O1645" s="36" t="s">
        <v>132</v>
      </c>
      <c r="P1645" s="36">
        <v>1.574869756E9</v>
      </c>
      <c r="Q1645" s="36" t="s">
        <v>7541</v>
      </c>
      <c r="R1645" s="6" t="s">
        <v>7542</v>
      </c>
    </row>
    <row r="1646">
      <c r="A1646" s="6" t="s">
        <v>7537</v>
      </c>
      <c r="B1646" s="6" t="s">
        <v>7537</v>
      </c>
      <c r="C1646" s="6">
        <v>37.0</v>
      </c>
      <c r="D1646" s="9" t="str">
        <f>HYPERLINK("https://www.linkedin.com/ad-library/detail/1574889606","Open Ad")</f>
        <v>Open Ad</v>
      </c>
      <c r="E1646" s="6" t="s">
        <v>7543</v>
      </c>
      <c r="F1646" s="6" t="s">
        <v>53</v>
      </c>
      <c r="G1646" s="6" t="s">
        <v>7563</v>
      </c>
      <c r="H1646" s="6" t="s">
        <v>55</v>
      </c>
      <c r="I1646" s="6" t="s">
        <v>7566</v>
      </c>
      <c r="J1646" s="6" t="s">
        <v>7546</v>
      </c>
      <c r="K1646" s="6" t="s">
        <v>60</v>
      </c>
      <c r="L1646" s="6" t="s">
        <v>131</v>
      </c>
      <c r="M1646" s="6" t="s">
        <v>7537</v>
      </c>
      <c r="N1646" s="6" t="s">
        <v>132</v>
      </c>
      <c r="O1646" s="36" t="s">
        <v>132</v>
      </c>
      <c r="P1646" s="36">
        <v>1.574889606E9</v>
      </c>
      <c r="Q1646" s="36" t="s">
        <v>7541</v>
      </c>
      <c r="R1646" s="6" t="s">
        <v>7542</v>
      </c>
    </row>
    <row r="1647">
      <c r="A1647" s="6" t="s">
        <v>7537</v>
      </c>
      <c r="B1647" s="6" t="s">
        <v>7537</v>
      </c>
      <c r="C1647" s="6">
        <v>38.0</v>
      </c>
      <c r="D1647" s="9" t="str">
        <f>HYPERLINK("https://www.linkedin.com/ad-library/detail/1581971896","Open Ad")</f>
        <v>Open Ad</v>
      </c>
      <c r="E1647" s="6" t="s">
        <v>7543</v>
      </c>
      <c r="F1647" s="6" t="s">
        <v>53</v>
      </c>
      <c r="G1647" s="6" t="s">
        <v>7565</v>
      </c>
      <c r="H1647" s="6" t="s">
        <v>55</v>
      </c>
      <c r="I1647" s="6" t="s">
        <v>7566</v>
      </c>
      <c r="J1647" s="6" t="s">
        <v>7546</v>
      </c>
      <c r="K1647" s="6" t="s">
        <v>60</v>
      </c>
      <c r="L1647" s="6" t="s">
        <v>131</v>
      </c>
      <c r="M1647" s="6" t="s">
        <v>7537</v>
      </c>
      <c r="N1647" s="6" t="s">
        <v>132</v>
      </c>
      <c r="O1647" s="36" t="s">
        <v>132</v>
      </c>
      <c r="P1647" s="36">
        <v>1.581971896E9</v>
      </c>
      <c r="Q1647" s="36" t="s">
        <v>7541</v>
      </c>
      <c r="R1647" s="6" t="s">
        <v>7542</v>
      </c>
    </row>
    <row r="1648">
      <c r="A1648" s="6" t="s">
        <v>7537</v>
      </c>
      <c r="B1648" s="6" t="s">
        <v>7537</v>
      </c>
      <c r="C1648" s="6">
        <v>39.0</v>
      </c>
      <c r="D1648" s="9" t="str">
        <f>HYPERLINK("https://www.linkedin.com/ad-library/detail/1574849496","Open Ad")</f>
        <v>Open Ad</v>
      </c>
      <c r="E1648" s="6" t="s">
        <v>7543</v>
      </c>
      <c r="F1648" s="6" t="s">
        <v>53</v>
      </c>
      <c r="G1648" s="6" t="s">
        <v>7565</v>
      </c>
      <c r="H1648" s="6" t="s">
        <v>55</v>
      </c>
      <c r="I1648" s="6" t="s">
        <v>7566</v>
      </c>
      <c r="J1648" s="6" t="s">
        <v>7546</v>
      </c>
      <c r="K1648" s="6" t="s">
        <v>60</v>
      </c>
      <c r="L1648" s="6" t="s">
        <v>131</v>
      </c>
      <c r="M1648" s="6" t="s">
        <v>7537</v>
      </c>
      <c r="N1648" s="6" t="s">
        <v>132</v>
      </c>
      <c r="O1648" s="36" t="s">
        <v>132</v>
      </c>
      <c r="P1648" s="36">
        <v>1.574849496E9</v>
      </c>
      <c r="Q1648" s="36" t="s">
        <v>7541</v>
      </c>
      <c r="R1648" s="6" t="s">
        <v>7542</v>
      </c>
    </row>
    <row r="1649">
      <c r="A1649" s="6" t="s">
        <v>7537</v>
      </c>
      <c r="B1649" s="6" t="s">
        <v>7537</v>
      </c>
      <c r="C1649" s="6">
        <v>40.0</v>
      </c>
      <c r="D1649" s="9" t="str">
        <f>HYPERLINK("https://www.linkedin.com/ad-library/detail/1574958596","Open Ad")</f>
        <v>Open Ad</v>
      </c>
      <c r="E1649" s="6" t="s">
        <v>7543</v>
      </c>
      <c r="F1649" s="6" t="s">
        <v>53</v>
      </c>
      <c r="G1649" s="6" t="s">
        <v>7565</v>
      </c>
      <c r="H1649" s="6" t="s">
        <v>55</v>
      </c>
      <c r="I1649" s="6" t="s">
        <v>7566</v>
      </c>
      <c r="J1649" s="6" t="s">
        <v>7546</v>
      </c>
      <c r="K1649" s="6" t="s">
        <v>60</v>
      </c>
      <c r="L1649" s="6" t="s">
        <v>131</v>
      </c>
      <c r="M1649" s="6" t="s">
        <v>7537</v>
      </c>
      <c r="N1649" s="6" t="s">
        <v>132</v>
      </c>
      <c r="O1649" s="36" t="s">
        <v>132</v>
      </c>
      <c r="P1649" s="36">
        <v>1.574958596E9</v>
      </c>
      <c r="Q1649" s="36" t="s">
        <v>7541</v>
      </c>
      <c r="R1649" s="6" t="s">
        <v>7542</v>
      </c>
    </row>
    <row r="1650">
      <c r="A1650" s="6" t="s">
        <v>7537</v>
      </c>
      <c r="B1650" s="6" t="s">
        <v>7537</v>
      </c>
      <c r="C1650" s="6">
        <v>41.0</v>
      </c>
      <c r="D1650" s="9" t="str">
        <f>HYPERLINK("https://www.linkedin.com/ad-library/detail/1530500344","Open Ad")</f>
        <v>Open Ad</v>
      </c>
      <c r="E1650" s="6" t="s">
        <v>91</v>
      </c>
      <c r="F1650" s="6" t="s">
        <v>53</v>
      </c>
      <c r="G1650" s="6" t="s">
        <v>7568</v>
      </c>
      <c r="H1650" s="6" t="s">
        <v>55</v>
      </c>
      <c r="I1650" s="6" t="s">
        <v>7566</v>
      </c>
      <c r="J1650" s="6" t="s">
        <v>91</v>
      </c>
      <c r="K1650" s="9" t="str">
        <f>HYPERLINK("https://media.licdn.com/dms/image/v2/D4E22AQFjYsCaM3fu0w/feedshare-shrink_1280/B4EaA19GTqG8AM-/0/1787611604476?e=2147483647&amp;v=beta&amp;t=jIPCBF5AxPO_t1lvB_KyrSNi-gbS0K5NNpRxQGjK38A","Open Creative")</f>
        <v>Open Creative</v>
      </c>
      <c r="L1650" s="6" t="s">
        <v>131</v>
      </c>
      <c r="M1650" s="6" t="s">
        <v>7537</v>
      </c>
      <c r="N1650" s="6" t="s">
        <v>132</v>
      </c>
      <c r="O1650" s="36" t="s">
        <v>132</v>
      </c>
      <c r="P1650" s="36">
        <v>1.530500344E9</v>
      </c>
      <c r="Q1650" s="36" t="s">
        <v>7541</v>
      </c>
      <c r="R1650" s="6" t="s">
        <v>7542</v>
      </c>
    </row>
    <row r="1651">
      <c r="A1651" s="6" t="s">
        <v>7537</v>
      </c>
      <c r="B1651" s="6" t="s">
        <v>7537</v>
      </c>
      <c r="C1651" s="6">
        <v>42.0</v>
      </c>
      <c r="D1651" s="9" t="str">
        <f>HYPERLINK("https://www.linkedin.com/ad-library/detail/1575050196","Open Ad")</f>
        <v>Open Ad</v>
      </c>
      <c r="E1651" s="6" t="s">
        <v>7543</v>
      </c>
      <c r="F1651" s="6" t="s">
        <v>53</v>
      </c>
      <c r="G1651" s="6" t="s">
        <v>7565</v>
      </c>
      <c r="H1651" s="6" t="s">
        <v>55</v>
      </c>
      <c r="I1651" s="6" t="s">
        <v>7566</v>
      </c>
      <c r="J1651" s="6" t="s">
        <v>7546</v>
      </c>
      <c r="K1651" s="6" t="s">
        <v>60</v>
      </c>
      <c r="L1651" s="6" t="s">
        <v>131</v>
      </c>
      <c r="M1651" s="6" t="s">
        <v>7537</v>
      </c>
      <c r="N1651" s="6" t="s">
        <v>132</v>
      </c>
      <c r="O1651" s="36" t="s">
        <v>132</v>
      </c>
      <c r="P1651" s="36">
        <v>1.575050196E9</v>
      </c>
      <c r="Q1651" s="36" t="s">
        <v>7541</v>
      </c>
      <c r="R1651" s="6" t="s">
        <v>7542</v>
      </c>
    </row>
    <row r="1652">
      <c r="A1652" s="6" t="s">
        <v>7537</v>
      </c>
      <c r="B1652" s="6" t="s">
        <v>7537</v>
      </c>
      <c r="C1652" s="6">
        <v>43.0</v>
      </c>
      <c r="D1652" s="9" t="str">
        <f>HYPERLINK("https://www.linkedin.com/ad-library/detail/1574980236","Open Ad")</f>
        <v>Open Ad</v>
      </c>
      <c r="E1652" s="6" t="s">
        <v>7543</v>
      </c>
      <c r="F1652" s="6" t="s">
        <v>53</v>
      </c>
      <c r="G1652" s="6" t="s">
        <v>7565</v>
      </c>
      <c r="H1652" s="6" t="s">
        <v>55</v>
      </c>
      <c r="I1652" s="6" t="s">
        <v>7566</v>
      </c>
      <c r="J1652" s="6" t="s">
        <v>7546</v>
      </c>
      <c r="K1652" s="6" t="s">
        <v>60</v>
      </c>
      <c r="L1652" s="6" t="s">
        <v>131</v>
      </c>
      <c r="M1652" s="6" t="s">
        <v>7537</v>
      </c>
      <c r="N1652" s="6" t="s">
        <v>132</v>
      </c>
      <c r="O1652" s="36" t="s">
        <v>132</v>
      </c>
      <c r="P1652" s="36">
        <v>1.574980236E9</v>
      </c>
      <c r="Q1652" s="36" t="s">
        <v>7541</v>
      </c>
      <c r="R1652" s="6" t="s">
        <v>7542</v>
      </c>
    </row>
    <row r="1653">
      <c r="A1653" s="6" t="s">
        <v>7537</v>
      </c>
      <c r="B1653" s="6" t="s">
        <v>7537</v>
      </c>
      <c r="C1653" s="6">
        <v>44.0</v>
      </c>
      <c r="D1653" s="9" t="str">
        <f>HYPERLINK("https://www.linkedin.com/ad-library/detail/1582002056","Open Ad")</f>
        <v>Open Ad</v>
      </c>
      <c r="E1653" s="6" t="s">
        <v>7543</v>
      </c>
      <c r="F1653" s="6" t="s">
        <v>53</v>
      </c>
      <c r="G1653" s="6" t="s">
        <v>7569</v>
      </c>
      <c r="H1653" s="6" t="s">
        <v>55</v>
      </c>
      <c r="I1653" s="6" t="s">
        <v>7566</v>
      </c>
      <c r="J1653" s="6" t="s">
        <v>7546</v>
      </c>
      <c r="K1653" s="6" t="s">
        <v>60</v>
      </c>
      <c r="L1653" s="6" t="s">
        <v>131</v>
      </c>
      <c r="M1653" s="6" t="s">
        <v>7537</v>
      </c>
      <c r="N1653" s="6" t="s">
        <v>132</v>
      </c>
      <c r="O1653" s="36" t="s">
        <v>132</v>
      </c>
      <c r="P1653" s="36">
        <v>1.582002056E9</v>
      </c>
      <c r="Q1653" s="36" t="s">
        <v>7541</v>
      </c>
      <c r="R1653" s="6" t="s">
        <v>7542</v>
      </c>
    </row>
    <row r="1654">
      <c r="A1654" s="6" t="s">
        <v>7537</v>
      </c>
      <c r="B1654" s="6" t="s">
        <v>7537</v>
      </c>
      <c r="C1654" s="6">
        <v>45.0</v>
      </c>
      <c r="D1654" s="9" t="str">
        <f>HYPERLINK("https://www.linkedin.com/ad-library/detail/1582772016","Open Ad")</f>
        <v>Open Ad</v>
      </c>
      <c r="E1654" s="6" t="s">
        <v>7543</v>
      </c>
      <c r="F1654" s="6" t="s">
        <v>53</v>
      </c>
      <c r="G1654" s="6" t="s">
        <v>7552</v>
      </c>
      <c r="H1654" s="6" t="s">
        <v>55</v>
      </c>
      <c r="I1654" s="6" t="s">
        <v>7566</v>
      </c>
      <c r="J1654" s="6" t="s">
        <v>7546</v>
      </c>
      <c r="K1654" s="6" t="s">
        <v>60</v>
      </c>
      <c r="L1654" s="6" t="s">
        <v>131</v>
      </c>
      <c r="M1654" s="6" t="s">
        <v>7537</v>
      </c>
      <c r="N1654" s="6" t="s">
        <v>132</v>
      </c>
      <c r="O1654" s="36" t="s">
        <v>132</v>
      </c>
      <c r="P1654" s="36">
        <v>1.582772016E9</v>
      </c>
      <c r="Q1654" s="36" t="s">
        <v>7541</v>
      </c>
      <c r="R1654" s="6" t="s">
        <v>7542</v>
      </c>
    </row>
    <row r="1655">
      <c r="A1655" s="6" t="s">
        <v>7537</v>
      </c>
      <c r="B1655" s="6" t="s">
        <v>7537</v>
      </c>
      <c r="C1655" s="6">
        <v>46.0</v>
      </c>
      <c r="D1655" s="9" t="str">
        <f>HYPERLINK("https://www.linkedin.com/ad-library/detail/1581912676","Open Ad")</f>
        <v>Open Ad</v>
      </c>
      <c r="E1655" s="6" t="s">
        <v>7543</v>
      </c>
      <c r="F1655" s="6" t="s">
        <v>53</v>
      </c>
      <c r="G1655" s="6" t="s">
        <v>7544</v>
      </c>
      <c r="H1655" s="6" t="s">
        <v>55</v>
      </c>
      <c r="I1655" s="6" t="s">
        <v>7566</v>
      </c>
      <c r="J1655" s="6" t="s">
        <v>7546</v>
      </c>
      <c r="K1655" s="6" t="s">
        <v>60</v>
      </c>
      <c r="L1655" s="6" t="s">
        <v>131</v>
      </c>
      <c r="M1655" s="6" t="s">
        <v>7537</v>
      </c>
      <c r="N1655" s="6" t="s">
        <v>132</v>
      </c>
      <c r="O1655" s="36" t="s">
        <v>132</v>
      </c>
      <c r="P1655" s="36">
        <v>1.581912676E9</v>
      </c>
      <c r="Q1655" s="36" t="s">
        <v>7541</v>
      </c>
      <c r="R1655" s="6" t="s">
        <v>7542</v>
      </c>
    </row>
    <row r="1656">
      <c r="A1656" s="6" t="s">
        <v>7537</v>
      </c>
      <c r="B1656" s="6" t="s">
        <v>7537</v>
      </c>
      <c r="C1656" s="6">
        <v>47.0</v>
      </c>
      <c r="D1656" s="9" t="str">
        <f>HYPERLINK("https://www.linkedin.com/ad-library/detail/1530420284","Open Ad")</f>
        <v>Open Ad</v>
      </c>
      <c r="E1656" s="6" t="s">
        <v>91</v>
      </c>
      <c r="F1656" s="6" t="s">
        <v>53</v>
      </c>
      <c r="G1656" s="6" t="s">
        <v>7570</v>
      </c>
      <c r="H1656" s="6" t="s">
        <v>55</v>
      </c>
      <c r="I1656" s="6" t="s">
        <v>7566</v>
      </c>
      <c r="J1656" s="6" t="s">
        <v>91</v>
      </c>
      <c r="K1656" s="9" t="str">
        <f>HYPERLINK("https://media.licdn.com/dms/image/v2/D5622AQEE8Mq2JNo2iQ/feedshare-shrink_1280/B56aAany6sIAAM-/0/1787153035186?e=2147483647&amp;v=beta&amp;t=GeL38xcqnhGrRZTDiK_lPU3H_aW-92CWrtyQD3i_GR4","Open Creative")</f>
        <v>Open Creative</v>
      </c>
      <c r="L1656" s="6" t="s">
        <v>131</v>
      </c>
      <c r="M1656" s="6" t="s">
        <v>7537</v>
      </c>
      <c r="N1656" s="6" t="s">
        <v>132</v>
      </c>
      <c r="O1656" s="36" t="s">
        <v>132</v>
      </c>
      <c r="P1656" s="36">
        <v>1.530420284E9</v>
      </c>
      <c r="Q1656" s="36" t="s">
        <v>7541</v>
      </c>
      <c r="R1656" s="6" t="s">
        <v>7542</v>
      </c>
    </row>
    <row r="1657">
      <c r="A1657" s="6" t="s">
        <v>7537</v>
      </c>
      <c r="B1657" s="6" t="s">
        <v>7537</v>
      </c>
      <c r="C1657" s="6">
        <v>48.0</v>
      </c>
      <c r="D1657" s="9" t="str">
        <f>HYPERLINK("https://www.linkedin.com/ad-library/detail/1583963736","Open Ad")</f>
        <v>Open Ad</v>
      </c>
      <c r="E1657" s="6" t="s">
        <v>7543</v>
      </c>
      <c r="F1657" s="6" t="s">
        <v>53</v>
      </c>
      <c r="G1657" s="6" t="s">
        <v>7550</v>
      </c>
      <c r="H1657" s="6" t="s">
        <v>55</v>
      </c>
      <c r="I1657" s="6" t="s">
        <v>7566</v>
      </c>
      <c r="J1657" s="6" t="s">
        <v>7546</v>
      </c>
      <c r="K1657" s="6" t="s">
        <v>60</v>
      </c>
      <c r="L1657" s="6" t="s">
        <v>131</v>
      </c>
      <c r="M1657" s="6" t="s">
        <v>7537</v>
      </c>
      <c r="N1657" s="6" t="s">
        <v>132</v>
      </c>
      <c r="O1657" s="36" t="s">
        <v>132</v>
      </c>
      <c r="P1657" s="36">
        <v>1.583963736E9</v>
      </c>
      <c r="Q1657" s="36" t="s">
        <v>7541</v>
      </c>
      <c r="R1657" s="6" t="s">
        <v>7542</v>
      </c>
    </row>
    <row r="1658">
      <c r="A1658" s="6" t="s">
        <v>7537</v>
      </c>
      <c r="B1658" s="6" t="s">
        <v>7537</v>
      </c>
      <c r="C1658" s="6">
        <v>49.0</v>
      </c>
      <c r="D1658" s="9" t="str">
        <f>HYPERLINK("https://www.linkedin.com/ad-library/detail/1567539906","Open Ad")</f>
        <v>Open Ad</v>
      </c>
      <c r="E1658" s="6" t="s">
        <v>7543</v>
      </c>
      <c r="F1658" s="6" t="s">
        <v>53</v>
      </c>
      <c r="G1658" s="6" t="s">
        <v>7544</v>
      </c>
      <c r="H1658" s="6" t="s">
        <v>55</v>
      </c>
      <c r="I1658" s="6" t="s">
        <v>7566</v>
      </c>
      <c r="J1658" s="6" t="s">
        <v>7546</v>
      </c>
      <c r="K1658" s="6" t="s">
        <v>60</v>
      </c>
      <c r="L1658" s="6" t="s">
        <v>131</v>
      </c>
      <c r="M1658" s="6" t="s">
        <v>7537</v>
      </c>
      <c r="N1658" s="6" t="s">
        <v>132</v>
      </c>
      <c r="O1658" s="36" t="s">
        <v>132</v>
      </c>
      <c r="P1658" s="36">
        <v>1.567539906E9</v>
      </c>
      <c r="Q1658" s="36" t="s">
        <v>7541</v>
      </c>
      <c r="R1658" s="6" t="s">
        <v>7542</v>
      </c>
    </row>
    <row r="1659">
      <c r="A1659" s="6" t="s">
        <v>7537</v>
      </c>
      <c r="B1659" s="6" t="s">
        <v>7537</v>
      </c>
      <c r="C1659" s="6">
        <v>50.0</v>
      </c>
      <c r="D1659" s="9" t="str">
        <f>HYPERLINK("https://www.linkedin.com/ad-library/detail/1567589906","Open Ad")</f>
        <v>Open Ad</v>
      </c>
      <c r="E1659" s="6" t="s">
        <v>7543</v>
      </c>
      <c r="F1659" s="6" t="s">
        <v>53</v>
      </c>
      <c r="G1659" s="6" t="s">
        <v>7552</v>
      </c>
      <c r="H1659" s="6" t="s">
        <v>55</v>
      </c>
      <c r="I1659" s="6" t="s">
        <v>7566</v>
      </c>
      <c r="J1659" s="6" t="s">
        <v>7546</v>
      </c>
      <c r="K1659" s="6" t="s">
        <v>60</v>
      </c>
      <c r="L1659" s="6" t="s">
        <v>131</v>
      </c>
      <c r="M1659" s="6" t="s">
        <v>7537</v>
      </c>
      <c r="N1659" s="6" t="s">
        <v>132</v>
      </c>
      <c r="O1659" s="36" t="s">
        <v>132</v>
      </c>
      <c r="P1659" s="36">
        <v>1.567589906E9</v>
      </c>
      <c r="Q1659" s="36" t="s">
        <v>7541</v>
      </c>
      <c r="R1659" s="6" t="s">
        <v>7542</v>
      </c>
    </row>
    <row r="1660">
      <c r="A1660" s="6" t="s">
        <v>7537</v>
      </c>
      <c r="B1660" s="6" t="s">
        <v>7537</v>
      </c>
      <c r="C1660" s="6">
        <v>51.0</v>
      </c>
      <c r="D1660" s="9" t="str">
        <f>HYPERLINK("https://www.linkedin.com/ad-library/detail/1567322716","Open Ad")</f>
        <v>Open Ad</v>
      </c>
      <c r="E1660" s="6" t="s">
        <v>7543</v>
      </c>
      <c r="F1660" s="6" t="s">
        <v>53</v>
      </c>
      <c r="G1660" s="6" t="s">
        <v>7552</v>
      </c>
      <c r="H1660" s="6" t="s">
        <v>55</v>
      </c>
      <c r="I1660" s="6" t="s">
        <v>7566</v>
      </c>
      <c r="J1660" s="6" t="s">
        <v>7546</v>
      </c>
      <c r="K1660" s="6" t="s">
        <v>60</v>
      </c>
      <c r="L1660" s="6" t="s">
        <v>131</v>
      </c>
      <c r="M1660" s="6" t="s">
        <v>7537</v>
      </c>
      <c r="N1660" s="6" t="s">
        <v>132</v>
      </c>
      <c r="O1660" s="36" t="s">
        <v>132</v>
      </c>
      <c r="P1660" s="36">
        <v>1.567322716E9</v>
      </c>
      <c r="Q1660" s="36" t="s">
        <v>7541</v>
      </c>
      <c r="R1660" s="6" t="s">
        <v>7542</v>
      </c>
    </row>
    <row r="1661">
      <c r="A1661" s="6" t="s">
        <v>7537</v>
      </c>
      <c r="B1661" s="6" t="s">
        <v>7537</v>
      </c>
      <c r="C1661" s="6">
        <v>52.0</v>
      </c>
      <c r="D1661" s="9" t="str">
        <f>HYPERLINK("https://www.linkedin.com/ad-library/detail/1567579976","Open Ad")</f>
        <v>Open Ad</v>
      </c>
      <c r="E1661" s="6" t="s">
        <v>7543</v>
      </c>
      <c r="F1661" s="6" t="s">
        <v>53</v>
      </c>
      <c r="G1661" s="6" t="s">
        <v>7550</v>
      </c>
      <c r="H1661" s="6" t="s">
        <v>55</v>
      </c>
      <c r="I1661" s="6" t="s">
        <v>7566</v>
      </c>
      <c r="J1661" s="6" t="s">
        <v>7546</v>
      </c>
      <c r="K1661" s="6" t="s">
        <v>60</v>
      </c>
      <c r="L1661" s="6" t="s">
        <v>131</v>
      </c>
      <c r="M1661" s="6" t="s">
        <v>7537</v>
      </c>
      <c r="N1661" s="6" t="s">
        <v>132</v>
      </c>
      <c r="O1661" s="36" t="s">
        <v>132</v>
      </c>
      <c r="P1661" s="36">
        <v>1.567579976E9</v>
      </c>
      <c r="Q1661" s="36" t="s">
        <v>7541</v>
      </c>
      <c r="R1661" s="6" t="s">
        <v>7542</v>
      </c>
    </row>
    <row r="1662">
      <c r="A1662" s="6" t="s">
        <v>7537</v>
      </c>
      <c r="B1662" s="6" t="s">
        <v>7537</v>
      </c>
      <c r="C1662" s="6">
        <v>53.0</v>
      </c>
      <c r="D1662" s="9" t="str">
        <f>HYPERLINK("https://www.linkedin.com/ad-library/detail/1567402486","Open Ad")</f>
        <v>Open Ad</v>
      </c>
      <c r="E1662" s="6" t="s">
        <v>7543</v>
      </c>
      <c r="F1662" s="6" t="s">
        <v>53</v>
      </c>
      <c r="G1662" s="6" t="s">
        <v>7552</v>
      </c>
      <c r="H1662" s="6" t="s">
        <v>55</v>
      </c>
      <c r="I1662" s="6" t="s">
        <v>7566</v>
      </c>
      <c r="J1662" s="6" t="s">
        <v>7546</v>
      </c>
      <c r="K1662" s="6" t="s">
        <v>60</v>
      </c>
      <c r="L1662" s="6" t="s">
        <v>131</v>
      </c>
      <c r="M1662" s="6" t="s">
        <v>7537</v>
      </c>
      <c r="N1662" s="6" t="s">
        <v>132</v>
      </c>
      <c r="O1662" s="36" t="s">
        <v>132</v>
      </c>
      <c r="P1662" s="36">
        <v>1.567402486E9</v>
      </c>
      <c r="Q1662" s="36" t="s">
        <v>7541</v>
      </c>
      <c r="R1662" s="6" t="s">
        <v>7542</v>
      </c>
    </row>
    <row r="1663">
      <c r="A1663" s="6" t="s">
        <v>7537</v>
      </c>
      <c r="B1663" s="6" t="s">
        <v>7537</v>
      </c>
      <c r="C1663" s="6">
        <v>54.0</v>
      </c>
      <c r="D1663" s="9" t="str">
        <f>HYPERLINK("https://www.linkedin.com/ad-library/detail/1567422466","Open Ad")</f>
        <v>Open Ad</v>
      </c>
      <c r="E1663" s="6" t="s">
        <v>7543</v>
      </c>
      <c r="F1663" s="6" t="s">
        <v>53</v>
      </c>
      <c r="G1663" s="6" t="s">
        <v>7544</v>
      </c>
      <c r="H1663" s="6" t="s">
        <v>55</v>
      </c>
      <c r="I1663" s="6" t="s">
        <v>7566</v>
      </c>
      <c r="J1663" s="6" t="s">
        <v>7546</v>
      </c>
      <c r="K1663" s="6" t="s">
        <v>60</v>
      </c>
      <c r="L1663" s="6" t="s">
        <v>131</v>
      </c>
      <c r="M1663" s="6" t="s">
        <v>7537</v>
      </c>
      <c r="N1663" s="6" t="s">
        <v>132</v>
      </c>
      <c r="O1663" s="36" t="s">
        <v>132</v>
      </c>
      <c r="P1663" s="36">
        <v>1.567422466E9</v>
      </c>
      <c r="Q1663" s="36" t="s">
        <v>7541</v>
      </c>
      <c r="R1663" s="6" t="s">
        <v>7542</v>
      </c>
    </row>
    <row r="1664">
      <c r="A1664" s="6" t="s">
        <v>7537</v>
      </c>
      <c r="B1664" s="6" t="s">
        <v>7537</v>
      </c>
      <c r="C1664" s="6">
        <v>55.0</v>
      </c>
      <c r="D1664" s="9" t="str">
        <f>HYPERLINK("https://www.linkedin.com/ad-library/detail/1574970306","Open Ad")</f>
        <v>Open Ad</v>
      </c>
      <c r="E1664" s="6" t="s">
        <v>7543</v>
      </c>
      <c r="F1664" s="6" t="s">
        <v>53</v>
      </c>
      <c r="G1664" s="6" t="s">
        <v>7563</v>
      </c>
      <c r="H1664" s="6" t="s">
        <v>55</v>
      </c>
      <c r="I1664" s="6" t="s">
        <v>7566</v>
      </c>
      <c r="J1664" s="6" t="s">
        <v>7546</v>
      </c>
      <c r="K1664" s="6" t="s">
        <v>60</v>
      </c>
      <c r="L1664" s="6" t="s">
        <v>131</v>
      </c>
      <c r="M1664" s="6" t="s">
        <v>7537</v>
      </c>
      <c r="N1664" s="6" t="s">
        <v>132</v>
      </c>
      <c r="O1664" s="36" t="s">
        <v>132</v>
      </c>
      <c r="P1664" s="36">
        <v>1.574970306E9</v>
      </c>
      <c r="Q1664" s="36" t="s">
        <v>7541</v>
      </c>
      <c r="R1664" s="6" t="s">
        <v>7542</v>
      </c>
    </row>
    <row r="1665">
      <c r="A1665" s="6" t="s">
        <v>7537</v>
      </c>
      <c r="B1665" s="6" t="s">
        <v>7537</v>
      </c>
      <c r="C1665" s="6">
        <v>56.0</v>
      </c>
      <c r="D1665" s="9" t="str">
        <f>HYPERLINK("https://www.linkedin.com/ad-library/detail/1574779516","Open Ad")</f>
        <v>Open Ad</v>
      </c>
      <c r="E1665" s="6" t="s">
        <v>7543</v>
      </c>
      <c r="F1665" s="6" t="s">
        <v>53</v>
      </c>
      <c r="G1665" s="6" t="s">
        <v>7563</v>
      </c>
      <c r="H1665" s="6" t="s">
        <v>55</v>
      </c>
      <c r="I1665" s="6" t="s">
        <v>7566</v>
      </c>
      <c r="J1665" s="6" t="s">
        <v>7546</v>
      </c>
      <c r="K1665" s="6" t="s">
        <v>60</v>
      </c>
      <c r="L1665" s="6" t="s">
        <v>131</v>
      </c>
      <c r="M1665" s="6" t="s">
        <v>7537</v>
      </c>
      <c r="N1665" s="6" t="s">
        <v>132</v>
      </c>
      <c r="O1665" s="36" t="s">
        <v>132</v>
      </c>
      <c r="P1665" s="36">
        <v>1.574779516E9</v>
      </c>
      <c r="Q1665" s="36" t="s">
        <v>7541</v>
      </c>
      <c r="R1665" s="6" t="s">
        <v>7542</v>
      </c>
    </row>
    <row r="1666">
      <c r="A1666" s="6" t="s">
        <v>7537</v>
      </c>
      <c r="B1666" s="6" t="s">
        <v>7537</v>
      </c>
      <c r="C1666" s="6">
        <v>57.0</v>
      </c>
      <c r="D1666" s="9" t="str">
        <f>HYPERLINK("https://www.linkedin.com/ad-library/detail/1574939286","Open Ad")</f>
        <v>Open Ad</v>
      </c>
      <c r="E1666" s="6" t="s">
        <v>7543</v>
      </c>
      <c r="F1666" s="6" t="s">
        <v>53</v>
      </c>
      <c r="G1666" s="6" t="s">
        <v>7563</v>
      </c>
      <c r="H1666" s="6" t="s">
        <v>55</v>
      </c>
      <c r="I1666" s="6" t="s">
        <v>7566</v>
      </c>
      <c r="J1666" s="6" t="s">
        <v>7546</v>
      </c>
      <c r="K1666" s="6" t="s">
        <v>60</v>
      </c>
      <c r="L1666" s="6" t="s">
        <v>131</v>
      </c>
      <c r="M1666" s="6" t="s">
        <v>7537</v>
      </c>
      <c r="N1666" s="6" t="s">
        <v>7571</v>
      </c>
      <c r="O1666" s="36" t="s">
        <v>67</v>
      </c>
      <c r="P1666" s="36">
        <v>1.574939286E9</v>
      </c>
      <c r="Q1666" s="36" t="s">
        <v>7541</v>
      </c>
      <c r="R1666" s="6" t="s">
        <v>7542</v>
      </c>
    </row>
    <row r="1667">
      <c r="A1667" s="6" t="s">
        <v>7537</v>
      </c>
      <c r="B1667" s="6" t="s">
        <v>7537</v>
      </c>
      <c r="C1667" s="6">
        <v>58.0</v>
      </c>
      <c r="D1667" s="9" t="str">
        <f>HYPERLINK("https://www.linkedin.com/ad-library/detail/1574869326","Open Ad")</f>
        <v>Open Ad</v>
      </c>
      <c r="E1667" s="6" t="s">
        <v>7543</v>
      </c>
      <c r="F1667" s="6" t="s">
        <v>53</v>
      </c>
      <c r="G1667" s="6" t="s">
        <v>7563</v>
      </c>
      <c r="H1667" s="6" t="s">
        <v>55</v>
      </c>
      <c r="I1667" s="6" t="s">
        <v>7566</v>
      </c>
      <c r="J1667" s="6" t="s">
        <v>7546</v>
      </c>
      <c r="K1667" s="6" t="s">
        <v>60</v>
      </c>
      <c r="L1667" s="6" t="s">
        <v>131</v>
      </c>
      <c r="M1667" s="6" t="s">
        <v>7537</v>
      </c>
      <c r="N1667" s="6" t="s">
        <v>132</v>
      </c>
      <c r="O1667" s="36" t="s">
        <v>132</v>
      </c>
      <c r="P1667" s="36">
        <v>1.574869326E9</v>
      </c>
      <c r="Q1667" s="36" t="s">
        <v>7541</v>
      </c>
      <c r="R1667" s="6" t="s">
        <v>7542</v>
      </c>
    </row>
    <row r="1668">
      <c r="A1668" s="6" t="s">
        <v>7537</v>
      </c>
      <c r="B1668" s="6" t="s">
        <v>7537</v>
      </c>
      <c r="C1668" s="6">
        <v>59.0</v>
      </c>
      <c r="D1668" s="9" t="str">
        <f>HYPERLINK("https://www.linkedin.com/ad-library/detail/1574970236","Open Ad")</f>
        <v>Open Ad</v>
      </c>
      <c r="E1668" s="6" t="s">
        <v>7543</v>
      </c>
      <c r="F1668" s="6" t="s">
        <v>53</v>
      </c>
      <c r="G1668" s="6" t="s">
        <v>7565</v>
      </c>
      <c r="H1668" s="6" t="s">
        <v>55</v>
      </c>
      <c r="I1668" s="6" t="s">
        <v>7566</v>
      </c>
      <c r="J1668" s="6" t="s">
        <v>7546</v>
      </c>
      <c r="K1668" s="6" t="s">
        <v>60</v>
      </c>
      <c r="L1668" s="6" t="s">
        <v>131</v>
      </c>
      <c r="M1668" s="6" t="s">
        <v>7537</v>
      </c>
      <c r="N1668" s="6" t="s">
        <v>132</v>
      </c>
      <c r="O1668" s="36" t="s">
        <v>132</v>
      </c>
      <c r="P1668" s="36">
        <v>1.574970236E9</v>
      </c>
      <c r="Q1668" s="36" t="s">
        <v>7541</v>
      </c>
      <c r="R1668" s="6" t="s">
        <v>7542</v>
      </c>
    </row>
    <row r="1669">
      <c r="A1669" s="6" t="s">
        <v>7537</v>
      </c>
      <c r="B1669" s="6" t="s">
        <v>7537</v>
      </c>
      <c r="C1669" s="6">
        <v>60.0</v>
      </c>
      <c r="D1669" s="9" t="str">
        <f>HYPERLINK("https://www.linkedin.com/ad-library/detail/1574970376","Open Ad")</f>
        <v>Open Ad</v>
      </c>
      <c r="E1669" s="6" t="s">
        <v>7543</v>
      </c>
      <c r="F1669" s="6" t="s">
        <v>53</v>
      </c>
      <c r="G1669" s="6" t="s">
        <v>7565</v>
      </c>
      <c r="H1669" s="6" t="s">
        <v>55</v>
      </c>
      <c r="I1669" s="6" t="s">
        <v>7566</v>
      </c>
      <c r="J1669" s="6" t="s">
        <v>7546</v>
      </c>
      <c r="K1669" s="6" t="s">
        <v>60</v>
      </c>
      <c r="L1669" s="6" t="s">
        <v>131</v>
      </c>
      <c r="M1669" s="6" t="s">
        <v>7537</v>
      </c>
      <c r="N1669" s="6" t="s">
        <v>132</v>
      </c>
      <c r="O1669" s="36" t="s">
        <v>132</v>
      </c>
      <c r="P1669" s="36">
        <v>1.574970376E9</v>
      </c>
      <c r="Q1669" s="36" t="s">
        <v>7541</v>
      </c>
      <c r="R1669" s="6" t="s">
        <v>7542</v>
      </c>
    </row>
    <row r="1670">
      <c r="A1670" s="6" t="s">
        <v>7537</v>
      </c>
      <c r="B1670" s="6" t="s">
        <v>7537</v>
      </c>
      <c r="C1670" s="6">
        <v>61.0</v>
      </c>
      <c r="D1670" s="9" t="str">
        <f>HYPERLINK("https://www.linkedin.com/ad-library/detail/1567222876","Open Ad")</f>
        <v>Open Ad</v>
      </c>
      <c r="E1670" s="6" t="s">
        <v>7543</v>
      </c>
      <c r="F1670" s="6" t="s">
        <v>53</v>
      </c>
      <c r="G1670" s="6" t="s">
        <v>7552</v>
      </c>
      <c r="H1670" s="6" t="s">
        <v>55</v>
      </c>
      <c r="I1670" s="6" t="s">
        <v>7566</v>
      </c>
      <c r="J1670" s="6" t="s">
        <v>7546</v>
      </c>
      <c r="K1670" s="6" t="s">
        <v>60</v>
      </c>
      <c r="L1670" s="6" t="s">
        <v>131</v>
      </c>
      <c r="M1670" s="6" t="s">
        <v>7537</v>
      </c>
      <c r="N1670" s="6" t="s">
        <v>132</v>
      </c>
      <c r="O1670" s="36" t="s">
        <v>132</v>
      </c>
      <c r="P1670" s="36">
        <v>1.567222876E9</v>
      </c>
      <c r="Q1670" s="36" t="s">
        <v>7541</v>
      </c>
      <c r="R1670" s="6" t="s">
        <v>7542</v>
      </c>
    </row>
    <row r="1671">
      <c r="A1671" s="6" t="s">
        <v>7537</v>
      </c>
      <c r="B1671" s="6" t="s">
        <v>7537</v>
      </c>
      <c r="C1671" s="6">
        <v>62.0</v>
      </c>
      <c r="D1671" s="9" t="str">
        <f>HYPERLINK("https://www.linkedin.com/ad-library/detail/1574939316","Open Ad")</f>
        <v>Open Ad</v>
      </c>
      <c r="E1671" s="6" t="s">
        <v>7543</v>
      </c>
      <c r="F1671" s="6" t="s">
        <v>53</v>
      </c>
      <c r="G1671" s="6" t="s">
        <v>7565</v>
      </c>
      <c r="H1671" s="6" t="s">
        <v>55</v>
      </c>
      <c r="I1671" s="6" t="s">
        <v>7566</v>
      </c>
      <c r="J1671" s="6" t="s">
        <v>7546</v>
      </c>
      <c r="K1671" s="6" t="s">
        <v>60</v>
      </c>
      <c r="L1671" s="6" t="s">
        <v>131</v>
      </c>
      <c r="M1671" s="6" t="s">
        <v>7537</v>
      </c>
      <c r="N1671" s="6" t="s">
        <v>132</v>
      </c>
      <c r="O1671" s="36" t="s">
        <v>132</v>
      </c>
      <c r="P1671" s="36">
        <v>1.574939316E9</v>
      </c>
      <c r="Q1671" s="36" t="s">
        <v>7541</v>
      </c>
      <c r="R1671" s="6" t="s">
        <v>7542</v>
      </c>
    </row>
    <row r="1672">
      <c r="A1672" s="6" t="s">
        <v>7537</v>
      </c>
      <c r="B1672" s="6" t="s">
        <v>7537</v>
      </c>
      <c r="C1672" s="6">
        <v>63.0</v>
      </c>
      <c r="D1672" s="9" t="str">
        <f>HYPERLINK("https://www.linkedin.com/ad-library/detail/1574849096","Open Ad")</f>
        <v>Open Ad</v>
      </c>
      <c r="E1672" s="6" t="s">
        <v>7543</v>
      </c>
      <c r="F1672" s="6" t="s">
        <v>53</v>
      </c>
      <c r="G1672" s="6" t="s">
        <v>7563</v>
      </c>
      <c r="H1672" s="6" t="s">
        <v>55</v>
      </c>
      <c r="I1672" s="6" t="s">
        <v>7566</v>
      </c>
      <c r="J1672" s="6" t="s">
        <v>7546</v>
      </c>
      <c r="K1672" s="6" t="s">
        <v>60</v>
      </c>
      <c r="L1672" s="6" t="s">
        <v>131</v>
      </c>
      <c r="M1672" s="6" t="s">
        <v>7537</v>
      </c>
      <c r="N1672" s="6" t="s">
        <v>132</v>
      </c>
      <c r="O1672" s="36" t="s">
        <v>132</v>
      </c>
      <c r="P1672" s="36">
        <v>1.574849096E9</v>
      </c>
      <c r="Q1672" s="36" t="s">
        <v>7541</v>
      </c>
      <c r="R1672" s="6" t="s">
        <v>7542</v>
      </c>
    </row>
    <row r="1673">
      <c r="A1673" s="6" t="s">
        <v>7537</v>
      </c>
      <c r="B1673" s="6" t="s">
        <v>7537</v>
      </c>
      <c r="C1673" s="6">
        <v>64.0</v>
      </c>
      <c r="D1673" s="9" t="str">
        <f>HYPERLINK("https://www.linkedin.com/ad-library/detail/1574899216","Open Ad")</f>
        <v>Open Ad</v>
      </c>
      <c r="E1673" s="6" t="s">
        <v>7543</v>
      </c>
      <c r="F1673" s="6" t="s">
        <v>53</v>
      </c>
      <c r="G1673" s="6" t="s">
        <v>7563</v>
      </c>
      <c r="H1673" s="6" t="s">
        <v>55</v>
      </c>
      <c r="I1673" s="6" t="s">
        <v>7566</v>
      </c>
      <c r="J1673" s="6" t="s">
        <v>7546</v>
      </c>
      <c r="K1673" s="6" t="s">
        <v>60</v>
      </c>
      <c r="L1673" s="6" t="s">
        <v>131</v>
      </c>
      <c r="M1673" s="6" t="s">
        <v>7537</v>
      </c>
      <c r="N1673" s="6" t="s">
        <v>132</v>
      </c>
      <c r="O1673" s="36" t="s">
        <v>132</v>
      </c>
      <c r="P1673" s="36">
        <v>1.574899216E9</v>
      </c>
      <c r="Q1673" s="36" t="s">
        <v>7541</v>
      </c>
      <c r="R1673" s="6" t="s">
        <v>7542</v>
      </c>
    </row>
    <row r="1674">
      <c r="A1674" s="6" t="s">
        <v>7537</v>
      </c>
      <c r="B1674" s="6" t="s">
        <v>7537</v>
      </c>
      <c r="C1674" s="6">
        <v>65.0</v>
      </c>
      <c r="D1674" s="9" t="str">
        <f>HYPERLINK("https://www.linkedin.com/ad-library/detail/1574879566","Open Ad")</f>
        <v>Open Ad</v>
      </c>
      <c r="E1674" s="6" t="s">
        <v>7543</v>
      </c>
      <c r="F1674" s="6" t="s">
        <v>53</v>
      </c>
      <c r="G1674" s="6" t="s">
        <v>7565</v>
      </c>
      <c r="H1674" s="6" t="s">
        <v>55</v>
      </c>
      <c r="I1674" s="6" t="s">
        <v>7566</v>
      </c>
      <c r="J1674" s="6" t="s">
        <v>7546</v>
      </c>
      <c r="K1674" s="6" t="s">
        <v>60</v>
      </c>
      <c r="L1674" s="6" t="s">
        <v>131</v>
      </c>
      <c r="M1674" s="6" t="s">
        <v>7537</v>
      </c>
      <c r="N1674" s="6" t="s">
        <v>132</v>
      </c>
      <c r="O1674" s="36" t="s">
        <v>132</v>
      </c>
      <c r="P1674" s="36">
        <v>1.574879566E9</v>
      </c>
      <c r="Q1674" s="36" t="s">
        <v>7541</v>
      </c>
      <c r="R1674" s="6" t="s">
        <v>7542</v>
      </c>
    </row>
    <row r="1675">
      <c r="A1675" s="6" t="s">
        <v>7537</v>
      </c>
      <c r="B1675" s="6" t="s">
        <v>7537</v>
      </c>
      <c r="C1675" s="6">
        <v>66.0</v>
      </c>
      <c r="D1675" s="9" t="str">
        <f>HYPERLINK("https://www.linkedin.com/ad-library/detail/1567362716","Open Ad")</f>
        <v>Open Ad</v>
      </c>
      <c r="E1675" s="6" t="s">
        <v>7543</v>
      </c>
      <c r="F1675" s="6" t="s">
        <v>53</v>
      </c>
      <c r="G1675" s="6" t="s">
        <v>7544</v>
      </c>
      <c r="H1675" s="6" t="s">
        <v>55</v>
      </c>
      <c r="I1675" s="6" t="s">
        <v>7566</v>
      </c>
      <c r="J1675" s="6" t="s">
        <v>7546</v>
      </c>
      <c r="K1675" s="6" t="s">
        <v>60</v>
      </c>
      <c r="L1675" s="6" t="s">
        <v>131</v>
      </c>
      <c r="M1675" s="6" t="s">
        <v>7537</v>
      </c>
      <c r="N1675" s="6" t="s">
        <v>132</v>
      </c>
      <c r="O1675" s="36" t="s">
        <v>132</v>
      </c>
      <c r="P1675" s="36">
        <v>1.567362716E9</v>
      </c>
      <c r="Q1675" s="36" t="s">
        <v>7541</v>
      </c>
      <c r="R1675" s="6" t="s">
        <v>7542</v>
      </c>
    </row>
    <row r="1676">
      <c r="A1676" s="6" t="s">
        <v>7537</v>
      </c>
      <c r="B1676" s="6" t="s">
        <v>7537</v>
      </c>
      <c r="C1676" s="6">
        <v>67.0</v>
      </c>
      <c r="D1676" s="9" t="str">
        <f>HYPERLINK("https://www.linkedin.com/ad-library/detail/1574839736","Open Ad")</f>
        <v>Open Ad</v>
      </c>
      <c r="E1676" s="6" t="s">
        <v>7543</v>
      </c>
      <c r="F1676" s="6" t="s">
        <v>53</v>
      </c>
      <c r="G1676" s="6" t="s">
        <v>7563</v>
      </c>
      <c r="H1676" s="6" t="s">
        <v>55</v>
      </c>
      <c r="I1676" s="6" t="s">
        <v>7566</v>
      </c>
      <c r="J1676" s="6" t="s">
        <v>7546</v>
      </c>
      <c r="K1676" s="6" t="s">
        <v>60</v>
      </c>
      <c r="L1676" s="6" t="s">
        <v>131</v>
      </c>
      <c r="M1676" s="6" t="s">
        <v>7537</v>
      </c>
      <c r="N1676" s="6" t="s">
        <v>132</v>
      </c>
      <c r="O1676" s="36" t="s">
        <v>132</v>
      </c>
      <c r="P1676" s="36">
        <v>1.574839736E9</v>
      </c>
      <c r="Q1676" s="36" t="s">
        <v>7541</v>
      </c>
      <c r="R1676" s="6" t="s">
        <v>7542</v>
      </c>
    </row>
    <row r="1677">
      <c r="A1677" s="6" t="s">
        <v>7537</v>
      </c>
      <c r="B1677" s="6" t="s">
        <v>7537</v>
      </c>
      <c r="C1677" s="6">
        <v>68.0</v>
      </c>
      <c r="D1677" s="9" t="str">
        <f>HYPERLINK("https://www.linkedin.com/ad-library/detail/1574889176","Open Ad")</f>
        <v>Open Ad</v>
      </c>
      <c r="E1677" s="6" t="s">
        <v>7543</v>
      </c>
      <c r="F1677" s="6" t="s">
        <v>53</v>
      </c>
      <c r="G1677" s="6" t="s">
        <v>7565</v>
      </c>
      <c r="H1677" s="6" t="s">
        <v>55</v>
      </c>
      <c r="I1677" s="6" t="s">
        <v>7566</v>
      </c>
      <c r="J1677" s="6" t="s">
        <v>7546</v>
      </c>
      <c r="K1677" s="6" t="s">
        <v>60</v>
      </c>
      <c r="L1677" s="6" t="s">
        <v>131</v>
      </c>
      <c r="M1677" s="6" t="s">
        <v>7537</v>
      </c>
      <c r="N1677" s="6" t="s">
        <v>132</v>
      </c>
      <c r="O1677" s="36" t="s">
        <v>132</v>
      </c>
      <c r="P1677" s="36">
        <v>1.574889176E9</v>
      </c>
      <c r="Q1677" s="36" t="s">
        <v>7541</v>
      </c>
      <c r="R1677" s="6" t="s">
        <v>7542</v>
      </c>
    </row>
    <row r="1678">
      <c r="A1678" s="6" t="s">
        <v>7537</v>
      </c>
      <c r="B1678" s="6" t="s">
        <v>7537</v>
      </c>
      <c r="C1678" s="6">
        <v>69.0</v>
      </c>
      <c r="D1678" s="9" t="str">
        <f>HYPERLINK("https://www.linkedin.com/ad-library/detail/1567362676","Open Ad")</f>
        <v>Open Ad</v>
      </c>
      <c r="E1678" s="6" t="s">
        <v>7543</v>
      </c>
      <c r="F1678" s="6" t="s">
        <v>53</v>
      </c>
      <c r="G1678" s="6" t="s">
        <v>7544</v>
      </c>
      <c r="H1678" s="6" t="s">
        <v>55</v>
      </c>
      <c r="I1678" s="6" t="s">
        <v>7566</v>
      </c>
      <c r="J1678" s="6" t="s">
        <v>7546</v>
      </c>
      <c r="K1678" s="6" t="s">
        <v>60</v>
      </c>
      <c r="L1678" s="6" t="s">
        <v>131</v>
      </c>
      <c r="M1678" s="6" t="s">
        <v>7537</v>
      </c>
      <c r="N1678" s="6" t="s">
        <v>132</v>
      </c>
      <c r="O1678" s="36" t="s">
        <v>132</v>
      </c>
      <c r="P1678" s="36">
        <v>1.567362676E9</v>
      </c>
      <c r="Q1678" s="36" t="s">
        <v>7541</v>
      </c>
      <c r="R1678" s="6" t="s">
        <v>7542</v>
      </c>
    </row>
    <row r="1679">
      <c r="A1679" s="6" t="s">
        <v>7537</v>
      </c>
      <c r="B1679" s="6" t="s">
        <v>7537</v>
      </c>
      <c r="C1679" s="6">
        <v>70.0</v>
      </c>
      <c r="D1679" s="9" t="str">
        <f>HYPERLINK("https://www.linkedin.com/ad-library/detail/1574839776","Open Ad")</f>
        <v>Open Ad</v>
      </c>
      <c r="E1679" s="6" t="s">
        <v>7543</v>
      </c>
      <c r="F1679" s="6" t="s">
        <v>53</v>
      </c>
      <c r="G1679" s="6" t="s">
        <v>7565</v>
      </c>
      <c r="H1679" s="6" t="s">
        <v>55</v>
      </c>
      <c r="I1679" s="6" t="s">
        <v>7566</v>
      </c>
      <c r="J1679" s="6" t="s">
        <v>7546</v>
      </c>
      <c r="K1679" s="6" t="s">
        <v>60</v>
      </c>
      <c r="L1679" s="6" t="s">
        <v>131</v>
      </c>
      <c r="M1679" s="6" t="s">
        <v>7537</v>
      </c>
      <c r="N1679" s="6" t="s">
        <v>132</v>
      </c>
      <c r="O1679" s="36" t="s">
        <v>132</v>
      </c>
      <c r="P1679" s="36">
        <v>1.574839776E9</v>
      </c>
      <c r="Q1679" s="36" t="s">
        <v>7541</v>
      </c>
      <c r="R1679" s="6" t="s">
        <v>7542</v>
      </c>
    </row>
    <row r="1680">
      <c r="A1680" s="6" t="s">
        <v>7537</v>
      </c>
      <c r="B1680" s="6" t="s">
        <v>7537</v>
      </c>
      <c r="C1680" s="6">
        <v>71.0</v>
      </c>
      <c r="D1680" s="9" t="str">
        <f>HYPERLINK("https://www.linkedin.com/ad-library/detail/1574879506","Open Ad")</f>
        <v>Open Ad</v>
      </c>
      <c r="E1680" s="6" t="s">
        <v>7543</v>
      </c>
      <c r="F1680" s="6" t="s">
        <v>53</v>
      </c>
      <c r="G1680" s="6" t="s">
        <v>7565</v>
      </c>
      <c r="H1680" s="6" t="s">
        <v>55</v>
      </c>
      <c r="I1680" s="6" t="s">
        <v>7566</v>
      </c>
      <c r="J1680" s="6" t="s">
        <v>7546</v>
      </c>
      <c r="K1680" s="6" t="s">
        <v>60</v>
      </c>
      <c r="L1680" s="6" t="s">
        <v>131</v>
      </c>
      <c r="M1680" s="6" t="s">
        <v>7537</v>
      </c>
      <c r="N1680" s="6" t="s">
        <v>132</v>
      </c>
      <c r="O1680" s="36" t="s">
        <v>132</v>
      </c>
      <c r="P1680" s="36">
        <v>1.574879506E9</v>
      </c>
      <c r="Q1680" s="36" t="s">
        <v>7541</v>
      </c>
      <c r="R1680" s="6" t="s">
        <v>7542</v>
      </c>
    </row>
    <row r="1681">
      <c r="A1681" s="6" t="s">
        <v>7537</v>
      </c>
      <c r="B1681" s="6" t="s">
        <v>7537</v>
      </c>
      <c r="C1681" s="6">
        <v>72.0</v>
      </c>
      <c r="D1681" s="9" t="str">
        <f>HYPERLINK("https://www.linkedin.com/ad-library/detail/1567479896","Open Ad")</f>
        <v>Open Ad</v>
      </c>
      <c r="E1681" s="6" t="s">
        <v>7543</v>
      </c>
      <c r="F1681" s="6" t="s">
        <v>53</v>
      </c>
      <c r="G1681" s="6" t="s">
        <v>7572</v>
      </c>
      <c r="H1681" s="6" t="s">
        <v>55</v>
      </c>
      <c r="I1681" s="6" t="s">
        <v>7566</v>
      </c>
      <c r="J1681" s="6" t="s">
        <v>7546</v>
      </c>
      <c r="K1681" s="6" t="s">
        <v>60</v>
      </c>
      <c r="L1681" s="6" t="s">
        <v>131</v>
      </c>
      <c r="M1681" s="6" t="s">
        <v>7537</v>
      </c>
      <c r="N1681" s="6" t="s">
        <v>132</v>
      </c>
      <c r="O1681" s="36" t="s">
        <v>132</v>
      </c>
      <c r="P1681" s="36">
        <v>1.567479896E9</v>
      </c>
      <c r="Q1681" s="36" t="s">
        <v>7541</v>
      </c>
      <c r="R1681" s="6" t="s">
        <v>7542</v>
      </c>
    </row>
    <row r="1682">
      <c r="A1682" s="6" t="s">
        <v>7537</v>
      </c>
      <c r="B1682" s="6" t="s">
        <v>7537</v>
      </c>
      <c r="C1682" s="6">
        <v>73.0</v>
      </c>
      <c r="D1682" s="9" t="str">
        <f>HYPERLINK("https://www.linkedin.com/ad-library/detail/1567342456","Open Ad")</f>
        <v>Open Ad</v>
      </c>
      <c r="E1682" s="6" t="s">
        <v>7543</v>
      </c>
      <c r="F1682" s="6" t="s">
        <v>53</v>
      </c>
      <c r="G1682" s="6" t="s">
        <v>7544</v>
      </c>
      <c r="H1682" s="6" t="s">
        <v>55</v>
      </c>
      <c r="I1682" s="6" t="s">
        <v>7566</v>
      </c>
      <c r="J1682" s="6" t="s">
        <v>7546</v>
      </c>
      <c r="K1682" s="6" t="s">
        <v>60</v>
      </c>
      <c r="L1682" s="6" t="s">
        <v>131</v>
      </c>
      <c r="M1682" s="6" t="s">
        <v>7537</v>
      </c>
      <c r="N1682" s="6" t="s">
        <v>132</v>
      </c>
      <c r="O1682" s="36" t="s">
        <v>132</v>
      </c>
      <c r="P1682" s="36">
        <v>1.567342456E9</v>
      </c>
      <c r="Q1682" s="36" t="s">
        <v>7541</v>
      </c>
      <c r="R1682" s="6" t="s">
        <v>7542</v>
      </c>
    </row>
    <row r="1683">
      <c r="A1683" s="6" t="s">
        <v>7537</v>
      </c>
      <c r="B1683" s="6" t="s">
        <v>7537</v>
      </c>
      <c r="C1683" s="6">
        <v>74.0</v>
      </c>
      <c r="D1683" s="9" t="str">
        <f>HYPERLINK("https://www.linkedin.com/ad-library/detail/1567342346","Open Ad")</f>
        <v>Open Ad</v>
      </c>
      <c r="E1683" s="6" t="s">
        <v>91</v>
      </c>
      <c r="F1683" s="6" t="s">
        <v>53</v>
      </c>
      <c r="G1683" s="6" t="s">
        <v>7573</v>
      </c>
      <c r="H1683" s="6" t="s">
        <v>55</v>
      </c>
      <c r="I1683" s="6" t="s">
        <v>7566</v>
      </c>
      <c r="J1683" s="6" t="s">
        <v>91</v>
      </c>
      <c r="K1683" s="6" t="s">
        <v>60</v>
      </c>
      <c r="L1683" s="6" t="s">
        <v>131</v>
      </c>
      <c r="M1683" s="6" t="s">
        <v>7537</v>
      </c>
      <c r="N1683" s="6" t="s">
        <v>132</v>
      </c>
      <c r="O1683" s="36" t="s">
        <v>132</v>
      </c>
      <c r="P1683" s="36">
        <v>1.567342346E9</v>
      </c>
      <c r="Q1683" s="36" t="s">
        <v>7541</v>
      </c>
      <c r="R1683" s="6" t="s">
        <v>7542</v>
      </c>
    </row>
    <row r="1684">
      <c r="A1684" s="6" t="s">
        <v>7537</v>
      </c>
      <c r="B1684" s="6" t="s">
        <v>7537</v>
      </c>
      <c r="C1684" s="6">
        <v>75.0</v>
      </c>
      <c r="D1684" s="9" t="str">
        <f>HYPERLINK("https://www.linkedin.com/ad-library/detail/1567210676","Open Ad")</f>
        <v>Open Ad</v>
      </c>
      <c r="E1684" s="6" t="s">
        <v>154</v>
      </c>
      <c r="F1684" s="6" t="s">
        <v>53</v>
      </c>
      <c r="G1684" s="6" t="s">
        <v>7574</v>
      </c>
      <c r="H1684" s="6" t="s">
        <v>55</v>
      </c>
      <c r="I1684" s="6" t="s">
        <v>7566</v>
      </c>
      <c r="J1684" s="6" t="s">
        <v>154</v>
      </c>
      <c r="K1684" s="9" t="str">
        <f>HYPERLINK("https://dms.licdn.com/playlist/vid/v2/D5610AQEYMxfT9huYsg/mp4-640p-30fp-crf28/B56Z9r5IasLABI-/0/1784221579230?e=2147483647&amp;v=beta&amp;t=wqawh6PBQUrCJZJ-XscUNS7gfMgItz12cEfcJuVzzWI","Open Creative")</f>
        <v>Open Creative</v>
      </c>
      <c r="L1684" s="6" t="s">
        <v>131</v>
      </c>
      <c r="M1684" s="6" t="s">
        <v>7537</v>
      </c>
      <c r="N1684" s="6" t="s">
        <v>132</v>
      </c>
      <c r="O1684" s="36" t="s">
        <v>132</v>
      </c>
      <c r="P1684" s="36">
        <v>1.567210676E9</v>
      </c>
      <c r="Q1684" s="36" t="s">
        <v>7541</v>
      </c>
      <c r="R1684" s="6" t="s">
        <v>7542</v>
      </c>
    </row>
    <row r="1685">
      <c r="A1685" s="6" t="s">
        <v>7537</v>
      </c>
      <c r="B1685" s="6" t="s">
        <v>7537</v>
      </c>
      <c r="C1685" s="6">
        <v>76.0</v>
      </c>
      <c r="D1685" s="9" t="str">
        <f>HYPERLINK("https://www.linkedin.com/ad-library/detail/1567282776","Open Ad")</f>
        <v>Open Ad</v>
      </c>
      <c r="E1685" s="6" t="s">
        <v>7543</v>
      </c>
      <c r="F1685" s="6" t="s">
        <v>53</v>
      </c>
      <c r="G1685" s="6" t="s">
        <v>7552</v>
      </c>
      <c r="H1685" s="6" t="s">
        <v>55</v>
      </c>
      <c r="I1685" s="6" t="s">
        <v>7566</v>
      </c>
      <c r="J1685" s="6" t="s">
        <v>7546</v>
      </c>
      <c r="K1685" s="6" t="s">
        <v>60</v>
      </c>
      <c r="L1685" s="6" t="s">
        <v>131</v>
      </c>
      <c r="M1685" s="6" t="s">
        <v>7537</v>
      </c>
      <c r="N1685" s="6" t="s">
        <v>132</v>
      </c>
      <c r="O1685" s="36" t="s">
        <v>132</v>
      </c>
      <c r="P1685" s="36">
        <v>1.567282776E9</v>
      </c>
      <c r="Q1685" s="36" t="s">
        <v>7541</v>
      </c>
      <c r="R1685" s="6" t="s">
        <v>7542</v>
      </c>
    </row>
    <row r="1686">
      <c r="A1686" s="6" t="s">
        <v>7537</v>
      </c>
      <c r="B1686" s="6" t="s">
        <v>7537</v>
      </c>
      <c r="C1686" s="6">
        <v>77.0</v>
      </c>
      <c r="D1686" s="9" t="str">
        <f>HYPERLINK("https://www.linkedin.com/ad-library/detail/1567260616","Open Ad")</f>
        <v>Open Ad</v>
      </c>
      <c r="E1686" s="6" t="s">
        <v>91</v>
      </c>
      <c r="F1686" s="6" t="s">
        <v>53</v>
      </c>
      <c r="G1686" s="6" t="s">
        <v>7575</v>
      </c>
      <c r="H1686" s="6" t="s">
        <v>55</v>
      </c>
      <c r="I1686" s="6" t="s">
        <v>7566</v>
      </c>
      <c r="J1686" s="6" t="s">
        <v>91</v>
      </c>
      <c r="K1686" s="6" t="s">
        <v>60</v>
      </c>
      <c r="L1686" s="6" t="s">
        <v>131</v>
      </c>
      <c r="M1686" s="6" t="s">
        <v>7537</v>
      </c>
      <c r="N1686" s="6" t="s">
        <v>132</v>
      </c>
      <c r="O1686" s="36" t="s">
        <v>132</v>
      </c>
      <c r="P1686" s="36">
        <v>1.567260616E9</v>
      </c>
      <c r="Q1686" s="36" t="s">
        <v>7541</v>
      </c>
      <c r="R1686" s="6" t="s">
        <v>7542</v>
      </c>
    </row>
    <row r="1687">
      <c r="A1687" s="6" t="s">
        <v>7537</v>
      </c>
      <c r="B1687" s="6" t="s">
        <v>7537</v>
      </c>
      <c r="C1687" s="6">
        <v>78.0</v>
      </c>
      <c r="D1687" s="9" t="str">
        <f>HYPERLINK("https://www.linkedin.com/ad-library/detail/1567320776","Open Ad")</f>
        <v>Open Ad</v>
      </c>
      <c r="E1687" s="6" t="s">
        <v>91</v>
      </c>
      <c r="F1687" s="6" t="s">
        <v>53</v>
      </c>
      <c r="G1687" s="6" t="s">
        <v>7576</v>
      </c>
      <c r="H1687" s="6" t="s">
        <v>55</v>
      </c>
      <c r="I1687" s="6" t="s">
        <v>7566</v>
      </c>
      <c r="J1687" s="6" t="s">
        <v>91</v>
      </c>
      <c r="K1687" s="6" t="s">
        <v>60</v>
      </c>
      <c r="L1687" s="6" t="s">
        <v>131</v>
      </c>
      <c r="M1687" s="6" t="s">
        <v>7537</v>
      </c>
      <c r="N1687" s="6" t="s">
        <v>132</v>
      </c>
      <c r="O1687" s="36" t="s">
        <v>132</v>
      </c>
      <c r="P1687" s="36">
        <v>1.567320776E9</v>
      </c>
      <c r="Q1687" s="36" t="s">
        <v>7541</v>
      </c>
      <c r="R1687" s="6" t="s">
        <v>7542</v>
      </c>
    </row>
    <row r="1688">
      <c r="A1688" s="6" t="s">
        <v>7537</v>
      </c>
      <c r="B1688" s="6" t="s">
        <v>7537</v>
      </c>
      <c r="C1688" s="6">
        <v>79.0</v>
      </c>
      <c r="D1688" s="9" t="str">
        <f>HYPERLINK("https://www.linkedin.com/ad-library/detail/1567252286","Open Ad")</f>
        <v>Open Ad</v>
      </c>
      <c r="E1688" s="6" t="s">
        <v>91</v>
      </c>
      <c r="F1688" s="6" t="s">
        <v>53</v>
      </c>
      <c r="G1688" s="6" t="s">
        <v>7577</v>
      </c>
      <c r="H1688" s="6" t="s">
        <v>55</v>
      </c>
      <c r="I1688" s="6" t="s">
        <v>7566</v>
      </c>
      <c r="J1688" s="6" t="s">
        <v>91</v>
      </c>
      <c r="K1688" s="6" t="s">
        <v>60</v>
      </c>
      <c r="L1688" s="6" t="s">
        <v>131</v>
      </c>
      <c r="M1688" s="6" t="s">
        <v>7537</v>
      </c>
      <c r="N1688" s="6" t="s">
        <v>132</v>
      </c>
      <c r="O1688" s="36" t="s">
        <v>132</v>
      </c>
      <c r="P1688" s="36">
        <v>1.567252286E9</v>
      </c>
      <c r="Q1688" s="36" t="s">
        <v>7541</v>
      </c>
      <c r="R1688" s="6" t="s">
        <v>7542</v>
      </c>
    </row>
    <row r="1689">
      <c r="A1689" s="6" t="s">
        <v>7537</v>
      </c>
      <c r="B1689" s="6" t="s">
        <v>7537</v>
      </c>
      <c r="C1689" s="6">
        <v>80.0</v>
      </c>
      <c r="D1689" s="9" t="str">
        <f>HYPERLINK("https://www.linkedin.com/ad-library/detail/1567400596","Open Ad")</f>
        <v>Open Ad</v>
      </c>
      <c r="E1689" s="6" t="s">
        <v>91</v>
      </c>
      <c r="F1689" s="6" t="s">
        <v>53</v>
      </c>
      <c r="G1689" s="6" t="s">
        <v>7575</v>
      </c>
      <c r="H1689" s="6" t="s">
        <v>55</v>
      </c>
      <c r="I1689" s="6" t="s">
        <v>7566</v>
      </c>
      <c r="J1689" s="6" t="s">
        <v>91</v>
      </c>
      <c r="K1689" s="6" t="s">
        <v>60</v>
      </c>
      <c r="L1689" s="6" t="s">
        <v>131</v>
      </c>
      <c r="M1689" s="6" t="s">
        <v>7537</v>
      </c>
      <c r="N1689" s="6" t="s">
        <v>132</v>
      </c>
      <c r="O1689" s="36" t="s">
        <v>132</v>
      </c>
      <c r="P1689" s="36">
        <v>1.567400596E9</v>
      </c>
      <c r="Q1689" s="36" t="s">
        <v>7541</v>
      </c>
      <c r="R1689" s="6" t="s">
        <v>7542</v>
      </c>
    </row>
    <row r="1690">
      <c r="A1690" s="6" t="s">
        <v>7537</v>
      </c>
      <c r="B1690" s="6" t="s">
        <v>7537</v>
      </c>
      <c r="C1690" s="6">
        <v>81.0</v>
      </c>
      <c r="D1690" s="9" t="str">
        <f>HYPERLINK("https://www.linkedin.com/ad-library/detail/1567300866","Open Ad")</f>
        <v>Open Ad</v>
      </c>
      <c r="E1690" s="6" t="s">
        <v>91</v>
      </c>
      <c r="F1690" s="6" t="s">
        <v>53</v>
      </c>
      <c r="G1690" s="6" t="s">
        <v>7578</v>
      </c>
      <c r="H1690" s="6" t="s">
        <v>55</v>
      </c>
      <c r="I1690" s="6" t="s">
        <v>7566</v>
      </c>
      <c r="J1690" s="6" t="s">
        <v>91</v>
      </c>
      <c r="K1690" s="6" t="s">
        <v>60</v>
      </c>
      <c r="L1690" s="6" t="s">
        <v>131</v>
      </c>
      <c r="M1690" s="6" t="s">
        <v>7537</v>
      </c>
      <c r="N1690" s="6" t="s">
        <v>132</v>
      </c>
      <c r="O1690" s="36" t="s">
        <v>132</v>
      </c>
      <c r="P1690" s="36">
        <v>1.567300866E9</v>
      </c>
      <c r="Q1690" s="36" t="s">
        <v>7541</v>
      </c>
      <c r="R1690" s="6" t="s">
        <v>7542</v>
      </c>
    </row>
    <row r="1691">
      <c r="A1691" s="6" t="s">
        <v>7537</v>
      </c>
      <c r="B1691" s="6" t="s">
        <v>7537</v>
      </c>
      <c r="C1691" s="6">
        <v>82.0</v>
      </c>
      <c r="D1691" s="9" t="str">
        <f>HYPERLINK("https://www.linkedin.com/ad-library/detail/1567302966","Open Ad")</f>
        <v>Open Ad</v>
      </c>
      <c r="E1691" s="6" t="s">
        <v>7543</v>
      </c>
      <c r="F1691" s="6" t="s">
        <v>53</v>
      </c>
      <c r="G1691" s="6" t="s">
        <v>7552</v>
      </c>
      <c r="H1691" s="6" t="s">
        <v>55</v>
      </c>
      <c r="I1691" s="6" t="s">
        <v>7566</v>
      </c>
      <c r="J1691" s="6" t="s">
        <v>7546</v>
      </c>
      <c r="K1691" s="6" t="s">
        <v>60</v>
      </c>
      <c r="L1691" s="6" t="s">
        <v>131</v>
      </c>
      <c r="M1691" s="6" t="s">
        <v>7537</v>
      </c>
      <c r="N1691" s="6" t="s">
        <v>132</v>
      </c>
      <c r="O1691" s="36" t="s">
        <v>132</v>
      </c>
      <c r="P1691" s="36">
        <v>1.567302966E9</v>
      </c>
      <c r="Q1691" s="36" t="s">
        <v>7541</v>
      </c>
      <c r="R1691" s="6" t="s">
        <v>7542</v>
      </c>
    </row>
    <row r="1692">
      <c r="A1692" s="6" t="s">
        <v>7537</v>
      </c>
      <c r="B1692" s="6" t="s">
        <v>7537</v>
      </c>
      <c r="C1692" s="6">
        <v>83.0</v>
      </c>
      <c r="D1692" s="9" t="str">
        <f>HYPERLINK("https://www.linkedin.com/ad-library/detail/1567300876","Open Ad")</f>
        <v>Open Ad</v>
      </c>
      <c r="E1692" s="6" t="s">
        <v>91</v>
      </c>
      <c r="F1692" s="6" t="s">
        <v>53</v>
      </c>
      <c r="G1692" s="6" t="s">
        <v>7576</v>
      </c>
      <c r="H1692" s="6" t="s">
        <v>55</v>
      </c>
      <c r="I1692" s="6" t="s">
        <v>7566</v>
      </c>
      <c r="J1692" s="6" t="s">
        <v>91</v>
      </c>
      <c r="K1692" s="6" t="s">
        <v>60</v>
      </c>
      <c r="L1692" s="6" t="s">
        <v>131</v>
      </c>
      <c r="M1692" s="6" t="s">
        <v>7537</v>
      </c>
      <c r="N1692" s="6" t="s">
        <v>132</v>
      </c>
      <c r="O1692" s="36" t="s">
        <v>132</v>
      </c>
      <c r="P1692" s="36">
        <v>1.567300876E9</v>
      </c>
      <c r="Q1692" s="36" t="s">
        <v>7541</v>
      </c>
      <c r="R1692" s="6" t="s">
        <v>7542</v>
      </c>
    </row>
    <row r="1693">
      <c r="A1693" s="6" t="s">
        <v>7537</v>
      </c>
      <c r="B1693" s="6" t="s">
        <v>7537</v>
      </c>
      <c r="C1693" s="6">
        <v>84.0</v>
      </c>
      <c r="D1693" s="9" t="str">
        <f>HYPERLINK("https://www.linkedin.com/ad-library/detail/1567392566","Open Ad")</f>
        <v>Open Ad</v>
      </c>
      <c r="E1693" s="6" t="s">
        <v>7543</v>
      </c>
      <c r="F1693" s="6" t="s">
        <v>53</v>
      </c>
      <c r="G1693" s="6" t="s">
        <v>7552</v>
      </c>
      <c r="H1693" s="6" t="s">
        <v>55</v>
      </c>
      <c r="I1693" s="6" t="s">
        <v>7566</v>
      </c>
      <c r="J1693" s="6" t="s">
        <v>7546</v>
      </c>
      <c r="K1693" s="6" t="s">
        <v>60</v>
      </c>
      <c r="L1693" s="6" t="s">
        <v>131</v>
      </c>
      <c r="M1693" s="6" t="s">
        <v>7537</v>
      </c>
      <c r="N1693" s="6" t="s">
        <v>132</v>
      </c>
      <c r="O1693" s="36" t="s">
        <v>132</v>
      </c>
      <c r="P1693" s="36">
        <v>1.567392566E9</v>
      </c>
      <c r="Q1693" s="36" t="s">
        <v>7541</v>
      </c>
      <c r="R1693" s="6" t="s">
        <v>7542</v>
      </c>
    </row>
    <row r="1694">
      <c r="A1694" s="6" t="s">
        <v>7537</v>
      </c>
      <c r="B1694" s="6" t="s">
        <v>7537</v>
      </c>
      <c r="C1694" s="6">
        <v>85.0</v>
      </c>
      <c r="D1694" s="9" t="str">
        <f>HYPERLINK("https://www.linkedin.com/ad-library/detail/1567250616","Open Ad")</f>
        <v>Open Ad</v>
      </c>
      <c r="E1694" s="6" t="s">
        <v>91</v>
      </c>
      <c r="F1694" s="6" t="s">
        <v>53</v>
      </c>
      <c r="G1694" s="6" t="s">
        <v>7578</v>
      </c>
      <c r="H1694" s="6" t="s">
        <v>55</v>
      </c>
      <c r="I1694" s="6" t="s">
        <v>7566</v>
      </c>
      <c r="J1694" s="6" t="s">
        <v>91</v>
      </c>
      <c r="K1694" s="6" t="s">
        <v>60</v>
      </c>
      <c r="L1694" s="6" t="s">
        <v>131</v>
      </c>
      <c r="M1694" s="6" t="s">
        <v>7537</v>
      </c>
      <c r="N1694" s="6" t="s">
        <v>132</v>
      </c>
      <c r="O1694" s="36" t="s">
        <v>132</v>
      </c>
      <c r="P1694" s="36">
        <v>1.567250616E9</v>
      </c>
      <c r="Q1694" s="36" t="s">
        <v>7541</v>
      </c>
      <c r="R1694" s="6" t="s">
        <v>7542</v>
      </c>
    </row>
    <row r="1695">
      <c r="A1695" s="6" t="s">
        <v>7537</v>
      </c>
      <c r="B1695" s="6" t="s">
        <v>7537</v>
      </c>
      <c r="C1695" s="6">
        <v>86.0</v>
      </c>
      <c r="D1695" s="9" t="str">
        <f>HYPERLINK("https://www.linkedin.com/ad-library/detail/1567293016","Open Ad")</f>
        <v>Open Ad</v>
      </c>
      <c r="E1695" s="6" t="s">
        <v>7543</v>
      </c>
      <c r="F1695" s="6" t="s">
        <v>53</v>
      </c>
      <c r="G1695" s="6" t="s">
        <v>7552</v>
      </c>
      <c r="H1695" s="6" t="s">
        <v>55</v>
      </c>
      <c r="I1695" s="6" t="s">
        <v>7566</v>
      </c>
      <c r="J1695" s="6" t="s">
        <v>7546</v>
      </c>
      <c r="K1695" s="6" t="s">
        <v>60</v>
      </c>
      <c r="L1695" s="6" t="s">
        <v>131</v>
      </c>
      <c r="M1695" s="6" t="s">
        <v>7537</v>
      </c>
      <c r="N1695" s="6" t="s">
        <v>132</v>
      </c>
      <c r="O1695" s="36" t="s">
        <v>132</v>
      </c>
      <c r="P1695" s="36">
        <v>1.567293016E9</v>
      </c>
      <c r="Q1695" s="36" t="s">
        <v>7541</v>
      </c>
      <c r="R1695" s="6" t="s">
        <v>7542</v>
      </c>
    </row>
    <row r="1696">
      <c r="A1696" s="6" t="s">
        <v>7537</v>
      </c>
      <c r="B1696" s="6" t="s">
        <v>7537</v>
      </c>
      <c r="C1696" s="6">
        <v>87.0</v>
      </c>
      <c r="D1696" s="9" t="str">
        <f>HYPERLINK("https://www.linkedin.com/ad-library/detail/1567410496","Open Ad")</f>
        <v>Open Ad</v>
      </c>
      <c r="E1696" s="6" t="s">
        <v>91</v>
      </c>
      <c r="F1696" s="6" t="s">
        <v>53</v>
      </c>
      <c r="G1696" s="6" t="s">
        <v>7576</v>
      </c>
      <c r="H1696" s="6" t="s">
        <v>55</v>
      </c>
      <c r="I1696" s="6" t="s">
        <v>7566</v>
      </c>
      <c r="J1696" s="6" t="s">
        <v>91</v>
      </c>
      <c r="K1696" s="6" t="s">
        <v>60</v>
      </c>
      <c r="L1696" s="6" t="s">
        <v>131</v>
      </c>
      <c r="M1696" s="6" t="s">
        <v>7537</v>
      </c>
      <c r="N1696" s="6" t="s">
        <v>132</v>
      </c>
      <c r="O1696" s="36" t="s">
        <v>132</v>
      </c>
      <c r="P1696" s="36">
        <v>1.567410496E9</v>
      </c>
      <c r="Q1696" s="36" t="s">
        <v>7541</v>
      </c>
      <c r="R1696" s="6" t="s">
        <v>7542</v>
      </c>
    </row>
    <row r="1697">
      <c r="A1697" s="6" t="s">
        <v>7537</v>
      </c>
      <c r="B1697" s="6" t="s">
        <v>7537</v>
      </c>
      <c r="C1697" s="6">
        <v>88.0</v>
      </c>
      <c r="D1697" s="9" t="str">
        <f>HYPERLINK("https://www.linkedin.com/ad-library/detail/1567222866","Open Ad")</f>
        <v>Open Ad</v>
      </c>
      <c r="E1697" s="6" t="s">
        <v>7543</v>
      </c>
      <c r="F1697" s="6" t="s">
        <v>53</v>
      </c>
      <c r="G1697" s="6" t="s">
        <v>7544</v>
      </c>
      <c r="H1697" s="6" t="s">
        <v>55</v>
      </c>
      <c r="I1697" s="6" t="s">
        <v>7566</v>
      </c>
      <c r="J1697" s="6" t="s">
        <v>7546</v>
      </c>
      <c r="K1697" s="6" t="s">
        <v>60</v>
      </c>
      <c r="L1697" s="6" t="s">
        <v>131</v>
      </c>
      <c r="M1697" s="6" t="s">
        <v>7537</v>
      </c>
      <c r="N1697" s="6" t="s">
        <v>132</v>
      </c>
      <c r="O1697" s="36" t="s">
        <v>132</v>
      </c>
      <c r="P1697" s="36">
        <v>1.567222866E9</v>
      </c>
      <c r="Q1697" s="36" t="s">
        <v>7541</v>
      </c>
      <c r="R1697" s="6" t="s">
        <v>7542</v>
      </c>
    </row>
    <row r="1698">
      <c r="A1698" s="6" t="s">
        <v>7537</v>
      </c>
      <c r="B1698" s="6" t="s">
        <v>7537</v>
      </c>
      <c r="C1698" s="6">
        <v>89.0</v>
      </c>
      <c r="D1698" s="9" t="str">
        <f>HYPERLINK("https://www.linkedin.com/ad-library/detail/1567292886","Open Ad")</f>
        <v>Open Ad</v>
      </c>
      <c r="E1698" s="6" t="s">
        <v>91</v>
      </c>
      <c r="F1698" s="6" t="s">
        <v>53</v>
      </c>
      <c r="G1698" s="6" t="s">
        <v>7577</v>
      </c>
      <c r="H1698" s="6" t="s">
        <v>55</v>
      </c>
      <c r="I1698" s="6" t="s">
        <v>7566</v>
      </c>
      <c r="J1698" s="6" t="s">
        <v>91</v>
      </c>
      <c r="K1698" s="6" t="s">
        <v>60</v>
      </c>
      <c r="L1698" s="6" t="s">
        <v>131</v>
      </c>
      <c r="M1698" s="6" t="s">
        <v>7537</v>
      </c>
      <c r="N1698" s="6" t="s">
        <v>132</v>
      </c>
      <c r="O1698" s="36" t="s">
        <v>132</v>
      </c>
      <c r="P1698" s="36">
        <v>1.567292886E9</v>
      </c>
      <c r="Q1698" s="36" t="s">
        <v>7541</v>
      </c>
      <c r="R1698" s="6" t="s">
        <v>7542</v>
      </c>
    </row>
    <row r="1699">
      <c r="A1699" s="6" t="s">
        <v>7537</v>
      </c>
      <c r="B1699" s="6" t="s">
        <v>7537</v>
      </c>
      <c r="C1699" s="6">
        <v>90.0</v>
      </c>
      <c r="D1699" s="9" t="str">
        <f>HYPERLINK("https://www.linkedin.com/ad-library/detail/1567280806","Open Ad")</f>
        <v>Open Ad</v>
      </c>
      <c r="E1699" s="6" t="s">
        <v>91</v>
      </c>
      <c r="F1699" s="6" t="s">
        <v>53</v>
      </c>
      <c r="G1699" s="6" t="s">
        <v>7575</v>
      </c>
      <c r="H1699" s="6" t="s">
        <v>55</v>
      </c>
      <c r="I1699" s="6" t="s">
        <v>7566</v>
      </c>
      <c r="J1699" s="6" t="s">
        <v>91</v>
      </c>
      <c r="K1699" s="6" t="s">
        <v>60</v>
      </c>
      <c r="L1699" s="6" t="s">
        <v>131</v>
      </c>
      <c r="M1699" s="6" t="s">
        <v>7537</v>
      </c>
      <c r="N1699" s="6" t="s">
        <v>132</v>
      </c>
      <c r="O1699" s="36" t="s">
        <v>132</v>
      </c>
      <c r="P1699" s="36">
        <v>1.567280806E9</v>
      </c>
      <c r="Q1699" s="36" t="s">
        <v>7541</v>
      </c>
      <c r="R1699" s="6" t="s">
        <v>7542</v>
      </c>
    </row>
    <row r="1700">
      <c r="A1700" s="6" t="s">
        <v>7537</v>
      </c>
      <c r="B1700" s="6" t="s">
        <v>7537</v>
      </c>
      <c r="C1700" s="6">
        <v>91.0</v>
      </c>
      <c r="D1700" s="9" t="str">
        <f>HYPERLINK("https://www.linkedin.com/ad-library/detail/1567232906","Open Ad")</f>
        <v>Open Ad</v>
      </c>
      <c r="E1700" s="6" t="s">
        <v>7543</v>
      </c>
      <c r="F1700" s="6" t="s">
        <v>53</v>
      </c>
      <c r="G1700" s="6" t="s">
        <v>7544</v>
      </c>
      <c r="H1700" s="6" t="s">
        <v>55</v>
      </c>
      <c r="I1700" s="6" t="s">
        <v>7566</v>
      </c>
      <c r="J1700" s="6" t="s">
        <v>7546</v>
      </c>
      <c r="K1700" s="6" t="s">
        <v>60</v>
      </c>
      <c r="L1700" s="6" t="s">
        <v>131</v>
      </c>
      <c r="M1700" s="6" t="s">
        <v>7537</v>
      </c>
      <c r="N1700" s="6" t="s">
        <v>132</v>
      </c>
      <c r="O1700" s="36" t="s">
        <v>132</v>
      </c>
      <c r="P1700" s="36">
        <v>1.567232906E9</v>
      </c>
      <c r="Q1700" s="36" t="s">
        <v>7541</v>
      </c>
      <c r="R1700" s="6" t="s">
        <v>7542</v>
      </c>
    </row>
    <row r="1701">
      <c r="A1701" s="6" t="s">
        <v>7537</v>
      </c>
      <c r="B1701" s="6" t="s">
        <v>7537</v>
      </c>
      <c r="C1701" s="6">
        <v>92.0</v>
      </c>
      <c r="D1701" s="9" t="str">
        <f>HYPERLINK("https://www.linkedin.com/ad-library/detail/1567412576","Open Ad")</f>
        <v>Open Ad</v>
      </c>
      <c r="E1701" s="6" t="s">
        <v>91</v>
      </c>
      <c r="F1701" s="6" t="s">
        <v>53</v>
      </c>
      <c r="G1701" s="6" t="s">
        <v>7573</v>
      </c>
      <c r="H1701" s="6" t="s">
        <v>55</v>
      </c>
      <c r="I1701" s="6" t="s">
        <v>7566</v>
      </c>
      <c r="J1701" s="6" t="s">
        <v>91</v>
      </c>
      <c r="K1701" s="6" t="s">
        <v>60</v>
      </c>
      <c r="L1701" s="6" t="s">
        <v>131</v>
      </c>
      <c r="M1701" s="6" t="s">
        <v>7537</v>
      </c>
      <c r="N1701" s="6" t="s">
        <v>132</v>
      </c>
      <c r="O1701" s="36" t="s">
        <v>132</v>
      </c>
      <c r="P1701" s="36">
        <v>1.567412576E9</v>
      </c>
      <c r="Q1701" s="36" t="s">
        <v>7541</v>
      </c>
      <c r="R1701" s="6" t="s">
        <v>7542</v>
      </c>
    </row>
    <row r="1702">
      <c r="A1702" s="6" t="s">
        <v>7537</v>
      </c>
      <c r="B1702" s="6" t="s">
        <v>7537</v>
      </c>
      <c r="C1702" s="6">
        <v>93.0</v>
      </c>
      <c r="D1702" s="9" t="str">
        <f>HYPERLINK("https://www.linkedin.com/ad-library/detail/1567432676","Open Ad")</f>
        <v>Open Ad</v>
      </c>
      <c r="E1702" s="6" t="s">
        <v>91</v>
      </c>
      <c r="F1702" s="6" t="s">
        <v>53</v>
      </c>
      <c r="G1702" s="6" t="s">
        <v>7573</v>
      </c>
      <c r="H1702" s="6" t="s">
        <v>55</v>
      </c>
      <c r="I1702" s="6" t="s">
        <v>7566</v>
      </c>
      <c r="J1702" s="6" t="s">
        <v>91</v>
      </c>
      <c r="K1702" s="6" t="s">
        <v>60</v>
      </c>
      <c r="L1702" s="6" t="s">
        <v>131</v>
      </c>
      <c r="M1702" s="6" t="s">
        <v>7537</v>
      </c>
      <c r="N1702" s="6" t="s">
        <v>132</v>
      </c>
      <c r="O1702" s="36" t="s">
        <v>132</v>
      </c>
      <c r="P1702" s="36">
        <v>1.567432676E9</v>
      </c>
      <c r="Q1702" s="36" t="s">
        <v>7541</v>
      </c>
      <c r="R1702" s="6" t="s">
        <v>7542</v>
      </c>
    </row>
    <row r="1703">
      <c r="A1703" s="6" t="s">
        <v>7537</v>
      </c>
      <c r="B1703" s="6" t="s">
        <v>7537</v>
      </c>
      <c r="C1703" s="6">
        <v>94.0</v>
      </c>
      <c r="D1703" s="9" t="str">
        <f>HYPERLINK("https://www.linkedin.com/ad-library/detail/1567201406","Open Ad")</f>
        <v>Open Ad</v>
      </c>
      <c r="E1703" s="6" t="s">
        <v>91</v>
      </c>
      <c r="F1703" s="6" t="s">
        <v>53</v>
      </c>
      <c r="G1703" s="6" t="s">
        <v>7578</v>
      </c>
      <c r="H1703" s="6" t="s">
        <v>55</v>
      </c>
      <c r="I1703" s="6" t="s">
        <v>7566</v>
      </c>
      <c r="J1703" s="6" t="s">
        <v>91</v>
      </c>
      <c r="K1703" s="6" t="s">
        <v>60</v>
      </c>
      <c r="L1703" s="6" t="s">
        <v>131</v>
      </c>
      <c r="M1703" s="6" t="s">
        <v>7537</v>
      </c>
      <c r="N1703" s="6" t="s">
        <v>132</v>
      </c>
      <c r="O1703" s="36" t="s">
        <v>132</v>
      </c>
      <c r="P1703" s="36">
        <v>1.567201406E9</v>
      </c>
      <c r="Q1703" s="36" t="s">
        <v>7541</v>
      </c>
      <c r="R1703" s="6" t="s">
        <v>7542</v>
      </c>
    </row>
    <row r="1704">
      <c r="A1704" s="6" t="s">
        <v>7537</v>
      </c>
      <c r="B1704" s="6" t="s">
        <v>7537</v>
      </c>
      <c r="C1704" s="6">
        <v>95.0</v>
      </c>
      <c r="D1704" s="9" t="str">
        <f>HYPERLINK("https://www.linkedin.com/ad-library/detail/1567382786","Open Ad")</f>
        <v>Open Ad</v>
      </c>
      <c r="E1704" s="6" t="s">
        <v>7543</v>
      </c>
      <c r="F1704" s="6" t="s">
        <v>53</v>
      </c>
      <c r="G1704" s="6" t="s">
        <v>7544</v>
      </c>
      <c r="H1704" s="6" t="s">
        <v>55</v>
      </c>
      <c r="I1704" s="6" t="s">
        <v>7566</v>
      </c>
      <c r="J1704" s="6" t="s">
        <v>7546</v>
      </c>
      <c r="K1704" s="6" t="s">
        <v>60</v>
      </c>
      <c r="L1704" s="6" t="s">
        <v>131</v>
      </c>
      <c r="M1704" s="6" t="s">
        <v>7537</v>
      </c>
      <c r="N1704" s="6" t="s">
        <v>132</v>
      </c>
      <c r="O1704" s="36" t="s">
        <v>132</v>
      </c>
      <c r="P1704" s="36">
        <v>1.567382786E9</v>
      </c>
      <c r="Q1704" s="36" t="s">
        <v>7541</v>
      </c>
      <c r="R1704" s="6" t="s">
        <v>7542</v>
      </c>
    </row>
    <row r="1705">
      <c r="A1705" s="6" t="s">
        <v>7537</v>
      </c>
      <c r="B1705" s="6" t="s">
        <v>7537</v>
      </c>
      <c r="C1705" s="6">
        <v>96.0</v>
      </c>
      <c r="D1705" s="9" t="str">
        <f>HYPERLINK("https://www.linkedin.com/ad-library/detail/1567232776","Open Ad")</f>
        <v>Open Ad</v>
      </c>
      <c r="E1705" s="6" t="s">
        <v>91</v>
      </c>
      <c r="F1705" s="6" t="s">
        <v>53</v>
      </c>
      <c r="G1705" s="6" t="s">
        <v>7577</v>
      </c>
      <c r="H1705" s="6" t="s">
        <v>55</v>
      </c>
      <c r="I1705" s="6" t="s">
        <v>7566</v>
      </c>
      <c r="J1705" s="6" t="s">
        <v>91</v>
      </c>
      <c r="K1705" s="6" t="s">
        <v>60</v>
      </c>
      <c r="L1705" s="6" t="s">
        <v>131</v>
      </c>
      <c r="M1705" s="6" t="s">
        <v>7537</v>
      </c>
      <c r="N1705" s="6" t="s">
        <v>132</v>
      </c>
      <c r="O1705" s="36" t="s">
        <v>132</v>
      </c>
      <c r="P1705" s="36">
        <v>1.567232776E9</v>
      </c>
      <c r="Q1705" s="36" t="s">
        <v>7541</v>
      </c>
      <c r="R1705" s="6" t="s">
        <v>7542</v>
      </c>
    </row>
    <row r="1706">
      <c r="A1706" s="6" t="s">
        <v>7537</v>
      </c>
      <c r="B1706" s="6" t="s">
        <v>7537</v>
      </c>
      <c r="C1706" s="6">
        <v>97.0</v>
      </c>
      <c r="D1706" s="9" t="str">
        <f>HYPERLINK("https://www.linkedin.com/ad-library/detail/1567390566","Open Ad")</f>
        <v>Open Ad</v>
      </c>
      <c r="E1706" s="6" t="s">
        <v>154</v>
      </c>
      <c r="F1706" s="6" t="s">
        <v>53</v>
      </c>
      <c r="G1706" s="6" t="s">
        <v>7579</v>
      </c>
      <c r="H1706" s="6" t="s">
        <v>55</v>
      </c>
      <c r="I1706" s="6" t="s">
        <v>7566</v>
      </c>
      <c r="J1706" s="6" t="s">
        <v>154</v>
      </c>
      <c r="K1706" s="9" t="str">
        <f>HYPERLINK("https://dms.licdn.com/playlist/vid/v2/D4E05AQGz-rO1oWg7ZQ/mp4-720p-30fp-crf28/B4EZ.OXbZ0KoB4-/0/1784799941158?e=2147483647&amp;v=beta&amp;t=UrD2A3U5EVqZ6IpwPmbSFZu-ikVK8uBHF2MFFmv-lbo","Open Creative")</f>
        <v>Open Creative</v>
      </c>
      <c r="L1706" s="6" t="s">
        <v>131</v>
      </c>
      <c r="M1706" s="6" t="s">
        <v>7537</v>
      </c>
      <c r="N1706" s="6" t="s">
        <v>132</v>
      </c>
      <c r="O1706" s="36" t="s">
        <v>132</v>
      </c>
      <c r="P1706" s="36">
        <v>1.567390566E9</v>
      </c>
      <c r="Q1706" s="36" t="s">
        <v>7541</v>
      </c>
      <c r="R1706" s="6" t="s">
        <v>7542</v>
      </c>
    </row>
    <row r="1707">
      <c r="A1707" s="6" t="s">
        <v>7537</v>
      </c>
      <c r="B1707" s="6" t="s">
        <v>7537</v>
      </c>
      <c r="C1707" s="6">
        <v>98.0</v>
      </c>
      <c r="D1707" s="9" t="str">
        <f>HYPERLINK("https://www.linkedin.com/ad-library/detail/1567390586","Open Ad")</f>
        <v>Open Ad</v>
      </c>
      <c r="E1707" s="6" t="s">
        <v>154</v>
      </c>
      <c r="F1707" s="6" t="s">
        <v>53</v>
      </c>
      <c r="G1707" s="6" t="s">
        <v>7580</v>
      </c>
      <c r="H1707" s="6" t="s">
        <v>55</v>
      </c>
      <c r="I1707" s="6" t="s">
        <v>7566</v>
      </c>
      <c r="J1707" s="6" t="s">
        <v>154</v>
      </c>
      <c r="K1707" s="9" t="str">
        <f>HYPERLINK("https://dms.licdn.com/playlist/vid/v2/D5605AQHRYPjj651EQQ/mp4-720p-30fp-crf28/B56Z_r.CzRG4CI-/0/1786370377571?e=2147483647&amp;v=beta&amp;t=DwRxyyEjhkdvca5YVnOxPUTjFbyB3-Rvx-X1lXsVJ9Y","Open Creative")</f>
        <v>Open Creative</v>
      </c>
      <c r="L1707" s="6" t="s">
        <v>131</v>
      </c>
      <c r="M1707" s="6" t="s">
        <v>7537</v>
      </c>
      <c r="N1707" s="6" t="s">
        <v>132</v>
      </c>
      <c r="O1707" s="36" t="s">
        <v>132</v>
      </c>
      <c r="P1707" s="36">
        <v>1.567390586E9</v>
      </c>
      <c r="Q1707" s="36" t="s">
        <v>7541</v>
      </c>
      <c r="R1707" s="6" t="s">
        <v>7542</v>
      </c>
    </row>
    <row r="1708">
      <c r="A1708" s="6" t="s">
        <v>7537</v>
      </c>
      <c r="B1708" s="6" t="s">
        <v>7537</v>
      </c>
      <c r="C1708" s="6">
        <v>99.0</v>
      </c>
      <c r="D1708" s="9" t="str">
        <f>HYPERLINK("https://www.linkedin.com/ad-library/detail/1567320716","Open Ad")</f>
        <v>Open Ad</v>
      </c>
      <c r="E1708" s="6" t="s">
        <v>154</v>
      </c>
      <c r="F1708" s="6" t="s">
        <v>53</v>
      </c>
      <c r="G1708" s="6" t="s">
        <v>7581</v>
      </c>
      <c r="H1708" s="6" t="s">
        <v>55</v>
      </c>
      <c r="I1708" s="6" t="s">
        <v>7566</v>
      </c>
      <c r="J1708" s="6" t="s">
        <v>154</v>
      </c>
      <c r="K1708" s="9" t="str">
        <f>HYPERLINK("https://dms.licdn.com/playlist/vid/v2/D4E10AQFbU42CgG1Z7g/mp4-720p-30fp-crf28/B4EZ6E1cjuIkBk-/0/1780345071320?e=2147483647&amp;v=beta&amp;t=lm4Raasi9Hn2k_Jca5TAGdFZZmL4wlksoW4hHU6e3XU","Open Creative")</f>
        <v>Open Creative</v>
      </c>
      <c r="L1708" s="6" t="s">
        <v>131</v>
      </c>
      <c r="M1708" s="6" t="s">
        <v>7537</v>
      </c>
      <c r="N1708" s="6" t="s">
        <v>132</v>
      </c>
      <c r="O1708" s="36" t="s">
        <v>132</v>
      </c>
      <c r="P1708" s="36">
        <v>1.567320716E9</v>
      </c>
      <c r="Q1708" s="36" t="s">
        <v>7541</v>
      </c>
      <c r="R1708" s="6" t="s">
        <v>7542</v>
      </c>
    </row>
    <row r="1709">
      <c r="A1709" s="6" t="s">
        <v>7537</v>
      </c>
      <c r="B1709" s="6" t="s">
        <v>7537</v>
      </c>
      <c r="C1709" s="6">
        <v>100.0</v>
      </c>
      <c r="D1709" s="9" t="str">
        <f>HYPERLINK("https://www.linkedin.com/ad-library/detail/1567280786","Open Ad")</f>
        <v>Open Ad</v>
      </c>
      <c r="E1709" s="6" t="s">
        <v>154</v>
      </c>
      <c r="F1709" s="6" t="s">
        <v>53</v>
      </c>
      <c r="G1709" s="6" t="s">
        <v>7582</v>
      </c>
      <c r="H1709" s="6" t="s">
        <v>55</v>
      </c>
      <c r="I1709" s="6" t="s">
        <v>7566</v>
      </c>
      <c r="J1709" s="6" t="s">
        <v>154</v>
      </c>
      <c r="K1709" s="9" t="str">
        <f>HYPERLINK("https://dms.licdn.com/playlist/vid/v2/D5610AQHCJpD_4X3r0w/mp4-360p-30fp-crf28/B56Z8jGxPuG0Bg-/0/1783000416146?e=2147483647&amp;v=beta&amp;t=buNqytXIKQbDSPmN-gF0MjkJ-TiOGUHb02s8kF2cYZo","Open Creative")</f>
        <v>Open Creative</v>
      </c>
      <c r="L1709" s="6" t="s">
        <v>131</v>
      </c>
      <c r="M1709" s="6" t="s">
        <v>7537</v>
      </c>
      <c r="N1709" s="6" t="s">
        <v>132</v>
      </c>
      <c r="O1709" s="36" t="s">
        <v>132</v>
      </c>
      <c r="P1709" s="36">
        <v>1.567280786E9</v>
      </c>
      <c r="Q1709" s="36" t="s">
        <v>7541</v>
      </c>
      <c r="R1709" s="6" t="s">
        <v>7542</v>
      </c>
    </row>
    <row r="1710">
      <c r="A1710" s="6" t="s">
        <v>7537</v>
      </c>
      <c r="B1710" s="6" t="s">
        <v>7537</v>
      </c>
      <c r="C1710" s="6">
        <v>101.0</v>
      </c>
      <c r="D1710" s="9" t="str">
        <f>HYPERLINK("https://www.linkedin.com/ad-library/detail/1567240626","Open Ad")</f>
        <v>Open Ad</v>
      </c>
      <c r="E1710" s="6" t="s">
        <v>154</v>
      </c>
      <c r="F1710" s="6" t="s">
        <v>53</v>
      </c>
      <c r="G1710" s="6" t="s">
        <v>7581</v>
      </c>
      <c r="H1710" s="6" t="s">
        <v>55</v>
      </c>
      <c r="I1710" s="6" t="s">
        <v>7566</v>
      </c>
      <c r="J1710" s="6" t="s">
        <v>154</v>
      </c>
      <c r="K1710" s="9" t="str">
        <f>HYPERLINK("https://dms.licdn.com/playlist/vid/v2/D4E10AQFbU42CgG1Z7g/mp4-720p-30fp-crf28/B4EZ6E1cjuIkBk-/0/1780345071320?e=2147483647&amp;v=beta&amp;t=lm4Raasi9Hn2k_Jca5TAGdFZZmL4wlksoW4hHU6e3XU","Open Creative")</f>
        <v>Open Creative</v>
      </c>
      <c r="L1710" s="6" t="s">
        <v>131</v>
      </c>
      <c r="M1710" s="6" t="s">
        <v>7537</v>
      </c>
      <c r="N1710" s="6" t="s">
        <v>132</v>
      </c>
      <c r="O1710" s="36" t="s">
        <v>132</v>
      </c>
      <c r="P1710" s="36">
        <v>1.567240626E9</v>
      </c>
      <c r="Q1710" s="36" t="s">
        <v>7541</v>
      </c>
      <c r="R1710" s="6" t="s">
        <v>7542</v>
      </c>
    </row>
    <row r="1711">
      <c r="A1711" s="6" t="s">
        <v>7537</v>
      </c>
      <c r="B1711" s="6" t="s">
        <v>7537</v>
      </c>
      <c r="C1711" s="6">
        <v>102.0</v>
      </c>
      <c r="D1711" s="9" t="str">
        <f>HYPERLINK("https://www.linkedin.com/ad-library/detail/1567240616","Open Ad")</f>
        <v>Open Ad</v>
      </c>
      <c r="E1711" s="6" t="s">
        <v>154</v>
      </c>
      <c r="F1711" s="6" t="s">
        <v>53</v>
      </c>
      <c r="G1711" s="6" t="s">
        <v>7579</v>
      </c>
      <c r="H1711" s="6" t="s">
        <v>55</v>
      </c>
      <c r="I1711" s="6" t="s">
        <v>7566</v>
      </c>
      <c r="J1711" s="6" t="s">
        <v>154</v>
      </c>
      <c r="K1711" s="9" t="str">
        <f>HYPERLINK("https://dms.licdn.com/playlist/vid/v2/D4E05AQGz-rO1oWg7ZQ/mp4-720p-30fp-crf28/B4EZ.OXbZ0KoB4-/0/1784799941158?e=2147483647&amp;v=beta&amp;t=UrD2A3U5EVqZ6IpwPmbSFZu-ikVK8uBHF2MFFmv-lbo","Open Creative")</f>
        <v>Open Creative</v>
      </c>
      <c r="L1711" s="6" t="s">
        <v>131</v>
      </c>
      <c r="M1711" s="6" t="s">
        <v>7537</v>
      </c>
      <c r="N1711" s="6" t="s">
        <v>132</v>
      </c>
      <c r="O1711" s="36" t="s">
        <v>132</v>
      </c>
      <c r="P1711" s="36">
        <v>1.567240616E9</v>
      </c>
      <c r="Q1711" s="36" t="s">
        <v>7541</v>
      </c>
      <c r="R1711" s="6" t="s">
        <v>7542</v>
      </c>
    </row>
    <row r="1712">
      <c r="A1712" s="6" t="s">
        <v>7537</v>
      </c>
      <c r="B1712" s="6" t="s">
        <v>7537</v>
      </c>
      <c r="C1712" s="6">
        <v>103.0</v>
      </c>
      <c r="D1712" s="9" t="str">
        <f>HYPERLINK("https://www.linkedin.com/ad-library/detail/1567340526","Open Ad")</f>
        <v>Open Ad</v>
      </c>
      <c r="E1712" s="6" t="s">
        <v>154</v>
      </c>
      <c r="F1712" s="6" t="s">
        <v>53</v>
      </c>
      <c r="G1712" s="6" t="s">
        <v>7583</v>
      </c>
      <c r="H1712" s="6" t="s">
        <v>55</v>
      </c>
      <c r="I1712" s="6" t="s">
        <v>7566</v>
      </c>
      <c r="J1712" s="6" t="s">
        <v>154</v>
      </c>
      <c r="K1712" s="9" t="str">
        <f t="shared" ref="K1712:K1713" si="7">HYPERLINK("https://dms.licdn.com/playlist/vid/v2/D5610AQFSMcnW06imag/mp4-720p-30fp-crf28/B56Z.pe2QCKMBk-/0/1785254870903?e=2147483647&amp;v=beta&amp;t=g-3k8J4kc7bttKyXTLsE0c8iC3sdncRAqezIsmyhZN4","Open Creative")</f>
        <v>Open Creative</v>
      </c>
      <c r="L1712" s="6" t="s">
        <v>131</v>
      </c>
      <c r="M1712" s="6" t="s">
        <v>7537</v>
      </c>
      <c r="N1712" s="6" t="s">
        <v>132</v>
      </c>
      <c r="O1712" s="36" t="s">
        <v>132</v>
      </c>
      <c r="P1712" s="36">
        <v>1.567340526E9</v>
      </c>
      <c r="Q1712" s="36" t="s">
        <v>7541</v>
      </c>
      <c r="R1712" s="6" t="s">
        <v>7542</v>
      </c>
    </row>
    <row r="1713">
      <c r="A1713" s="6" t="s">
        <v>7537</v>
      </c>
      <c r="B1713" s="6" t="s">
        <v>7537</v>
      </c>
      <c r="C1713" s="6">
        <v>104.0</v>
      </c>
      <c r="D1713" s="9" t="str">
        <f>HYPERLINK("https://www.linkedin.com/ad-library/detail/1567201386","Open Ad")</f>
        <v>Open Ad</v>
      </c>
      <c r="E1713" s="6" t="s">
        <v>154</v>
      </c>
      <c r="F1713" s="6" t="s">
        <v>53</v>
      </c>
      <c r="G1713" s="6" t="s">
        <v>7583</v>
      </c>
      <c r="H1713" s="6" t="s">
        <v>55</v>
      </c>
      <c r="I1713" s="6" t="s">
        <v>7566</v>
      </c>
      <c r="J1713" s="6" t="s">
        <v>154</v>
      </c>
      <c r="K1713" s="9" t="str">
        <f t="shared" si="7"/>
        <v>Open Creative</v>
      </c>
      <c r="L1713" s="6" t="s">
        <v>131</v>
      </c>
      <c r="M1713" s="6" t="s">
        <v>7537</v>
      </c>
      <c r="N1713" s="6" t="s">
        <v>132</v>
      </c>
      <c r="O1713" s="36" t="s">
        <v>132</v>
      </c>
      <c r="P1713" s="36">
        <v>1.567201386E9</v>
      </c>
      <c r="Q1713" s="36" t="s">
        <v>7541</v>
      </c>
      <c r="R1713" s="6" t="s">
        <v>7542</v>
      </c>
    </row>
    <row r="1714">
      <c r="A1714" s="6" t="s">
        <v>7537</v>
      </c>
      <c r="B1714" s="6" t="s">
        <v>7537</v>
      </c>
      <c r="C1714" s="6">
        <v>105.0</v>
      </c>
      <c r="D1714" s="9" t="str">
        <f>HYPERLINK("https://www.linkedin.com/ad-library/detail/1567201376","Open Ad")</f>
        <v>Open Ad</v>
      </c>
      <c r="E1714" s="6" t="s">
        <v>154</v>
      </c>
      <c r="F1714" s="6" t="s">
        <v>53</v>
      </c>
      <c r="G1714" s="6" t="s">
        <v>7574</v>
      </c>
      <c r="H1714" s="6" t="s">
        <v>55</v>
      </c>
      <c r="I1714" s="6" t="s">
        <v>7566</v>
      </c>
      <c r="J1714" s="6" t="s">
        <v>154</v>
      </c>
      <c r="K1714" s="9" t="str">
        <f>HYPERLINK("https://dms.licdn.com/playlist/vid/v2/D5610AQEYMxfT9huYsg/mp4-640p-30fp-crf28/B56Z9r5IasLABI-/0/1784221579230?e=2147483647&amp;v=beta&amp;t=wqawh6PBQUrCJZJ-XscUNS7gfMgItz12cEfcJuVzzWI","Open Creative")</f>
        <v>Open Creative</v>
      </c>
      <c r="L1714" s="6" t="s">
        <v>131</v>
      </c>
      <c r="M1714" s="6" t="s">
        <v>7537</v>
      </c>
      <c r="N1714" s="6" t="s">
        <v>132</v>
      </c>
      <c r="O1714" s="36" t="s">
        <v>132</v>
      </c>
      <c r="P1714" s="36">
        <v>1.567201376E9</v>
      </c>
      <c r="Q1714" s="36" t="s">
        <v>7541</v>
      </c>
      <c r="R1714" s="6" t="s">
        <v>7542</v>
      </c>
    </row>
    <row r="1715">
      <c r="A1715" s="6" t="s">
        <v>7537</v>
      </c>
      <c r="B1715" s="6" t="s">
        <v>7537</v>
      </c>
      <c r="C1715" s="6">
        <v>106.0</v>
      </c>
      <c r="D1715" s="9" t="str">
        <f>HYPERLINK("https://www.linkedin.com/ad-library/detail/1567310706","Open Ad")</f>
        <v>Open Ad</v>
      </c>
      <c r="E1715" s="6" t="s">
        <v>154</v>
      </c>
      <c r="F1715" s="6" t="s">
        <v>53</v>
      </c>
      <c r="G1715" s="6" t="s">
        <v>7584</v>
      </c>
      <c r="H1715" s="6" t="s">
        <v>55</v>
      </c>
      <c r="I1715" s="6" t="s">
        <v>7566</v>
      </c>
      <c r="J1715" s="6" t="s">
        <v>154</v>
      </c>
      <c r="K1715" s="9" t="str">
        <f t="shared" ref="K1715:K1716" si="8">HYPERLINK("https://dms.licdn.com/playlist/vid/v2/D5610AQEgZSN1R6lkQg/mp4-360p-30fp-crf28/B56Z.pe6eZJoBg-/0/1785254888120?e=2147483647&amp;v=beta&amp;t=5h1R6KvMhc0CxepDbbh4l98qEndRxnaP-BM6oZz1ryY","Open Creative")</f>
        <v>Open Creative</v>
      </c>
      <c r="L1715" s="6" t="s">
        <v>131</v>
      </c>
      <c r="M1715" s="6" t="s">
        <v>7537</v>
      </c>
      <c r="N1715" s="6" t="s">
        <v>132</v>
      </c>
      <c r="O1715" s="36" t="s">
        <v>132</v>
      </c>
      <c r="P1715" s="36">
        <v>1.567310706E9</v>
      </c>
      <c r="Q1715" s="36" t="s">
        <v>7541</v>
      </c>
      <c r="R1715" s="6" t="s">
        <v>7542</v>
      </c>
    </row>
    <row r="1716">
      <c r="A1716" s="6" t="s">
        <v>7537</v>
      </c>
      <c r="B1716" s="6" t="s">
        <v>7537</v>
      </c>
      <c r="C1716" s="6">
        <v>107.0</v>
      </c>
      <c r="D1716" s="9" t="str">
        <f>HYPERLINK("https://www.linkedin.com/ad-library/detail/1567220686","Open Ad")</f>
        <v>Open Ad</v>
      </c>
      <c r="E1716" s="6" t="s">
        <v>154</v>
      </c>
      <c r="F1716" s="6" t="s">
        <v>53</v>
      </c>
      <c r="G1716" s="6" t="s">
        <v>7584</v>
      </c>
      <c r="H1716" s="6" t="s">
        <v>55</v>
      </c>
      <c r="I1716" s="6" t="s">
        <v>7566</v>
      </c>
      <c r="J1716" s="6" t="s">
        <v>154</v>
      </c>
      <c r="K1716" s="9" t="str">
        <f t="shared" si="8"/>
        <v>Open Creative</v>
      </c>
      <c r="L1716" s="6" t="s">
        <v>131</v>
      </c>
      <c r="M1716" s="6" t="s">
        <v>7537</v>
      </c>
      <c r="N1716" s="6" t="s">
        <v>132</v>
      </c>
      <c r="O1716" s="36" t="s">
        <v>132</v>
      </c>
      <c r="P1716" s="36">
        <v>1.567220686E9</v>
      </c>
      <c r="Q1716" s="36" t="s">
        <v>7541</v>
      </c>
      <c r="R1716" s="6" t="s">
        <v>7542</v>
      </c>
    </row>
    <row r="1717">
      <c r="A1717" s="6" t="s">
        <v>7537</v>
      </c>
      <c r="B1717" s="6" t="s">
        <v>7537</v>
      </c>
      <c r="C1717" s="6">
        <v>108.0</v>
      </c>
      <c r="D1717" s="9" t="str">
        <f>HYPERLINK("https://www.linkedin.com/ad-library/detail/1567380536","Open Ad")</f>
        <v>Open Ad</v>
      </c>
      <c r="E1717" s="6" t="s">
        <v>154</v>
      </c>
      <c r="F1717" s="6" t="s">
        <v>53</v>
      </c>
      <c r="G1717" s="6" t="s">
        <v>7581</v>
      </c>
      <c r="H1717" s="6" t="s">
        <v>55</v>
      </c>
      <c r="I1717" s="6" t="s">
        <v>7566</v>
      </c>
      <c r="J1717" s="6" t="s">
        <v>154</v>
      </c>
      <c r="K1717" s="9" t="str">
        <f>HYPERLINK("https://dms.licdn.com/playlist/vid/v2/D4E10AQFbU42CgG1Z7g/mp4-720p-30fp-crf28/B4EZ6E1cjuIkBk-/0/1780345071320?e=2147483647&amp;v=beta&amp;t=lm4Raasi9Hn2k_Jca5TAGdFZZmL4wlksoW4hHU6e3XU","Open Creative")</f>
        <v>Open Creative</v>
      </c>
      <c r="L1717" s="6" t="s">
        <v>131</v>
      </c>
      <c r="M1717" s="6" t="s">
        <v>7537</v>
      </c>
      <c r="N1717" s="6" t="s">
        <v>132</v>
      </c>
      <c r="O1717" s="36" t="s">
        <v>132</v>
      </c>
      <c r="P1717" s="36">
        <v>1.567380536E9</v>
      </c>
      <c r="Q1717" s="36" t="s">
        <v>7541</v>
      </c>
      <c r="R1717" s="6" t="s">
        <v>7542</v>
      </c>
    </row>
    <row r="1718">
      <c r="A1718" s="6" t="s">
        <v>7537</v>
      </c>
      <c r="B1718" s="6" t="s">
        <v>7537</v>
      </c>
      <c r="C1718" s="6">
        <v>109.0</v>
      </c>
      <c r="D1718" s="9" t="str">
        <f>HYPERLINK("https://www.linkedin.com/ad-library/detail/1567410486","Open Ad")</f>
        <v>Open Ad</v>
      </c>
      <c r="E1718" s="6" t="s">
        <v>154</v>
      </c>
      <c r="F1718" s="6" t="s">
        <v>53</v>
      </c>
      <c r="G1718" s="6" t="s">
        <v>7574</v>
      </c>
      <c r="H1718" s="6" t="s">
        <v>55</v>
      </c>
      <c r="I1718" s="6" t="s">
        <v>7566</v>
      </c>
      <c r="J1718" s="6" t="s">
        <v>154</v>
      </c>
      <c r="K1718" s="9" t="str">
        <f>HYPERLINK("https://dms.licdn.com/playlist/vid/v2/D5610AQEYMxfT9huYsg/mp4-640p-30fp-crf28/B56Z9r5IasLABI-/0/1784221579230?e=2147483647&amp;v=beta&amp;t=wqawh6PBQUrCJZJ-XscUNS7gfMgItz12cEfcJuVzzWI","Open Creative")</f>
        <v>Open Creative</v>
      </c>
      <c r="L1718" s="6" t="s">
        <v>131</v>
      </c>
      <c r="M1718" s="6" t="s">
        <v>7537</v>
      </c>
      <c r="N1718" s="6" t="s">
        <v>132</v>
      </c>
      <c r="O1718" s="36" t="s">
        <v>132</v>
      </c>
      <c r="P1718" s="36">
        <v>1.567410486E9</v>
      </c>
      <c r="Q1718" s="36" t="s">
        <v>7541</v>
      </c>
      <c r="R1718" s="6" t="s">
        <v>7542</v>
      </c>
    </row>
    <row r="1719">
      <c r="A1719" s="6" t="s">
        <v>7537</v>
      </c>
      <c r="B1719" s="6" t="s">
        <v>7537</v>
      </c>
      <c r="C1719" s="6">
        <v>110.0</v>
      </c>
      <c r="D1719" s="9" t="str">
        <f>HYPERLINK("https://www.linkedin.com/ad-library/detail/1567380546","Open Ad")</f>
        <v>Open Ad</v>
      </c>
      <c r="E1719" s="6" t="s">
        <v>154</v>
      </c>
      <c r="F1719" s="6" t="s">
        <v>53</v>
      </c>
      <c r="G1719" s="6" t="s">
        <v>7580</v>
      </c>
      <c r="H1719" s="6" t="s">
        <v>55</v>
      </c>
      <c r="I1719" s="6" t="s">
        <v>7566</v>
      </c>
      <c r="J1719" s="6" t="s">
        <v>154</v>
      </c>
      <c r="K1719" s="9" t="str">
        <f>HYPERLINK("https://dms.licdn.com/playlist/vid/v2/D5605AQHRYPjj651EQQ/mp4-720p-30fp-crf28/B56Z_r.CzRG4CI-/0/1786370377571?e=2147483647&amp;v=beta&amp;t=DwRxyyEjhkdvca5YVnOxPUTjFbyB3-Rvx-X1lXsVJ9Y","Open Creative")</f>
        <v>Open Creative</v>
      </c>
      <c r="L1719" s="6" t="s">
        <v>131</v>
      </c>
      <c r="M1719" s="6" t="s">
        <v>7537</v>
      </c>
      <c r="N1719" s="6" t="s">
        <v>132</v>
      </c>
      <c r="O1719" s="36" t="s">
        <v>132</v>
      </c>
      <c r="P1719" s="36">
        <v>1.567380546E9</v>
      </c>
      <c r="Q1719" s="36" t="s">
        <v>7541</v>
      </c>
      <c r="R1719" s="6" t="s">
        <v>7542</v>
      </c>
    </row>
    <row r="1720">
      <c r="A1720" s="6" t="s">
        <v>7537</v>
      </c>
      <c r="B1720" s="6" t="s">
        <v>7537</v>
      </c>
      <c r="C1720" s="6">
        <v>111.0</v>
      </c>
      <c r="D1720" s="9" t="str">
        <f>HYPERLINK("https://www.linkedin.com/ad-library/detail/1567190536","Open Ad")</f>
        <v>Open Ad</v>
      </c>
      <c r="E1720" s="6" t="s">
        <v>154</v>
      </c>
      <c r="F1720" s="6" t="s">
        <v>53</v>
      </c>
      <c r="G1720" s="6" t="s">
        <v>7585</v>
      </c>
      <c r="H1720" s="6" t="s">
        <v>55</v>
      </c>
      <c r="I1720" s="6" t="s">
        <v>7566</v>
      </c>
      <c r="J1720" s="6" t="s">
        <v>154</v>
      </c>
      <c r="K1720" s="9" t="str">
        <f>HYPERLINK("https://dms.licdn.com/playlist/vid/v2/D5610AQE-VfSgTRNyaw/mp4-360p-30fp-crf28/B56Z.uEO8SKEBg-/0/1785331783820?e=2147483647&amp;v=beta&amp;t=e9YZglcKCxI_lxTW8MHZKf8rDd_-EPTYRks5j3J7Xgg","Open Creative")</f>
        <v>Open Creative</v>
      </c>
      <c r="L1720" s="6" t="s">
        <v>131</v>
      </c>
      <c r="M1720" s="6" t="s">
        <v>7537</v>
      </c>
      <c r="N1720" s="6" t="s">
        <v>132</v>
      </c>
      <c r="O1720" s="36" t="s">
        <v>132</v>
      </c>
      <c r="P1720" s="36">
        <v>1.567190536E9</v>
      </c>
      <c r="Q1720" s="36" t="s">
        <v>7541</v>
      </c>
      <c r="R1720" s="6" t="s">
        <v>7542</v>
      </c>
    </row>
    <row r="1721">
      <c r="A1721" s="6" t="s">
        <v>7537</v>
      </c>
      <c r="B1721" s="6" t="s">
        <v>7537</v>
      </c>
      <c r="C1721" s="6">
        <v>112.0</v>
      </c>
      <c r="D1721" s="9" t="str">
        <f>HYPERLINK("https://www.linkedin.com/ad-library/detail/1567360626","Open Ad")</f>
        <v>Open Ad</v>
      </c>
      <c r="E1721" s="6" t="s">
        <v>154</v>
      </c>
      <c r="F1721" s="6" t="s">
        <v>53</v>
      </c>
      <c r="G1721" s="6" t="s">
        <v>7582</v>
      </c>
      <c r="H1721" s="6" t="s">
        <v>55</v>
      </c>
      <c r="I1721" s="6" t="s">
        <v>7566</v>
      </c>
      <c r="J1721" s="6" t="s">
        <v>154</v>
      </c>
      <c r="K1721" s="9" t="str">
        <f>HYPERLINK("https://dms.licdn.com/playlist/vid/v2/D5610AQHCJpD_4X3r0w/mp4-360p-30fp-crf28/B56Z8jGxPuG0Bg-/0/1783000416146?e=2147483647&amp;v=beta&amp;t=buNqytXIKQbDSPmN-gF0MjkJ-TiOGUHb02s8kF2cYZo","Open Creative")</f>
        <v>Open Creative</v>
      </c>
      <c r="L1721" s="6" t="s">
        <v>131</v>
      </c>
      <c r="M1721" s="6" t="s">
        <v>7537</v>
      </c>
      <c r="N1721" s="6" t="s">
        <v>132</v>
      </c>
      <c r="O1721" s="36" t="s">
        <v>132</v>
      </c>
      <c r="P1721" s="36">
        <v>1.567360626E9</v>
      </c>
      <c r="Q1721" s="36" t="s">
        <v>7541</v>
      </c>
      <c r="R1721" s="6" t="s">
        <v>7542</v>
      </c>
    </row>
    <row r="1722">
      <c r="A1722" s="6" t="s">
        <v>7537</v>
      </c>
      <c r="B1722" s="6" t="s">
        <v>7537</v>
      </c>
      <c r="C1722" s="6">
        <v>113.0</v>
      </c>
      <c r="D1722" s="9" t="str">
        <f>HYPERLINK("https://www.linkedin.com/ad-library/detail/1567300796","Open Ad")</f>
        <v>Open Ad</v>
      </c>
      <c r="E1722" s="6" t="s">
        <v>154</v>
      </c>
      <c r="F1722" s="6" t="s">
        <v>53</v>
      </c>
      <c r="G1722" s="6" t="s">
        <v>7580</v>
      </c>
      <c r="H1722" s="6" t="s">
        <v>55</v>
      </c>
      <c r="I1722" s="6" t="s">
        <v>7566</v>
      </c>
      <c r="J1722" s="6" t="s">
        <v>154</v>
      </c>
      <c r="K1722" s="9" t="str">
        <f>HYPERLINK("https://dms.licdn.com/playlist/vid/v2/D5605AQHRYPjj651EQQ/mp4-720p-30fp-crf28/B56Z_r.CzRG4CI-/0/1786370377571?e=2147483647&amp;v=beta&amp;t=DwRxyyEjhkdvca5YVnOxPUTjFbyB3-Rvx-X1lXsVJ9Y","Open Creative")</f>
        <v>Open Creative</v>
      </c>
      <c r="L1722" s="6" t="s">
        <v>131</v>
      </c>
      <c r="M1722" s="6" t="s">
        <v>7537</v>
      </c>
      <c r="N1722" s="6" t="s">
        <v>132</v>
      </c>
      <c r="O1722" s="36" t="s">
        <v>132</v>
      </c>
      <c r="P1722" s="36">
        <v>1.567300796E9</v>
      </c>
      <c r="Q1722" s="36" t="s">
        <v>7541</v>
      </c>
      <c r="R1722" s="6" t="s">
        <v>7542</v>
      </c>
    </row>
    <row r="1723">
      <c r="A1723" s="6" t="s">
        <v>7537</v>
      </c>
      <c r="B1723" s="6" t="s">
        <v>7537</v>
      </c>
      <c r="C1723" s="6">
        <v>114.0</v>
      </c>
      <c r="D1723" s="9" t="str">
        <f>HYPERLINK("https://www.linkedin.com/ad-library/detail/1567230616","Open Ad")</f>
        <v>Open Ad</v>
      </c>
      <c r="E1723" s="6" t="s">
        <v>154</v>
      </c>
      <c r="F1723" s="6" t="s">
        <v>53</v>
      </c>
      <c r="G1723" s="6" t="s">
        <v>7583</v>
      </c>
      <c r="H1723" s="6" t="s">
        <v>55</v>
      </c>
      <c r="I1723" s="6" t="s">
        <v>7566</v>
      </c>
      <c r="J1723" s="6" t="s">
        <v>154</v>
      </c>
      <c r="K1723" s="9" t="str">
        <f>HYPERLINK("https://dms.licdn.com/playlist/vid/v2/D5610AQFSMcnW06imag/mp4-720p-30fp-crf28/B56Z.pe2QCKMBk-/0/1785254870903?e=2147483647&amp;v=beta&amp;t=g-3k8J4kc7bttKyXTLsE0c8iC3sdncRAqezIsmyhZN4","Open Creative")</f>
        <v>Open Creative</v>
      </c>
      <c r="L1723" s="6" t="s">
        <v>131</v>
      </c>
      <c r="M1723" s="6" t="s">
        <v>7537</v>
      </c>
      <c r="N1723" s="6" t="s">
        <v>132</v>
      </c>
      <c r="O1723" s="36" t="s">
        <v>132</v>
      </c>
      <c r="P1723" s="36">
        <v>1.567230616E9</v>
      </c>
      <c r="Q1723" s="36" t="s">
        <v>7541</v>
      </c>
      <c r="R1723" s="6" t="s">
        <v>7542</v>
      </c>
    </row>
    <row r="1724">
      <c r="A1724" s="6" t="s">
        <v>7537</v>
      </c>
      <c r="B1724" s="6" t="s">
        <v>7537</v>
      </c>
      <c r="C1724" s="6">
        <v>115.0</v>
      </c>
      <c r="D1724" s="9" t="str">
        <f>HYPERLINK("https://www.linkedin.com/ad-library/detail/1567290596","Open Ad")</f>
        <v>Open Ad</v>
      </c>
      <c r="E1724" s="6" t="s">
        <v>154</v>
      </c>
      <c r="F1724" s="6" t="s">
        <v>53</v>
      </c>
      <c r="G1724" s="6" t="s">
        <v>7579</v>
      </c>
      <c r="H1724" s="6" t="s">
        <v>55</v>
      </c>
      <c r="I1724" s="6" t="s">
        <v>7566</v>
      </c>
      <c r="J1724" s="6" t="s">
        <v>154</v>
      </c>
      <c r="K1724" s="9" t="str">
        <f>HYPERLINK("https://dms.licdn.com/playlist/vid/v2/D4E05AQGz-rO1oWg7ZQ/mp4-720p-30fp-crf28/B4EZ.OXbZ0KoB4-/0/1784799941158?e=2147483647&amp;v=beta&amp;t=UrD2A3U5EVqZ6IpwPmbSFZu-ikVK8uBHF2MFFmv-lbo","Open Creative")</f>
        <v>Open Creative</v>
      </c>
      <c r="L1724" s="6" t="s">
        <v>131</v>
      </c>
      <c r="M1724" s="6" t="s">
        <v>7537</v>
      </c>
      <c r="N1724" s="6" t="s">
        <v>132</v>
      </c>
      <c r="O1724" s="36" t="s">
        <v>132</v>
      </c>
      <c r="P1724" s="36">
        <v>1.567290596E9</v>
      </c>
      <c r="Q1724" s="36" t="s">
        <v>7541</v>
      </c>
      <c r="R1724" s="6" t="s">
        <v>7542</v>
      </c>
    </row>
    <row r="1725">
      <c r="A1725" s="6" t="s">
        <v>7537</v>
      </c>
      <c r="B1725" s="6" t="s">
        <v>7537</v>
      </c>
      <c r="C1725" s="6">
        <v>116.0</v>
      </c>
      <c r="D1725" s="9" t="str">
        <f>HYPERLINK("https://www.linkedin.com/ad-library/detail/1567310666","Open Ad")</f>
        <v>Open Ad</v>
      </c>
      <c r="E1725" s="6" t="s">
        <v>154</v>
      </c>
      <c r="F1725" s="6" t="s">
        <v>53</v>
      </c>
      <c r="G1725" s="6" t="s">
        <v>7585</v>
      </c>
      <c r="H1725" s="6" t="s">
        <v>55</v>
      </c>
      <c r="I1725" s="6" t="s">
        <v>7566</v>
      </c>
      <c r="J1725" s="6" t="s">
        <v>154</v>
      </c>
      <c r="K1725" s="9" t="str">
        <f>HYPERLINK("https://dms.licdn.com/playlist/vid/v2/D5610AQE-VfSgTRNyaw/mp4-360p-30fp-crf28/B56Z.uEO8SKEBg-/0/1785331783820?e=2147483647&amp;v=beta&amp;t=e9YZglcKCxI_lxTW8MHZKf8rDd_-EPTYRks5j3J7Xgg","Open Creative")</f>
        <v>Open Creative</v>
      </c>
      <c r="L1725" s="6" t="s">
        <v>131</v>
      </c>
      <c r="M1725" s="6" t="s">
        <v>7537</v>
      </c>
      <c r="N1725" s="6" t="s">
        <v>132</v>
      </c>
      <c r="O1725" s="36" t="s">
        <v>132</v>
      </c>
      <c r="P1725" s="36">
        <v>1.567310666E9</v>
      </c>
      <c r="Q1725" s="36" t="s">
        <v>7541</v>
      </c>
      <c r="R1725" s="6" t="s">
        <v>7542</v>
      </c>
    </row>
    <row r="1726">
      <c r="A1726" s="6" t="s">
        <v>7537</v>
      </c>
      <c r="B1726" s="6" t="s">
        <v>7537</v>
      </c>
      <c r="C1726" s="6">
        <v>117.0</v>
      </c>
      <c r="D1726" s="9" t="str">
        <f>HYPERLINK("https://www.linkedin.com/ad-library/detail/1567220706","Open Ad")</f>
        <v>Open Ad</v>
      </c>
      <c r="E1726" s="6" t="s">
        <v>154</v>
      </c>
      <c r="F1726" s="6" t="s">
        <v>53</v>
      </c>
      <c r="G1726" s="6" t="s">
        <v>7586</v>
      </c>
      <c r="H1726" s="6" t="s">
        <v>55</v>
      </c>
      <c r="I1726" s="6" t="s">
        <v>7566</v>
      </c>
      <c r="J1726" s="6" t="s">
        <v>154</v>
      </c>
      <c r="K1726" s="9" t="str">
        <f t="shared" ref="K1726:K1727" si="9">HYPERLINK("https://dms.licdn.com/playlist/vid/v2/D5610AQHmpK6i5urdxw/mp4-640p-30fp-crf28/B56Z_9g3dnGcBI-/0/1786664686931?e=2147483647&amp;v=beta&amp;t=GCsbLwt4gnl3_O9GWS3zo0UqXqoJNExlwAjmUsNAqs8","Open Creative")</f>
        <v>Open Creative</v>
      </c>
      <c r="L1726" s="6" t="s">
        <v>131</v>
      </c>
      <c r="M1726" s="6" t="s">
        <v>7537</v>
      </c>
      <c r="N1726" s="6" t="s">
        <v>132</v>
      </c>
      <c r="O1726" s="36" t="s">
        <v>132</v>
      </c>
      <c r="P1726" s="36">
        <v>1.567220706E9</v>
      </c>
      <c r="Q1726" s="36" t="s">
        <v>7541</v>
      </c>
      <c r="R1726" s="6" t="s">
        <v>7542</v>
      </c>
    </row>
    <row r="1727">
      <c r="A1727" s="6" t="s">
        <v>7537</v>
      </c>
      <c r="B1727" s="6" t="s">
        <v>7537</v>
      </c>
      <c r="C1727" s="6">
        <v>118.0</v>
      </c>
      <c r="D1727" s="9" t="str">
        <f>HYPERLINK("https://www.linkedin.com/ad-library/detail/1567320686","Open Ad")</f>
        <v>Open Ad</v>
      </c>
      <c r="E1727" s="6" t="s">
        <v>154</v>
      </c>
      <c r="F1727" s="6" t="s">
        <v>53</v>
      </c>
      <c r="G1727" s="6" t="s">
        <v>7586</v>
      </c>
      <c r="H1727" s="6" t="s">
        <v>55</v>
      </c>
      <c r="I1727" s="6" t="s">
        <v>7566</v>
      </c>
      <c r="J1727" s="6" t="s">
        <v>154</v>
      </c>
      <c r="K1727" s="9" t="str">
        <f t="shared" si="9"/>
        <v>Open Creative</v>
      </c>
      <c r="L1727" s="6" t="s">
        <v>131</v>
      </c>
      <c r="M1727" s="6" t="s">
        <v>7537</v>
      </c>
      <c r="N1727" s="6" t="s">
        <v>132</v>
      </c>
      <c r="O1727" s="36" t="s">
        <v>132</v>
      </c>
      <c r="P1727" s="36">
        <v>1.567320686E9</v>
      </c>
      <c r="Q1727" s="36" t="s">
        <v>7541</v>
      </c>
      <c r="R1727" s="6" t="s">
        <v>7542</v>
      </c>
    </row>
    <row r="1728">
      <c r="A1728" s="6" t="s">
        <v>7537</v>
      </c>
      <c r="B1728" s="6" t="s">
        <v>7537</v>
      </c>
      <c r="C1728" s="6">
        <v>119.0</v>
      </c>
      <c r="D1728" s="9" t="str">
        <f>HYPERLINK("https://www.linkedin.com/ad-library/detail/1567290606","Open Ad")</f>
        <v>Open Ad</v>
      </c>
      <c r="E1728" s="6" t="s">
        <v>154</v>
      </c>
      <c r="F1728" s="6" t="s">
        <v>53</v>
      </c>
      <c r="G1728" s="6" t="s">
        <v>7585</v>
      </c>
      <c r="H1728" s="6" t="s">
        <v>55</v>
      </c>
      <c r="I1728" s="6" t="s">
        <v>7566</v>
      </c>
      <c r="J1728" s="6" t="s">
        <v>154</v>
      </c>
      <c r="K1728" s="9" t="str">
        <f>HYPERLINK("https://dms.licdn.com/playlist/vid/v2/D5610AQE-VfSgTRNyaw/mp4-360p-30fp-crf28/B56Z.uEO8SKEBg-/0/1785331783820?e=2147483647&amp;v=beta&amp;t=e9YZglcKCxI_lxTW8MHZKf8rDd_-EPTYRks5j3J7Xgg","Open Creative")</f>
        <v>Open Creative</v>
      </c>
      <c r="L1728" s="6" t="s">
        <v>131</v>
      </c>
      <c r="M1728" s="6" t="s">
        <v>7537</v>
      </c>
      <c r="N1728" s="6" t="s">
        <v>132</v>
      </c>
      <c r="O1728" s="36" t="s">
        <v>132</v>
      </c>
      <c r="P1728" s="36">
        <v>1.567290606E9</v>
      </c>
      <c r="Q1728" s="36" t="s">
        <v>7541</v>
      </c>
      <c r="R1728" s="6" t="s">
        <v>7542</v>
      </c>
    </row>
    <row r="1729">
      <c r="A1729" s="6" t="s">
        <v>7537</v>
      </c>
      <c r="B1729" s="6" t="s">
        <v>7537</v>
      </c>
      <c r="C1729" s="6">
        <v>120.0</v>
      </c>
      <c r="D1729" s="9" t="str">
        <f>HYPERLINK("https://www.linkedin.com/ad-library/detail/1567400536","Open Ad")</f>
        <v>Open Ad</v>
      </c>
      <c r="E1729" s="6" t="s">
        <v>154</v>
      </c>
      <c r="F1729" s="6" t="s">
        <v>53</v>
      </c>
      <c r="G1729" s="6" t="s">
        <v>7586</v>
      </c>
      <c r="H1729" s="6" t="s">
        <v>55</v>
      </c>
      <c r="I1729" s="6" t="s">
        <v>7566</v>
      </c>
      <c r="J1729" s="6" t="s">
        <v>154</v>
      </c>
      <c r="K1729" s="9" t="str">
        <f>HYPERLINK("https://dms.licdn.com/playlist/vid/v2/D5610AQHmpK6i5urdxw/mp4-640p-30fp-crf28/B56Z_9g3dnGcBI-/0/1786664686931?e=2147483647&amp;v=beta&amp;t=GCsbLwt4gnl3_O9GWS3zo0UqXqoJNExlwAjmUsNAqs8","Open Creative")</f>
        <v>Open Creative</v>
      </c>
      <c r="L1729" s="6" t="s">
        <v>131</v>
      </c>
      <c r="M1729" s="6" t="s">
        <v>7537</v>
      </c>
      <c r="N1729" s="6" t="s">
        <v>132</v>
      </c>
      <c r="O1729" s="36" t="s">
        <v>132</v>
      </c>
      <c r="P1729" s="36">
        <v>1.567400536E9</v>
      </c>
      <c r="Q1729" s="36" t="s">
        <v>7541</v>
      </c>
      <c r="R1729" s="6" t="s">
        <v>7542</v>
      </c>
    </row>
    <row r="1730">
      <c r="A1730" s="6" t="s">
        <v>7537</v>
      </c>
      <c r="B1730" s="6" t="s">
        <v>7537</v>
      </c>
      <c r="C1730" s="6">
        <v>121.0</v>
      </c>
      <c r="D1730" s="9" t="str">
        <f>HYPERLINK("https://www.linkedin.com/ad-library/detail/1565694186","Open Ad")</f>
        <v>Open Ad</v>
      </c>
      <c r="E1730" s="6" t="s">
        <v>7543</v>
      </c>
      <c r="F1730" s="6" t="s">
        <v>53</v>
      </c>
      <c r="G1730" s="6" t="s">
        <v>7552</v>
      </c>
      <c r="H1730" s="6" t="s">
        <v>55</v>
      </c>
      <c r="I1730" s="6" t="s">
        <v>7566</v>
      </c>
      <c r="J1730" s="6" t="s">
        <v>7546</v>
      </c>
      <c r="K1730" s="6" t="s">
        <v>60</v>
      </c>
      <c r="L1730" s="6" t="s">
        <v>131</v>
      </c>
      <c r="M1730" s="6" t="s">
        <v>7537</v>
      </c>
      <c r="N1730" s="6" t="s">
        <v>132</v>
      </c>
      <c r="O1730" s="36" t="s">
        <v>132</v>
      </c>
      <c r="P1730" s="36">
        <v>1.565694186E9</v>
      </c>
      <c r="Q1730" s="36" t="s">
        <v>7541</v>
      </c>
      <c r="R1730" s="6" t="s">
        <v>7542</v>
      </c>
    </row>
    <row r="1731">
      <c r="A1731" s="6" t="s">
        <v>7537</v>
      </c>
      <c r="B1731" s="6" t="s">
        <v>7537</v>
      </c>
      <c r="C1731" s="6">
        <v>122.0</v>
      </c>
      <c r="D1731" s="9" t="str">
        <f>HYPERLINK("https://www.linkedin.com/ad-library/detail/1565589686","Open Ad")</f>
        <v>Open Ad</v>
      </c>
      <c r="E1731" s="6" t="s">
        <v>91</v>
      </c>
      <c r="F1731" s="6" t="s">
        <v>53</v>
      </c>
      <c r="G1731" s="6" t="s">
        <v>7587</v>
      </c>
      <c r="H1731" s="6" t="s">
        <v>55</v>
      </c>
      <c r="I1731" s="6" t="s">
        <v>7566</v>
      </c>
      <c r="J1731" s="6" t="s">
        <v>91</v>
      </c>
      <c r="K1731" s="9" t="str">
        <f>HYPERLINK("https://media.licdn.com/dms/image/v2/D5610AQEhWScG0zSsQQ/image-shrink_1280/B56Z.ALhD2HIAc-/0/1784561931707?e=2147483647&amp;v=beta&amp;t=CNNXfqX_x8NHdQnVcD2yPE1JO0w4ekTKwdMaxJHCKn4","Open Creative")</f>
        <v>Open Creative</v>
      </c>
      <c r="L1731" s="6" t="s">
        <v>131</v>
      </c>
      <c r="M1731" s="6" t="s">
        <v>7537</v>
      </c>
      <c r="N1731" s="6" t="s">
        <v>132</v>
      </c>
      <c r="O1731" s="36" t="s">
        <v>132</v>
      </c>
      <c r="P1731" s="36">
        <v>1.565589686E9</v>
      </c>
      <c r="Q1731" s="36" t="s">
        <v>7541</v>
      </c>
      <c r="R1731" s="6" t="s">
        <v>7542</v>
      </c>
    </row>
    <row r="1732">
      <c r="A1732" s="6" t="s">
        <v>7537</v>
      </c>
      <c r="B1732" s="6" t="s">
        <v>7537</v>
      </c>
      <c r="C1732" s="6">
        <v>123.0</v>
      </c>
      <c r="D1732" s="9" t="str">
        <f>HYPERLINK("https://www.linkedin.com/ad-library/detail/1567349936","Open Ad")</f>
        <v>Open Ad</v>
      </c>
      <c r="E1732" s="6" t="s">
        <v>7543</v>
      </c>
      <c r="F1732" s="6" t="s">
        <v>53</v>
      </c>
      <c r="G1732" s="6" t="s">
        <v>7544</v>
      </c>
      <c r="H1732" s="6" t="s">
        <v>55</v>
      </c>
      <c r="I1732" s="6" t="s">
        <v>7566</v>
      </c>
      <c r="J1732" s="6" t="s">
        <v>7546</v>
      </c>
      <c r="K1732" s="6" t="s">
        <v>60</v>
      </c>
      <c r="L1732" s="6" t="s">
        <v>131</v>
      </c>
      <c r="M1732" s="6" t="s">
        <v>7537</v>
      </c>
      <c r="N1732" s="6" t="s">
        <v>132</v>
      </c>
      <c r="O1732" s="36" t="s">
        <v>132</v>
      </c>
      <c r="P1732" s="36">
        <v>1.567349936E9</v>
      </c>
      <c r="Q1732" s="36" t="s">
        <v>7541</v>
      </c>
      <c r="R1732" s="6" t="s">
        <v>7542</v>
      </c>
    </row>
    <row r="1733">
      <c r="A1733" s="6" t="s">
        <v>7537</v>
      </c>
      <c r="B1733" s="6" t="s">
        <v>7537</v>
      </c>
      <c r="C1733" s="6">
        <v>124.0</v>
      </c>
      <c r="D1733" s="9" t="str">
        <f>HYPERLINK("https://www.linkedin.com/ad-library/detail/1565701586","Open Ad")</f>
        <v>Open Ad</v>
      </c>
      <c r="E1733" s="6" t="s">
        <v>91</v>
      </c>
      <c r="F1733" s="6" t="s">
        <v>53</v>
      </c>
      <c r="G1733" s="6" t="s">
        <v>7588</v>
      </c>
      <c r="H1733" s="6" t="s">
        <v>55</v>
      </c>
      <c r="I1733" s="6" t="s">
        <v>7566</v>
      </c>
      <c r="J1733" s="6" t="s">
        <v>91</v>
      </c>
      <c r="K1733" s="9" t="str">
        <f>HYPERLINK("https://media.licdn.com/dms/image/v2/D4E10AQEqECWLz8eLfg/image-shrink_1280/B4EZ3UsZ.CGkAc-/0/1777389904287?e=2147483647&amp;v=beta&amp;t=0Mbfqk_hLfichGIBXrMjoO2DeoHez5SeK866pI13xWU","Open Creative")</f>
        <v>Open Creative</v>
      </c>
      <c r="L1733" s="6" t="s">
        <v>131</v>
      </c>
      <c r="M1733" s="6" t="s">
        <v>7537</v>
      </c>
      <c r="N1733" s="6" t="s">
        <v>132</v>
      </c>
      <c r="O1733" s="36" t="s">
        <v>132</v>
      </c>
      <c r="P1733" s="36">
        <v>1.565701586E9</v>
      </c>
      <c r="Q1733" s="36" t="s">
        <v>7541</v>
      </c>
      <c r="R1733" s="6" t="s">
        <v>7542</v>
      </c>
    </row>
    <row r="1734">
      <c r="A1734" s="6" t="s">
        <v>7537</v>
      </c>
      <c r="B1734" s="6" t="s">
        <v>7537</v>
      </c>
      <c r="C1734" s="6">
        <v>125.0</v>
      </c>
      <c r="D1734" s="9" t="str">
        <f>HYPERLINK("https://www.linkedin.com/ad-library/detail/1567280736","Open Ad")</f>
        <v>Open Ad</v>
      </c>
      <c r="E1734" s="6" t="s">
        <v>154</v>
      </c>
      <c r="F1734" s="6" t="s">
        <v>53</v>
      </c>
      <c r="G1734" s="6" t="s">
        <v>7582</v>
      </c>
      <c r="H1734" s="6" t="s">
        <v>55</v>
      </c>
      <c r="I1734" s="6" t="s">
        <v>7566</v>
      </c>
      <c r="J1734" s="6" t="s">
        <v>154</v>
      </c>
      <c r="K1734" s="9" t="str">
        <f>HYPERLINK("https://dms.licdn.com/playlist/vid/v2/D5610AQHCJpD_4X3r0w/mp4-360p-30fp-crf28/B56Z8jGxPuG0Bg-/0/1783000416146?e=2147483647&amp;v=beta&amp;t=buNqytXIKQbDSPmN-gF0MjkJ-TiOGUHb02s8kF2cYZo","Open Creative")</f>
        <v>Open Creative</v>
      </c>
      <c r="L1734" s="6" t="s">
        <v>131</v>
      </c>
      <c r="M1734" s="6" t="s">
        <v>7537</v>
      </c>
      <c r="N1734" s="6" t="s">
        <v>132</v>
      </c>
      <c r="O1734" s="36" t="s">
        <v>132</v>
      </c>
      <c r="P1734" s="36">
        <v>1.567280736E9</v>
      </c>
      <c r="Q1734" s="36" t="s">
        <v>7541</v>
      </c>
      <c r="R1734" s="6" t="s">
        <v>7542</v>
      </c>
    </row>
    <row r="1735">
      <c r="A1735" s="6" t="s">
        <v>7537</v>
      </c>
      <c r="B1735" s="6" t="s">
        <v>7537</v>
      </c>
      <c r="C1735" s="6">
        <v>126.0</v>
      </c>
      <c r="D1735" s="9" t="str">
        <f>HYPERLINK("https://www.linkedin.com/ad-library/detail/1567229966","Open Ad")</f>
        <v>Open Ad</v>
      </c>
      <c r="E1735" s="6" t="s">
        <v>7543</v>
      </c>
      <c r="F1735" s="6" t="s">
        <v>53</v>
      </c>
      <c r="G1735" s="6" t="s">
        <v>7544</v>
      </c>
      <c r="H1735" s="6" t="s">
        <v>55</v>
      </c>
      <c r="I1735" s="6" t="s">
        <v>7566</v>
      </c>
      <c r="J1735" s="6" t="s">
        <v>7546</v>
      </c>
      <c r="K1735" s="6" t="s">
        <v>60</v>
      </c>
      <c r="L1735" s="6" t="s">
        <v>131</v>
      </c>
      <c r="M1735" s="6" t="s">
        <v>7537</v>
      </c>
      <c r="N1735" s="6" t="s">
        <v>132</v>
      </c>
      <c r="O1735" s="36" t="s">
        <v>132</v>
      </c>
      <c r="P1735" s="36">
        <v>1.567229966E9</v>
      </c>
      <c r="Q1735" s="36" t="s">
        <v>7541</v>
      </c>
      <c r="R1735" s="6" t="s">
        <v>7542</v>
      </c>
    </row>
    <row r="1736">
      <c r="A1736" s="6" t="s">
        <v>7537</v>
      </c>
      <c r="B1736" s="6" t="s">
        <v>7537</v>
      </c>
      <c r="C1736" s="6">
        <v>127.0</v>
      </c>
      <c r="D1736" s="9" t="str">
        <f>HYPERLINK("https://www.linkedin.com/ad-library/detail/1565599606","Open Ad")</f>
        <v>Open Ad</v>
      </c>
      <c r="E1736" s="6" t="s">
        <v>91</v>
      </c>
      <c r="F1736" s="6" t="s">
        <v>53</v>
      </c>
      <c r="G1736" s="6" t="s">
        <v>7589</v>
      </c>
      <c r="H1736" s="6" t="s">
        <v>55</v>
      </c>
      <c r="I1736" s="6" t="s">
        <v>7566</v>
      </c>
      <c r="J1736" s="6" t="s">
        <v>91</v>
      </c>
      <c r="K1736" s="9" t="str">
        <f>HYPERLINK("https://media.licdn.com/dms/image/v2/D5610AQH9yR_0PpAJoA/image-shrink_1280/B56aAgJIn4IEAc-/0/1787245661628?e=2147483647&amp;v=beta&amp;t=CqF8X07CERAPO8E_2YzsJgMx-mHFmKjIn82EdcCqZEE","Open Creative")</f>
        <v>Open Creative</v>
      </c>
      <c r="L1736" s="6" t="s">
        <v>131</v>
      </c>
      <c r="M1736" s="6" t="s">
        <v>7537</v>
      </c>
      <c r="N1736" s="6" t="s">
        <v>132</v>
      </c>
      <c r="O1736" s="36" t="s">
        <v>132</v>
      </c>
      <c r="P1736" s="36">
        <v>1.565599606E9</v>
      </c>
      <c r="Q1736" s="36" t="s">
        <v>7541</v>
      </c>
      <c r="R1736" s="6" t="s">
        <v>7542</v>
      </c>
    </row>
    <row r="1737">
      <c r="A1737" s="6" t="s">
        <v>7537</v>
      </c>
      <c r="B1737" s="6" t="s">
        <v>7537</v>
      </c>
      <c r="C1737" s="6">
        <v>128.0</v>
      </c>
      <c r="D1737" s="9" t="str">
        <f>HYPERLINK("https://www.linkedin.com/ad-library/detail/1565890806","Open Ad")</f>
        <v>Open Ad</v>
      </c>
      <c r="E1737" s="6" t="s">
        <v>7543</v>
      </c>
      <c r="F1737" s="6" t="s">
        <v>53</v>
      </c>
      <c r="G1737" s="6" t="s">
        <v>7544</v>
      </c>
      <c r="H1737" s="6" t="s">
        <v>55</v>
      </c>
      <c r="I1737" s="6" t="s">
        <v>7566</v>
      </c>
      <c r="J1737" s="6" t="s">
        <v>7546</v>
      </c>
      <c r="K1737" s="6" t="s">
        <v>60</v>
      </c>
      <c r="L1737" s="6" t="s">
        <v>131</v>
      </c>
      <c r="M1737" s="6" t="s">
        <v>7537</v>
      </c>
      <c r="N1737" s="6" t="s">
        <v>132</v>
      </c>
      <c r="O1737" s="36" t="s">
        <v>132</v>
      </c>
      <c r="P1737" s="36">
        <v>1.565890806E9</v>
      </c>
      <c r="Q1737" s="36" t="s">
        <v>7541</v>
      </c>
      <c r="R1737" s="6" t="s">
        <v>7542</v>
      </c>
    </row>
    <row r="1738">
      <c r="A1738" s="6" t="s">
        <v>7537</v>
      </c>
      <c r="B1738" s="6" t="s">
        <v>7537</v>
      </c>
      <c r="C1738" s="6">
        <v>129.0</v>
      </c>
      <c r="D1738" s="9" t="str">
        <f>HYPERLINK("https://www.linkedin.com/ad-library/detail/1565669206","Open Ad")</f>
        <v>Open Ad</v>
      </c>
      <c r="E1738" s="6" t="s">
        <v>91</v>
      </c>
      <c r="F1738" s="6" t="s">
        <v>53</v>
      </c>
      <c r="G1738" s="6" t="s">
        <v>7590</v>
      </c>
      <c r="H1738" s="6" t="s">
        <v>55</v>
      </c>
      <c r="I1738" s="6" t="s">
        <v>7566</v>
      </c>
      <c r="J1738" s="6" t="s">
        <v>91</v>
      </c>
      <c r="K1738" s="9" t="str">
        <f>HYPERLINK("https://media.licdn.com/dms/image/v2/D5622AQFeGh0Nti2Zmg/feedshare-shrink_1280/B56Z_IaUYgG0AQ-/0/1785773771225?e=2147483647&amp;v=beta&amp;t=LA0qAFOep-ii8fvQ1v2ki8IWWzEuY5pobqw62N817LM","Open Creative")</f>
        <v>Open Creative</v>
      </c>
      <c r="L1738" s="6" t="s">
        <v>131</v>
      </c>
      <c r="M1738" s="6" t="s">
        <v>7537</v>
      </c>
      <c r="N1738" s="6" t="s">
        <v>132</v>
      </c>
      <c r="O1738" s="36" t="s">
        <v>132</v>
      </c>
      <c r="P1738" s="36">
        <v>1.565669206E9</v>
      </c>
      <c r="Q1738" s="36" t="s">
        <v>7541</v>
      </c>
      <c r="R1738" s="6" t="s">
        <v>7542</v>
      </c>
    </row>
    <row r="1739">
      <c r="A1739" s="6" t="s">
        <v>7537</v>
      </c>
      <c r="B1739" s="6" t="s">
        <v>7537</v>
      </c>
      <c r="C1739" s="6">
        <v>130.0</v>
      </c>
      <c r="D1739" s="9" t="str">
        <f>HYPERLINK("https://www.linkedin.com/ad-library/detail/1567200456","Open Ad")</f>
        <v>Open Ad</v>
      </c>
      <c r="E1739" s="6" t="s">
        <v>7543</v>
      </c>
      <c r="F1739" s="6" t="s">
        <v>53</v>
      </c>
      <c r="G1739" s="6" t="s">
        <v>7544</v>
      </c>
      <c r="H1739" s="6" t="s">
        <v>55</v>
      </c>
      <c r="I1739" s="6" t="s">
        <v>7566</v>
      </c>
      <c r="J1739" s="6" t="s">
        <v>7546</v>
      </c>
      <c r="K1739" s="6" t="s">
        <v>60</v>
      </c>
      <c r="L1739" s="6" t="s">
        <v>131</v>
      </c>
      <c r="M1739" s="6" t="s">
        <v>7537</v>
      </c>
      <c r="N1739" s="6" t="s">
        <v>132</v>
      </c>
      <c r="O1739" s="36" t="s">
        <v>132</v>
      </c>
      <c r="P1739" s="36">
        <v>1.567200456E9</v>
      </c>
      <c r="Q1739" s="36" t="s">
        <v>7541</v>
      </c>
      <c r="R1739" s="6" t="s">
        <v>7542</v>
      </c>
    </row>
    <row r="1740">
      <c r="A1740" s="6" t="s">
        <v>7537</v>
      </c>
      <c r="B1740" s="6" t="s">
        <v>7537</v>
      </c>
      <c r="C1740" s="6">
        <v>131.0</v>
      </c>
      <c r="D1740" s="9" t="str">
        <f>HYPERLINK("https://www.linkedin.com/ad-library/detail/1567359966","Open Ad")</f>
        <v>Open Ad</v>
      </c>
      <c r="E1740" s="6" t="s">
        <v>7543</v>
      </c>
      <c r="F1740" s="6" t="s">
        <v>53</v>
      </c>
      <c r="G1740" s="6" t="s">
        <v>7552</v>
      </c>
      <c r="H1740" s="6" t="s">
        <v>55</v>
      </c>
      <c r="I1740" s="6" t="s">
        <v>7566</v>
      </c>
      <c r="J1740" s="6" t="s">
        <v>7546</v>
      </c>
      <c r="K1740" s="6" t="s">
        <v>60</v>
      </c>
      <c r="L1740" s="6" t="s">
        <v>131</v>
      </c>
      <c r="M1740" s="6" t="s">
        <v>7537</v>
      </c>
      <c r="N1740" s="6" t="s">
        <v>132</v>
      </c>
      <c r="O1740" s="36" t="s">
        <v>132</v>
      </c>
      <c r="P1740" s="36">
        <v>1.567359966E9</v>
      </c>
      <c r="Q1740" s="36" t="s">
        <v>7541</v>
      </c>
      <c r="R1740" s="6" t="s">
        <v>7542</v>
      </c>
    </row>
    <row r="1741">
      <c r="A1741" s="6" t="s">
        <v>7537</v>
      </c>
      <c r="B1741" s="6" t="s">
        <v>7537</v>
      </c>
      <c r="C1741" s="6">
        <v>132.0</v>
      </c>
      <c r="D1741" s="9" t="str">
        <f>HYPERLINK("https://www.linkedin.com/ad-library/detail/1565629756","Open Ad")</f>
        <v>Open Ad</v>
      </c>
      <c r="E1741" s="6" t="s">
        <v>91</v>
      </c>
      <c r="F1741" s="6" t="s">
        <v>53</v>
      </c>
      <c r="G1741" s="6" t="s">
        <v>7591</v>
      </c>
      <c r="H1741" s="6" t="s">
        <v>55</v>
      </c>
      <c r="I1741" s="6" t="s">
        <v>7566</v>
      </c>
      <c r="J1741" s="6" t="s">
        <v>91</v>
      </c>
      <c r="K1741" s="9" t="str">
        <f>HYPERLINK("https://media.licdn.com/dms/image/v2/D5610AQFapQuTs5RyQg/image-shrink_1280/B56Z9h_6UCGcAg-/0/1784055572538?e=2147483647&amp;v=beta&amp;t=Kv2jNpyAeREV8VRiJojr6bkYk7Ofuq0wj6IaFzQHYEU","Open Creative")</f>
        <v>Open Creative</v>
      </c>
      <c r="L1741" s="6" t="s">
        <v>131</v>
      </c>
      <c r="M1741" s="6" t="s">
        <v>7537</v>
      </c>
      <c r="N1741" s="6" t="s">
        <v>132</v>
      </c>
      <c r="O1741" s="36" t="s">
        <v>132</v>
      </c>
      <c r="P1741" s="36">
        <v>1.565629756E9</v>
      </c>
      <c r="Q1741" s="36" t="s">
        <v>7541</v>
      </c>
      <c r="R1741" s="6" t="s">
        <v>7542</v>
      </c>
    </row>
    <row r="1742">
      <c r="A1742" s="6" t="s">
        <v>7537</v>
      </c>
      <c r="B1742" s="6" t="s">
        <v>7537</v>
      </c>
      <c r="C1742" s="6">
        <v>133.0</v>
      </c>
      <c r="D1742" s="9" t="str">
        <f>HYPERLINK("https://www.linkedin.com/ad-library/detail/1565792226","Open Ad")</f>
        <v>Open Ad</v>
      </c>
      <c r="E1742" s="6" t="s">
        <v>7543</v>
      </c>
      <c r="F1742" s="6" t="s">
        <v>53</v>
      </c>
      <c r="G1742" s="6" t="s">
        <v>7552</v>
      </c>
      <c r="H1742" s="6" t="s">
        <v>55</v>
      </c>
      <c r="I1742" s="6" t="s">
        <v>7566</v>
      </c>
      <c r="J1742" s="6" t="s">
        <v>7546</v>
      </c>
      <c r="K1742" s="6" t="s">
        <v>60</v>
      </c>
      <c r="L1742" s="6" t="s">
        <v>131</v>
      </c>
      <c r="M1742" s="6" t="s">
        <v>7537</v>
      </c>
      <c r="N1742" s="6" t="s">
        <v>132</v>
      </c>
      <c r="O1742" s="36" t="s">
        <v>132</v>
      </c>
      <c r="P1742" s="36">
        <v>1.565792226E9</v>
      </c>
      <c r="Q1742" s="36" t="s">
        <v>7541</v>
      </c>
      <c r="R1742" s="6" t="s">
        <v>7542</v>
      </c>
    </row>
    <row r="1743">
      <c r="A1743" s="6" t="s">
        <v>7537</v>
      </c>
      <c r="B1743" s="6" t="s">
        <v>7537</v>
      </c>
      <c r="C1743" s="6">
        <v>134.0</v>
      </c>
      <c r="D1743" s="9" t="str">
        <f>HYPERLINK("https://www.linkedin.com/ad-library/detail/1565731176","Open Ad")</f>
        <v>Open Ad</v>
      </c>
      <c r="E1743" s="6" t="s">
        <v>91</v>
      </c>
      <c r="F1743" s="6" t="s">
        <v>53</v>
      </c>
      <c r="G1743" s="6" t="s">
        <v>7592</v>
      </c>
      <c r="H1743" s="6" t="s">
        <v>55</v>
      </c>
      <c r="I1743" s="6" t="s">
        <v>7566</v>
      </c>
      <c r="J1743" s="6" t="s">
        <v>91</v>
      </c>
      <c r="K1743" s="9" t="str">
        <f>HYPERLINK("https://media.licdn.com/dms/image/v2/D5610AQG6ROzWPETGmA/image-shrink_1280/B56Z9dR6t1KEAg-/0/1783976406842?e=2147483647&amp;v=beta&amp;t=ubEWJ1uNOIKQkdyOqmhR2qOxm2aAjGOzZhSszx4lxv4","Open Creative")</f>
        <v>Open Creative</v>
      </c>
      <c r="L1743" s="6" t="s">
        <v>131</v>
      </c>
      <c r="M1743" s="6" t="s">
        <v>7537</v>
      </c>
      <c r="N1743" s="6" t="s">
        <v>132</v>
      </c>
      <c r="O1743" s="36" t="s">
        <v>132</v>
      </c>
      <c r="P1743" s="36">
        <v>1.565731176E9</v>
      </c>
      <c r="Q1743" s="36" t="s">
        <v>7541</v>
      </c>
      <c r="R1743" s="6" t="s">
        <v>7542</v>
      </c>
    </row>
    <row r="1744">
      <c r="A1744" s="6" t="s">
        <v>7537</v>
      </c>
      <c r="B1744" s="6" t="s">
        <v>7537</v>
      </c>
      <c r="C1744" s="6">
        <v>135.0</v>
      </c>
      <c r="D1744" s="9" t="str">
        <f>HYPERLINK("https://www.linkedin.com/ad-library/detail/1567189946","Open Ad")</f>
        <v>Open Ad</v>
      </c>
      <c r="E1744" s="6" t="s">
        <v>7543</v>
      </c>
      <c r="F1744" s="6" t="s">
        <v>53</v>
      </c>
      <c r="G1744" s="6" t="s">
        <v>7552</v>
      </c>
      <c r="H1744" s="6" t="s">
        <v>55</v>
      </c>
      <c r="I1744" s="6" t="s">
        <v>7566</v>
      </c>
      <c r="J1744" s="6" t="s">
        <v>7546</v>
      </c>
      <c r="K1744" s="6" t="s">
        <v>60</v>
      </c>
      <c r="L1744" s="6" t="s">
        <v>131</v>
      </c>
      <c r="M1744" s="6" t="s">
        <v>7537</v>
      </c>
      <c r="N1744" s="6" t="s">
        <v>132</v>
      </c>
      <c r="O1744" s="36" t="s">
        <v>132</v>
      </c>
      <c r="P1744" s="36">
        <v>1.567189946E9</v>
      </c>
      <c r="Q1744" s="36" t="s">
        <v>7541</v>
      </c>
      <c r="R1744" s="6" t="s">
        <v>7542</v>
      </c>
    </row>
    <row r="1745">
      <c r="A1745" s="6" t="s">
        <v>7537</v>
      </c>
      <c r="B1745" s="6" t="s">
        <v>7537</v>
      </c>
      <c r="C1745" s="6">
        <v>136.0</v>
      </c>
      <c r="D1745" s="9" t="str">
        <f>HYPERLINK("https://www.linkedin.com/ad-library/detail/1567329926","Open Ad")</f>
        <v>Open Ad</v>
      </c>
      <c r="E1745" s="6" t="s">
        <v>7543</v>
      </c>
      <c r="F1745" s="6" t="s">
        <v>53</v>
      </c>
      <c r="G1745" s="6" t="s">
        <v>7550</v>
      </c>
      <c r="H1745" s="6" t="s">
        <v>55</v>
      </c>
      <c r="I1745" s="6" t="s">
        <v>7566</v>
      </c>
      <c r="J1745" s="6" t="s">
        <v>7546</v>
      </c>
      <c r="K1745" s="6" t="s">
        <v>60</v>
      </c>
      <c r="L1745" s="6" t="s">
        <v>131</v>
      </c>
      <c r="M1745" s="6" t="s">
        <v>7537</v>
      </c>
      <c r="N1745" s="6" t="s">
        <v>132</v>
      </c>
      <c r="O1745" s="36" t="s">
        <v>132</v>
      </c>
      <c r="P1745" s="36">
        <v>1.567329926E9</v>
      </c>
      <c r="Q1745" s="36" t="s">
        <v>7541</v>
      </c>
      <c r="R1745" s="6" t="s">
        <v>7542</v>
      </c>
    </row>
    <row r="1746">
      <c r="A1746" s="6" t="s">
        <v>7537</v>
      </c>
      <c r="B1746" s="6" t="s">
        <v>7537</v>
      </c>
      <c r="C1746" s="6">
        <v>137.0</v>
      </c>
      <c r="D1746" s="9" t="str">
        <f>HYPERLINK("https://www.linkedin.com/ad-library/detail/1565721336","Open Ad")</f>
        <v>Open Ad</v>
      </c>
      <c r="E1746" s="6" t="s">
        <v>91</v>
      </c>
      <c r="F1746" s="6" t="s">
        <v>53</v>
      </c>
      <c r="G1746" s="6" t="s">
        <v>7593</v>
      </c>
      <c r="H1746" s="6" t="s">
        <v>55</v>
      </c>
      <c r="I1746" s="6" t="s">
        <v>7566</v>
      </c>
      <c r="J1746" s="6" t="s">
        <v>91</v>
      </c>
      <c r="K1746" s="9" t="str">
        <f>HYPERLINK("https://media.licdn.com/dms/image/v2/D4E10AQGYRIIgGEIVqw/image-shrink_1280/B4EaAblpr_KYAc-/0/1787169250739?e=2147483647&amp;v=beta&amp;t=FODyphvpfuavIWLNs3GuJKg5XejBb-dZCddnzPP4D1A","Open Creative")</f>
        <v>Open Creative</v>
      </c>
      <c r="L1746" s="6" t="s">
        <v>131</v>
      </c>
      <c r="M1746" s="6" t="s">
        <v>7537</v>
      </c>
      <c r="N1746" s="6" t="s">
        <v>132</v>
      </c>
      <c r="O1746" s="36" t="s">
        <v>132</v>
      </c>
      <c r="P1746" s="36">
        <v>1.565721336E9</v>
      </c>
      <c r="Q1746" s="36" t="s">
        <v>7541</v>
      </c>
      <c r="R1746" s="6" t="s">
        <v>7542</v>
      </c>
    </row>
    <row r="1747">
      <c r="A1747" s="6" t="s">
        <v>7537</v>
      </c>
      <c r="B1747" s="6" t="s">
        <v>7537</v>
      </c>
      <c r="C1747" s="6">
        <v>138.0</v>
      </c>
      <c r="D1747" s="9" t="str">
        <f>HYPERLINK("https://www.linkedin.com/ad-library/detail/1567300786","Open Ad")</f>
        <v>Open Ad</v>
      </c>
      <c r="E1747" s="6" t="s">
        <v>154</v>
      </c>
      <c r="F1747" s="6" t="s">
        <v>53</v>
      </c>
      <c r="G1747" s="6" t="s">
        <v>7584</v>
      </c>
      <c r="H1747" s="6" t="s">
        <v>55</v>
      </c>
      <c r="I1747" s="6" t="s">
        <v>7566</v>
      </c>
      <c r="J1747" s="6" t="s">
        <v>154</v>
      </c>
      <c r="K1747" s="9" t="str">
        <f>HYPERLINK("https://dms.licdn.com/playlist/vid/v2/D5610AQEgZSN1R6lkQg/mp4-360p-30fp-crf28/B56Z.pe6eZJoBg-/0/1785254888120?e=2147483647&amp;v=beta&amp;t=5h1R6KvMhc0CxepDbbh4l98qEndRxnaP-BM6oZz1ryY","Open Creative")</f>
        <v>Open Creative</v>
      </c>
      <c r="L1747" s="6" t="s">
        <v>131</v>
      </c>
      <c r="M1747" s="6" t="s">
        <v>7537</v>
      </c>
      <c r="N1747" s="6" t="s">
        <v>132</v>
      </c>
      <c r="O1747" s="36" t="s">
        <v>132</v>
      </c>
      <c r="P1747" s="36">
        <v>1.567300786E9</v>
      </c>
      <c r="Q1747" s="36" t="s">
        <v>7541</v>
      </c>
      <c r="R1747" s="6" t="s">
        <v>7542</v>
      </c>
    </row>
    <row r="1748">
      <c r="A1748" s="6" t="s">
        <v>7537</v>
      </c>
      <c r="B1748" s="6" t="s">
        <v>7537</v>
      </c>
      <c r="C1748" s="6">
        <v>139.0</v>
      </c>
      <c r="D1748" s="9" t="str">
        <f>HYPERLINK("https://www.linkedin.com/ad-library/detail/1567309956","Open Ad")</f>
        <v>Open Ad</v>
      </c>
      <c r="E1748" s="6" t="s">
        <v>7543</v>
      </c>
      <c r="F1748" s="6" t="s">
        <v>53</v>
      </c>
      <c r="G1748" s="6" t="s">
        <v>7552</v>
      </c>
      <c r="H1748" s="6" t="s">
        <v>55</v>
      </c>
      <c r="I1748" s="6" t="s">
        <v>7566</v>
      </c>
      <c r="J1748" s="6" t="s">
        <v>7546</v>
      </c>
      <c r="K1748" s="6" t="s">
        <v>60</v>
      </c>
      <c r="L1748" s="6" t="s">
        <v>131</v>
      </c>
      <c r="M1748" s="6" t="s">
        <v>7537</v>
      </c>
      <c r="N1748" s="6" t="s">
        <v>132</v>
      </c>
      <c r="O1748" s="36" t="s">
        <v>132</v>
      </c>
      <c r="P1748" s="36">
        <v>1.567309956E9</v>
      </c>
      <c r="Q1748" s="36" t="s">
        <v>7541</v>
      </c>
      <c r="R1748" s="6" t="s">
        <v>7542</v>
      </c>
    </row>
    <row r="1749">
      <c r="A1749" s="6" t="s">
        <v>7537</v>
      </c>
      <c r="B1749" s="6" t="s">
        <v>7537</v>
      </c>
      <c r="C1749" s="6">
        <v>140.0</v>
      </c>
      <c r="D1749" s="9" t="str">
        <f>HYPERLINK("https://www.linkedin.com/ad-library/detail/1567279946","Open Ad")</f>
        <v>Open Ad</v>
      </c>
      <c r="E1749" s="6" t="s">
        <v>7543</v>
      </c>
      <c r="F1749" s="6" t="s">
        <v>53</v>
      </c>
      <c r="G1749" s="6" t="s">
        <v>7550</v>
      </c>
      <c r="H1749" s="6" t="s">
        <v>55</v>
      </c>
      <c r="I1749" s="6" t="s">
        <v>7566</v>
      </c>
      <c r="J1749" s="6" t="s">
        <v>7546</v>
      </c>
      <c r="K1749" s="6" t="s">
        <v>60</v>
      </c>
      <c r="L1749" s="6" t="s">
        <v>131</v>
      </c>
      <c r="M1749" s="6" t="s">
        <v>7537</v>
      </c>
      <c r="N1749" s="6" t="s">
        <v>132</v>
      </c>
      <c r="O1749" s="36" t="s">
        <v>132</v>
      </c>
      <c r="P1749" s="36">
        <v>1.567279946E9</v>
      </c>
      <c r="Q1749" s="36" t="s">
        <v>7541</v>
      </c>
      <c r="R1749" s="6" t="s">
        <v>7542</v>
      </c>
    </row>
    <row r="1750">
      <c r="A1750" s="6" t="s">
        <v>7537</v>
      </c>
      <c r="B1750" s="6" t="s">
        <v>7537</v>
      </c>
      <c r="C1750" s="6">
        <v>141.0</v>
      </c>
      <c r="D1750" s="9" t="str">
        <f>HYPERLINK("https://www.linkedin.com/ad-library/detail/1565762346","Open Ad")</f>
        <v>Open Ad</v>
      </c>
      <c r="E1750" s="6" t="s">
        <v>7543</v>
      </c>
      <c r="F1750" s="6" t="s">
        <v>53</v>
      </c>
      <c r="G1750" s="6" t="s">
        <v>7552</v>
      </c>
      <c r="H1750" s="6" t="s">
        <v>55</v>
      </c>
      <c r="I1750" s="6" t="s">
        <v>7566</v>
      </c>
      <c r="J1750" s="6" t="s">
        <v>7546</v>
      </c>
      <c r="K1750" s="6" t="s">
        <v>60</v>
      </c>
      <c r="L1750" s="6" t="s">
        <v>131</v>
      </c>
      <c r="M1750" s="6" t="s">
        <v>7537</v>
      </c>
      <c r="N1750" s="6" t="s">
        <v>132</v>
      </c>
      <c r="O1750" s="36" t="s">
        <v>132</v>
      </c>
      <c r="P1750" s="36">
        <v>1.565762346E9</v>
      </c>
      <c r="Q1750" s="36" t="s">
        <v>7541</v>
      </c>
      <c r="R1750" s="6" t="s">
        <v>7542</v>
      </c>
    </row>
    <row r="1751">
      <c r="A1751" s="6" t="s">
        <v>7537</v>
      </c>
      <c r="B1751" s="6" t="s">
        <v>7537</v>
      </c>
      <c r="C1751" s="6">
        <v>142.0</v>
      </c>
      <c r="D1751" s="9" t="str">
        <f>HYPERLINK("https://www.linkedin.com/ad-library/detail/1567409916","Open Ad")</f>
        <v>Open Ad</v>
      </c>
      <c r="E1751" s="6" t="s">
        <v>7543</v>
      </c>
      <c r="F1751" s="6" t="s">
        <v>53</v>
      </c>
      <c r="G1751" s="6" t="s">
        <v>7550</v>
      </c>
      <c r="H1751" s="6" t="s">
        <v>55</v>
      </c>
      <c r="I1751" s="6" t="s">
        <v>7566</v>
      </c>
      <c r="J1751" s="6" t="s">
        <v>7546</v>
      </c>
      <c r="K1751" s="6" t="s">
        <v>60</v>
      </c>
      <c r="L1751" s="6" t="s">
        <v>131</v>
      </c>
      <c r="M1751" s="6" t="s">
        <v>7537</v>
      </c>
      <c r="N1751" s="6" t="s">
        <v>132</v>
      </c>
      <c r="O1751" s="36" t="s">
        <v>132</v>
      </c>
      <c r="P1751" s="36">
        <v>1.567409916E9</v>
      </c>
      <c r="Q1751" s="36" t="s">
        <v>7541</v>
      </c>
      <c r="R1751" s="6" t="s">
        <v>7542</v>
      </c>
    </row>
    <row r="1752">
      <c r="A1752" s="6" t="s">
        <v>7537</v>
      </c>
      <c r="B1752" s="6" t="s">
        <v>7537</v>
      </c>
      <c r="C1752" s="6">
        <v>143.0</v>
      </c>
      <c r="D1752" s="9" t="str">
        <f>HYPERLINK("https://www.linkedin.com/ad-library/detail/1565821626","Open Ad")</f>
        <v>Open Ad</v>
      </c>
      <c r="E1752" s="6" t="s">
        <v>7543</v>
      </c>
      <c r="F1752" s="6" t="s">
        <v>53</v>
      </c>
      <c r="G1752" s="6" t="s">
        <v>7544</v>
      </c>
      <c r="H1752" s="6" t="s">
        <v>55</v>
      </c>
      <c r="I1752" s="6" t="s">
        <v>7566</v>
      </c>
      <c r="J1752" s="6" t="s">
        <v>7546</v>
      </c>
      <c r="K1752" s="6" t="s">
        <v>60</v>
      </c>
      <c r="L1752" s="6" t="s">
        <v>131</v>
      </c>
      <c r="M1752" s="6" t="s">
        <v>7537</v>
      </c>
      <c r="N1752" s="6" t="s">
        <v>132</v>
      </c>
      <c r="O1752" s="36" t="s">
        <v>132</v>
      </c>
      <c r="P1752" s="36">
        <v>1.565821626E9</v>
      </c>
      <c r="Q1752" s="36" t="s">
        <v>7541</v>
      </c>
      <c r="R1752" s="6" t="s">
        <v>7542</v>
      </c>
    </row>
    <row r="1753">
      <c r="A1753" s="6" t="s">
        <v>7537</v>
      </c>
      <c r="B1753" s="6" t="s">
        <v>7537</v>
      </c>
      <c r="C1753" s="6">
        <v>144.0</v>
      </c>
      <c r="D1753" s="9" t="str">
        <f>HYPERLINK("https://www.linkedin.com/ad-library/detail/1565800226","Open Ad")</f>
        <v>Open Ad</v>
      </c>
      <c r="E1753" s="6" t="s">
        <v>91</v>
      </c>
      <c r="F1753" s="6" t="s">
        <v>53</v>
      </c>
      <c r="G1753" s="6" t="s">
        <v>7594</v>
      </c>
      <c r="H1753" s="6" t="s">
        <v>55</v>
      </c>
      <c r="I1753" s="6" t="s">
        <v>7566</v>
      </c>
      <c r="J1753" s="6" t="s">
        <v>91</v>
      </c>
      <c r="K1753" s="9" t="str">
        <f>HYPERLINK("https://media.licdn.com/dms/image/v2/D4E10AQGg8MhwP8BRyA/image-shrink_1280/B4EZ_9nWa6J4Ag-/0/1786666379554?e=2147483647&amp;v=beta&amp;t=2vJTPrPN5M2twXSE6ZgOtUIcDY5-l6ctOHpGERmK348","Open Creative")</f>
        <v>Open Creative</v>
      </c>
      <c r="L1753" s="6" t="s">
        <v>131</v>
      </c>
      <c r="M1753" s="6" t="s">
        <v>7537</v>
      </c>
      <c r="N1753" s="6" t="s">
        <v>132</v>
      </c>
      <c r="O1753" s="36" t="s">
        <v>132</v>
      </c>
      <c r="P1753" s="36">
        <v>1.565800226E9</v>
      </c>
      <c r="Q1753" s="36" t="s">
        <v>7541</v>
      </c>
      <c r="R1753" s="6" t="s">
        <v>7542</v>
      </c>
    </row>
    <row r="1754">
      <c r="A1754" s="6" t="s">
        <v>7537</v>
      </c>
      <c r="B1754" s="6" t="s">
        <v>7537</v>
      </c>
      <c r="C1754" s="6">
        <v>145.0</v>
      </c>
      <c r="D1754" s="9" t="str">
        <f>HYPERLINK("https://www.linkedin.com/ad-library/detail/1565589216","Open Ad")</f>
        <v>Open Ad</v>
      </c>
      <c r="E1754" s="6" t="s">
        <v>91</v>
      </c>
      <c r="F1754" s="6" t="s">
        <v>53</v>
      </c>
      <c r="G1754" s="6" t="s">
        <v>7595</v>
      </c>
      <c r="H1754" s="6" t="s">
        <v>55</v>
      </c>
      <c r="I1754" s="6" t="s">
        <v>7566</v>
      </c>
      <c r="J1754" s="6" t="s">
        <v>91</v>
      </c>
      <c r="K1754" s="9" t="str">
        <f>HYPERLINK("https://media.licdn.com/dms/image/v2/D5610AQF5ONUziLB90Q/image-shrink_1280/B56Z8YuROrGcAc-/0/1782826211326?e=2147483647&amp;v=beta&amp;t=P2Cz2Aul20qMidWME_WS_vAnPWT-iq7vaBsEHckvets","Open Creative")</f>
        <v>Open Creative</v>
      </c>
      <c r="L1754" s="6" t="s">
        <v>131</v>
      </c>
      <c r="M1754" s="6" t="s">
        <v>7537</v>
      </c>
      <c r="N1754" s="6" t="s">
        <v>132</v>
      </c>
      <c r="O1754" s="36" t="s">
        <v>132</v>
      </c>
      <c r="P1754" s="36">
        <v>1.565589216E9</v>
      </c>
      <c r="Q1754" s="36" t="s">
        <v>7541</v>
      </c>
      <c r="R1754" s="6" t="s">
        <v>7542</v>
      </c>
    </row>
    <row r="1755">
      <c r="A1755" s="6" t="s">
        <v>7537</v>
      </c>
      <c r="B1755" s="6" t="s">
        <v>7537</v>
      </c>
      <c r="C1755" s="6">
        <v>146.0</v>
      </c>
      <c r="D1755" s="9" t="str">
        <f>HYPERLINK("https://www.linkedin.com/ad-library/detail/1565649776","Open Ad")</f>
        <v>Open Ad</v>
      </c>
      <c r="E1755" s="6" t="s">
        <v>91</v>
      </c>
      <c r="F1755" s="6" t="s">
        <v>53</v>
      </c>
      <c r="G1755" s="6" t="s">
        <v>7592</v>
      </c>
      <c r="H1755" s="6" t="s">
        <v>55</v>
      </c>
      <c r="I1755" s="6" t="s">
        <v>7566</v>
      </c>
      <c r="J1755" s="6" t="s">
        <v>91</v>
      </c>
      <c r="K1755" s="9" t="str">
        <f>HYPERLINK("https://media.licdn.com/dms/image/v2/D5610AQG6ROzWPETGmA/image-shrink_1280/B56Z9dR6t1KEAg-/0/1783976406842?e=2147483647&amp;v=beta&amp;t=ubEWJ1uNOIKQkdyOqmhR2qOxm2aAjGOzZhSszx4lxv4","Open Creative")</f>
        <v>Open Creative</v>
      </c>
      <c r="L1755" s="6" t="s">
        <v>131</v>
      </c>
      <c r="M1755" s="6" t="s">
        <v>7537</v>
      </c>
      <c r="N1755" s="6" t="s">
        <v>132</v>
      </c>
      <c r="O1755" s="36" t="s">
        <v>132</v>
      </c>
      <c r="P1755" s="36">
        <v>1.565649776E9</v>
      </c>
      <c r="Q1755" s="36" t="s">
        <v>7541</v>
      </c>
      <c r="R1755" s="6" t="s">
        <v>7542</v>
      </c>
    </row>
    <row r="1756">
      <c r="A1756" s="6" t="s">
        <v>7537</v>
      </c>
      <c r="B1756" s="6" t="s">
        <v>7537</v>
      </c>
      <c r="C1756" s="6">
        <v>147.0</v>
      </c>
      <c r="D1756" s="9" t="str">
        <f>HYPERLINK("https://www.linkedin.com/ad-library/detail/1562795866","Open Ad")</f>
        <v>Open Ad</v>
      </c>
      <c r="E1756" s="6" t="s">
        <v>7543</v>
      </c>
      <c r="F1756" s="6" t="s">
        <v>53</v>
      </c>
      <c r="G1756" s="6" t="s">
        <v>7544</v>
      </c>
      <c r="H1756" s="6" t="s">
        <v>55</v>
      </c>
      <c r="I1756" s="6" t="s">
        <v>7566</v>
      </c>
      <c r="J1756" s="6" t="s">
        <v>7546</v>
      </c>
      <c r="K1756" s="6" t="s">
        <v>60</v>
      </c>
      <c r="L1756" s="6" t="s">
        <v>131</v>
      </c>
      <c r="M1756" s="6" t="s">
        <v>7537</v>
      </c>
      <c r="N1756" s="6" t="s">
        <v>132</v>
      </c>
      <c r="O1756" s="36" t="s">
        <v>132</v>
      </c>
      <c r="P1756" s="36">
        <v>1.562795866E9</v>
      </c>
      <c r="Q1756" s="36" t="s">
        <v>7541</v>
      </c>
      <c r="R1756" s="6" t="s">
        <v>7542</v>
      </c>
    </row>
    <row r="1757">
      <c r="A1757" s="6" t="s">
        <v>7537</v>
      </c>
      <c r="B1757" s="6" t="s">
        <v>7537</v>
      </c>
      <c r="C1757" s="6">
        <v>148.0</v>
      </c>
      <c r="D1757" s="9" t="str">
        <f>HYPERLINK("https://www.linkedin.com/ad-library/detail/1565810136","Open Ad")</f>
        <v>Open Ad</v>
      </c>
      <c r="E1757" s="6" t="s">
        <v>91</v>
      </c>
      <c r="F1757" s="6" t="s">
        <v>53</v>
      </c>
      <c r="G1757" s="6" t="s">
        <v>7588</v>
      </c>
      <c r="H1757" s="6" t="s">
        <v>55</v>
      </c>
      <c r="I1757" s="6" t="s">
        <v>7566</v>
      </c>
      <c r="J1757" s="6" t="s">
        <v>91</v>
      </c>
      <c r="K1757" s="9" t="str">
        <f>HYPERLINK("https://media.licdn.com/dms/image/v2/D4E10AQEqECWLz8eLfg/image-shrink_1280/B4EZ3UsZ.CGkAc-/0/1777389904287?e=2147483647&amp;v=beta&amp;t=0Mbfqk_hLfichGIBXrMjoO2DeoHez5SeK866pI13xWU","Open Creative")</f>
        <v>Open Creative</v>
      </c>
      <c r="L1757" s="6" t="s">
        <v>131</v>
      </c>
      <c r="M1757" s="6" t="s">
        <v>7537</v>
      </c>
      <c r="N1757" s="6" t="s">
        <v>132</v>
      </c>
      <c r="O1757" s="36" t="s">
        <v>132</v>
      </c>
      <c r="P1757" s="36">
        <v>1.565810136E9</v>
      </c>
      <c r="Q1757" s="36" t="s">
        <v>7541</v>
      </c>
      <c r="R1757" s="6" t="s">
        <v>7542</v>
      </c>
    </row>
    <row r="1758">
      <c r="A1758" s="6" t="s">
        <v>7537</v>
      </c>
      <c r="B1758" s="6" t="s">
        <v>7537</v>
      </c>
      <c r="C1758" s="6">
        <v>149.0</v>
      </c>
      <c r="D1758" s="9" t="str">
        <f>HYPERLINK("https://www.linkedin.com/ad-library/detail/1565589626","Open Ad")</f>
        <v>Open Ad</v>
      </c>
      <c r="E1758" s="6" t="s">
        <v>91</v>
      </c>
      <c r="F1758" s="6" t="s">
        <v>53</v>
      </c>
      <c r="G1758" s="6" t="s">
        <v>7589</v>
      </c>
      <c r="H1758" s="6" t="s">
        <v>55</v>
      </c>
      <c r="I1758" s="6" t="s">
        <v>7566</v>
      </c>
      <c r="J1758" s="6" t="s">
        <v>91</v>
      </c>
      <c r="K1758" s="9" t="str">
        <f t="shared" ref="K1758:K1759" si="10">HYPERLINK("https://media.licdn.com/dms/image/v2/D5610AQH9yR_0PpAJoA/image-shrink_1280/B56aAgJIn4IEAc-/0/1787245661628?e=2147483647&amp;v=beta&amp;t=CqF8X07CERAPO8E_2YzsJgMx-mHFmKjIn82EdcCqZEE","Open Creative")</f>
        <v>Open Creative</v>
      </c>
      <c r="L1758" s="6" t="s">
        <v>131</v>
      </c>
      <c r="M1758" s="6" t="s">
        <v>7537</v>
      </c>
      <c r="N1758" s="6" t="s">
        <v>132</v>
      </c>
      <c r="O1758" s="36" t="s">
        <v>132</v>
      </c>
      <c r="P1758" s="36">
        <v>1.565589626E9</v>
      </c>
      <c r="Q1758" s="36" t="s">
        <v>7541</v>
      </c>
      <c r="R1758" s="6" t="s">
        <v>7542</v>
      </c>
    </row>
    <row r="1759">
      <c r="A1759" s="6" t="s">
        <v>7537</v>
      </c>
      <c r="B1759" s="6" t="s">
        <v>7537</v>
      </c>
      <c r="C1759" s="6">
        <v>150.0</v>
      </c>
      <c r="D1759" s="9" t="str">
        <f>HYPERLINK("https://www.linkedin.com/ad-library/detail/1565701476","Open Ad")</f>
        <v>Open Ad</v>
      </c>
      <c r="E1759" s="6" t="s">
        <v>91</v>
      </c>
      <c r="F1759" s="6" t="s">
        <v>53</v>
      </c>
      <c r="G1759" s="6" t="s">
        <v>7589</v>
      </c>
      <c r="H1759" s="6" t="s">
        <v>55</v>
      </c>
      <c r="I1759" s="6" t="s">
        <v>7566</v>
      </c>
      <c r="J1759" s="6" t="s">
        <v>91</v>
      </c>
      <c r="K1759" s="9" t="str">
        <f t="shared" si="10"/>
        <v>Open Creative</v>
      </c>
      <c r="L1759" s="6" t="s">
        <v>131</v>
      </c>
      <c r="M1759" s="6" t="s">
        <v>7537</v>
      </c>
      <c r="N1759" s="6" t="s">
        <v>132</v>
      </c>
      <c r="O1759" s="36" t="s">
        <v>132</v>
      </c>
      <c r="P1759" s="36">
        <v>1.565701476E9</v>
      </c>
      <c r="Q1759" s="36" t="s">
        <v>7541</v>
      </c>
      <c r="R1759" s="6" t="s">
        <v>7542</v>
      </c>
    </row>
    <row r="1760">
      <c r="A1760" s="6" t="s">
        <v>7537</v>
      </c>
      <c r="B1760" s="6" t="s">
        <v>7537</v>
      </c>
      <c r="C1760" s="6">
        <v>151.0</v>
      </c>
      <c r="D1760" s="9" t="str">
        <f>HYPERLINK("https://www.linkedin.com/ad-library/detail/1565569746","Open Ad")</f>
        <v>Open Ad</v>
      </c>
      <c r="E1760" s="6" t="s">
        <v>91</v>
      </c>
      <c r="F1760" s="6" t="s">
        <v>53</v>
      </c>
      <c r="G1760" s="6" t="s">
        <v>7587</v>
      </c>
      <c r="H1760" s="6" t="s">
        <v>55</v>
      </c>
      <c r="I1760" s="6" t="s">
        <v>7566</v>
      </c>
      <c r="J1760" s="6" t="s">
        <v>91</v>
      </c>
      <c r="K1760" s="9" t="str">
        <f>HYPERLINK("https://media.licdn.com/dms/image/v2/D5610AQEhWScG0zSsQQ/image-shrink_1280/B56Z.ALhD2HIAc-/0/1784561931707?e=2147483647&amp;v=beta&amp;t=CNNXfqX_x8NHdQnVcD2yPE1JO0w4ekTKwdMaxJHCKn4","Open Creative")</f>
        <v>Open Creative</v>
      </c>
      <c r="L1760" s="6" t="s">
        <v>131</v>
      </c>
      <c r="M1760" s="6" t="s">
        <v>7537</v>
      </c>
      <c r="N1760" s="6" t="s">
        <v>132</v>
      </c>
      <c r="O1760" s="36" t="s">
        <v>132</v>
      </c>
      <c r="P1760" s="36">
        <v>1.565569746E9</v>
      </c>
      <c r="Q1760" s="36" t="s">
        <v>7541</v>
      </c>
      <c r="R1760" s="6" t="s">
        <v>7542</v>
      </c>
    </row>
    <row r="1761">
      <c r="A1761" s="6" t="s">
        <v>7537</v>
      </c>
      <c r="B1761" s="6" t="s">
        <v>7537</v>
      </c>
      <c r="C1761" s="6">
        <v>152.0</v>
      </c>
      <c r="D1761" s="9" t="str">
        <f>HYPERLINK("https://www.linkedin.com/ad-library/detail/1565692246","Open Ad")</f>
        <v>Open Ad</v>
      </c>
      <c r="E1761" s="6" t="s">
        <v>91</v>
      </c>
      <c r="F1761" s="6" t="s">
        <v>53</v>
      </c>
      <c r="G1761" s="6" t="s">
        <v>7588</v>
      </c>
      <c r="H1761" s="6" t="s">
        <v>55</v>
      </c>
      <c r="I1761" s="6" t="s">
        <v>7566</v>
      </c>
      <c r="J1761" s="6" t="s">
        <v>91</v>
      </c>
      <c r="K1761" s="9" t="str">
        <f>HYPERLINK("https://media.licdn.com/dms/image/v2/D4E10AQEqECWLz8eLfg/image-shrink_1280/B4EZ3UsZ.CGkAc-/0/1777389904287?e=2147483647&amp;v=beta&amp;t=0Mbfqk_hLfichGIBXrMjoO2DeoHez5SeK866pI13xWU","Open Creative")</f>
        <v>Open Creative</v>
      </c>
      <c r="L1761" s="6" t="s">
        <v>131</v>
      </c>
      <c r="M1761" s="6" t="s">
        <v>7537</v>
      </c>
      <c r="N1761" s="6" t="s">
        <v>132</v>
      </c>
      <c r="O1761" s="36" t="s">
        <v>132</v>
      </c>
      <c r="P1761" s="36">
        <v>1.565692246E9</v>
      </c>
      <c r="Q1761" s="36" t="s">
        <v>7541</v>
      </c>
      <c r="R1761" s="6" t="s">
        <v>7542</v>
      </c>
    </row>
    <row r="1762">
      <c r="A1762" s="6" t="s">
        <v>7537</v>
      </c>
      <c r="B1762" s="6" t="s">
        <v>7537</v>
      </c>
      <c r="C1762" s="6">
        <v>153.0</v>
      </c>
      <c r="D1762" s="9" t="str">
        <f>HYPERLINK("https://www.linkedin.com/ad-library/detail/1565589636","Open Ad")</f>
        <v>Open Ad</v>
      </c>
      <c r="E1762" s="6" t="s">
        <v>91</v>
      </c>
      <c r="F1762" s="6" t="s">
        <v>53</v>
      </c>
      <c r="G1762" s="6" t="s">
        <v>7593</v>
      </c>
      <c r="H1762" s="6" t="s">
        <v>55</v>
      </c>
      <c r="I1762" s="6" t="s">
        <v>7566</v>
      </c>
      <c r="J1762" s="6" t="s">
        <v>91</v>
      </c>
      <c r="K1762" s="9" t="str">
        <f>HYPERLINK("https://media.licdn.com/dms/image/v2/D4E10AQGYRIIgGEIVqw/image-shrink_1280/B4EaAblpr_KYAc-/0/1787169250739?e=2147483647&amp;v=beta&amp;t=FODyphvpfuavIWLNs3GuJKg5XejBb-dZCddnzPP4D1A","Open Creative")</f>
        <v>Open Creative</v>
      </c>
      <c r="L1762" s="6" t="s">
        <v>131</v>
      </c>
      <c r="M1762" s="6" t="s">
        <v>7537</v>
      </c>
      <c r="N1762" s="6" t="s">
        <v>132</v>
      </c>
      <c r="O1762" s="36" t="s">
        <v>132</v>
      </c>
      <c r="P1762" s="36">
        <v>1.565589636E9</v>
      </c>
      <c r="Q1762" s="36" t="s">
        <v>7541</v>
      </c>
      <c r="R1762" s="6" t="s">
        <v>7542</v>
      </c>
    </row>
    <row r="1763">
      <c r="A1763" s="6" t="s">
        <v>7537</v>
      </c>
      <c r="B1763" s="6" t="s">
        <v>7537</v>
      </c>
      <c r="C1763" s="6">
        <v>154.0</v>
      </c>
      <c r="D1763" s="9" t="str">
        <f>HYPERLINK("https://www.linkedin.com/ad-library/detail/1565639286","Open Ad")</f>
        <v>Open Ad</v>
      </c>
      <c r="E1763" s="6" t="s">
        <v>91</v>
      </c>
      <c r="F1763" s="6" t="s">
        <v>53</v>
      </c>
      <c r="G1763" s="6" t="s">
        <v>7592</v>
      </c>
      <c r="H1763" s="6" t="s">
        <v>55</v>
      </c>
      <c r="I1763" s="6" t="s">
        <v>7566</v>
      </c>
      <c r="J1763" s="6" t="s">
        <v>91</v>
      </c>
      <c r="K1763" s="9" t="str">
        <f>HYPERLINK("https://media.licdn.com/dms/image/v2/D5610AQG6ROzWPETGmA/image-shrink_1280/B56Z9dR6t1KEAg-/0/1783976406842?e=2147483647&amp;v=beta&amp;t=ubEWJ1uNOIKQkdyOqmhR2qOxm2aAjGOzZhSszx4lxv4","Open Creative")</f>
        <v>Open Creative</v>
      </c>
      <c r="L1763" s="6" t="s">
        <v>131</v>
      </c>
      <c r="M1763" s="6" t="s">
        <v>7537</v>
      </c>
      <c r="N1763" s="6" t="s">
        <v>132</v>
      </c>
      <c r="O1763" s="36" t="s">
        <v>132</v>
      </c>
      <c r="P1763" s="36">
        <v>1.565639286E9</v>
      </c>
      <c r="Q1763" s="36" t="s">
        <v>7541</v>
      </c>
      <c r="R1763" s="6" t="s">
        <v>7542</v>
      </c>
    </row>
    <row r="1764">
      <c r="A1764" s="6" t="s">
        <v>7537</v>
      </c>
      <c r="B1764" s="6" t="s">
        <v>7537</v>
      </c>
      <c r="C1764" s="6">
        <v>155.0</v>
      </c>
      <c r="D1764" s="9" t="str">
        <f>HYPERLINK("https://www.linkedin.com/ad-library/detail/1565221626","Open Ad")</f>
        <v>Open Ad</v>
      </c>
      <c r="E1764" s="6" t="s">
        <v>91</v>
      </c>
      <c r="F1764" s="6" t="s">
        <v>53</v>
      </c>
      <c r="G1764" s="6" t="s">
        <v>7589</v>
      </c>
      <c r="H1764" s="6" t="s">
        <v>55</v>
      </c>
      <c r="I1764" s="6" t="s">
        <v>7566</v>
      </c>
      <c r="J1764" s="6" t="s">
        <v>91</v>
      </c>
      <c r="K1764" s="9" t="str">
        <f>HYPERLINK("https://media.licdn.com/dms/image/v2/D5610AQH9yR_0PpAJoA/image-shrink_1280/B56aAgJIn4IEAc-/0/1787245661628?e=2147483647&amp;v=beta&amp;t=CqF8X07CERAPO8E_2YzsJgMx-mHFmKjIn82EdcCqZEE","Open Creative")</f>
        <v>Open Creative</v>
      </c>
      <c r="L1764" s="6" t="s">
        <v>131</v>
      </c>
      <c r="M1764" s="6" t="s">
        <v>7537</v>
      </c>
      <c r="N1764" s="6" t="s">
        <v>132</v>
      </c>
      <c r="O1764" s="36" t="s">
        <v>132</v>
      </c>
      <c r="P1764" s="36">
        <v>1.565221626E9</v>
      </c>
      <c r="Q1764" s="36" t="s">
        <v>7541</v>
      </c>
      <c r="R1764" s="6" t="s">
        <v>7542</v>
      </c>
    </row>
    <row r="1765">
      <c r="A1765" s="6" t="s">
        <v>7537</v>
      </c>
      <c r="B1765" s="6" t="s">
        <v>7537</v>
      </c>
      <c r="C1765" s="6">
        <v>156.0</v>
      </c>
      <c r="D1765" s="9" t="str">
        <f>HYPERLINK("https://www.linkedin.com/ad-library/detail/1565740636","Open Ad")</f>
        <v>Open Ad</v>
      </c>
      <c r="E1765" s="6" t="s">
        <v>91</v>
      </c>
      <c r="F1765" s="6" t="s">
        <v>53</v>
      </c>
      <c r="G1765" s="6" t="s">
        <v>7590</v>
      </c>
      <c r="H1765" s="6" t="s">
        <v>55</v>
      </c>
      <c r="I1765" s="6" t="s">
        <v>7566</v>
      </c>
      <c r="J1765" s="6" t="s">
        <v>91</v>
      </c>
      <c r="K1765" s="9" t="str">
        <f>HYPERLINK("https://media.licdn.com/dms/image/v2/D5622AQFeGh0Nti2Zmg/feedshare-shrink_1280/B56Z_IaUYgG0AQ-/0/1785773771225?e=2147483647&amp;v=beta&amp;t=LA0qAFOep-ii8fvQ1v2ki8IWWzEuY5pobqw62N817LM","Open Creative")</f>
        <v>Open Creative</v>
      </c>
      <c r="L1765" s="6" t="s">
        <v>131</v>
      </c>
      <c r="M1765" s="6" t="s">
        <v>7537</v>
      </c>
      <c r="N1765" s="6" t="s">
        <v>132</v>
      </c>
      <c r="O1765" s="36" t="s">
        <v>132</v>
      </c>
      <c r="P1765" s="36">
        <v>1.565740636E9</v>
      </c>
      <c r="Q1765" s="36" t="s">
        <v>7541</v>
      </c>
      <c r="R1765" s="6" t="s">
        <v>7542</v>
      </c>
    </row>
    <row r="1766">
      <c r="A1766" s="6" t="s">
        <v>7537</v>
      </c>
      <c r="B1766" s="6" t="s">
        <v>7537</v>
      </c>
      <c r="C1766" s="6">
        <v>157.0</v>
      </c>
      <c r="D1766" s="9" t="str">
        <f>HYPERLINK("https://www.linkedin.com/ad-library/detail/1565701546","Open Ad")</f>
        <v>Open Ad</v>
      </c>
      <c r="E1766" s="6" t="s">
        <v>91</v>
      </c>
      <c r="F1766" s="6" t="s">
        <v>53</v>
      </c>
      <c r="G1766" s="6" t="s">
        <v>7587</v>
      </c>
      <c r="H1766" s="6" t="s">
        <v>55</v>
      </c>
      <c r="I1766" s="6" t="s">
        <v>7566</v>
      </c>
      <c r="J1766" s="6" t="s">
        <v>91</v>
      </c>
      <c r="K1766" s="9" t="str">
        <f>HYPERLINK("https://media.licdn.com/dms/image/v2/D5610AQEhWScG0zSsQQ/image-shrink_1280/B56Z.ALhD2HIAc-/0/1784561931707?e=2147483647&amp;v=beta&amp;t=CNNXfqX_x8NHdQnVcD2yPE1JO0w4ekTKwdMaxJHCKn4","Open Creative")</f>
        <v>Open Creative</v>
      </c>
      <c r="L1766" s="6" t="s">
        <v>131</v>
      </c>
      <c r="M1766" s="6" t="s">
        <v>7537</v>
      </c>
      <c r="N1766" s="6" t="s">
        <v>132</v>
      </c>
      <c r="O1766" s="36" t="s">
        <v>132</v>
      </c>
      <c r="P1766" s="36">
        <v>1.565701546E9</v>
      </c>
      <c r="Q1766" s="36" t="s">
        <v>7541</v>
      </c>
      <c r="R1766" s="6" t="s">
        <v>7542</v>
      </c>
    </row>
    <row r="1767">
      <c r="A1767" s="6" t="s">
        <v>7537</v>
      </c>
      <c r="B1767" s="6" t="s">
        <v>7537</v>
      </c>
      <c r="C1767" s="6">
        <v>158.0</v>
      </c>
      <c r="D1767" s="9" t="str">
        <f>HYPERLINK("https://www.linkedin.com/ad-library/detail/1565750546","Open Ad")</f>
        <v>Open Ad</v>
      </c>
      <c r="E1767" s="6" t="s">
        <v>91</v>
      </c>
      <c r="F1767" s="6" t="s">
        <v>53</v>
      </c>
      <c r="G1767" s="6" t="s">
        <v>7593</v>
      </c>
      <c r="H1767" s="6" t="s">
        <v>55</v>
      </c>
      <c r="I1767" s="6" t="s">
        <v>7566</v>
      </c>
      <c r="J1767" s="6" t="s">
        <v>91</v>
      </c>
      <c r="K1767" s="9" t="str">
        <f>HYPERLINK("https://media.licdn.com/dms/image/v2/D4E10AQGYRIIgGEIVqw/image-shrink_1280/B4EaAblpr_KYAc-/0/1787169250739?e=2147483647&amp;v=beta&amp;t=FODyphvpfuavIWLNs3GuJKg5XejBb-dZCddnzPP4D1A","Open Creative")</f>
        <v>Open Creative</v>
      </c>
      <c r="L1767" s="6" t="s">
        <v>131</v>
      </c>
      <c r="M1767" s="6" t="s">
        <v>7537</v>
      </c>
      <c r="N1767" s="6" t="s">
        <v>132</v>
      </c>
      <c r="O1767" s="36" t="s">
        <v>132</v>
      </c>
      <c r="P1767" s="36">
        <v>1.565750546E9</v>
      </c>
      <c r="Q1767" s="36" t="s">
        <v>7541</v>
      </c>
      <c r="R1767" s="6" t="s">
        <v>7542</v>
      </c>
    </row>
    <row r="1768">
      <c r="A1768" s="6" t="s">
        <v>7537</v>
      </c>
      <c r="B1768" s="6" t="s">
        <v>7537</v>
      </c>
      <c r="C1768" s="6">
        <v>159.0</v>
      </c>
      <c r="D1768" s="9" t="str">
        <f>HYPERLINK("https://www.linkedin.com/ad-library/detail/1565790306","Open Ad")</f>
        <v>Open Ad</v>
      </c>
      <c r="E1768" s="6" t="s">
        <v>91</v>
      </c>
      <c r="F1768" s="6" t="s">
        <v>53</v>
      </c>
      <c r="G1768" s="6" t="s">
        <v>7595</v>
      </c>
      <c r="H1768" s="6" t="s">
        <v>55</v>
      </c>
      <c r="I1768" s="6" t="s">
        <v>7566</v>
      </c>
      <c r="J1768" s="6" t="s">
        <v>91</v>
      </c>
      <c r="K1768" s="9" t="str">
        <f>HYPERLINK("https://media.licdn.com/dms/image/v2/D5610AQF5ONUziLB90Q/image-shrink_1280/B56Z8YuROrGcAc-/0/1782826211326?e=2147483647&amp;v=beta&amp;t=P2Cz2Aul20qMidWME_WS_vAnPWT-iq7vaBsEHckvets","Open Creative")</f>
        <v>Open Creative</v>
      </c>
      <c r="L1768" s="6" t="s">
        <v>131</v>
      </c>
      <c r="M1768" s="6" t="s">
        <v>7537</v>
      </c>
      <c r="N1768" s="6" t="s">
        <v>132</v>
      </c>
      <c r="O1768" s="36" t="s">
        <v>132</v>
      </c>
      <c r="P1768" s="36">
        <v>1.565790306E9</v>
      </c>
      <c r="Q1768" s="36" t="s">
        <v>7541</v>
      </c>
      <c r="R1768" s="6" t="s">
        <v>7542</v>
      </c>
    </row>
    <row r="1769">
      <c r="A1769" s="6" t="s">
        <v>7537</v>
      </c>
      <c r="B1769" s="6" t="s">
        <v>7537</v>
      </c>
      <c r="C1769" s="6">
        <v>160.0</v>
      </c>
      <c r="D1769" s="9" t="str">
        <f>HYPERLINK("https://www.linkedin.com/ad-library/detail/1565731166","Open Ad")</f>
        <v>Open Ad</v>
      </c>
      <c r="E1769" s="6" t="s">
        <v>91</v>
      </c>
      <c r="F1769" s="6" t="s">
        <v>53</v>
      </c>
      <c r="G1769" s="6" t="s">
        <v>7590</v>
      </c>
      <c r="H1769" s="6" t="s">
        <v>55</v>
      </c>
      <c r="I1769" s="6" t="s">
        <v>7566</v>
      </c>
      <c r="J1769" s="6" t="s">
        <v>91</v>
      </c>
      <c r="K1769" s="9" t="str">
        <f>HYPERLINK("https://media.licdn.com/dms/image/v2/D5622AQFeGh0Nti2Zmg/feedshare-shrink_1280/B56Z_IaUYgG0AQ-/0/1785773771225?e=2147483647&amp;v=beta&amp;t=LA0qAFOep-ii8fvQ1v2ki8IWWzEuY5pobqw62N817LM","Open Creative")</f>
        <v>Open Creative</v>
      </c>
      <c r="L1769" s="6" t="s">
        <v>131</v>
      </c>
      <c r="M1769" s="6" t="s">
        <v>7537</v>
      </c>
      <c r="N1769" s="6" t="s">
        <v>132</v>
      </c>
      <c r="O1769" s="36" t="s">
        <v>132</v>
      </c>
      <c r="P1769" s="36">
        <v>1.565731166E9</v>
      </c>
      <c r="Q1769" s="36" t="s">
        <v>7541</v>
      </c>
      <c r="R1769" s="6" t="s">
        <v>7542</v>
      </c>
    </row>
    <row r="1770">
      <c r="A1770" s="6" t="s">
        <v>7537</v>
      </c>
      <c r="B1770" s="6" t="s">
        <v>7537</v>
      </c>
      <c r="C1770" s="6">
        <v>161.0</v>
      </c>
      <c r="D1770" s="9" t="str">
        <f>HYPERLINK("https://www.linkedin.com/ad-library/detail/1565721316","Open Ad")</f>
        <v>Open Ad</v>
      </c>
      <c r="E1770" s="6" t="s">
        <v>91</v>
      </c>
      <c r="F1770" s="6" t="s">
        <v>53</v>
      </c>
      <c r="G1770" s="6" t="s">
        <v>7595</v>
      </c>
      <c r="H1770" s="6" t="s">
        <v>55</v>
      </c>
      <c r="I1770" s="6" t="s">
        <v>7566</v>
      </c>
      <c r="J1770" s="6" t="s">
        <v>91</v>
      </c>
      <c r="K1770" s="9" t="str">
        <f>HYPERLINK("https://media.licdn.com/dms/image/v2/D5610AQF5ONUziLB90Q/image-shrink_1280/B56Z8YuROrGcAc-/0/1782826211326?e=2147483647&amp;v=beta&amp;t=P2Cz2Aul20qMidWME_WS_vAnPWT-iq7vaBsEHckvets","Open Creative")</f>
        <v>Open Creative</v>
      </c>
      <c r="L1770" s="6" t="s">
        <v>131</v>
      </c>
      <c r="M1770" s="6" t="s">
        <v>7537</v>
      </c>
      <c r="N1770" s="6" t="s">
        <v>132</v>
      </c>
      <c r="O1770" s="36" t="s">
        <v>132</v>
      </c>
      <c r="P1770" s="36">
        <v>1.565721316E9</v>
      </c>
      <c r="Q1770" s="36" t="s">
        <v>7541</v>
      </c>
      <c r="R1770" s="6" t="s">
        <v>7542</v>
      </c>
    </row>
    <row r="1771">
      <c r="A1771" s="6" t="s">
        <v>7537</v>
      </c>
      <c r="B1771" s="6" t="s">
        <v>7537</v>
      </c>
      <c r="C1771" s="6">
        <v>162.0</v>
      </c>
      <c r="D1771" s="9" t="str">
        <f>HYPERLINK("https://www.linkedin.com/ad-library/detail/1565721306","Open Ad")</f>
        <v>Open Ad</v>
      </c>
      <c r="E1771" s="6" t="s">
        <v>91</v>
      </c>
      <c r="F1771" s="6" t="s">
        <v>53</v>
      </c>
      <c r="G1771" s="6" t="s">
        <v>7594</v>
      </c>
      <c r="H1771" s="6" t="s">
        <v>55</v>
      </c>
      <c r="I1771" s="6" t="s">
        <v>7566</v>
      </c>
      <c r="J1771" s="6" t="s">
        <v>91</v>
      </c>
      <c r="K1771" s="9" t="str">
        <f>HYPERLINK("https://media.licdn.com/dms/image/v2/D4E10AQGg8MhwP8BRyA/image-shrink_1280/B4EZ_9nWa6J4Ag-/0/1786666379554?e=2147483647&amp;v=beta&amp;t=2vJTPrPN5M2twXSE6ZgOtUIcDY5-l6ctOHpGERmK348","Open Creative")</f>
        <v>Open Creative</v>
      </c>
      <c r="L1771" s="6" t="s">
        <v>131</v>
      </c>
      <c r="M1771" s="6" t="s">
        <v>7537</v>
      </c>
      <c r="N1771" s="6" t="s">
        <v>132</v>
      </c>
      <c r="O1771" s="36" t="s">
        <v>132</v>
      </c>
      <c r="P1771" s="36">
        <v>1.565721306E9</v>
      </c>
      <c r="Q1771" s="36" t="s">
        <v>7541</v>
      </c>
      <c r="R1771" s="6" t="s">
        <v>7542</v>
      </c>
    </row>
    <row r="1772">
      <c r="A1772" s="6" t="s">
        <v>7537</v>
      </c>
      <c r="B1772" s="6" t="s">
        <v>7537</v>
      </c>
      <c r="C1772" s="6">
        <v>163.0</v>
      </c>
      <c r="D1772" s="9" t="str">
        <f>HYPERLINK("https://www.linkedin.com/ad-library/detail/1565700956","Open Ad")</f>
        <v>Open Ad</v>
      </c>
      <c r="E1772" s="6" t="s">
        <v>91</v>
      </c>
      <c r="F1772" s="6" t="s">
        <v>53</v>
      </c>
      <c r="G1772" s="6" t="s">
        <v>7591</v>
      </c>
      <c r="H1772" s="6" t="s">
        <v>55</v>
      </c>
      <c r="I1772" s="6" t="s">
        <v>7566</v>
      </c>
      <c r="J1772" s="6" t="s">
        <v>91</v>
      </c>
      <c r="K1772" s="9" t="str">
        <f>HYPERLINK("https://media.licdn.com/dms/image/v2/D5610AQFapQuTs5RyQg/image-shrink_1280/B56Z9h_6UCGcAg-/0/1784055572538?e=2147483647&amp;v=beta&amp;t=Kv2jNpyAeREV8VRiJojr6bkYk7Ofuq0wj6IaFzQHYEU","Open Creative")</f>
        <v>Open Creative</v>
      </c>
      <c r="L1772" s="6" t="s">
        <v>131</v>
      </c>
      <c r="M1772" s="6" t="s">
        <v>7537</v>
      </c>
      <c r="N1772" s="6" t="s">
        <v>132</v>
      </c>
      <c r="O1772" s="36" t="s">
        <v>132</v>
      </c>
      <c r="P1772" s="36">
        <v>1.565700956E9</v>
      </c>
      <c r="Q1772" s="36" t="s">
        <v>7541</v>
      </c>
      <c r="R1772" s="6" t="s">
        <v>7542</v>
      </c>
    </row>
    <row r="1773">
      <c r="A1773" s="6" t="s">
        <v>7537</v>
      </c>
      <c r="B1773" s="6" t="s">
        <v>7537</v>
      </c>
      <c r="C1773" s="6">
        <v>164.0</v>
      </c>
      <c r="D1773" s="9" t="str">
        <f>HYPERLINK("https://www.linkedin.com/ad-library/detail/1565211826","Open Ad")</f>
        <v>Open Ad</v>
      </c>
      <c r="E1773" s="6" t="s">
        <v>91</v>
      </c>
      <c r="F1773" s="6" t="s">
        <v>53</v>
      </c>
      <c r="G1773" s="6" t="s">
        <v>7589</v>
      </c>
      <c r="H1773" s="6" t="s">
        <v>55</v>
      </c>
      <c r="I1773" s="6" t="s">
        <v>7566</v>
      </c>
      <c r="J1773" s="6" t="s">
        <v>91</v>
      </c>
      <c r="K1773" s="9" t="str">
        <f t="shared" ref="K1773:K1774" si="11">HYPERLINK("https://media.licdn.com/dms/image/v2/D5610AQH9yR_0PpAJoA/image-shrink_1280/B56aAgJIn4IEAc-/0/1787245661628?e=2147483647&amp;v=beta&amp;t=CqF8X07CERAPO8E_2YzsJgMx-mHFmKjIn82EdcCqZEE","Open Creative")</f>
        <v>Open Creative</v>
      </c>
      <c r="L1773" s="6" t="s">
        <v>131</v>
      </c>
      <c r="M1773" s="6" t="s">
        <v>7537</v>
      </c>
      <c r="N1773" s="6" t="s">
        <v>132</v>
      </c>
      <c r="O1773" s="36" t="s">
        <v>132</v>
      </c>
      <c r="P1773" s="36">
        <v>1.565211826E9</v>
      </c>
      <c r="Q1773" s="36" t="s">
        <v>7541</v>
      </c>
      <c r="R1773" s="6" t="s">
        <v>7542</v>
      </c>
    </row>
    <row r="1774">
      <c r="A1774" s="6" t="s">
        <v>7537</v>
      </c>
      <c r="B1774" s="6" t="s">
        <v>7537</v>
      </c>
      <c r="C1774" s="6">
        <v>165.0</v>
      </c>
      <c r="D1774" s="9" t="str">
        <f>HYPERLINK("https://www.linkedin.com/ad-library/detail/1565271166","Open Ad")</f>
        <v>Open Ad</v>
      </c>
      <c r="E1774" s="6" t="s">
        <v>91</v>
      </c>
      <c r="F1774" s="6" t="s">
        <v>53</v>
      </c>
      <c r="G1774" s="6" t="s">
        <v>7589</v>
      </c>
      <c r="H1774" s="6" t="s">
        <v>55</v>
      </c>
      <c r="I1774" s="6" t="s">
        <v>7566</v>
      </c>
      <c r="J1774" s="6" t="s">
        <v>91</v>
      </c>
      <c r="K1774" s="9" t="str">
        <f t="shared" si="11"/>
        <v>Open Creative</v>
      </c>
      <c r="L1774" s="6" t="s">
        <v>131</v>
      </c>
      <c r="M1774" s="6" t="s">
        <v>7537</v>
      </c>
      <c r="N1774" s="6" t="s">
        <v>132</v>
      </c>
      <c r="O1774" s="36" t="s">
        <v>132</v>
      </c>
      <c r="P1774" s="36">
        <v>1.565271166E9</v>
      </c>
      <c r="Q1774" s="36" t="s">
        <v>7541</v>
      </c>
      <c r="R1774" s="6" t="s">
        <v>7542</v>
      </c>
    </row>
    <row r="1775">
      <c r="A1775" s="6" t="s">
        <v>7537</v>
      </c>
      <c r="B1775" s="6" t="s">
        <v>7537</v>
      </c>
      <c r="C1775" s="6">
        <v>166.0</v>
      </c>
      <c r="D1775" s="9" t="str">
        <f>HYPERLINK("https://www.linkedin.com/ad-library/detail/1565740976","Open Ad")</f>
        <v>Open Ad</v>
      </c>
      <c r="E1775" s="6" t="s">
        <v>91</v>
      </c>
      <c r="F1775" s="6" t="s">
        <v>53</v>
      </c>
      <c r="G1775" s="6" t="s">
        <v>7591</v>
      </c>
      <c r="H1775" s="6" t="s">
        <v>55</v>
      </c>
      <c r="I1775" s="6" t="s">
        <v>7566</v>
      </c>
      <c r="J1775" s="6" t="s">
        <v>91</v>
      </c>
      <c r="K1775" s="9" t="str">
        <f>HYPERLINK("https://media.licdn.com/dms/image/v2/D5610AQFapQuTs5RyQg/image-shrink_1280/B56Z9h_6UCGcAg-/0/1784055572538?e=2147483647&amp;v=beta&amp;t=Kv2jNpyAeREV8VRiJojr6bkYk7Ofuq0wj6IaFzQHYEU","Open Creative")</f>
        <v>Open Creative</v>
      </c>
      <c r="L1775" s="6" t="s">
        <v>131</v>
      </c>
      <c r="M1775" s="6" t="s">
        <v>7537</v>
      </c>
      <c r="N1775" s="6" t="s">
        <v>132</v>
      </c>
      <c r="O1775" s="36" t="s">
        <v>132</v>
      </c>
      <c r="P1775" s="36">
        <v>1.565740976E9</v>
      </c>
      <c r="Q1775" s="36" t="s">
        <v>7541</v>
      </c>
      <c r="R1775" s="6" t="s">
        <v>7542</v>
      </c>
    </row>
    <row r="1776">
      <c r="A1776" s="6" t="s">
        <v>7537</v>
      </c>
      <c r="B1776" s="6" t="s">
        <v>7537</v>
      </c>
      <c r="C1776" s="6">
        <v>167.0</v>
      </c>
      <c r="D1776" s="9" t="str">
        <f>HYPERLINK("https://www.linkedin.com/ad-library/detail/1565679026","Open Ad")</f>
        <v>Open Ad</v>
      </c>
      <c r="E1776" s="6" t="s">
        <v>91</v>
      </c>
      <c r="F1776" s="6" t="s">
        <v>53</v>
      </c>
      <c r="G1776" s="6" t="s">
        <v>7594</v>
      </c>
      <c r="H1776" s="6" t="s">
        <v>55</v>
      </c>
      <c r="I1776" s="6" t="s">
        <v>7566</v>
      </c>
      <c r="J1776" s="6" t="s">
        <v>91</v>
      </c>
      <c r="K1776" s="9" t="str">
        <f>HYPERLINK("https://media.licdn.com/dms/image/v2/D4E10AQGg8MhwP8BRyA/image-shrink_1280/B4EZ_9nWa6J4Ag-/0/1786666379554?e=2147483647&amp;v=beta&amp;t=2vJTPrPN5M2twXSE6ZgOtUIcDY5-l6ctOHpGERmK348","Open Creative")</f>
        <v>Open Creative</v>
      </c>
      <c r="L1776" s="6" t="s">
        <v>131</v>
      </c>
      <c r="M1776" s="6" t="s">
        <v>7537</v>
      </c>
      <c r="N1776" s="6" t="s">
        <v>132</v>
      </c>
      <c r="O1776" s="36" t="s">
        <v>132</v>
      </c>
      <c r="P1776" s="36">
        <v>1.565679026E9</v>
      </c>
      <c r="Q1776" s="36" t="s">
        <v>7541</v>
      </c>
      <c r="R1776" s="6" t="s">
        <v>7542</v>
      </c>
    </row>
    <row r="1777">
      <c r="A1777" s="6" t="s">
        <v>7537</v>
      </c>
      <c r="B1777" s="6" t="s">
        <v>7537</v>
      </c>
      <c r="C1777" s="6">
        <v>168.0</v>
      </c>
      <c r="D1777" s="9" t="str">
        <f>HYPERLINK("https://www.linkedin.com/ad-library/detail/1565330896","Open Ad")</f>
        <v>Open Ad</v>
      </c>
      <c r="E1777" s="6" t="s">
        <v>91</v>
      </c>
      <c r="F1777" s="6" t="s">
        <v>53</v>
      </c>
      <c r="G1777" s="6" t="s">
        <v>7589</v>
      </c>
      <c r="H1777" s="6" t="s">
        <v>55</v>
      </c>
      <c r="I1777" s="6" t="s">
        <v>7566</v>
      </c>
      <c r="J1777" s="6" t="s">
        <v>91</v>
      </c>
      <c r="K1777" s="9" t="str">
        <f>HYPERLINK("https://media.licdn.com/dms/image/v2/D5610AQH9yR_0PpAJoA/image-shrink_1280/B56aAgJIn4IEAc-/0/1787245661628?e=2147483647&amp;v=beta&amp;t=CqF8X07CERAPO8E_2YzsJgMx-mHFmKjIn82EdcCqZEE","Open Creative")</f>
        <v>Open Creative</v>
      </c>
      <c r="L1777" s="6" t="s">
        <v>131</v>
      </c>
      <c r="M1777" s="6" t="s">
        <v>7537</v>
      </c>
      <c r="N1777" s="6" t="s">
        <v>132</v>
      </c>
      <c r="O1777" s="36" t="s">
        <v>132</v>
      </c>
      <c r="P1777" s="36">
        <v>1.565330896E9</v>
      </c>
      <c r="Q1777" s="36" t="s">
        <v>7541</v>
      </c>
      <c r="R1777" s="6" t="s">
        <v>7542</v>
      </c>
    </row>
    <row r="1778">
      <c r="A1778" s="6" t="s">
        <v>7537</v>
      </c>
      <c r="B1778" s="6" t="s">
        <v>7537</v>
      </c>
      <c r="C1778" s="6">
        <v>169.0</v>
      </c>
      <c r="D1778" s="9" t="str">
        <f>HYPERLINK("https://www.linkedin.com/ad-library/detail/1560947506","Open Ad")</f>
        <v>Open Ad</v>
      </c>
      <c r="E1778" s="6" t="s">
        <v>91</v>
      </c>
      <c r="F1778" s="6" t="s">
        <v>53</v>
      </c>
      <c r="G1778" s="6" t="s">
        <v>7594</v>
      </c>
      <c r="H1778" s="6" t="s">
        <v>55</v>
      </c>
      <c r="I1778" s="6" t="s">
        <v>7566</v>
      </c>
      <c r="J1778" s="6" t="s">
        <v>91</v>
      </c>
      <c r="K1778" s="9" t="str">
        <f>HYPERLINK("https://media.licdn.com/dms/image/v2/D4E10AQGg8MhwP8BRyA/image-shrink_1280/B4EZ_9nWa6J4Ag-/0/1786666379554?e=2147483647&amp;v=beta&amp;t=2vJTPrPN5M2twXSE6ZgOtUIcDY5-l6ctOHpGERmK348","Open Creative")</f>
        <v>Open Creative</v>
      </c>
      <c r="L1778" s="6" t="s">
        <v>131</v>
      </c>
      <c r="M1778" s="6" t="s">
        <v>7537</v>
      </c>
      <c r="N1778" s="6" t="s">
        <v>132</v>
      </c>
      <c r="O1778" s="36" t="s">
        <v>132</v>
      </c>
      <c r="P1778" s="36">
        <v>1.560947506E9</v>
      </c>
      <c r="Q1778" s="36" t="s">
        <v>7541</v>
      </c>
      <c r="R1778" s="6" t="s">
        <v>7542</v>
      </c>
    </row>
    <row r="1779">
      <c r="A1779" s="6" t="s">
        <v>7537</v>
      </c>
      <c r="B1779" s="6" t="s">
        <v>7537</v>
      </c>
      <c r="C1779" s="6">
        <v>170.0</v>
      </c>
      <c r="D1779" s="9" t="str">
        <f>HYPERLINK("https://www.linkedin.com/ad-library/detail/1561034086","Open Ad")</f>
        <v>Open Ad</v>
      </c>
      <c r="E1779" s="6" t="s">
        <v>91</v>
      </c>
      <c r="F1779" s="6" t="s">
        <v>53</v>
      </c>
      <c r="G1779" s="6" t="s">
        <v>7593</v>
      </c>
      <c r="H1779" s="6" t="s">
        <v>55</v>
      </c>
      <c r="I1779" s="6" t="s">
        <v>7566</v>
      </c>
      <c r="J1779" s="6" t="s">
        <v>91</v>
      </c>
      <c r="K1779" s="9" t="str">
        <f t="shared" ref="K1779:K1780" si="12">HYPERLINK("https://media.licdn.com/dms/image/v2/D4E10AQGYRIIgGEIVqw/image-shrink_1280/B4EaAblpr_KYAc-/0/1787169250739?e=2147483647&amp;v=beta&amp;t=FODyphvpfuavIWLNs3GuJKg5XejBb-dZCddnzPP4D1A","Open Creative")</f>
        <v>Open Creative</v>
      </c>
      <c r="L1779" s="6" t="s">
        <v>131</v>
      </c>
      <c r="M1779" s="6" t="s">
        <v>7537</v>
      </c>
      <c r="N1779" s="6" t="s">
        <v>132</v>
      </c>
      <c r="O1779" s="36" t="s">
        <v>132</v>
      </c>
      <c r="P1779" s="36">
        <v>1.561034086E9</v>
      </c>
      <c r="Q1779" s="36" t="s">
        <v>7541</v>
      </c>
      <c r="R1779" s="6" t="s">
        <v>7542</v>
      </c>
    </row>
    <row r="1780">
      <c r="A1780" s="6" t="s">
        <v>7537</v>
      </c>
      <c r="B1780" s="6" t="s">
        <v>7537</v>
      </c>
      <c r="C1780" s="6">
        <v>171.0</v>
      </c>
      <c r="D1780" s="9" t="str">
        <f>HYPERLINK("https://www.linkedin.com/ad-library/detail/1560878096","Open Ad")</f>
        <v>Open Ad</v>
      </c>
      <c r="E1780" s="6" t="s">
        <v>91</v>
      </c>
      <c r="F1780" s="6" t="s">
        <v>53</v>
      </c>
      <c r="G1780" s="6" t="s">
        <v>7593</v>
      </c>
      <c r="H1780" s="6" t="s">
        <v>55</v>
      </c>
      <c r="I1780" s="6" t="s">
        <v>7566</v>
      </c>
      <c r="J1780" s="6" t="s">
        <v>91</v>
      </c>
      <c r="K1780" s="9" t="str">
        <f t="shared" si="12"/>
        <v>Open Creative</v>
      </c>
      <c r="L1780" s="6" t="s">
        <v>131</v>
      </c>
      <c r="M1780" s="6" t="s">
        <v>7537</v>
      </c>
      <c r="N1780" s="6" t="s">
        <v>132</v>
      </c>
      <c r="O1780" s="36" t="s">
        <v>132</v>
      </c>
      <c r="P1780" s="36">
        <v>1.560878096E9</v>
      </c>
      <c r="Q1780" s="36" t="s">
        <v>7541</v>
      </c>
      <c r="R1780" s="6" t="s">
        <v>7542</v>
      </c>
    </row>
    <row r="1781">
      <c r="A1781" s="6" t="s">
        <v>7537</v>
      </c>
      <c r="B1781" s="6" t="s">
        <v>7537</v>
      </c>
      <c r="C1781" s="6">
        <v>172.0</v>
      </c>
      <c r="D1781" s="9" t="str">
        <f>HYPERLINK("https://www.linkedin.com/ad-library/detail/1561016226","Open Ad")</f>
        <v>Open Ad</v>
      </c>
      <c r="E1781" s="6" t="s">
        <v>91</v>
      </c>
      <c r="F1781" s="6" t="s">
        <v>53</v>
      </c>
      <c r="G1781" s="6" t="s">
        <v>7594</v>
      </c>
      <c r="H1781" s="6" t="s">
        <v>55</v>
      </c>
      <c r="I1781" s="6" t="s">
        <v>7566</v>
      </c>
      <c r="J1781" s="6" t="s">
        <v>91</v>
      </c>
      <c r="K1781" s="9" t="str">
        <f>HYPERLINK("https://media.licdn.com/dms/image/v2/D4E10AQGg8MhwP8BRyA/image-shrink_1280/B4EZ_9nWa6J4Ag-/0/1786666379554?e=2147483647&amp;v=beta&amp;t=2vJTPrPN5M2twXSE6ZgOtUIcDY5-l6ctOHpGERmK348","Open Creative")</f>
        <v>Open Creative</v>
      </c>
      <c r="L1781" s="6" t="s">
        <v>131</v>
      </c>
      <c r="M1781" s="6" t="s">
        <v>7537</v>
      </c>
      <c r="N1781" s="6" t="s">
        <v>132</v>
      </c>
      <c r="O1781" s="36" t="s">
        <v>132</v>
      </c>
      <c r="P1781" s="36">
        <v>1.561016226E9</v>
      </c>
      <c r="Q1781" s="36" t="s">
        <v>7541</v>
      </c>
      <c r="R1781" s="6" t="s">
        <v>7542</v>
      </c>
    </row>
    <row r="1782">
      <c r="A1782" s="6" t="s">
        <v>7537</v>
      </c>
      <c r="B1782" s="6" t="s">
        <v>7537</v>
      </c>
      <c r="C1782" s="6">
        <v>173.0</v>
      </c>
      <c r="D1782" s="9" t="str">
        <f>HYPERLINK("https://www.linkedin.com/ad-library/detail/1561044236","Open Ad")</f>
        <v>Open Ad</v>
      </c>
      <c r="E1782" s="6" t="s">
        <v>7543</v>
      </c>
      <c r="F1782" s="6" t="s">
        <v>53</v>
      </c>
      <c r="G1782" s="6" t="s">
        <v>7550</v>
      </c>
      <c r="H1782" s="6" t="s">
        <v>55</v>
      </c>
      <c r="I1782" s="6" t="s">
        <v>7566</v>
      </c>
      <c r="J1782" s="6" t="s">
        <v>7546</v>
      </c>
      <c r="K1782" s="6" t="s">
        <v>60</v>
      </c>
      <c r="L1782" s="6" t="s">
        <v>131</v>
      </c>
      <c r="M1782" s="6" t="s">
        <v>7537</v>
      </c>
      <c r="N1782" s="6" t="s">
        <v>132</v>
      </c>
      <c r="O1782" s="36" t="s">
        <v>132</v>
      </c>
      <c r="P1782" s="36">
        <v>1.561044236E9</v>
      </c>
      <c r="Q1782" s="36" t="s">
        <v>7541</v>
      </c>
      <c r="R1782" s="6" t="s">
        <v>7542</v>
      </c>
    </row>
    <row r="1783">
      <c r="A1783" s="6" t="s">
        <v>7537</v>
      </c>
      <c r="B1783" s="6" t="s">
        <v>7537</v>
      </c>
      <c r="C1783" s="6">
        <v>174.0</v>
      </c>
      <c r="D1783" s="9" t="str">
        <f>HYPERLINK("https://www.linkedin.com/ad-library/detail/1561034066","Open Ad")</f>
        <v>Open Ad</v>
      </c>
      <c r="E1783" s="6" t="s">
        <v>91</v>
      </c>
      <c r="F1783" s="6" t="s">
        <v>53</v>
      </c>
      <c r="G1783" s="6" t="s">
        <v>7593</v>
      </c>
      <c r="H1783" s="6" t="s">
        <v>55</v>
      </c>
      <c r="I1783" s="6" t="s">
        <v>7566</v>
      </c>
      <c r="J1783" s="6" t="s">
        <v>91</v>
      </c>
      <c r="K1783" s="9" t="str">
        <f t="shared" ref="K1783:K1785" si="13">HYPERLINK("https://media.licdn.com/dms/image/v2/D4E10AQGYRIIgGEIVqw/image-shrink_1280/B4EaAblpr_KYAc-/0/1787169250739?e=2147483647&amp;v=beta&amp;t=FODyphvpfuavIWLNs3GuJKg5XejBb-dZCddnzPP4D1A","Open Creative")</f>
        <v>Open Creative</v>
      </c>
      <c r="L1783" s="6" t="s">
        <v>131</v>
      </c>
      <c r="M1783" s="6" t="s">
        <v>7537</v>
      </c>
      <c r="N1783" s="6" t="s">
        <v>132</v>
      </c>
      <c r="O1783" s="36" t="s">
        <v>132</v>
      </c>
      <c r="P1783" s="36">
        <v>1.561034066E9</v>
      </c>
      <c r="Q1783" s="36" t="s">
        <v>7541</v>
      </c>
      <c r="R1783" s="6" t="s">
        <v>7542</v>
      </c>
    </row>
    <row r="1784">
      <c r="A1784" s="6" t="s">
        <v>7537</v>
      </c>
      <c r="B1784" s="6" t="s">
        <v>7537</v>
      </c>
      <c r="C1784" s="6">
        <v>175.0</v>
      </c>
      <c r="D1784" s="9" t="str">
        <f>HYPERLINK("https://www.linkedin.com/ad-library/detail/1561034076","Open Ad")</f>
        <v>Open Ad</v>
      </c>
      <c r="E1784" s="6" t="s">
        <v>91</v>
      </c>
      <c r="F1784" s="6" t="s">
        <v>53</v>
      </c>
      <c r="G1784" s="6" t="s">
        <v>7593</v>
      </c>
      <c r="H1784" s="6" t="s">
        <v>55</v>
      </c>
      <c r="I1784" s="6" t="s">
        <v>7566</v>
      </c>
      <c r="J1784" s="6" t="s">
        <v>91</v>
      </c>
      <c r="K1784" s="9" t="str">
        <f t="shared" si="13"/>
        <v>Open Creative</v>
      </c>
      <c r="L1784" s="6" t="s">
        <v>131</v>
      </c>
      <c r="M1784" s="6" t="s">
        <v>7537</v>
      </c>
      <c r="N1784" s="6" t="s">
        <v>7596</v>
      </c>
      <c r="O1784" s="36" t="s">
        <v>67</v>
      </c>
      <c r="P1784" s="36">
        <v>1.561034076E9</v>
      </c>
      <c r="Q1784" s="36" t="s">
        <v>7541</v>
      </c>
      <c r="R1784" s="6" t="s">
        <v>7542</v>
      </c>
    </row>
    <row r="1785">
      <c r="A1785" s="6" t="s">
        <v>7537</v>
      </c>
      <c r="B1785" s="6" t="s">
        <v>7537</v>
      </c>
      <c r="C1785" s="6">
        <v>176.0</v>
      </c>
      <c r="D1785" s="9" t="str">
        <f>HYPERLINK("https://www.linkedin.com/ad-library/detail/1560947526","Open Ad")</f>
        <v>Open Ad</v>
      </c>
      <c r="E1785" s="6" t="s">
        <v>91</v>
      </c>
      <c r="F1785" s="6" t="s">
        <v>53</v>
      </c>
      <c r="G1785" s="6" t="s">
        <v>7593</v>
      </c>
      <c r="H1785" s="6" t="s">
        <v>55</v>
      </c>
      <c r="I1785" s="6" t="s">
        <v>7566</v>
      </c>
      <c r="J1785" s="6" t="s">
        <v>91</v>
      </c>
      <c r="K1785" s="9" t="str">
        <f t="shared" si="13"/>
        <v>Open Creative</v>
      </c>
      <c r="L1785" s="6" t="s">
        <v>131</v>
      </c>
      <c r="M1785" s="6" t="s">
        <v>7537</v>
      </c>
      <c r="N1785" s="6" t="s">
        <v>132</v>
      </c>
      <c r="O1785" s="36" t="s">
        <v>132</v>
      </c>
      <c r="P1785" s="36">
        <v>1.560947526E9</v>
      </c>
      <c r="Q1785" s="36" t="s">
        <v>7541</v>
      </c>
      <c r="R1785" s="6" t="s">
        <v>7542</v>
      </c>
    </row>
    <row r="1786">
      <c r="A1786" s="6" t="s">
        <v>7537</v>
      </c>
      <c r="B1786" s="6" t="s">
        <v>7537</v>
      </c>
      <c r="C1786" s="6">
        <v>177.0</v>
      </c>
      <c r="D1786" s="9" t="str">
        <f>HYPERLINK("https://www.linkedin.com/ad-library/detail/1560867306","Open Ad")</f>
        <v>Open Ad</v>
      </c>
      <c r="E1786" s="6" t="s">
        <v>154</v>
      </c>
      <c r="F1786" s="6" t="s">
        <v>53</v>
      </c>
      <c r="G1786" s="6" t="s">
        <v>7586</v>
      </c>
      <c r="H1786" s="6" t="s">
        <v>55</v>
      </c>
      <c r="I1786" s="6" t="s">
        <v>7566</v>
      </c>
      <c r="J1786" s="6" t="s">
        <v>154</v>
      </c>
      <c r="K1786" s="9" t="str">
        <f>HYPERLINK("https://dms.licdn.com/playlist/vid/v2/D5610AQHmpK6i5urdxw/mp4-640p-30fp-crf28/B56Z_9g3dnGcBI-/0/1786664686931?e=2147483647&amp;v=beta&amp;t=GCsbLwt4gnl3_O9GWS3zo0UqXqoJNExlwAjmUsNAqs8","Open Creative")</f>
        <v>Open Creative</v>
      </c>
      <c r="L1786" s="6" t="s">
        <v>131</v>
      </c>
      <c r="M1786" s="6" t="s">
        <v>7537</v>
      </c>
      <c r="N1786" s="6" t="s">
        <v>132</v>
      </c>
      <c r="O1786" s="36" t="s">
        <v>132</v>
      </c>
      <c r="P1786" s="36">
        <v>1.560867306E9</v>
      </c>
      <c r="Q1786" s="36" t="s">
        <v>7541</v>
      </c>
      <c r="R1786" s="6" t="s">
        <v>7542</v>
      </c>
    </row>
    <row r="1787">
      <c r="A1787" s="6" t="s">
        <v>7537</v>
      </c>
      <c r="B1787" s="6" t="s">
        <v>7537</v>
      </c>
      <c r="C1787" s="6">
        <v>178.0</v>
      </c>
      <c r="D1787" s="9" t="str">
        <f>HYPERLINK("https://www.linkedin.com/ad-library/detail/1560937696","Open Ad")</f>
        <v>Open Ad</v>
      </c>
      <c r="E1787" s="6" t="s">
        <v>91</v>
      </c>
      <c r="F1787" s="6" t="s">
        <v>53</v>
      </c>
      <c r="G1787" s="6" t="s">
        <v>7594</v>
      </c>
      <c r="H1787" s="6" t="s">
        <v>55</v>
      </c>
      <c r="I1787" s="6" t="s">
        <v>7566</v>
      </c>
      <c r="J1787" s="6" t="s">
        <v>91</v>
      </c>
      <c r="K1787" s="9" t="str">
        <f>HYPERLINK("https://media.licdn.com/dms/image/v2/D4E10AQGg8MhwP8BRyA/image-shrink_1280/B4EZ_9nWa6J4Ag-/0/1786666379554?e=2147483647&amp;v=beta&amp;t=2vJTPrPN5M2twXSE6ZgOtUIcDY5-l6ctOHpGERmK348","Open Creative")</f>
        <v>Open Creative</v>
      </c>
      <c r="L1787" s="6" t="s">
        <v>131</v>
      </c>
      <c r="M1787" s="6" t="s">
        <v>7537</v>
      </c>
      <c r="N1787" s="6" t="s">
        <v>132</v>
      </c>
      <c r="O1787" s="36" t="s">
        <v>132</v>
      </c>
      <c r="P1787" s="36">
        <v>1.560937696E9</v>
      </c>
      <c r="Q1787" s="36" t="s">
        <v>7541</v>
      </c>
      <c r="R1787" s="6" t="s">
        <v>7542</v>
      </c>
    </row>
    <row r="1788">
      <c r="A1788" s="6" t="s">
        <v>7537</v>
      </c>
      <c r="B1788" s="6" t="s">
        <v>7537</v>
      </c>
      <c r="C1788" s="6">
        <v>179.0</v>
      </c>
      <c r="D1788" s="9" t="str">
        <f>HYPERLINK("https://www.linkedin.com/ad-library/detail/1560917286","Open Ad")</f>
        <v>Open Ad</v>
      </c>
      <c r="E1788" s="6" t="s">
        <v>7543</v>
      </c>
      <c r="F1788" s="6" t="s">
        <v>53</v>
      </c>
      <c r="G1788" s="6" t="s">
        <v>7572</v>
      </c>
      <c r="H1788" s="6" t="s">
        <v>55</v>
      </c>
      <c r="I1788" s="6" t="s">
        <v>7566</v>
      </c>
      <c r="J1788" s="6" t="s">
        <v>7546</v>
      </c>
      <c r="K1788" s="6" t="s">
        <v>60</v>
      </c>
      <c r="L1788" s="6" t="s">
        <v>131</v>
      </c>
      <c r="M1788" s="6" t="s">
        <v>7537</v>
      </c>
      <c r="N1788" s="6" t="s">
        <v>132</v>
      </c>
      <c r="O1788" s="36" t="s">
        <v>132</v>
      </c>
      <c r="P1788" s="36">
        <v>1.560917286E9</v>
      </c>
      <c r="Q1788" s="36" t="s">
        <v>7541</v>
      </c>
      <c r="R1788" s="6" t="s">
        <v>7542</v>
      </c>
    </row>
    <row r="1789">
      <c r="A1789" s="6" t="s">
        <v>7537</v>
      </c>
      <c r="B1789" s="6" t="s">
        <v>7537</v>
      </c>
      <c r="C1789" s="6">
        <v>180.0</v>
      </c>
      <c r="D1789" s="9" t="str">
        <f>HYPERLINK("https://www.linkedin.com/ad-library/detail/1560907836","Open Ad")</f>
        <v>Open Ad</v>
      </c>
      <c r="E1789" s="6" t="s">
        <v>91</v>
      </c>
      <c r="F1789" s="6" t="s">
        <v>53</v>
      </c>
      <c r="G1789" s="6" t="s">
        <v>7594</v>
      </c>
      <c r="H1789" s="6" t="s">
        <v>55</v>
      </c>
      <c r="I1789" s="6" t="s">
        <v>7566</v>
      </c>
      <c r="J1789" s="6" t="s">
        <v>91</v>
      </c>
      <c r="K1789" s="9" t="str">
        <f>HYPERLINK("https://media.licdn.com/dms/image/v2/D4E10AQGg8MhwP8BRyA/image-shrink_1280/B4EZ_9nWa6J4Ag-/0/1786666379554?e=2147483647&amp;v=beta&amp;t=2vJTPrPN5M2twXSE6ZgOtUIcDY5-l6ctOHpGERmK348","Open Creative")</f>
        <v>Open Creative</v>
      </c>
      <c r="L1789" s="6" t="s">
        <v>131</v>
      </c>
      <c r="M1789" s="6" t="s">
        <v>7537</v>
      </c>
      <c r="N1789" s="6" t="s">
        <v>132</v>
      </c>
      <c r="O1789" s="36" t="s">
        <v>132</v>
      </c>
      <c r="P1789" s="36">
        <v>1.560907836E9</v>
      </c>
      <c r="Q1789" s="36" t="s">
        <v>7541</v>
      </c>
      <c r="R1789" s="6" t="s">
        <v>7542</v>
      </c>
    </row>
    <row r="1790">
      <c r="A1790" s="6" t="s">
        <v>7537</v>
      </c>
      <c r="B1790" s="6" t="s">
        <v>7537</v>
      </c>
      <c r="C1790" s="6">
        <v>181.0</v>
      </c>
      <c r="D1790" s="9" t="str">
        <f>HYPERLINK("https://www.linkedin.com/ad-library/detail/1560957396","Open Ad")</f>
        <v>Open Ad</v>
      </c>
      <c r="E1790" s="6" t="s">
        <v>91</v>
      </c>
      <c r="F1790" s="6" t="s">
        <v>53</v>
      </c>
      <c r="G1790" s="6" t="s">
        <v>7593</v>
      </c>
      <c r="H1790" s="6" t="s">
        <v>55</v>
      </c>
      <c r="I1790" s="6" t="s">
        <v>7566</v>
      </c>
      <c r="J1790" s="6" t="s">
        <v>91</v>
      </c>
      <c r="K1790" s="9" t="str">
        <f>HYPERLINK("https://media.licdn.com/dms/image/v2/D4E10AQGYRIIgGEIVqw/image-shrink_1280/B4EaAblpr_KYAc-/0/1787169250739?e=2147483647&amp;v=beta&amp;t=FODyphvpfuavIWLNs3GuJKg5XejBb-dZCddnzPP4D1A","Open Creative")</f>
        <v>Open Creative</v>
      </c>
      <c r="L1790" s="6" t="s">
        <v>131</v>
      </c>
      <c r="M1790" s="6" t="s">
        <v>7537</v>
      </c>
      <c r="N1790" s="6" t="s">
        <v>132</v>
      </c>
      <c r="O1790" s="36" t="s">
        <v>132</v>
      </c>
      <c r="P1790" s="36">
        <v>1.560957396E9</v>
      </c>
      <c r="Q1790" s="36" t="s">
        <v>7541</v>
      </c>
      <c r="R1790" s="6" t="s">
        <v>7542</v>
      </c>
    </row>
    <row r="1791">
      <c r="A1791" s="6" t="s">
        <v>7537</v>
      </c>
      <c r="B1791" s="6" t="s">
        <v>7537</v>
      </c>
      <c r="C1791" s="6">
        <v>182.0</v>
      </c>
      <c r="D1791" s="9" t="str">
        <f>HYPERLINK("https://www.linkedin.com/ad-library/detail/1560917186","Open Ad")</f>
        <v>Open Ad</v>
      </c>
      <c r="E1791" s="6" t="s">
        <v>91</v>
      </c>
      <c r="F1791" s="6" t="s">
        <v>53</v>
      </c>
      <c r="G1791" s="6" t="s">
        <v>7594</v>
      </c>
      <c r="H1791" s="6" t="s">
        <v>55</v>
      </c>
      <c r="I1791" s="6" t="s">
        <v>7566</v>
      </c>
      <c r="J1791" s="6" t="s">
        <v>91</v>
      </c>
      <c r="K1791" s="9" t="str">
        <f t="shared" ref="K1791:K1793" si="14">HYPERLINK("https://media.licdn.com/dms/image/v2/D4E10AQGg8MhwP8BRyA/image-shrink_1280/B4EZ_9nWa6J4Ag-/0/1786666379554?e=2147483647&amp;v=beta&amp;t=2vJTPrPN5M2twXSE6ZgOtUIcDY5-l6ctOHpGERmK348","Open Creative")</f>
        <v>Open Creative</v>
      </c>
      <c r="L1791" s="6" t="s">
        <v>131</v>
      </c>
      <c r="M1791" s="6" t="s">
        <v>7537</v>
      </c>
      <c r="N1791" s="6" t="s">
        <v>132</v>
      </c>
      <c r="O1791" s="36" t="s">
        <v>132</v>
      </c>
      <c r="P1791" s="36">
        <v>1.560917186E9</v>
      </c>
      <c r="Q1791" s="36" t="s">
        <v>7541</v>
      </c>
      <c r="R1791" s="6" t="s">
        <v>7542</v>
      </c>
    </row>
    <row r="1792">
      <c r="A1792" s="6" t="s">
        <v>7537</v>
      </c>
      <c r="B1792" s="6" t="s">
        <v>7537</v>
      </c>
      <c r="C1792" s="6">
        <v>183.0</v>
      </c>
      <c r="D1792" s="9" t="str">
        <f>HYPERLINK("https://www.linkedin.com/ad-library/detail/1560957386","Open Ad")</f>
        <v>Open Ad</v>
      </c>
      <c r="E1792" s="6" t="s">
        <v>91</v>
      </c>
      <c r="F1792" s="6" t="s">
        <v>53</v>
      </c>
      <c r="G1792" s="6" t="s">
        <v>7594</v>
      </c>
      <c r="H1792" s="6" t="s">
        <v>55</v>
      </c>
      <c r="I1792" s="6" t="s">
        <v>7566</v>
      </c>
      <c r="J1792" s="6" t="s">
        <v>91</v>
      </c>
      <c r="K1792" s="9" t="str">
        <f t="shared" si="14"/>
        <v>Open Creative</v>
      </c>
      <c r="L1792" s="6" t="s">
        <v>131</v>
      </c>
      <c r="M1792" s="6" t="s">
        <v>7537</v>
      </c>
      <c r="N1792" s="6" t="s">
        <v>132</v>
      </c>
      <c r="O1792" s="36" t="s">
        <v>132</v>
      </c>
      <c r="P1792" s="36">
        <v>1.560957386E9</v>
      </c>
      <c r="Q1792" s="36" t="s">
        <v>7541</v>
      </c>
      <c r="R1792" s="6" t="s">
        <v>7542</v>
      </c>
    </row>
    <row r="1793">
      <c r="A1793" s="6" t="s">
        <v>7537</v>
      </c>
      <c r="B1793" s="6" t="s">
        <v>7537</v>
      </c>
      <c r="C1793" s="6">
        <v>184.0</v>
      </c>
      <c r="D1793" s="9" t="str">
        <f>HYPERLINK("https://www.linkedin.com/ad-library/detail/1560907816","Open Ad")</f>
        <v>Open Ad</v>
      </c>
      <c r="E1793" s="6" t="s">
        <v>91</v>
      </c>
      <c r="F1793" s="6" t="s">
        <v>53</v>
      </c>
      <c r="G1793" s="6" t="s">
        <v>7594</v>
      </c>
      <c r="H1793" s="6" t="s">
        <v>55</v>
      </c>
      <c r="I1793" s="6" t="s">
        <v>7566</v>
      </c>
      <c r="J1793" s="6" t="s">
        <v>91</v>
      </c>
      <c r="K1793" s="9" t="str">
        <f t="shared" si="14"/>
        <v>Open Creative</v>
      </c>
      <c r="L1793" s="6" t="s">
        <v>131</v>
      </c>
      <c r="M1793" s="6" t="s">
        <v>7537</v>
      </c>
      <c r="N1793" s="6" t="s">
        <v>132</v>
      </c>
      <c r="O1793" s="36" t="s">
        <v>132</v>
      </c>
      <c r="P1793" s="36">
        <v>1.560907816E9</v>
      </c>
      <c r="Q1793" s="36" t="s">
        <v>7541</v>
      </c>
      <c r="R1793" s="6" t="s">
        <v>7542</v>
      </c>
    </row>
    <row r="1794">
      <c r="A1794" s="6" t="s">
        <v>7537</v>
      </c>
      <c r="B1794" s="6" t="s">
        <v>7537</v>
      </c>
      <c r="C1794" s="6">
        <v>185.0</v>
      </c>
      <c r="D1794" s="9" t="str">
        <f>HYPERLINK("https://www.linkedin.com/ad-library/detail/1561053686","Open Ad")</f>
        <v>Open Ad</v>
      </c>
      <c r="E1794" s="6" t="s">
        <v>91</v>
      </c>
      <c r="F1794" s="6" t="s">
        <v>53</v>
      </c>
      <c r="G1794" s="6" t="s">
        <v>7593</v>
      </c>
      <c r="H1794" s="6" t="s">
        <v>55</v>
      </c>
      <c r="I1794" s="6" t="s">
        <v>7566</v>
      </c>
      <c r="J1794" s="6" t="s">
        <v>91</v>
      </c>
      <c r="K1794" s="9" t="str">
        <f t="shared" ref="K1794:K1796" si="15">HYPERLINK("https://media.licdn.com/dms/image/v2/D4E10AQGYRIIgGEIVqw/image-shrink_1280/B4EaAblpr_KYAc-/0/1787169250739?e=2147483647&amp;v=beta&amp;t=FODyphvpfuavIWLNs3GuJKg5XejBb-dZCddnzPP4D1A","Open Creative")</f>
        <v>Open Creative</v>
      </c>
      <c r="L1794" s="6" t="s">
        <v>131</v>
      </c>
      <c r="M1794" s="6" t="s">
        <v>7537</v>
      </c>
      <c r="N1794" s="6" t="s">
        <v>132</v>
      </c>
      <c r="O1794" s="36" t="s">
        <v>132</v>
      </c>
      <c r="P1794" s="36">
        <v>1.561053686E9</v>
      </c>
      <c r="Q1794" s="36" t="s">
        <v>7541</v>
      </c>
      <c r="R1794" s="6" t="s">
        <v>7542</v>
      </c>
    </row>
    <row r="1795">
      <c r="A1795" s="6" t="s">
        <v>7537</v>
      </c>
      <c r="B1795" s="6" t="s">
        <v>7537</v>
      </c>
      <c r="C1795" s="6">
        <v>186.0</v>
      </c>
      <c r="D1795" s="9" t="str">
        <f>HYPERLINK("https://www.linkedin.com/ad-library/detail/1560867496","Open Ad")</f>
        <v>Open Ad</v>
      </c>
      <c r="E1795" s="6" t="s">
        <v>91</v>
      </c>
      <c r="F1795" s="6" t="s">
        <v>53</v>
      </c>
      <c r="G1795" s="6" t="s">
        <v>7593</v>
      </c>
      <c r="H1795" s="6" t="s">
        <v>55</v>
      </c>
      <c r="I1795" s="6" t="s">
        <v>7566</v>
      </c>
      <c r="J1795" s="6" t="s">
        <v>91</v>
      </c>
      <c r="K1795" s="9" t="str">
        <f t="shared" si="15"/>
        <v>Open Creative</v>
      </c>
      <c r="L1795" s="6" t="s">
        <v>131</v>
      </c>
      <c r="M1795" s="6" t="s">
        <v>7537</v>
      </c>
      <c r="N1795" s="6" t="s">
        <v>132</v>
      </c>
      <c r="O1795" s="36" t="s">
        <v>132</v>
      </c>
      <c r="P1795" s="36">
        <v>1.560867496E9</v>
      </c>
      <c r="Q1795" s="36" t="s">
        <v>7541</v>
      </c>
      <c r="R1795" s="6" t="s">
        <v>7542</v>
      </c>
    </row>
    <row r="1796">
      <c r="A1796" s="6" t="s">
        <v>7537</v>
      </c>
      <c r="B1796" s="6" t="s">
        <v>7537</v>
      </c>
      <c r="C1796" s="6">
        <v>187.0</v>
      </c>
      <c r="D1796" s="9" t="str">
        <f>HYPERLINK("https://www.linkedin.com/ad-library/detail/1560927246","Open Ad")</f>
        <v>Open Ad</v>
      </c>
      <c r="E1796" s="6" t="s">
        <v>91</v>
      </c>
      <c r="F1796" s="6" t="s">
        <v>53</v>
      </c>
      <c r="G1796" s="6" t="s">
        <v>7593</v>
      </c>
      <c r="H1796" s="6" t="s">
        <v>55</v>
      </c>
      <c r="I1796" s="6" t="s">
        <v>7566</v>
      </c>
      <c r="J1796" s="6" t="s">
        <v>91</v>
      </c>
      <c r="K1796" s="9" t="str">
        <f t="shared" si="15"/>
        <v>Open Creative</v>
      </c>
      <c r="L1796" s="6" t="s">
        <v>131</v>
      </c>
      <c r="M1796" s="6" t="s">
        <v>7537</v>
      </c>
      <c r="N1796" s="6" t="s">
        <v>132</v>
      </c>
      <c r="O1796" s="36" t="s">
        <v>132</v>
      </c>
      <c r="P1796" s="36">
        <v>1.560927246E9</v>
      </c>
      <c r="Q1796" s="36" t="s">
        <v>7541</v>
      </c>
      <c r="R1796" s="6" t="s">
        <v>7542</v>
      </c>
    </row>
    <row r="1797">
      <c r="A1797" s="6" t="s">
        <v>7537</v>
      </c>
      <c r="B1797" s="6" t="s">
        <v>7537</v>
      </c>
      <c r="C1797" s="6">
        <v>188.0</v>
      </c>
      <c r="D1797" s="9" t="str">
        <f>HYPERLINK("https://www.linkedin.com/ad-library/detail/1560927236","Open Ad")</f>
        <v>Open Ad</v>
      </c>
      <c r="E1797" s="6" t="s">
        <v>91</v>
      </c>
      <c r="F1797" s="6" t="s">
        <v>53</v>
      </c>
      <c r="G1797" s="6" t="s">
        <v>7594</v>
      </c>
      <c r="H1797" s="6" t="s">
        <v>55</v>
      </c>
      <c r="I1797" s="6" t="s">
        <v>7566</v>
      </c>
      <c r="J1797" s="6" t="s">
        <v>91</v>
      </c>
      <c r="K1797" s="9" t="str">
        <f>HYPERLINK("https://media.licdn.com/dms/image/v2/D4E10AQGg8MhwP8BRyA/image-shrink_1280/B4EZ_9nWa6J4Ag-/0/1786666379554?e=2147483647&amp;v=beta&amp;t=2vJTPrPN5M2twXSE6ZgOtUIcDY5-l6ctOHpGERmK348","Open Creative")</f>
        <v>Open Creative</v>
      </c>
      <c r="L1797" s="6" t="s">
        <v>131</v>
      </c>
      <c r="M1797" s="6" t="s">
        <v>7537</v>
      </c>
      <c r="N1797" s="6" t="s">
        <v>132</v>
      </c>
      <c r="O1797" s="36" t="s">
        <v>132</v>
      </c>
      <c r="P1797" s="36">
        <v>1.560927236E9</v>
      </c>
      <c r="Q1797" s="36" t="s">
        <v>7541</v>
      </c>
      <c r="R1797" s="6" t="s">
        <v>7542</v>
      </c>
    </row>
    <row r="1798">
      <c r="A1798" s="6" t="s">
        <v>7537</v>
      </c>
      <c r="B1798" s="6" t="s">
        <v>7537</v>
      </c>
      <c r="C1798" s="6">
        <v>189.0</v>
      </c>
      <c r="D1798" s="9" t="str">
        <f>HYPERLINK("https://www.linkedin.com/ad-library/detail/1560847936","Open Ad")</f>
        <v>Open Ad</v>
      </c>
      <c r="E1798" s="6" t="s">
        <v>91</v>
      </c>
      <c r="F1798" s="6" t="s">
        <v>53</v>
      </c>
      <c r="G1798" s="6" t="s">
        <v>7593</v>
      </c>
      <c r="H1798" s="6" t="s">
        <v>55</v>
      </c>
      <c r="I1798" s="6" t="s">
        <v>7566</v>
      </c>
      <c r="J1798" s="6" t="s">
        <v>91</v>
      </c>
      <c r="K1798" s="9" t="str">
        <f>HYPERLINK("https://media.licdn.com/dms/image/v2/D4E10AQGYRIIgGEIVqw/image-shrink_1280/B4EaAblpr_KYAc-/0/1787169250739?e=2147483647&amp;v=beta&amp;t=FODyphvpfuavIWLNs3GuJKg5XejBb-dZCddnzPP4D1A","Open Creative")</f>
        <v>Open Creative</v>
      </c>
      <c r="L1798" s="6" t="s">
        <v>131</v>
      </c>
      <c r="M1798" s="6" t="s">
        <v>7537</v>
      </c>
      <c r="N1798" s="6" t="s">
        <v>132</v>
      </c>
      <c r="O1798" s="36" t="s">
        <v>132</v>
      </c>
      <c r="P1798" s="36">
        <v>1.560847936E9</v>
      </c>
      <c r="Q1798" s="36" t="s">
        <v>7541</v>
      </c>
      <c r="R1798" s="6" t="s">
        <v>7542</v>
      </c>
    </row>
    <row r="1799">
      <c r="A1799" s="6" t="s">
        <v>7537</v>
      </c>
      <c r="B1799" s="6" t="s">
        <v>7537</v>
      </c>
      <c r="C1799" s="6">
        <v>190.0</v>
      </c>
      <c r="D1799" s="9" t="str">
        <f>HYPERLINK("https://www.linkedin.com/ad-library/detail/1560986636","Open Ad")</f>
        <v>Open Ad</v>
      </c>
      <c r="E1799" s="6" t="s">
        <v>91</v>
      </c>
      <c r="F1799" s="6" t="s">
        <v>53</v>
      </c>
      <c r="G1799" s="6" t="s">
        <v>7594</v>
      </c>
      <c r="H1799" s="6" t="s">
        <v>55</v>
      </c>
      <c r="I1799" s="6" t="s">
        <v>7566</v>
      </c>
      <c r="J1799" s="6" t="s">
        <v>91</v>
      </c>
      <c r="K1799" s="9" t="str">
        <f t="shared" ref="K1799:K1800" si="16">HYPERLINK("https://media.licdn.com/dms/image/v2/D4E10AQGg8MhwP8BRyA/image-shrink_1280/B4EZ_9nWa6J4Ag-/0/1786666379554?e=2147483647&amp;v=beta&amp;t=2vJTPrPN5M2twXSE6ZgOtUIcDY5-l6ctOHpGERmK348","Open Creative")</f>
        <v>Open Creative</v>
      </c>
      <c r="L1799" s="6" t="s">
        <v>131</v>
      </c>
      <c r="M1799" s="6" t="s">
        <v>7537</v>
      </c>
      <c r="N1799" s="6" t="s">
        <v>132</v>
      </c>
      <c r="O1799" s="36" t="s">
        <v>132</v>
      </c>
      <c r="P1799" s="36">
        <v>1.560986636E9</v>
      </c>
      <c r="Q1799" s="36" t="s">
        <v>7541</v>
      </c>
      <c r="R1799" s="6" t="s">
        <v>7542</v>
      </c>
    </row>
    <row r="1800">
      <c r="A1800" s="6" t="s">
        <v>7537</v>
      </c>
      <c r="B1800" s="6" t="s">
        <v>7537</v>
      </c>
      <c r="C1800" s="6">
        <v>191.0</v>
      </c>
      <c r="D1800" s="9" t="str">
        <f>HYPERLINK("https://www.linkedin.com/ad-library/detail/1560818796","Open Ad")</f>
        <v>Open Ad</v>
      </c>
      <c r="E1800" s="6" t="s">
        <v>91</v>
      </c>
      <c r="F1800" s="6" t="s">
        <v>53</v>
      </c>
      <c r="G1800" s="6" t="s">
        <v>7594</v>
      </c>
      <c r="H1800" s="6" t="s">
        <v>55</v>
      </c>
      <c r="I1800" s="6" t="s">
        <v>7566</v>
      </c>
      <c r="J1800" s="6" t="s">
        <v>91</v>
      </c>
      <c r="K1800" s="9" t="str">
        <f t="shared" si="16"/>
        <v>Open Creative</v>
      </c>
      <c r="L1800" s="6" t="s">
        <v>131</v>
      </c>
      <c r="M1800" s="6" t="s">
        <v>7537</v>
      </c>
      <c r="N1800" s="6" t="s">
        <v>132</v>
      </c>
      <c r="O1800" s="36" t="s">
        <v>132</v>
      </c>
      <c r="P1800" s="36">
        <v>1.560818796E9</v>
      </c>
      <c r="Q1800" s="36" t="s">
        <v>7541</v>
      </c>
      <c r="R1800" s="6" t="s">
        <v>7542</v>
      </c>
    </row>
    <row r="1801">
      <c r="A1801" s="6" t="s">
        <v>7537</v>
      </c>
      <c r="B1801" s="6" t="s">
        <v>7537</v>
      </c>
      <c r="C1801" s="6">
        <v>192.0</v>
      </c>
      <c r="D1801" s="9" t="str">
        <f>HYPERLINK("https://www.linkedin.com/ad-library/detail/1561024746","Open Ad")</f>
        <v>Open Ad</v>
      </c>
      <c r="E1801" s="6" t="s">
        <v>91</v>
      </c>
      <c r="F1801" s="6" t="s">
        <v>53</v>
      </c>
      <c r="G1801" s="6" t="s">
        <v>7593</v>
      </c>
      <c r="H1801" s="6" t="s">
        <v>55</v>
      </c>
      <c r="I1801" s="6" t="s">
        <v>7566</v>
      </c>
      <c r="J1801" s="6" t="s">
        <v>91</v>
      </c>
      <c r="K1801" s="9" t="str">
        <f>HYPERLINK("https://media.licdn.com/dms/image/v2/D4E10AQGYRIIgGEIVqw/image-shrink_1280/B4EaAblpr_KYAc-/0/1787169250739?e=2147483647&amp;v=beta&amp;t=FODyphvpfuavIWLNs3GuJKg5XejBb-dZCddnzPP4D1A","Open Creative")</f>
        <v>Open Creative</v>
      </c>
      <c r="L1801" s="6" t="s">
        <v>131</v>
      </c>
      <c r="M1801" s="6" t="s">
        <v>7537</v>
      </c>
      <c r="N1801" s="6" t="s">
        <v>132</v>
      </c>
      <c r="O1801" s="36" t="s">
        <v>132</v>
      </c>
      <c r="P1801" s="36">
        <v>1.561024746E9</v>
      </c>
      <c r="Q1801" s="36" t="s">
        <v>7541</v>
      </c>
      <c r="R1801" s="6" t="s">
        <v>7542</v>
      </c>
    </row>
    <row r="1802">
      <c r="A1802" s="6" t="s">
        <v>7537</v>
      </c>
      <c r="B1802" s="6" t="s">
        <v>7537</v>
      </c>
      <c r="C1802" s="6">
        <v>193.0</v>
      </c>
      <c r="D1802" s="9" t="str">
        <f>HYPERLINK("https://www.linkedin.com/ad-library/detail/1556562676","Open Ad")</f>
        <v>Open Ad</v>
      </c>
      <c r="E1802" s="6" t="s">
        <v>7543</v>
      </c>
      <c r="F1802" s="6" t="s">
        <v>53</v>
      </c>
      <c r="G1802" s="6" t="s">
        <v>7572</v>
      </c>
      <c r="H1802" s="6" t="s">
        <v>55</v>
      </c>
      <c r="I1802" s="6" t="s">
        <v>7566</v>
      </c>
      <c r="J1802" s="6" t="s">
        <v>7546</v>
      </c>
      <c r="K1802" s="6" t="s">
        <v>60</v>
      </c>
      <c r="L1802" s="6" t="s">
        <v>131</v>
      </c>
      <c r="M1802" s="6" t="s">
        <v>7537</v>
      </c>
      <c r="N1802" s="6" t="s">
        <v>132</v>
      </c>
      <c r="O1802" s="36" t="s">
        <v>132</v>
      </c>
      <c r="P1802" s="36">
        <v>1.556562676E9</v>
      </c>
      <c r="Q1802" s="36" t="s">
        <v>7541</v>
      </c>
      <c r="R1802" s="6" t="s">
        <v>7542</v>
      </c>
    </row>
    <row r="1803">
      <c r="A1803" s="6" t="s">
        <v>7537</v>
      </c>
      <c r="B1803" s="6" t="s">
        <v>7537</v>
      </c>
      <c r="C1803" s="6">
        <v>194.0</v>
      </c>
      <c r="D1803" s="9" t="str">
        <f>HYPERLINK("https://www.linkedin.com/ad-library/detail/1557022546","Open Ad")</f>
        <v>Open Ad</v>
      </c>
      <c r="E1803" s="6" t="s">
        <v>7543</v>
      </c>
      <c r="F1803" s="6" t="s">
        <v>53</v>
      </c>
      <c r="G1803" s="6" t="s">
        <v>7572</v>
      </c>
      <c r="H1803" s="6" t="s">
        <v>55</v>
      </c>
      <c r="I1803" s="6" t="s">
        <v>7566</v>
      </c>
      <c r="J1803" s="6" t="s">
        <v>7546</v>
      </c>
      <c r="K1803" s="6" t="s">
        <v>60</v>
      </c>
      <c r="L1803" s="6" t="s">
        <v>131</v>
      </c>
      <c r="M1803" s="6" t="s">
        <v>7537</v>
      </c>
      <c r="N1803" s="6" t="s">
        <v>132</v>
      </c>
      <c r="O1803" s="36" t="s">
        <v>132</v>
      </c>
      <c r="P1803" s="36">
        <v>1.557022546E9</v>
      </c>
      <c r="Q1803" s="36" t="s">
        <v>7541</v>
      </c>
      <c r="R1803" s="6" t="s">
        <v>7542</v>
      </c>
    </row>
    <row r="1804">
      <c r="A1804" s="6" t="s">
        <v>7537</v>
      </c>
      <c r="B1804" s="6" t="s">
        <v>7537</v>
      </c>
      <c r="C1804" s="6">
        <v>195.0</v>
      </c>
      <c r="D1804" s="9" t="str">
        <f>HYPERLINK("https://www.linkedin.com/ad-library/detail/1556922996","Open Ad")</f>
        <v>Open Ad</v>
      </c>
      <c r="E1804" s="6" t="s">
        <v>7543</v>
      </c>
      <c r="F1804" s="6" t="s">
        <v>53</v>
      </c>
      <c r="G1804" s="6" t="s">
        <v>7550</v>
      </c>
      <c r="H1804" s="6" t="s">
        <v>55</v>
      </c>
      <c r="I1804" s="6" t="s">
        <v>7566</v>
      </c>
      <c r="J1804" s="6" t="s">
        <v>7546</v>
      </c>
      <c r="K1804" s="6" t="s">
        <v>60</v>
      </c>
      <c r="L1804" s="6" t="s">
        <v>131</v>
      </c>
      <c r="M1804" s="6" t="s">
        <v>7537</v>
      </c>
      <c r="N1804" s="6" t="s">
        <v>132</v>
      </c>
      <c r="O1804" s="36" t="s">
        <v>132</v>
      </c>
      <c r="P1804" s="36">
        <v>1.556922996E9</v>
      </c>
      <c r="Q1804" s="36" t="s">
        <v>7541</v>
      </c>
      <c r="R1804" s="6" t="s">
        <v>7542</v>
      </c>
    </row>
    <row r="1805">
      <c r="A1805" s="6" t="s">
        <v>7537</v>
      </c>
      <c r="B1805" s="6" t="s">
        <v>7537</v>
      </c>
      <c r="C1805" s="6">
        <v>196.0</v>
      </c>
      <c r="D1805" s="9" t="str">
        <f>HYPERLINK("https://www.linkedin.com/ad-library/detail/1560966646","Open Ad")</f>
        <v>Open Ad</v>
      </c>
      <c r="E1805" s="6" t="s">
        <v>154</v>
      </c>
      <c r="F1805" s="6" t="s">
        <v>53</v>
      </c>
      <c r="G1805" s="6" t="s">
        <v>7586</v>
      </c>
      <c r="H1805" s="6" t="s">
        <v>55</v>
      </c>
      <c r="I1805" s="6" t="s">
        <v>7566</v>
      </c>
      <c r="J1805" s="6" t="s">
        <v>154</v>
      </c>
      <c r="K1805" s="9" t="str">
        <f>HYPERLINK("https://dms.licdn.com/playlist/vid/v2/D5610AQHmpK6i5urdxw/mp4-640p-30fp-crf28/B56Z_9g3dnGcBI-/0/1786664686931?e=2147483647&amp;v=beta&amp;t=GCsbLwt4gnl3_O9GWS3zo0UqXqoJNExlwAjmUsNAqs8","Open Creative")</f>
        <v>Open Creative</v>
      </c>
      <c r="L1805" s="6" t="s">
        <v>131</v>
      </c>
      <c r="M1805" s="6" t="s">
        <v>7537</v>
      </c>
      <c r="N1805" s="6" t="s">
        <v>132</v>
      </c>
      <c r="O1805" s="36" t="s">
        <v>132</v>
      </c>
      <c r="P1805" s="36">
        <v>1.560966646E9</v>
      </c>
      <c r="Q1805" s="36" t="s">
        <v>7541</v>
      </c>
      <c r="R1805" s="6" t="s">
        <v>7542</v>
      </c>
    </row>
    <row r="1806">
      <c r="A1806" s="6" t="s">
        <v>7537</v>
      </c>
      <c r="B1806" s="6" t="s">
        <v>7537</v>
      </c>
      <c r="C1806" s="6">
        <v>197.0</v>
      </c>
      <c r="D1806" s="9" t="str">
        <f>HYPERLINK("https://www.linkedin.com/ad-library/detail/1553822396","Open Ad")</f>
        <v>Open Ad</v>
      </c>
      <c r="E1806" s="6" t="s">
        <v>91</v>
      </c>
      <c r="F1806" s="6" t="s">
        <v>53</v>
      </c>
      <c r="G1806" s="6" t="s">
        <v>7597</v>
      </c>
      <c r="H1806" s="6" t="s">
        <v>55</v>
      </c>
      <c r="I1806" s="6" t="s">
        <v>7566</v>
      </c>
      <c r="J1806" s="6" t="s">
        <v>91</v>
      </c>
      <c r="K1806" s="9" t="str">
        <f>HYPERLINK("https://media.licdn.com/dms/image/v2/D5610AQHFfjbCTN-dvA/image-shrink_1280/B56Z_sYYtrGsAc-/0/1786377243930/Profound_GM_SEOShift_1x11png?e=2147483647&amp;v=beta&amp;t=K2HnNkfefN4yKanNO6XcCia00T4_yqzbxVBVyf8CLmk","Open Creative")</f>
        <v>Open Creative</v>
      </c>
      <c r="L1806" s="6" t="s">
        <v>131</v>
      </c>
      <c r="M1806" s="6" t="s">
        <v>7537</v>
      </c>
      <c r="N1806" s="6" t="s">
        <v>132</v>
      </c>
      <c r="O1806" s="36" t="s">
        <v>132</v>
      </c>
      <c r="P1806" s="36">
        <v>1.553822396E9</v>
      </c>
      <c r="Q1806" s="36" t="s">
        <v>7541</v>
      </c>
      <c r="R1806" s="6" t="s">
        <v>7542</v>
      </c>
    </row>
    <row r="1807">
      <c r="A1807" s="6" t="s">
        <v>7537</v>
      </c>
      <c r="B1807" s="6" t="s">
        <v>7537</v>
      </c>
      <c r="C1807" s="6">
        <v>198.0</v>
      </c>
      <c r="D1807" s="9" t="str">
        <f>HYPERLINK("https://www.linkedin.com/ad-library/detail/1556562716","Open Ad")</f>
        <v>Open Ad</v>
      </c>
      <c r="E1807" s="6" t="s">
        <v>7543</v>
      </c>
      <c r="F1807" s="6" t="s">
        <v>53</v>
      </c>
      <c r="G1807" s="6" t="s">
        <v>7598</v>
      </c>
      <c r="H1807" s="6" t="s">
        <v>55</v>
      </c>
      <c r="I1807" s="6" t="s">
        <v>7566</v>
      </c>
      <c r="J1807" s="6" t="s">
        <v>7546</v>
      </c>
      <c r="K1807" s="6" t="s">
        <v>60</v>
      </c>
      <c r="L1807" s="6" t="s">
        <v>131</v>
      </c>
      <c r="M1807" s="6" t="s">
        <v>7537</v>
      </c>
      <c r="N1807" s="6" t="s">
        <v>132</v>
      </c>
      <c r="O1807" s="36" t="s">
        <v>132</v>
      </c>
      <c r="P1807" s="36">
        <v>1.556562716E9</v>
      </c>
      <c r="Q1807" s="36" t="s">
        <v>7541</v>
      </c>
      <c r="R1807" s="6" t="s">
        <v>7542</v>
      </c>
    </row>
    <row r="1808">
      <c r="A1808" s="6" t="s">
        <v>7537</v>
      </c>
      <c r="B1808" s="6" t="s">
        <v>7537</v>
      </c>
      <c r="C1808" s="6">
        <v>199.0</v>
      </c>
      <c r="D1808" s="9" t="str">
        <f>HYPERLINK("https://www.linkedin.com/ad-library/detail/1560937436","Open Ad")</f>
        <v>Open Ad</v>
      </c>
      <c r="E1808" s="6" t="s">
        <v>154</v>
      </c>
      <c r="F1808" s="6" t="s">
        <v>53</v>
      </c>
      <c r="G1808" s="6" t="s">
        <v>7586</v>
      </c>
      <c r="H1808" s="6" t="s">
        <v>55</v>
      </c>
      <c r="I1808" s="6" t="s">
        <v>7566</v>
      </c>
      <c r="J1808" s="6" t="s">
        <v>154</v>
      </c>
      <c r="K1808" s="9" t="str">
        <f>HYPERLINK("https://dms.licdn.com/playlist/vid/v2/D5610AQHmpK6i5urdxw/mp4-640p-30fp-crf28/B56Z_9g3dnGcBI-/0/1786664686931?e=2147483647&amp;v=beta&amp;t=GCsbLwt4gnl3_O9GWS3zo0UqXqoJNExlwAjmUsNAqs8","Open Creative")</f>
        <v>Open Creative</v>
      </c>
      <c r="L1808" s="6" t="s">
        <v>131</v>
      </c>
      <c r="M1808" s="6" t="s">
        <v>7537</v>
      </c>
      <c r="N1808" s="6" t="s">
        <v>132</v>
      </c>
      <c r="O1808" s="36" t="s">
        <v>132</v>
      </c>
      <c r="P1808" s="36">
        <v>1.560937436E9</v>
      </c>
      <c r="Q1808" s="36" t="s">
        <v>7541</v>
      </c>
      <c r="R1808" s="6" t="s">
        <v>7542</v>
      </c>
    </row>
    <row r="1809">
      <c r="A1809" s="6" t="s">
        <v>7537</v>
      </c>
      <c r="B1809" s="6" t="s">
        <v>7537</v>
      </c>
      <c r="C1809" s="6">
        <v>200.0</v>
      </c>
      <c r="D1809" s="9" t="str">
        <f>HYPERLINK("https://www.linkedin.com/ad-library/detail/1556488756","Open Ad")</f>
        <v>Open Ad</v>
      </c>
      <c r="E1809" s="6" t="s">
        <v>7543</v>
      </c>
      <c r="F1809" s="6" t="s">
        <v>53</v>
      </c>
      <c r="G1809" s="6" t="s">
        <v>7550</v>
      </c>
      <c r="H1809" s="6" t="s">
        <v>55</v>
      </c>
      <c r="I1809" s="6" t="s">
        <v>7566</v>
      </c>
      <c r="J1809" s="6" t="s">
        <v>7546</v>
      </c>
      <c r="K1809" s="6" t="s">
        <v>60</v>
      </c>
      <c r="L1809" s="6" t="s">
        <v>131</v>
      </c>
      <c r="M1809" s="6" t="s">
        <v>7537</v>
      </c>
      <c r="N1809" s="6" t="s">
        <v>132</v>
      </c>
      <c r="O1809" s="36" t="s">
        <v>132</v>
      </c>
      <c r="P1809" s="36">
        <v>1.556488756E9</v>
      </c>
      <c r="Q1809" s="36" t="s">
        <v>7541</v>
      </c>
      <c r="R1809" s="6" t="s">
        <v>7542</v>
      </c>
    </row>
    <row r="1810">
      <c r="A1810" s="6" t="s">
        <v>7537</v>
      </c>
      <c r="B1810" s="6" t="s">
        <v>7537</v>
      </c>
      <c r="C1810" s="6">
        <v>201.0</v>
      </c>
      <c r="D1810" s="9" t="str">
        <f>HYPERLINK("https://www.linkedin.com/ad-library/detail/1556872926","Open Ad")</f>
        <v>Open Ad</v>
      </c>
      <c r="E1810" s="6" t="s">
        <v>7543</v>
      </c>
      <c r="F1810" s="6" t="s">
        <v>53</v>
      </c>
      <c r="G1810" s="6" t="s">
        <v>7598</v>
      </c>
      <c r="H1810" s="6" t="s">
        <v>55</v>
      </c>
      <c r="I1810" s="6" t="s">
        <v>7566</v>
      </c>
      <c r="J1810" s="6" t="s">
        <v>7546</v>
      </c>
      <c r="K1810" s="6" t="s">
        <v>60</v>
      </c>
      <c r="L1810" s="6" t="s">
        <v>131</v>
      </c>
      <c r="M1810" s="6" t="s">
        <v>7537</v>
      </c>
      <c r="N1810" s="6" t="s">
        <v>132</v>
      </c>
      <c r="O1810" s="36" t="s">
        <v>132</v>
      </c>
      <c r="P1810" s="36">
        <v>1.556872926E9</v>
      </c>
      <c r="Q1810" s="36" t="s">
        <v>7541</v>
      </c>
      <c r="R1810" s="6" t="s">
        <v>7542</v>
      </c>
    </row>
    <row r="1811">
      <c r="A1811" s="6" t="s">
        <v>7537</v>
      </c>
      <c r="B1811" s="6" t="s">
        <v>7537</v>
      </c>
      <c r="C1811" s="6">
        <v>202.0</v>
      </c>
      <c r="D1811" s="9" t="str">
        <f>HYPERLINK("https://www.linkedin.com/ad-library/detail/1556702766","Open Ad")</f>
        <v>Open Ad</v>
      </c>
      <c r="E1811" s="6" t="s">
        <v>7543</v>
      </c>
      <c r="F1811" s="6" t="s">
        <v>53</v>
      </c>
      <c r="G1811" s="6" t="s">
        <v>7598</v>
      </c>
      <c r="H1811" s="6" t="s">
        <v>55</v>
      </c>
      <c r="I1811" s="6" t="s">
        <v>7566</v>
      </c>
      <c r="J1811" s="6" t="s">
        <v>7546</v>
      </c>
      <c r="K1811" s="6" t="s">
        <v>60</v>
      </c>
      <c r="L1811" s="6" t="s">
        <v>131</v>
      </c>
      <c r="M1811" s="6" t="s">
        <v>7537</v>
      </c>
      <c r="N1811" s="6" t="s">
        <v>132</v>
      </c>
      <c r="O1811" s="36" t="s">
        <v>132</v>
      </c>
      <c r="P1811" s="36">
        <v>1.556702766E9</v>
      </c>
      <c r="Q1811" s="36" t="s">
        <v>7541</v>
      </c>
      <c r="R1811" s="6" t="s">
        <v>7542</v>
      </c>
    </row>
    <row r="1812">
      <c r="A1812" s="6" t="s">
        <v>7537</v>
      </c>
      <c r="B1812" s="6" t="s">
        <v>7537</v>
      </c>
      <c r="C1812" s="6">
        <v>203.0</v>
      </c>
      <c r="D1812" s="9" t="str">
        <f>HYPERLINK("https://www.linkedin.com/ad-library/detail/1557031356","Open Ad")</f>
        <v>Open Ad</v>
      </c>
      <c r="E1812" s="6" t="s">
        <v>7543</v>
      </c>
      <c r="F1812" s="6" t="s">
        <v>53</v>
      </c>
      <c r="G1812" s="6" t="s">
        <v>7572</v>
      </c>
      <c r="H1812" s="6" t="s">
        <v>55</v>
      </c>
      <c r="I1812" s="6" t="s">
        <v>7566</v>
      </c>
      <c r="J1812" s="6" t="s">
        <v>7546</v>
      </c>
      <c r="K1812" s="6" t="s">
        <v>60</v>
      </c>
      <c r="L1812" s="6" t="s">
        <v>131</v>
      </c>
      <c r="M1812" s="6" t="s">
        <v>7537</v>
      </c>
      <c r="N1812" s="6" t="s">
        <v>132</v>
      </c>
      <c r="O1812" s="36" t="s">
        <v>132</v>
      </c>
      <c r="P1812" s="36">
        <v>1.557031356E9</v>
      </c>
      <c r="Q1812" s="36" t="s">
        <v>7541</v>
      </c>
      <c r="R1812" s="6" t="s">
        <v>7542</v>
      </c>
    </row>
    <row r="1813">
      <c r="A1813" s="6" t="s">
        <v>7537</v>
      </c>
      <c r="B1813" s="6" t="s">
        <v>7537</v>
      </c>
      <c r="C1813" s="6">
        <v>204.0</v>
      </c>
      <c r="D1813" s="9" t="str">
        <f>HYPERLINK("https://www.linkedin.com/ad-library/detail/1556504956","Open Ad")</f>
        <v>Open Ad</v>
      </c>
      <c r="E1813" s="6" t="s">
        <v>7543</v>
      </c>
      <c r="F1813" s="6" t="s">
        <v>53</v>
      </c>
      <c r="G1813" s="6" t="s">
        <v>7598</v>
      </c>
      <c r="H1813" s="6" t="s">
        <v>55</v>
      </c>
      <c r="I1813" s="6" t="s">
        <v>7566</v>
      </c>
      <c r="J1813" s="6" t="s">
        <v>7546</v>
      </c>
      <c r="K1813" s="6" t="s">
        <v>60</v>
      </c>
      <c r="L1813" s="6" t="s">
        <v>131</v>
      </c>
      <c r="M1813" s="6" t="s">
        <v>7537</v>
      </c>
      <c r="N1813" s="6" t="s">
        <v>132</v>
      </c>
      <c r="O1813" s="36" t="s">
        <v>132</v>
      </c>
      <c r="P1813" s="36">
        <v>1.556504956E9</v>
      </c>
      <c r="Q1813" s="36" t="s">
        <v>7541</v>
      </c>
      <c r="R1813" s="6" t="s">
        <v>7542</v>
      </c>
    </row>
    <row r="1814">
      <c r="A1814" s="6" t="s">
        <v>7537</v>
      </c>
      <c r="B1814" s="6" t="s">
        <v>7537</v>
      </c>
      <c r="C1814" s="6">
        <v>205.0</v>
      </c>
      <c r="D1814" s="9" t="str">
        <f>HYPERLINK("https://www.linkedin.com/ad-library/detail/1557012926","Open Ad")</f>
        <v>Open Ad</v>
      </c>
      <c r="E1814" s="6" t="s">
        <v>7543</v>
      </c>
      <c r="F1814" s="6" t="s">
        <v>53</v>
      </c>
      <c r="G1814" s="6" t="s">
        <v>7598</v>
      </c>
      <c r="H1814" s="6" t="s">
        <v>55</v>
      </c>
      <c r="I1814" s="6" t="s">
        <v>7566</v>
      </c>
      <c r="J1814" s="6" t="s">
        <v>7546</v>
      </c>
      <c r="K1814" s="6" t="s">
        <v>60</v>
      </c>
      <c r="L1814" s="6" t="s">
        <v>131</v>
      </c>
      <c r="M1814" s="6" t="s">
        <v>7537</v>
      </c>
      <c r="N1814" s="6" t="s">
        <v>132</v>
      </c>
      <c r="O1814" s="36" t="s">
        <v>132</v>
      </c>
      <c r="P1814" s="36">
        <v>1.557012926E9</v>
      </c>
      <c r="Q1814" s="36" t="s">
        <v>7541</v>
      </c>
      <c r="R1814" s="6" t="s">
        <v>7542</v>
      </c>
    </row>
    <row r="1815">
      <c r="A1815" s="6" t="s">
        <v>7537</v>
      </c>
      <c r="B1815" s="6" t="s">
        <v>7537</v>
      </c>
      <c r="C1815" s="6">
        <v>206.0</v>
      </c>
      <c r="D1815" s="9" t="str">
        <f>HYPERLINK("https://www.linkedin.com/ad-library/detail/1560907516","Open Ad")</f>
        <v>Open Ad</v>
      </c>
      <c r="E1815" s="6" t="s">
        <v>154</v>
      </c>
      <c r="F1815" s="6" t="s">
        <v>53</v>
      </c>
      <c r="G1815" s="6" t="s">
        <v>7586</v>
      </c>
      <c r="H1815" s="6" t="s">
        <v>55</v>
      </c>
      <c r="I1815" s="6" t="s">
        <v>7566</v>
      </c>
      <c r="J1815" s="6" t="s">
        <v>154</v>
      </c>
      <c r="K1815" s="9" t="str">
        <f t="shared" ref="K1815:K1817" si="17">HYPERLINK("https://dms.licdn.com/playlist/vid/v2/D5610AQHmpK6i5urdxw/mp4-640p-30fp-crf28/B56Z_9g3dnGcBI-/0/1786664686931?e=2147483647&amp;v=beta&amp;t=GCsbLwt4gnl3_O9GWS3zo0UqXqoJNExlwAjmUsNAqs8","Open Creative")</f>
        <v>Open Creative</v>
      </c>
      <c r="L1815" s="6" t="s">
        <v>131</v>
      </c>
      <c r="M1815" s="6" t="s">
        <v>7537</v>
      </c>
      <c r="N1815" s="6" t="s">
        <v>132</v>
      </c>
      <c r="O1815" s="36" t="s">
        <v>132</v>
      </c>
      <c r="P1815" s="36">
        <v>1.560907516E9</v>
      </c>
      <c r="Q1815" s="36" t="s">
        <v>7541</v>
      </c>
      <c r="R1815" s="6" t="s">
        <v>7542</v>
      </c>
    </row>
    <row r="1816">
      <c r="A1816" s="6" t="s">
        <v>7537</v>
      </c>
      <c r="B1816" s="6" t="s">
        <v>7537</v>
      </c>
      <c r="C1816" s="6">
        <v>207.0</v>
      </c>
      <c r="D1816" s="9" t="str">
        <f>HYPERLINK("https://www.linkedin.com/ad-library/detail/1561033806","Open Ad")</f>
        <v>Open Ad</v>
      </c>
      <c r="E1816" s="6" t="s">
        <v>154</v>
      </c>
      <c r="F1816" s="6" t="s">
        <v>53</v>
      </c>
      <c r="G1816" s="6" t="s">
        <v>7586</v>
      </c>
      <c r="H1816" s="6" t="s">
        <v>55</v>
      </c>
      <c r="I1816" s="6" t="s">
        <v>7566</v>
      </c>
      <c r="J1816" s="6" t="s">
        <v>154</v>
      </c>
      <c r="K1816" s="9" t="str">
        <f t="shared" si="17"/>
        <v>Open Creative</v>
      </c>
      <c r="L1816" s="6" t="s">
        <v>131</v>
      </c>
      <c r="M1816" s="6" t="s">
        <v>7537</v>
      </c>
      <c r="N1816" s="6" t="s">
        <v>132</v>
      </c>
      <c r="O1816" s="36" t="s">
        <v>132</v>
      </c>
      <c r="P1816" s="36">
        <v>1.561033806E9</v>
      </c>
      <c r="Q1816" s="36" t="s">
        <v>7541</v>
      </c>
      <c r="R1816" s="6" t="s">
        <v>7542</v>
      </c>
    </row>
    <row r="1817">
      <c r="A1817" s="6" t="s">
        <v>7537</v>
      </c>
      <c r="B1817" s="6" t="s">
        <v>7537</v>
      </c>
      <c r="C1817" s="6">
        <v>208.0</v>
      </c>
      <c r="D1817" s="9" t="str">
        <f>HYPERLINK("https://www.linkedin.com/ad-library/detail/1560828736","Open Ad")</f>
        <v>Open Ad</v>
      </c>
      <c r="E1817" s="6" t="s">
        <v>154</v>
      </c>
      <c r="F1817" s="6" t="s">
        <v>53</v>
      </c>
      <c r="G1817" s="6" t="s">
        <v>7586</v>
      </c>
      <c r="H1817" s="6" t="s">
        <v>55</v>
      </c>
      <c r="I1817" s="6" t="s">
        <v>7566</v>
      </c>
      <c r="J1817" s="6" t="s">
        <v>154</v>
      </c>
      <c r="K1817" s="9" t="str">
        <f t="shared" si="17"/>
        <v>Open Creative</v>
      </c>
      <c r="L1817" s="6" t="s">
        <v>131</v>
      </c>
      <c r="M1817" s="6" t="s">
        <v>7537</v>
      </c>
      <c r="N1817" s="6" t="s">
        <v>132</v>
      </c>
      <c r="O1817" s="36" t="s">
        <v>132</v>
      </c>
      <c r="P1817" s="36">
        <v>1.560828736E9</v>
      </c>
      <c r="Q1817" s="36" t="s">
        <v>7541</v>
      </c>
      <c r="R1817" s="6" t="s">
        <v>7542</v>
      </c>
    </row>
    <row r="1818">
      <c r="A1818" s="6" t="s">
        <v>7537</v>
      </c>
      <c r="B1818" s="6" t="s">
        <v>7537</v>
      </c>
      <c r="C1818" s="6">
        <v>209.0</v>
      </c>
      <c r="D1818" s="9" t="str">
        <f>HYPERLINK("https://www.linkedin.com/ad-library/detail/1509114024","Open Ad")</f>
        <v>Open Ad</v>
      </c>
      <c r="E1818" s="6" t="s">
        <v>91</v>
      </c>
      <c r="F1818" s="6" t="s">
        <v>53</v>
      </c>
      <c r="G1818" s="6" t="s">
        <v>7599</v>
      </c>
      <c r="H1818" s="6" t="s">
        <v>55</v>
      </c>
      <c r="I1818" s="6" t="s">
        <v>7566</v>
      </c>
      <c r="J1818" s="6" t="s">
        <v>91</v>
      </c>
      <c r="K1818" s="9" t="str">
        <f>HYPERLINK("https://media.licdn.com/dms/image/v2/D4E22AQGDO6QNUoEHeQ/feedshare-shrink_1280/B4EZ30IqhDJUAM-/0/1777917405566?e=2147483647&amp;v=beta&amp;t=j4ry-6uvb4eBmynQ7SHY_OPs9jU4iM3E5OHx3CGIVwU","Open Creative")</f>
        <v>Open Creative</v>
      </c>
      <c r="L1818" s="6" t="s">
        <v>131</v>
      </c>
      <c r="M1818" s="6" t="s">
        <v>7537</v>
      </c>
      <c r="N1818" s="6" t="s">
        <v>132</v>
      </c>
      <c r="O1818" s="36" t="s">
        <v>132</v>
      </c>
      <c r="P1818" s="36">
        <v>1.509114024E9</v>
      </c>
      <c r="Q1818" s="36" t="s">
        <v>7541</v>
      </c>
      <c r="R1818" s="6" t="s">
        <v>7542</v>
      </c>
    </row>
    <row r="1819">
      <c r="A1819" s="6" t="s">
        <v>7537</v>
      </c>
      <c r="B1819" s="6" t="s">
        <v>7537</v>
      </c>
      <c r="C1819" s="6">
        <v>210.0</v>
      </c>
      <c r="D1819" s="9" t="str">
        <f>HYPERLINK("https://www.linkedin.com/ad-library/detail/1556613566","Open Ad")</f>
        <v>Open Ad</v>
      </c>
      <c r="E1819" s="6" t="s">
        <v>7543</v>
      </c>
      <c r="F1819" s="6" t="s">
        <v>53</v>
      </c>
      <c r="G1819" s="6" t="s">
        <v>7598</v>
      </c>
      <c r="H1819" s="6" t="s">
        <v>55</v>
      </c>
      <c r="I1819" s="6" t="s">
        <v>7566</v>
      </c>
      <c r="J1819" s="6" t="s">
        <v>7546</v>
      </c>
      <c r="K1819" s="6" t="s">
        <v>60</v>
      </c>
      <c r="L1819" s="6" t="s">
        <v>131</v>
      </c>
      <c r="M1819" s="6" t="s">
        <v>7537</v>
      </c>
      <c r="N1819" s="6" t="s">
        <v>132</v>
      </c>
      <c r="O1819" s="36" t="s">
        <v>132</v>
      </c>
      <c r="P1819" s="36">
        <v>1.556613566E9</v>
      </c>
      <c r="Q1819" s="36" t="s">
        <v>7541</v>
      </c>
      <c r="R1819" s="6" t="s">
        <v>7542</v>
      </c>
    </row>
    <row r="1820">
      <c r="A1820" s="6" t="s">
        <v>7537</v>
      </c>
      <c r="B1820" s="6" t="s">
        <v>7537</v>
      </c>
      <c r="C1820" s="6">
        <v>211.0</v>
      </c>
      <c r="D1820" s="9" t="str">
        <f>HYPERLINK("https://www.linkedin.com/ad-library/detail/1560828726","Open Ad")</f>
        <v>Open Ad</v>
      </c>
      <c r="E1820" s="6" t="s">
        <v>154</v>
      </c>
      <c r="F1820" s="6" t="s">
        <v>53</v>
      </c>
      <c r="G1820" s="6" t="s">
        <v>7586</v>
      </c>
      <c r="H1820" s="6" t="s">
        <v>55</v>
      </c>
      <c r="I1820" s="6" t="s">
        <v>7566</v>
      </c>
      <c r="J1820" s="6" t="s">
        <v>154</v>
      </c>
      <c r="K1820" s="9" t="str">
        <f t="shared" ref="K1820:K1823" si="18">HYPERLINK("https://dms.licdn.com/playlist/vid/v2/D5610AQHmpK6i5urdxw/mp4-640p-30fp-crf28/B56Z_9g3dnGcBI-/0/1786664686931?e=2147483647&amp;v=beta&amp;t=GCsbLwt4gnl3_O9GWS3zo0UqXqoJNExlwAjmUsNAqs8","Open Creative")</f>
        <v>Open Creative</v>
      </c>
      <c r="L1820" s="6" t="s">
        <v>131</v>
      </c>
      <c r="M1820" s="6" t="s">
        <v>7537</v>
      </c>
      <c r="N1820" s="6" t="s">
        <v>132</v>
      </c>
      <c r="O1820" s="36" t="s">
        <v>132</v>
      </c>
      <c r="P1820" s="36">
        <v>1.560828726E9</v>
      </c>
      <c r="Q1820" s="36" t="s">
        <v>7541</v>
      </c>
      <c r="R1820" s="6" t="s">
        <v>7542</v>
      </c>
    </row>
    <row r="1821">
      <c r="A1821" s="6" t="s">
        <v>7537</v>
      </c>
      <c r="B1821" s="6" t="s">
        <v>7537</v>
      </c>
      <c r="C1821" s="6">
        <v>212.0</v>
      </c>
      <c r="D1821" s="9" t="str">
        <f>HYPERLINK("https://www.linkedin.com/ad-library/detail/1561024556","Open Ad")</f>
        <v>Open Ad</v>
      </c>
      <c r="E1821" s="6" t="s">
        <v>154</v>
      </c>
      <c r="F1821" s="6" t="s">
        <v>53</v>
      </c>
      <c r="G1821" s="6" t="s">
        <v>7586</v>
      </c>
      <c r="H1821" s="6" t="s">
        <v>55</v>
      </c>
      <c r="I1821" s="6" t="s">
        <v>7566</v>
      </c>
      <c r="J1821" s="6" t="s">
        <v>154</v>
      </c>
      <c r="K1821" s="9" t="str">
        <f t="shared" si="18"/>
        <v>Open Creative</v>
      </c>
      <c r="L1821" s="6" t="s">
        <v>131</v>
      </c>
      <c r="M1821" s="6" t="s">
        <v>7537</v>
      </c>
      <c r="N1821" s="6" t="s">
        <v>132</v>
      </c>
      <c r="O1821" s="36" t="s">
        <v>132</v>
      </c>
      <c r="P1821" s="36">
        <v>1.561024556E9</v>
      </c>
      <c r="Q1821" s="36" t="s">
        <v>7541</v>
      </c>
      <c r="R1821" s="6" t="s">
        <v>7542</v>
      </c>
    </row>
    <row r="1822">
      <c r="A1822" s="6" t="s">
        <v>7537</v>
      </c>
      <c r="B1822" s="6" t="s">
        <v>7537</v>
      </c>
      <c r="C1822" s="6">
        <v>213.0</v>
      </c>
      <c r="D1822" s="9" t="str">
        <f>HYPERLINK("https://www.linkedin.com/ad-library/detail/1560877846","Open Ad")</f>
        <v>Open Ad</v>
      </c>
      <c r="E1822" s="6" t="s">
        <v>154</v>
      </c>
      <c r="F1822" s="6" t="s">
        <v>53</v>
      </c>
      <c r="G1822" s="6" t="s">
        <v>7586</v>
      </c>
      <c r="H1822" s="6" t="s">
        <v>55</v>
      </c>
      <c r="I1822" s="6" t="s">
        <v>7566</v>
      </c>
      <c r="J1822" s="6" t="s">
        <v>154</v>
      </c>
      <c r="K1822" s="9" t="str">
        <f t="shared" si="18"/>
        <v>Open Creative</v>
      </c>
      <c r="L1822" s="6" t="s">
        <v>131</v>
      </c>
      <c r="M1822" s="6" t="s">
        <v>7537</v>
      </c>
      <c r="N1822" s="6" t="s">
        <v>132</v>
      </c>
      <c r="O1822" s="36" t="s">
        <v>132</v>
      </c>
      <c r="P1822" s="36">
        <v>1.560877846E9</v>
      </c>
      <c r="Q1822" s="36" t="s">
        <v>7541</v>
      </c>
      <c r="R1822" s="6" t="s">
        <v>7542</v>
      </c>
    </row>
    <row r="1823">
      <c r="A1823" s="6" t="s">
        <v>7537</v>
      </c>
      <c r="B1823" s="6" t="s">
        <v>7537</v>
      </c>
      <c r="C1823" s="6">
        <v>214.0</v>
      </c>
      <c r="D1823" s="9" t="str">
        <f>HYPERLINK("https://www.linkedin.com/ad-library/detail/1560877856","Open Ad")</f>
        <v>Open Ad</v>
      </c>
      <c r="E1823" s="6" t="s">
        <v>154</v>
      </c>
      <c r="F1823" s="6" t="s">
        <v>53</v>
      </c>
      <c r="G1823" s="6" t="s">
        <v>7586</v>
      </c>
      <c r="H1823" s="6" t="s">
        <v>55</v>
      </c>
      <c r="I1823" s="6" t="s">
        <v>7566</v>
      </c>
      <c r="J1823" s="6" t="s">
        <v>154</v>
      </c>
      <c r="K1823" s="9" t="str">
        <f t="shared" si="18"/>
        <v>Open Creative</v>
      </c>
      <c r="L1823" s="6" t="s">
        <v>131</v>
      </c>
      <c r="M1823" s="6" t="s">
        <v>7537</v>
      </c>
      <c r="N1823" s="6" t="s">
        <v>132</v>
      </c>
      <c r="O1823" s="36" t="s">
        <v>132</v>
      </c>
      <c r="P1823" s="36">
        <v>1.560877856E9</v>
      </c>
      <c r="Q1823" s="36" t="s">
        <v>7541</v>
      </c>
      <c r="R1823" s="6" t="s">
        <v>7542</v>
      </c>
    </row>
    <row r="1824">
      <c r="A1824" s="6" t="s">
        <v>7537</v>
      </c>
      <c r="B1824" s="6" t="s">
        <v>7537</v>
      </c>
      <c r="C1824" s="6">
        <v>215.0</v>
      </c>
      <c r="D1824" s="9" t="str">
        <f>HYPERLINK("https://www.linkedin.com/ad-library/detail/1553812316","Open Ad")</f>
        <v>Open Ad</v>
      </c>
      <c r="E1824" s="6" t="s">
        <v>91</v>
      </c>
      <c r="F1824" s="6" t="s">
        <v>53</v>
      </c>
      <c r="G1824" s="6" t="s">
        <v>7597</v>
      </c>
      <c r="H1824" s="6" t="s">
        <v>55</v>
      </c>
      <c r="I1824" s="6" t="s">
        <v>7566</v>
      </c>
      <c r="J1824" s="6" t="s">
        <v>91</v>
      </c>
      <c r="K1824" s="9" t="str">
        <f>HYPERLINK("https://media.licdn.com/dms/image/v2/D5610AQGCArVcCr1v4Q/image-shrink_1280/B56Z_sYjPEKMAc-/0/1786377287113/Profound_GM_The90Stat_1x11png?e=2147483647&amp;v=beta&amp;t=ARJ5ncTsFN32_-jnIdsYAEVQhbSj3ZGdGZn9YCeVGRE","Open Creative")</f>
        <v>Open Creative</v>
      </c>
      <c r="L1824" s="6" t="s">
        <v>131</v>
      </c>
      <c r="M1824" s="6" t="s">
        <v>7537</v>
      </c>
      <c r="N1824" s="6" t="s">
        <v>132</v>
      </c>
      <c r="O1824" s="36" t="s">
        <v>132</v>
      </c>
      <c r="P1824" s="36">
        <v>1.553812316E9</v>
      </c>
      <c r="Q1824" s="36" t="s">
        <v>7541</v>
      </c>
      <c r="R1824" s="6" t="s">
        <v>7542</v>
      </c>
    </row>
    <row r="1825">
      <c r="A1825" s="6" t="s">
        <v>7537</v>
      </c>
      <c r="B1825" s="6" t="s">
        <v>7537</v>
      </c>
      <c r="C1825" s="6">
        <v>216.0</v>
      </c>
      <c r="D1825" s="9" t="str">
        <f>HYPERLINK("https://www.linkedin.com/ad-library/detail/1556933376","Open Ad")</f>
        <v>Open Ad</v>
      </c>
      <c r="E1825" s="6" t="s">
        <v>7543</v>
      </c>
      <c r="F1825" s="6" t="s">
        <v>53</v>
      </c>
      <c r="G1825" s="6" t="s">
        <v>7550</v>
      </c>
      <c r="H1825" s="6" t="s">
        <v>55</v>
      </c>
      <c r="I1825" s="6" t="s">
        <v>7566</v>
      </c>
      <c r="J1825" s="6" t="s">
        <v>7546</v>
      </c>
      <c r="K1825" s="6" t="s">
        <v>60</v>
      </c>
      <c r="L1825" s="6" t="s">
        <v>131</v>
      </c>
      <c r="M1825" s="6" t="s">
        <v>7537</v>
      </c>
      <c r="N1825" s="6" t="s">
        <v>132</v>
      </c>
      <c r="O1825" s="36" t="s">
        <v>132</v>
      </c>
      <c r="P1825" s="36">
        <v>1.556933376E9</v>
      </c>
      <c r="Q1825" s="36" t="s">
        <v>7541</v>
      </c>
      <c r="R1825" s="6" t="s">
        <v>7542</v>
      </c>
    </row>
    <row r="1826">
      <c r="A1826" s="6" t="s">
        <v>7537</v>
      </c>
      <c r="B1826" s="6" t="s">
        <v>7537</v>
      </c>
      <c r="C1826" s="6">
        <v>217.0</v>
      </c>
      <c r="D1826" s="9" t="str">
        <f>HYPERLINK("https://www.linkedin.com/ad-library/detail/1508287654","Open Ad")</f>
        <v>Open Ad</v>
      </c>
      <c r="E1826" s="6" t="s">
        <v>91</v>
      </c>
      <c r="F1826" s="6" t="s">
        <v>53</v>
      </c>
      <c r="G1826" s="6" t="s">
        <v>7600</v>
      </c>
      <c r="H1826" s="6" t="s">
        <v>55</v>
      </c>
      <c r="I1826" s="6" t="s">
        <v>7566</v>
      </c>
      <c r="J1826" s="6" t="s">
        <v>91</v>
      </c>
      <c r="K1826" s="9" t="str">
        <f>HYPERLINK("https://media.licdn.com/dms/image/v2/D5622AQE_F9zmHmJ0sQ/feedshare-shrink_1280/B56aAQqFMuIMAM-/0/1786985862272?e=2147483647&amp;v=beta&amp;t=Pd0UfsTiOZwD4r2CUs7jGsmuMB54Xh0tPEARAPb9YUM","Open Creative")</f>
        <v>Open Creative</v>
      </c>
      <c r="L1826" s="6" t="s">
        <v>131</v>
      </c>
      <c r="M1826" s="6" t="s">
        <v>7537</v>
      </c>
      <c r="N1826" s="6" t="s">
        <v>132</v>
      </c>
      <c r="O1826" s="36" t="s">
        <v>132</v>
      </c>
      <c r="P1826" s="36">
        <v>1.508287654E9</v>
      </c>
      <c r="Q1826" s="36" t="s">
        <v>7541</v>
      </c>
      <c r="R1826" s="6" t="s">
        <v>7542</v>
      </c>
    </row>
    <row r="1827">
      <c r="A1827" s="6" t="s">
        <v>7537</v>
      </c>
      <c r="B1827" s="6" t="s">
        <v>7537</v>
      </c>
      <c r="C1827" s="6">
        <v>218.0</v>
      </c>
      <c r="D1827" s="9" t="str">
        <f>HYPERLINK("https://www.linkedin.com/ad-library/detail/1546456336","Open Ad")</f>
        <v>Open Ad</v>
      </c>
      <c r="E1827" s="6" t="s">
        <v>154</v>
      </c>
      <c r="F1827" s="6" t="s">
        <v>53</v>
      </c>
      <c r="G1827" s="6" t="s">
        <v>7580</v>
      </c>
      <c r="H1827" s="6" t="s">
        <v>55</v>
      </c>
      <c r="I1827" s="6" t="s">
        <v>7566</v>
      </c>
      <c r="J1827" s="6" t="s">
        <v>154</v>
      </c>
      <c r="K1827" s="9" t="str">
        <f t="shared" ref="K1827:K1828" si="19">HYPERLINK("https://dms.licdn.com/playlist/vid/v2/D5605AQHRYPjj651EQQ/mp4-720p-30fp-crf28/B56Z_r.CzRG4CI-/0/1786370377571?e=2147483647&amp;v=beta&amp;t=DwRxyyEjhkdvca5YVnOxPUTjFbyB3-Rvx-X1lXsVJ9Y","Open Creative")</f>
        <v>Open Creative</v>
      </c>
      <c r="L1827" s="6" t="s">
        <v>131</v>
      </c>
      <c r="M1827" s="6" t="s">
        <v>7537</v>
      </c>
      <c r="N1827" s="6" t="s">
        <v>132</v>
      </c>
      <c r="O1827" s="36" t="s">
        <v>132</v>
      </c>
      <c r="P1827" s="36">
        <v>1.546456336E9</v>
      </c>
      <c r="Q1827" s="36" t="s">
        <v>7541</v>
      </c>
      <c r="R1827" s="6" t="s">
        <v>7542</v>
      </c>
    </row>
    <row r="1828">
      <c r="A1828" s="6" t="s">
        <v>7537</v>
      </c>
      <c r="B1828" s="6" t="s">
        <v>7537</v>
      </c>
      <c r="C1828" s="6">
        <v>219.0</v>
      </c>
      <c r="D1828" s="9" t="str">
        <f>HYPERLINK("https://www.linkedin.com/ad-library/detail/1546367286","Open Ad")</f>
        <v>Open Ad</v>
      </c>
      <c r="E1828" s="6" t="s">
        <v>154</v>
      </c>
      <c r="F1828" s="6" t="s">
        <v>53</v>
      </c>
      <c r="G1828" s="6" t="s">
        <v>7580</v>
      </c>
      <c r="H1828" s="6" t="s">
        <v>55</v>
      </c>
      <c r="I1828" s="6" t="s">
        <v>7566</v>
      </c>
      <c r="J1828" s="6" t="s">
        <v>154</v>
      </c>
      <c r="K1828" s="9" t="str">
        <f t="shared" si="19"/>
        <v>Open Creative</v>
      </c>
      <c r="L1828" s="6" t="s">
        <v>131</v>
      </c>
      <c r="M1828" s="6" t="s">
        <v>7537</v>
      </c>
      <c r="N1828" s="6" t="s">
        <v>132</v>
      </c>
      <c r="O1828" s="36" t="s">
        <v>132</v>
      </c>
      <c r="P1828" s="36">
        <v>1.546367286E9</v>
      </c>
      <c r="Q1828" s="36" t="s">
        <v>7541</v>
      </c>
      <c r="R1828" s="6" t="s">
        <v>7542</v>
      </c>
    </row>
    <row r="1829">
      <c r="A1829" s="6" t="s">
        <v>7537</v>
      </c>
      <c r="B1829" s="6" t="s">
        <v>7537</v>
      </c>
      <c r="C1829" s="6">
        <v>220.0</v>
      </c>
      <c r="D1829" s="9" t="str">
        <f>HYPERLINK("https://www.linkedin.com/ad-library/detail/1553792766","Open Ad")</f>
        <v>Open Ad</v>
      </c>
      <c r="E1829" s="6" t="s">
        <v>91</v>
      </c>
      <c r="F1829" s="6" t="s">
        <v>53</v>
      </c>
      <c r="G1829" s="6" t="s">
        <v>7597</v>
      </c>
      <c r="H1829" s="6" t="s">
        <v>55</v>
      </c>
      <c r="I1829" s="6" t="s">
        <v>7566</v>
      </c>
      <c r="J1829" s="6" t="s">
        <v>91</v>
      </c>
      <c r="K1829" s="9" t="str">
        <f>HYPERLINK("https://media.licdn.com/dms/image/v2/D5610AQFMbD1nRCmKig/image-shrink_1280/B56Z_sYxHeJsAc-/0/1786377344055/Profound_GM_37Stat_1x1png?e=2147483647&amp;v=beta&amp;t=8I-InHtprJMHfmZmPNfrQkm5TTrP1LFO-dsoL6eUajE","Open Creative")</f>
        <v>Open Creative</v>
      </c>
      <c r="L1829" s="6" t="s">
        <v>131</v>
      </c>
      <c r="M1829" s="6" t="s">
        <v>7537</v>
      </c>
      <c r="N1829" s="6" t="s">
        <v>132</v>
      </c>
      <c r="O1829" s="36" t="s">
        <v>132</v>
      </c>
      <c r="P1829" s="36">
        <v>1.553792766E9</v>
      </c>
      <c r="Q1829" s="36" t="s">
        <v>7541</v>
      </c>
      <c r="R1829" s="6" t="s">
        <v>7542</v>
      </c>
    </row>
    <row r="1830">
      <c r="A1830" s="6" t="s">
        <v>7537</v>
      </c>
      <c r="B1830" s="6" t="s">
        <v>7537</v>
      </c>
      <c r="C1830" s="6">
        <v>221.0</v>
      </c>
      <c r="D1830" s="9" t="str">
        <f>HYPERLINK("https://www.linkedin.com/ad-library/detail/1553870376","Open Ad")</f>
        <v>Open Ad</v>
      </c>
      <c r="E1830" s="6" t="s">
        <v>7543</v>
      </c>
      <c r="F1830" s="6" t="s">
        <v>53</v>
      </c>
      <c r="G1830" s="6" t="s">
        <v>7572</v>
      </c>
      <c r="H1830" s="6" t="s">
        <v>55</v>
      </c>
      <c r="I1830" s="6" t="s">
        <v>7566</v>
      </c>
      <c r="J1830" s="6" t="s">
        <v>7546</v>
      </c>
      <c r="K1830" s="6" t="s">
        <v>60</v>
      </c>
      <c r="L1830" s="6" t="s">
        <v>131</v>
      </c>
      <c r="M1830" s="6" t="s">
        <v>7537</v>
      </c>
      <c r="N1830" s="6" t="s">
        <v>132</v>
      </c>
      <c r="O1830" s="36" t="s">
        <v>132</v>
      </c>
      <c r="P1830" s="36">
        <v>1.553870376E9</v>
      </c>
      <c r="Q1830" s="36" t="s">
        <v>7541</v>
      </c>
      <c r="R1830" s="6" t="s">
        <v>7542</v>
      </c>
    </row>
    <row r="1831">
      <c r="A1831" s="6" t="s">
        <v>7537</v>
      </c>
      <c r="B1831" s="6" t="s">
        <v>7537</v>
      </c>
      <c r="C1831" s="6">
        <v>222.0</v>
      </c>
      <c r="D1831" s="9" t="str">
        <f>HYPERLINK("https://www.linkedin.com/ad-library/detail/1546456346","Open Ad")</f>
        <v>Open Ad</v>
      </c>
      <c r="E1831" s="6" t="s">
        <v>154</v>
      </c>
      <c r="F1831" s="6" t="s">
        <v>53</v>
      </c>
      <c r="G1831" s="6" t="s">
        <v>7580</v>
      </c>
      <c r="H1831" s="6" t="s">
        <v>55</v>
      </c>
      <c r="I1831" s="6" t="s">
        <v>7566</v>
      </c>
      <c r="J1831" s="6" t="s">
        <v>154</v>
      </c>
      <c r="K1831" s="9" t="str">
        <f t="shared" ref="K1831:K1833" si="20">HYPERLINK("https://dms.licdn.com/playlist/vid/v2/D5605AQHRYPjj651EQQ/mp4-720p-30fp-crf28/B56Z_r.CzRG4CI-/0/1786370377571?e=2147483647&amp;v=beta&amp;t=DwRxyyEjhkdvca5YVnOxPUTjFbyB3-Rvx-X1lXsVJ9Y","Open Creative")</f>
        <v>Open Creative</v>
      </c>
      <c r="L1831" s="6" t="s">
        <v>131</v>
      </c>
      <c r="M1831" s="6" t="s">
        <v>7537</v>
      </c>
      <c r="N1831" s="6" t="s">
        <v>132</v>
      </c>
      <c r="O1831" s="36" t="s">
        <v>132</v>
      </c>
      <c r="P1831" s="36">
        <v>1.546456346E9</v>
      </c>
      <c r="Q1831" s="36" t="s">
        <v>7541</v>
      </c>
      <c r="R1831" s="6" t="s">
        <v>7542</v>
      </c>
    </row>
    <row r="1832">
      <c r="A1832" s="6" t="s">
        <v>7537</v>
      </c>
      <c r="B1832" s="6" t="s">
        <v>7537</v>
      </c>
      <c r="C1832" s="6">
        <v>223.0</v>
      </c>
      <c r="D1832" s="9" t="str">
        <f>HYPERLINK("https://www.linkedin.com/ad-library/detail/1546297716","Open Ad")</f>
        <v>Open Ad</v>
      </c>
      <c r="E1832" s="6" t="s">
        <v>154</v>
      </c>
      <c r="F1832" s="6" t="s">
        <v>53</v>
      </c>
      <c r="G1832" s="6" t="s">
        <v>7580</v>
      </c>
      <c r="H1832" s="6" t="s">
        <v>55</v>
      </c>
      <c r="I1832" s="6" t="s">
        <v>7566</v>
      </c>
      <c r="J1832" s="6" t="s">
        <v>154</v>
      </c>
      <c r="K1832" s="9" t="str">
        <f t="shared" si="20"/>
        <v>Open Creative</v>
      </c>
      <c r="L1832" s="6" t="s">
        <v>131</v>
      </c>
      <c r="M1832" s="6" t="s">
        <v>7537</v>
      </c>
      <c r="N1832" s="6" t="s">
        <v>132</v>
      </c>
      <c r="O1832" s="36" t="s">
        <v>132</v>
      </c>
      <c r="P1832" s="36">
        <v>1.546297716E9</v>
      </c>
      <c r="Q1832" s="36" t="s">
        <v>7541</v>
      </c>
      <c r="R1832" s="6" t="s">
        <v>7542</v>
      </c>
    </row>
    <row r="1833">
      <c r="A1833" s="6" t="s">
        <v>7537</v>
      </c>
      <c r="B1833" s="6" t="s">
        <v>7537</v>
      </c>
      <c r="C1833" s="6">
        <v>224.0</v>
      </c>
      <c r="D1833" s="9" t="str">
        <f>HYPERLINK("https://www.linkedin.com/ad-library/detail/1546278096","Open Ad")</f>
        <v>Open Ad</v>
      </c>
      <c r="E1833" s="6" t="s">
        <v>154</v>
      </c>
      <c r="F1833" s="6" t="s">
        <v>53</v>
      </c>
      <c r="G1833" s="6" t="s">
        <v>7580</v>
      </c>
      <c r="H1833" s="6" t="s">
        <v>55</v>
      </c>
      <c r="I1833" s="6" t="s">
        <v>7566</v>
      </c>
      <c r="J1833" s="6" t="s">
        <v>154</v>
      </c>
      <c r="K1833" s="9" t="str">
        <f t="shared" si="20"/>
        <v>Open Creative</v>
      </c>
      <c r="L1833" s="6" t="s">
        <v>131</v>
      </c>
      <c r="M1833" s="6" t="s">
        <v>7537</v>
      </c>
      <c r="N1833" s="6" t="s">
        <v>132</v>
      </c>
      <c r="O1833" s="36" t="s">
        <v>132</v>
      </c>
      <c r="P1833" s="36">
        <v>1.546278096E9</v>
      </c>
      <c r="Q1833" s="36" t="s">
        <v>7541</v>
      </c>
      <c r="R1833" s="6" t="s">
        <v>7542</v>
      </c>
    </row>
    <row r="1834">
      <c r="A1834" s="6" t="s">
        <v>7537</v>
      </c>
      <c r="B1834" s="6" t="s">
        <v>7537</v>
      </c>
      <c r="C1834" s="6">
        <v>225.0</v>
      </c>
      <c r="D1834" s="9" t="str">
        <f>HYPERLINK("https://www.linkedin.com/ad-library/detail/1553931816","Open Ad")</f>
        <v>Open Ad</v>
      </c>
      <c r="E1834" s="6" t="s">
        <v>91</v>
      </c>
      <c r="F1834" s="6" t="s">
        <v>53</v>
      </c>
      <c r="G1834" s="6" t="s">
        <v>7597</v>
      </c>
      <c r="H1834" s="6" t="s">
        <v>55</v>
      </c>
      <c r="I1834" s="6" t="s">
        <v>7566</v>
      </c>
      <c r="J1834" s="6" t="s">
        <v>91</v>
      </c>
      <c r="K1834" s="9" t="str">
        <f>HYPERLINK("https://media.licdn.com/dms/image/v2/D5610AQGQf9YCUEy6ow/image-shrink_1280/B56Z_sYCIuGQAk-/0/1786377151464/Profound_GM_TheRealityCheck_1x11png?e=2147483647&amp;v=beta&amp;t=zCppuPHQTkTVOU4TJwl5pRa5Zq35X7SEHbaNR-AzfsU","Open Creative")</f>
        <v>Open Creative</v>
      </c>
      <c r="L1834" s="6" t="s">
        <v>131</v>
      </c>
      <c r="M1834" s="6" t="s">
        <v>7537</v>
      </c>
      <c r="N1834" s="6" t="s">
        <v>132</v>
      </c>
      <c r="O1834" s="36" t="s">
        <v>132</v>
      </c>
      <c r="P1834" s="36">
        <v>1.553931816E9</v>
      </c>
      <c r="Q1834" s="36" t="s">
        <v>7541</v>
      </c>
      <c r="R1834" s="6" t="s">
        <v>7542</v>
      </c>
    </row>
    <row r="1835">
      <c r="A1835" s="6" t="s">
        <v>7537</v>
      </c>
      <c r="B1835" s="6" t="s">
        <v>7537</v>
      </c>
      <c r="C1835" s="6">
        <v>226.0</v>
      </c>
      <c r="D1835" s="9" t="str">
        <f>HYPERLINK("https://www.linkedin.com/ad-library/detail/1553920906","Open Ad")</f>
        <v>Open Ad</v>
      </c>
      <c r="E1835" s="6" t="s">
        <v>7543</v>
      </c>
      <c r="F1835" s="6" t="s">
        <v>53</v>
      </c>
      <c r="G1835" s="6" t="s">
        <v>7572</v>
      </c>
      <c r="H1835" s="6" t="s">
        <v>55</v>
      </c>
      <c r="I1835" s="6" t="s">
        <v>7566</v>
      </c>
      <c r="J1835" s="6" t="s">
        <v>7546</v>
      </c>
      <c r="K1835" s="6" t="s">
        <v>60</v>
      </c>
      <c r="L1835" s="6" t="s">
        <v>131</v>
      </c>
      <c r="M1835" s="6" t="s">
        <v>7537</v>
      </c>
      <c r="N1835" s="6" t="s">
        <v>132</v>
      </c>
      <c r="O1835" s="36" t="s">
        <v>132</v>
      </c>
      <c r="P1835" s="36">
        <v>1.553920906E9</v>
      </c>
      <c r="Q1835" s="36" t="s">
        <v>7541</v>
      </c>
      <c r="R1835" s="6" t="s">
        <v>7542</v>
      </c>
    </row>
    <row r="1836">
      <c r="A1836" s="6" t="s">
        <v>7537</v>
      </c>
      <c r="B1836" s="6" t="s">
        <v>7537</v>
      </c>
      <c r="C1836" s="6">
        <v>227.0</v>
      </c>
      <c r="D1836" s="9" t="str">
        <f>HYPERLINK("https://www.linkedin.com/ad-library/detail/1553950476","Open Ad")</f>
        <v>Open Ad</v>
      </c>
      <c r="E1836" s="6" t="s">
        <v>7543</v>
      </c>
      <c r="F1836" s="6" t="s">
        <v>53</v>
      </c>
      <c r="G1836" s="6" t="s">
        <v>7572</v>
      </c>
      <c r="H1836" s="6" t="s">
        <v>55</v>
      </c>
      <c r="I1836" s="6" t="s">
        <v>7566</v>
      </c>
      <c r="J1836" s="6" t="s">
        <v>7546</v>
      </c>
      <c r="K1836" s="6" t="s">
        <v>60</v>
      </c>
      <c r="L1836" s="6" t="s">
        <v>131</v>
      </c>
      <c r="M1836" s="6" t="s">
        <v>7537</v>
      </c>
      <c r="N1836" s="6" t="s">
        <v>132</v>
      </c>
      <c r="O1836" s="36" t="s">
        <v>132</v>
      </c>
      <c r="P1836" s="36">
        <v>1.553950476E9</v>
      </c>
      <c r="Q1836" s="36" t="s">
        <v>7541</v>
      </c>
      <c r="R1836" s="6" t="s">
        <v>7542</v>
      </c>
    </row>
    <row r="1837">
      <c r="A1837" s="6" t="s">
        <v>7537</v>
      </c>
      <c r="B1837" s="6" t="s">
        <v>7537</v>
      </c>
      <c r="C1837" s="6">
        <v>228.0</v>
      </c>
      <c r="D1837" s="9" t="str">
        <f>HYPERLINK("https://www.linkedin.com/ad-library/detail/1546446656","Open Ad")</f>
        <v>Open Ad</v>
      </c>
      <c r="E1837" s="6" t="s">
        <v>154</v>
      </c>
      <c r="F1837" s="6" t="s">
        <v>53</v>
      </c>
      <c r="G1837" s="6" t="s">
        <v>7580</v>
      </c>
      <c r="H1837" s="6" t="s">
        <v>55</v>
      </c>
      <c r="I1837" s="6" t="s">
        <v>7566</v>
      </c>
      <c r="J1837" s="6" t="s">
        <v>154</v>
      </c>
      <c r="K1837" s="9" t="str">
        <f>HYPERLINK("https://dms.licdn.com/playlist/vid/v2/D5605AQHRYPjj651EQQ/mp4-720p-30fp-crf28/B56Z_r.CzRG4CI-/0/1786370377571?e=2147483647&amp;v=beta&amp;t=DwRxyyEjhkdvca5YVnOxPUTjFbyB3-Rvx-X1lXsVJ9Y","Open Creative")</f>
        <v>Open Creative</v>
      </c>
      <c r="L1837" s="6" t="s">
        <v>131</v>
      </c>
      <c r="M1837" s="6" t="s">
        <v>7537</v>
      </c>
      <c r="N1837" s="6" t="s">
        <v>132</v>
      </c>
      <c r="O1837" s="36" t="s">
        <v>132</v>
      </c>
      <c r="P1837" s="36">
        <v>1.546446656E9</v>
      </c>
      <c r="Q1837" s="36" t="s">
        <v>7541</v>
      </c>
      <c r="R1837" s="6" t="s">
        <v>7542</v>
      </c>
    </row>
    <row r="1838">
      <c r="A1838" s="6" t="s">
        <v>7537</v>
      </c>
      <c r="B1838" s="6" t="s">
        <v>7537</v>
      </c>
      <c r="C1838" s="6">
        <v>229.0</v>
      </c>
      <c r="D1838" s="9" t="str">
        <f>HYPERLINK("https://www.linkedin.com/ad-library/detail/1553781366","Open Ad")</f>
        <v>Open Ad</v>
      </c>
      <c r="E1838" s="6" t="s">
        <v>91</v>
      </c>
      <c r="F1838" s="6" t="s">
        <v>53</v>
      </c>
      <c r="G1838" s="6" t="s">
        <v>7597</v>
      </c>
      <c r="H1838" s="6" t="s">
        <v>55</v>
      </c>
      <c r="I1838" s="6" t="s">
        <v>7566</v>
      </c>
      <c r="J1838" s="6" t="s">
        <v>91</v>
      </c>
      <c r="K1838" s="9" t="str">
        <f>HYPERLINK("https://media.licdn.com/dms/image/v2/D5610AQHFfjbCTN-dvA/image-shrink_1280/B56Z_sYYtrGsAc-/0/1786377243930/Profound_GM_SEOShift_1x11png?e=2147483647&amp;v=beta&amp;t=K2HnNkfefN4yKanNO6XcCia00T4_yqzbxVBVyf8CLmk","Open Creative")</f>
        <v>Open Creative</v>
      </c>
      <c r="L1838" s="6" t="s">
        <v>131</v>
      </c>
      <c r="M1838" s="6" t="s">
        <v>7537</v>
      </c>
      <c r="N1838" s="6" t="s">
        <v>132</v>
      </c>
      <c r="O1838" s="36" t="s">
        <v>132</v>
      </c>
      <c r="P1838" s="36">
        <v>1.553781366E9</v>
      </c>
      <c r="Q1838" s="36" t="s">
        <v>7541</v>
      </c>
      <c r="R1838" s="6" t="s">
        <v>7542</v>
      </c>
    </row>
    <row r="1839">
      <c r="A1839" s="6" t="s">
        <v>7537</v>
      </c>
      <c r="B1839" s="6" t="s">
        <v>7537</v>
      </c>
      <c r="C1839" s="6">
        <v>230.0</v>
      </c>
      <c r="D1839" s="9" t="str">
        <f>HYPERLINK("https://www.linkedin.com/ad-library/detail/1419787986","Open Ad")</f>
        <v>Open Ad</v>
      </c>
      <c r="E1839" s="6" t="s">
        <v>154</v>
      </c>
      <c r="F1839" s="6" t="s">
        <v>53</v>
      </c>
      <c r="G1839" s="6" t="s">
        <v>7580</v>
      </c>
      <c r="H1839" s="6" t="s">
        <v>55</v>
      </c>
      <c r="I1839" s="6" t="s">
        <v>7566</v>
      </c>
      <c r="J1839" s="6" t="s">
        <v>154</v>
      </c>
      <c r="K1839" s="9" t="str">
        <f>HYPERLINK("https://dms.licdn.com/playlist/vid/v2/D5605AQHRYPjj651EQQ/mp4-720p-30fp-crf28/B56Z_r.CzRG4CI-/0/1786370377571?e=2147483647&amp;v=beta&amp;t=DwRxyyEjhkdvca5YVnOxPUTjFbyB3-Rvx-X1lXsVJ9Y","Open Creative")</f>
        <v>Open Creative</v>
      </c>
      <c r="L1839" s="6" t="s">
        <v>131</v>
      </c>
      <c r="M1839" s="6" t="s">
        <v>7537</v>
      </c>
      <c r="N1839" s="6" t="s">
        <v>132</v>
      </c>
      <c r="O1839" s="36" t="s">
        <v>132</v>
      </c>
      <c r="P1839" s="36">
        <v>1.419787986E9</v>
      </c>
      <c r="Q1839" s="36" t="s">
        <v>7541</v>
      </c>
      <c r="R1839" s="6" t="s">
        <v>7542</v>
      </c>
    </row>
    <row r="1840">
      <c r="A1840" s="6" t="s">
        <v>7537</v>
      </c>
      <c r="B1840" s="6" t="s">
        <v>7537</v>
      </c>
      <c r="C1840" s="6">
        <v>231.0</v>
      </c>
      <c r="D1840" s="9" t="str">
        <f>HYPERLINK("https://www.linkedin.com/ad-library/detail/1553950506","Open Ad")</f>
        <v>Open Ad</v>
      </c>
      <c r="E1840" s="6" t="s">
        <v>91</v>
      </c>
      <c r="F1840" s="6" t="s">
        <v>53</v>
      </c>
      <c r="G1840" s="6" t="s">
        <v>7597</v>
      </c>
      <c r="H1840" s="6" t="s">
        <v>55</v>
      </c>
      <c r="I1840" s="6" t="s">
        <v>7566</v>
      </c>
      <c r="J1840" s="6" t="s">
        <v>91</v>
      </c>
      <c r="K1840" s="9" t="str">
        <f>HYPERLINK("https://media.licdn.com/dms/image/v2/D5610AQGCArVcCr1v4Q/image-shrink_1280/B56Z_sYjPEKMAc-/0/1786377287113/Profound_GM_The90Stat_1x11png?e=2147483647&amp;v=beta&amp;t=ARJ5ncTsFN32_-jnIdsYAEVQhbSj3ZGdGZn9YCeVGRE","Open Creative")</f>
        <v>Open Creative</v>
      </c>
      <c r="L1840" s="6" t="s">
        <v>131</v>
      </c>
      <c r="M1840" s="6" t="s">
        <v>7537</v>
      </c>
      <c r="N1840" s="6" t="s">
        <v>132</v>
      </c>
      <c r="O1840" s="36" t="s">
        <v>132</v>
      </c>
      <c r="P1840" s="36">
        <v>1.553950506E9</v>
      </c>
      <c r="Q1840" s="36" t="s">
        <v>7541</v>
      </c>
      <c r="R1840" s="6" t="s">
        <v>7542</v>
      </c>
    </row>
    <row r="1841">
      <c r="A1841" s="6" t="s">
        <v>7537</v>
      </c>
      <c r="B1841" s="6" t="s">
        <v>7537</v>
      </c>
      <c r="C1841" s="6">
        <v>232.0</v>
      </c>
      <c r="D1841" s="9" t="str">
        <f>HYPERLINK("https://www.linkedin.com/ad-library/detail/1553881256","Open Ad")</f>
        <v>Open Ad</v>
      </c>
      <c r="E1841" s="6" t="s">
        <v>7543</v>
      </c>
      <c r="F1841" s="6" t="s">
        <v>53</v>
      </c>
      <c r="G1841" s="6" t="s">
        <v>7572</v>
      </c>
      <c r="H1841" s="6" t="s">
        <v>55</v>
      </c>
      <c r="I1841" s="6" t="s">
        <v>7566</v>
      </c>
      <c r="J1841" s="6" t="s">
        <v>7546</v>
      </c>
      <c r="K1841" s="6" t="s">
        <v>60</v>
      </c>
      <c r="L1841" s="6" t="s">
        <v>131</v>
      </c>
      <c r="M1841" s="6" t="s">
        <v>7537</v>
      </c>
      <c r="N1841" s="6" t="s">
        <v>132</v>
      </c>
      <c r="O1841" s="36" t="s">
        <v>132</v>
      </c>
      <c r="P1841" s="36">
        <v>1.553881256E9</v>
      </c>
      <c r="Q1841" s="36" t="s">
        <v>7541</v>
      </c>
      <c r="R1841" s="6" t="s">
        <v>7542</v>
      </c>
    </row>
    <row r="1842">
      <c r="A1842" s="6" t="s">
        <v>7537</v>
      </c>
      <c r="B1842" s="6" t="s">
        <v>7537</v>
      </c>
      <c r="C1842" s="6">
        <v>233.0</v>
      </c>
      <c r="D1842" s="9" t="str">
        <f>HYPERLINK("https://www.linkedin.com/ad-library/detail/1553911196","Open Ad")</f>
        <v>Open Ad</v>
      </c>
      <c r="E1842" s="6" t="s">
        <v>91</v>
      </c>
      <c r="F1842" s="6" t="s">
        <v>53</v>
      </c>
      <c r="G1842" s="6" t="s">
        <v>7597</v>
      </c>
      <c r="H1842" s="6" t="s">
        <v>55</v>
      </c>
      <c r="I1842" s="6" t="s">
        <v>7566</v>
      </c>
      <c r="J1842" s="6" t="s">
        <v>91</v>
      </c>
      <c r="K1842" s="9" t="str">
        <f>HYPERLINK("https://media.licdn.com/dms/image/v2/D5610AQGCArVcCr1v4Q/image-shrink_1280/B56Z_sYjPEKMAc-/0/1786377287113/Profound_GM_The90Stat_1x11png?e=2147483647&amp;v=beta&amp;t=ARJ5ncTsFN32_-jnIdsYAEVQhbSj3ZGdGZn9YCeVGRE","Open Creative")</f>
        <v>Open Creative</v>
      </c>
      <c r="L1842" s="6" t="s">
        <v>131</v>
      </c>
      <c r="M1842" s="6" t="s">
        <v>7537</v>
      </c>
      <c r="N1842" s="6" t="s">
        <v>132</v>
      </c>
      <c r="O1842" s="36" t="s">
        <v>132</v>
      </c>
      <c r="P1842" s="36">
        <v>1.553911196E9</v>
      </c>
      <c r="Q1842" s="36" t="s">
        <v>7541</v>
      </c>
      <c r="R1842" s="6" t="s">
        <v>7542</v>
      </c>
    </row>
    <row r="1843">
      <c r="A1843" s="6" t="s">
        <v>7537</v>
      </c>
      <c r="B1843" s="6" t="s">
        <v>7537</v>
      </c>
      <c r="C1843" s="6">
        <v>234.0</v>
      </c>
      <c r="D1843" s="9" t="str">
        <f>HYPERLINK("https://www.linkedin.com/ad-library/detail/1546337036","Open Ad")</f>
        <v>Open Ad</v>
      </c>
      <c r="E1843" s="6" t="s">
        <v>154</v>
      </c>
      <c r="F1843" s="6" t="s">
        <v>53</v>
      </c>
      <c r="G1843" s="6" t="s">
        <v>7580</v>
      </c>
      <c r="H1843" s="6" t="s">
        <v>55</v>
      </c>
      <c r="I1843" s="6" t="s">
        <v>7566</v>
      </c>
      <c r="J1843" s="6" t="s">
        <v>154</v>
      </c>
      <c r="K1843" s="9" t="str">
        <f t="shared" ref="K1843:K1844" si="21">HYPERLINK("https://dms.licdn.com/playlist/vid/v2/D5605AQHRYPjj651EQQ/mp4-720p-30fp-crf28/B56Z_r.CzRG4CI-/0/1786370377571?e=2147483647&amp;v=beta&amp;t=DwRxyyEjhkdvca5YVnOxPUTjFbyB3-Rvx-X1lXsVJ9Y","Open Creative")</f>
        <v>Open Creative</v>
      </c>
      <c r="L1843" s="6" t="s">
        <v>131</v>
      </c>
      <c r="M1843" s="6" t="s">
        <v>7537</v>
      </c>
      <c r="N1843" s="6" t="s">
        <v>132</v>
      </c>
      <c r="O1843" s="36" t="s">
        <v>132</v>
      </c>
      <c r="P1843" s="36">
        <v>1.546337036E9</v>
      </c>
      <c r="Q1843" s="36" t="s">
        <v>7541</v>
      </c>
      <c r="R1843" s="6" t="s">
        <v>7542</v>
      </c>
    </row>
    <row r="1844">
      <c r="A1844" s="6" t="s">
        <v>7537</v>
      </c>
      <c r="B1844" s="6" t="s">
        <v>7537</v>
      </c>
      <c r="C1844" s="6">
        <v>235.0</v>
      </c>
      <c r="D1844" s="9" t="str">
        <f>HYPERLINK("https://www.linkedin.com/ad-library/detail/1546337046","Open Ad")</f>
        <v>Open Ad</v>
      </c>
      <c r="E1844" s="6" t="s">
        <v>154</v>
      </c>
      <c r="F1844" s="6" t="s">
        <v>53</v>
      </c>
      <c r="G1844" s="6" t="s">
        <v>7580</v>
      </c>
      <c r="H1844" s="6" t="s">
        <v>55</v>
      </c>
      <c r="I1844" s="6" t="s">
        <v>7566</v>
      </c>
      <c r="J1844" s="6" t="s">
        <v>154</v>
      </c>
      <c r="K1844" s="9" t="str">
        <f t="shared" si="21"/>
        <v>Open Creative</v>
      </c>
      <c r="L1844" s="6" t="s">
        <v>131</v>
      </c>
      <c r="M1844" s="6" t="s">
        <v>7537</v>
      </c>
      <c r="N1844" s="6" t="s">
        <v>132</v>
      </c>
      <c r="O1844" s="36" t="s">
        <v>132</v>
      </c>
      <c r="P1844" s="36">
        <v>1.546337046E9</v>
      </c>
      <c r="Q1844" s="36" t="s">
        <v>7541</v>
      </c>
      <c r="R1844" s="6" t="s">
        <v>7542</v>
      </c>
    </row>
    <row r="1845">
      <c r="A1845" s="6" t="s">
        <v>7537</v>
      </c>
      <c r="B1845" s="6" t="s">
        <v>7537</v>
      </c>
      <c r="C1845" s="6">
        <v>236.0</v>
      </c>
      <c r="D1845" s="9" t="str">
        <f>HYPERLINK("https://www.linkedin.com/ad-library/detail/1553831246","Open Ad")</f>
        <v>Open Ad</v>
      </c>
      <c r="E1845" s="6" t="s">
        <v>91</v>
      </c>
      <c r="F1845" s="6" t="s">
        <v>53</v>
      </c>
      <c r="G1845" s="6" t="s">
        <v>7597</v>
      </c>
      <c r="H1845" s="6" t="s">
        <v>55</v>
      </c>
      <c r="I1845" s="6" t="s">
        <v>7566</v>
      </c>
      <c r="J1845" s="6" t="s">
        <v>91</v>
      </c>
      <c r="K1845" s="9" t="str">
        <f>HYPERLINK("https://media.licdn.com/dms/image/v2/D5610AQGQf9YCUEy6ow/image-shrink_1280/B56Z_sYCIuGQAk-/0/1786377151464/Profound_GM_TheRealityCheck_1x11png?e=2147483647&amp;v=beta&amp;t=zCppuPHQTkTVOU4TJwl5pRa5Zq35X7SEHbaNR-AzfsU","Open Creative")</f>
        <v>Open Creative</v>
      </c>
      <c r="L1845" s="6" t="s">
        <v>131</v>
      </c>
      <c r="M1845" s="6" t="s">
        <v>7537</v>
      </c>
      <c r="N1845" s="6" t="s">
        <v>132</v>
      </c>
      <c r="O1845" s="36" t="s">
        <v>132</v>
      </c>
      <c r="P1845" s="36">
        <v>1.553831246E9</v>
      </c>
      <c r="Q1845" s="36" t="s">
        <v>7541</v>
      </c>
      <c r="R1845" s="6" t="s">
        <v>7542</v>
      </c>
    </row>
    <row r="1846">
      <c r="A1846" s="6" t="s">
        <v>7537</v>
      </c>
      <c r="B1846" s="6" t="s">
        <v>7537</v>
      </c>
      <c r="C1846" s="6">
        <v>237.0</v>
      </c>
      <c r="D1846" s="9" t="str">
        <f>HYPERLINK("https://www.linkedin.com/ad-library/detail/1419812046","Open Ad")</f>
        <v>Open Ad</v>
      </c>
      <c r="E1846" s="6" t="s">
        <v>91</v>
      </c>
      <c r="F1846" s="6" t="s">
        <v>53</v>
      </c>
      <c r="G1846" s="6" t="s">
        <v>7597</v>
      </c>
      <c r="H1846" s="6" t="s">
        <v>55</v>
      </c>
      <c r="I1846" s="6" t="s">
        <v>7566</v>
      </c>
      <c r="J1846" s="6" t="s">
        <v>91</v>
      </c>
      <c r="K1846" s="9" t="str">
        <f>HYPERLINK("https://media.licdn.com/dms/image/v2/D5610AQFMbD1nRCmKig/image-shrink_1280/B56Z_sYxHeJsAc-/0/1786377344055/Profound_GM_37Stat_1x1png?e=2147483647&amp;v=beta&amp;t=8I-InHtprJMHfmZmPNfrQkm5TTrP1LFO-dsoL6eUajE","Open Creative")</f>
        <v>Open Creative</v>
      </c>
      <c r="L1846" s="6" t="s">
        <v>131</v>
      </c>
      <c r="M1846" s="6" t="s">
        <v>7537</v>
      </c>
      <c r="N1846" s="6" t="s">
        <v>132</v>
      </c>
      <c r="O1846" s="36" t="s">
        <v>132</v>
      </c>
      <c r="P1846" s="36">
        <v>1.419812046E9</v>
      </c>
      <c r="Q1846" s="36" t="s">
        <v>7541</v>
      </c>
      <c r="R1846" s="6" t="s">
        <v>7542</v>
      </c>
    </row>
    <row r="1847">
      <c r="A1847" s="6" t="s">
        <v>7537</v>
      </c>
      <c r="B1847" s="6" t="s">
        <v>7537</v>
      </c>
      <c r="C1847" s="6">
        <v>238.0</v>
      </c>
      <c r="D1847" s="9" t="str">
        <f>HYPERLINK("https://www.linkedin.com/ad-library/detail/1553811506","Open Ad")</f>
        <v>Open Ad</v>
      </c>
      <c r="E1847" s="6" t="s">
        <v>91</v>
      </c>
      <c r="F1847" s="6" t="s">
        <v>53</v>
      </c>
      <c r="G1847" s="6" t="s">
        <v>7597</v>
      </c>
      <c r="H1847" s="6" t="s">
        <v>55</v>
      </c>
      <c r="I1847" s="6" t="s">
        <v>7566</v>
      </c>
      <c r="J1847" s="6" t="s">
        <v>91</v>
      </c>
      <c r="K1847" s="9" t="str">
        <f>HYPERLINK("https://media.licdn.com/dms/image/v2/D5610AQGQf9YCUEy6ow/image-shrink_1280/B56Z_sYCIuGQAk-/0/1786377151464/Profound_GM_TheRealityCheck_1x11png?e=2147483647&amp;v=beta&amp;t=zCppuPHQTkTVOU4TJwl5pRa5Zq35X7SEHbaNR-AzfsU","Open Creative")</f>
        <v>Open Creative</v>
      </c>
      <c r="L1847" s="6" t="s">
        <v>131</v>
      </c>
      <c r="M1847" s="6" t="s">
        <v>7537</v>
      </c>
      <c r="N1847" s="6" t="s">
        <v>132</v>
      </c>
      <c r="O1847" s="36" t="s">
        <v>132</v>
      </c>
      <c r="P1847" s="36">
        <v>1.553811506E9</v>
      </c>
      <c r="Q1847" s="36" t="s">
        <v>7541</v>
      </c>
      <c r="R1847" s="6" t="s">
        <v>7542</v>
      </c>
    </row>
    <row r="1848">
      <c r="A1848" s="6" t="s">
        <v>7537</v>
      </c>
      <c r="B1848" s="6" t="s">
        <v>7537</v>
      </c>
      <c r="C1848" s="6">
        <v>239.0</v>
      </c>
      <c r="D1848" s="9" t="str">
        <f>HYPERLINK("https://www.linkedin.com/ad-library/detail/1553771216","Open Ad")</f>
        <v>Open Ad</v>
      </c>
      <c r="E1848" s="6" t="s">
        <v>91</v>
      </c>
      <c r="F1848" s="6" t="s">
        <v>53</v>
      </c>
      <c r="G1848" s="6" t="s">
        <v>7597</v>
      </c>
      <c r="H1848" s="6" t="s">
        <v>55</v>
      </c>
      <c r="I1848" s="6" t="s">
        <v>7566</v>
      </c>
      <c r="J1848" s="6" t="s">
        <v>91</v>
      </c>
      <c r="K1848" s="9" t="str">
        <f>HYPERLINK("https://media.licdn.com/dms/image/v2/D5610AQFMbD1nRCmKig/image-shrink_1280/B56Z_sYxHeJsAc-/0/1786377344055/Profound_GM_37Stat_1x1png?e=2147483647&amp;v=beta&amp;t=8I-InHtprJMHfmZmPNfrQkm5TTrP1LFO-dsoL6eUajE","Open Creative")</f>
        <v>Open Creative</v>
      </c>
      <c r="L1848" s="6" t="s">
        <v>131</v>
      </c>
      <c r="M1848" s="6" t="s">
        <v>7537</v>
      </c>
      <c r="N1848" s="6" t="s">
        <v>132</v>
      </c>
      <c r="O1848" s="36" t="s">
        <v>132</v>
      </c>
      <c r="P1848" s="36">
        <v>1.553771216E9</v>
      </c>
      <c r="Q1848" s="36" t="s">
        <v>7541</v>
      </c>
      <c r="R1848" s="6" t="s">
        <v>7542</v>
      </c>
    </row>
    <row r="1849">
      <c r="A1849" s="6" t="s">
        <v>7537</v>
      </c>
      <c r="B1849" s="6" t="s">
        <v>7537</v>
      </c>
      <c r="C1849" s="6">
        <v>240.0</v>
      </c>
      <c r="D1849" s="9" t="str">
        <f>HYPERLINK("https://www.linkedin.com/ad-library/detail/1553732036","Open Ad")</f>
        <v>Open Ad</v>
      </c>
      <c r="E1849" s="6" t="s">
        <v>91</v>
      </c>
      <c r="F1849" s="6" t="s">
        <v>53</v>
      </c>
      <c r="G1849" s="6" t="s">
        <v>7597</v>
      </c>
      <c r="H1849" s="6" t="s">
        <v>55</v>
      </c>
      <c r="I1849" s="6" t="s">
        <v>7566</v>
      </c>
      <c r="J1849" s="6" t="s">
        <v>91</v>
      </c>
      <c r="K1849" s="9" t="str">
        <f>HYPERLINK("https://media.licdn.com/dms/image/v2/D5610AQHFfjbCTN-dvA/image-shrink_1280/B56Z_sYYtrGsAc-/0/1786377243930/Profound_GM_SEOShift_1x11png?e=2147483647&amp;v=beta&amp;t=K2HnNkfefN4yKanNO6XcCia00T4_yqzbxVBVyf8CLmk","Open Creative")</f>
        <v>Open Creative</v>
      </c>
      <c r="L1849" s="6" t="s">
        <v>131</v>
      </c>
      <c r="M1849" s="6" t="s">
        <v>7537</v>
      </c>
      <c r="N1849" s="6" t="s">
        <v>132</v>
      </c>
      <c r="O1849" s="36" t="s">
        <v>132</v>
      </c>
      <c r="P1849" s="36">
        <v>1.553732036E9</v>
      </c>
      <c r="Q1849" s="36" t="s">
        <v>7541</v>
      </c>
      <c r="R1849" s="6" t="s">
        <v>7542</v>
      </c>
    </row>
    <row r="1850">
      <c r="A1850" s="6" t="s">
        <v>7537</v>
      </c>
      <c r="B1850" s="6" t="s">
        <v>7537</v>
      </c>
      <c r="C1850" s="6">
        <v>241.0</v>
      </c>
      <c r="D1850" s="9" t="str">
        <f>HYPERLINK("https://www.linkedin.com/ad-library/detail/1546427056","Open Ad")</f>
        <v>Open Ad</v>
      </c>
      <c r="E1850" s="6" t="s">
        <v>154</v>
      </c>
      <c r="F1850" s="6" t="s">
        <v>53</v>
      </c>
      <c r="G1850" s="6" t="s">
        <v>7580</v>
      </c>
      <c r="H1850" s="6" t="s">
        <v>55</v>
      </c>
      <c r="I1850" s="6" t="s">
        <v>7566</v>
      </c>
      <c r="J1850" s="6" t="s">
        <v>154</v>
      </c>
      <c r="K1850" s="9" t="str">
        <f>HYPERLINK("https://dms.licdn.com/playlist/vid/v2/D5605AQHRYPjj651EQQ/mp4-720p-30fp-crf28/B56Z_r.CzRG4CI-/0/1786370377571?e=2147483647&amp;v=beta&amp;t=DwRxyyEjhkdvca5YVnOxPUTjFbyB3-Rvx-X1lXsVJ9Y","Open Creative")</f>
        <v>Open Creative</v>
      </c>
      <c r="L1850" s="6" t="s">
        <v>131</v>
      </c>
      <c r="M1850" s="6" t="s">
        <v>7537</v>
      </c>
      <c r="N1850" s="6" t="s">
        <v>132</v>
      </c>
      <c r="O1850" s="36" t="s">
        <v>132</v>
      </c>
      <c r="P1850" s="36">
        <v>1.546427056E9</v>
      </c>
      <c r="Q1850" s="36" t="s">
        <v>7541</v>
      </c>
      <c r="R1850" s="6" t="s">
        <v>7542</v>
      </c>
    </row>
    <row r="1851">
      <c r="A1851" s="6" t="s">
        <v>7537</v>
      </c>
      <c r="B1851" s="6" t="s">
        <v>7537</v>
      </c>
      <c r="C1851" s="6">
        <v>242.0</v>
      </c>
      <c r="D1851" s="9" t="str">
        <f>HYPERLINK("https://www.linkedin.com/ad-library/detail/1544329996","Open Ad")</f>
        <v>Open Ad</v>
      </c>
      <c r="E1851" s="6" t="s">
        <v>91</v>
      </c>
      <c r="F1851" s="6" t="s">
        <v>53</v>
      </c>
      <c r="G1851" s="6" t="s">
        <v>7590</v>
      </c>
      <c r="H1851" s="6" t="s">
        <v>55</v>
      </c>
      <c r="I1851" s="6" t="s">
        <v>7566</v>
      </c>
      <c r="J1851" s="6" t="s">
        <v>91</v>
      </c>
      <c r="K1851" s="9" t="str">
        <f t="shared" ref="K1851:K1853" si="22">HYPERLINK("https://media.licdn.com/dms/image/v2/D5622AQFeGh0Nti2Zmg/feedshare-shrink_1280/B56Z_IaUYgG0AQ-/0/1785773771225?e=2147483647&amp;v=beta&amp;t=LA0qAFOep-ii8fvQ1v2ki8IWWzEuY5pobqw62N817LM","Open Creative")</f>
        <v>Open Creative</v>
      </c>
      <c r="L1851" s="6" t="s">
        <v>131</v>
      </c>
      <c r="M1851" s="6" t="s">
        <v>7537</v>
      </c>
      <c r="N1851" s="6" t="s">
        <v>132</v>
      </c>
      <c r="O1851" s="36" t="s">
        <v>132</v>
      </c>
      <c r="P1851" s="36">
        <v>1.544329996E9</v>
      </c>
      <c r="Q1851" s="36" t="s">
        <v>7541</v>
      </c>
      <c r="R1851" s="6" t="s">
        <v>7542</v>
      </c>
    </row>
    <row r="1852">
      <c r="A1852" s="6" t="s">
        <v>7537</v>
      </c>
      <c r="B1852" s="6" t="s">
        <v>7537</v>
      </c>
      <c r="C1852" s="6">
        <v>243.0</v>
      </c>
      <c r="D1852" s="9" t="str">
        <f>HYPERLINK("https://www.linkedin.com/ad-library/detail/1544359986","Open Ad")</f>
        <v>Open Ad</v>
      </c>
      <c r="E1852" s="6" t="s">
        <v>91</v>
      </c>
      <c r="F1852" s="6" t="s">
        <v>53</v>
      </c>
      <c r="G1852" s="6" t="s">
        <v>7590</v>
      </c>
      <c r="H1852" s="6" t="s">
        <v>55</v>
      </c>
      <c r="I1852" s="6" t="s">
        <v>7566</v>
      </c>
      <c r="J1852" s="6" t="s">
        <v>91</v>
      </c>
      <c r="K1852" s="9" t="str">
        <f t="shared" si="22"/>
        <v>Open Creative</v>
      </c>
      <c r="L1852" s="6" t="s">
        <v>131</v>
      </c>
      <c r="M1852" s="6" t="s">
        <v>7537</v>
      </c>
      <c r="N1852" s="6" t="s">
        <v>132</v>
      </c>
      <c r="O1852" s="36" t="s">
        <v>132</v>
      </c>
      <c r="P1852" s="36">
        <v>1.544359986E9</v>
      </c>
      <c r="Q1852" s="36" t="s">
        <v>7541</v>
      </c>
      <c r="R1852" s="6" t="s">
        <v>7542</v>
      </c>
    </row>
    <row r="1853">
      <c r="A1853" s="6" t="s">
        <v>7537</v>
      </c>
      <c r="B1853" s="6" t="s">
        <v>7537</v>
      </c>
      <c r="C1853" s="6">
        <v>244.0</v>
      </c>
      <c r="D1853" s="9" t="str">
        <f>HYPERLINK("https://www.linkedin.com/ad-library/detail/1544449916","Open Ad")</f>
        <v>Open Ad</v>
      </c>
      <c r="E1853" s="6" t="s">
        <v>91</v>
      </c>
      <c r="F1853" s="6" t="s">
        <v>53</v>
      </c>
      <c r="G1853" s="6" t="s">
        <v>7590</v>
      </c>
      <c r="H1853" s="6" t="s">
        <v>55</v>
      </c>
      <c r="I1853" s="6" t="s">
        <v>7566</v>
      </c>
      <c r="J1853" s="6" t="s">
        <v>91</v>
      </c>
      <c r="K1853" s="9" t="str">
        <f t="shared" si="22"/>
        <v>Open Creative</v>
      </c>
      <c r="L1853" s="6" t="s">
        <v>131</v>
      </c>
      <c r="M1853" s="6" t="s">
        <v>7537</v>
      </c>
      <c r="N1853" s="6" t="s">
        <v>132</v>
      </c>
      <c r="O1853" s="36" t="s">
        <v>132</v>
      </c>
      <c r="P1853" s="36">
        <v>1.544449916E9</v>
      </c>
      <c r="Q1853" s="36" t="s">
        <v>7541</v>
      </c>
      <c r="R1853" s="6" t="s">
        <v>7542</v>
      </c>
    </row>
    <row r="1854">
      <c r="A1854" s="6" t="s">
        <v>7537</v>
      </c>
      <c r="B1854" s="6" t="s">
        <v>7537</v>
      </c>
      <c r="C1854" s="6">
        <v>245.0</v>
      </c>
      <c r="D1854" s="9" t="str">
        <f>HYPERLINK("https://www.linkedin.com/ad-library/detail/1540533996","Open Ad")</f>
        <v>Open Ad</v>
      </c>
      <c r="E1854" s="6" t="s">
        <v>7543</v>
      </c>
      <c r="F1854" s="6" t="s">
        <v>53</v>
      </c>
      <c r="G1854" s="6" t="s">
        <v>7550</v>
      </c>
      <c r="H1854" s="6" t="s">
        <v>55</v>
      </c>
      <c r="I1854" s="6" t="s">
        <v>7566</v>
      </c>
      <c r="J1854" s="6" t="s">
        <v>7546</v>
      </c>
      <c r="K1854" s="6" t="s">
        <v>60</v>
      </c>
      <c r="L1854" s="6" t="s">
        <v>131</v>
      </c>
      <c r="M1854" s="6" t="s">
        <v>7537</v>
      </c>
      <c r="N1854" s="6" t="s">
        <v>132</v>
      </c>
      <c r="O1854" s="36" t="s">
        <v>132</v>
      </c>
      <c r="P1854" s="36">
        <v>1.540533996E9</v>
      </c>
      <c r="Q1854" s="36" t="s">
        <v>7541</v>
      </c>
      <c r="R1854" s="6" t="s">
        <v>7542</v>
      </c>
    </row>
    <row r="1855">
      <c r="A1855" s="6" t="s">
        <v>7537</v>
      </c>
      <c r="B1855" s="6" t="s">
        <v>7537</v>
      </c>
      <c r="C1855" s="6">
        <v>246.0</v>
      </c>
      <c r="D1855" s="9" t="str">
        <f>HYPERLINK("https://www.linkedin.com/ad-library/detail/1539442626","Open Ad")</f>
        <v>Open Ad</v>
      </c>
      <c r="E1855" s="6" t="s">
        <v>91</v>
      </c>
      <c r="F1855" s="6" t="s">
        <v>53</v>
      </c>
      <c r="G1855" s="6" t="s">
        <v>7597</v>
      </c>
      <c r="H1855" s="6" t="s">
        <v>55</v>
      </c>
      <c r="I1855" s="6" t="s">
        <v>7566</v>
      </c>
      <c r="J1855" s="6" t="s">
        <v>91</v>
      </c>
      <c r="K1855" s="9" t="str">
        <f>HYPERLINK("https://media.licdn.com/dms/image/v2/D5610AQGCArVcCr1v4Q/image-shrink_1280/B56Z_sYjPEKMAc-/0/1786377287113/Profound_GM_The90Stat_1x11png?e=2147483647&amp;v=beta&amp;t=ARJ5ncTsFN32_-jnIdsYAEVQhbSj3ZGdGZn9YCeVGRE","Open Creative")</f>
        <v>Open Creative</v>
      </c>
      <c r="L1855" s="6" t="s">
        <v>131</v>
      </c>
      <c r="M1855" s="6" t="s">
        <v>7537</v>
      </c>
      <c r="N1855" s="6" t="s">
        <v>132</v>
      </c>
      <c r="O1855" s="36" t="s">
        <v>132</v>
      </c>
      <c r="P1855" s="36">
        <v>1.539442626E9</v>
      </c>
      <c r="Q1855" s="36" t="s">
        <v>7541</v>
      </c>
      <c r="R1855" s="6" t="s">
        <v>7542</v>
      </c>
    </row>
    <row r="1856">
      <c r="A1856" s="6" t="s">
        <v>7537</v>
      </c>
      <c r="B1856" s="6" t="s">
        <v>7537</v>
      </c>
      <c r="C1856" s="6">
        <v>247.0</v>
      </c>
      <c r="D1856" s="9" t="str">
        <f>HYPERLINK("https://www.linkedin.com/ad-library/detail/1544269986","Open Ad")</f>
        <v>Open Ad</v>
      </c>
      <c r="E1856" s="6" t="s">
        <v>91</v>
      </c>
      <c r="F1856" s="6" t="s">
        <v>53</v>
      </c>
      <c r="G1856" s="6" t="s">
        <v>7590</v>
      </c>
      <c r="H1856" s="6" t="s">
        <v>55</v>
      </c>
      <c r="I1856" s="6" t="s">
        <v>7566</v>
      </c>
      <c r="J1856" s="6" t="s">
        <v>91</v>
      </c>
      <c r="K1856" s="9" t="str">
        <f t="shared" ref="K1856:K1857" si="23">HYPERLINK("https://media.licdn.com/dms/image/v2/D5622AQFeGh0Nti2Zmg/feedshare-shrink_1280/B56Z_IaUYgG0AQ-/0/1785773771225?e=2147483647&amp;v=beta&amp;t=LA0qAFOep-ii8fvQ1v2ki8IWWzEuY5pobqw62N817LM","Open Creative")</f>
        <v>Open Creative</v>
      </c>
      <c r="L1856" s="6" t="s">
        <v>131</v>
      </c>
      <c r="M1856" s="6" t="s">
        <v>7537</v>
      </c>
      <c r="N1856" s="6" t="s">
        <v>132</v>
      </c>
      <c r="O1856" s="36" t="s">
        <v>132</v>
      </c>
      <c r="P1856" s="36">
        <v>1.544269986E9</v>
      </c>
      <c r="Q1856" s="36" t="s">
        <v>7541</v>
      </c>
      <c r="R1856" s="6" t="s">
        <v>7542</v>
      </c>
    </row>
    <row r="1857">
      <c r="A1857" s="6" t="s">
        <v>7537</v>
      </c>
      <c r="B1857" s="6" t="s">
        <v>7537</v>
      </c>
      <c r="C1857" s="6">
        <v>248.0</v>
      </c>
      <c r="D1857" s="9" t="str">
        <f>HYPERLINK("https://www.linkedin.com/ad-library/detail/1544349986","Open Ad")</f>
        <v>Open Ad</v>
      </c>
      <c r="E1857" s="6" t="s">
        <v>91</v>
      </c>
      <c r="F1857" s="6" t="s">
        <v>53</v>
      </c>
      <c r="G1857" s="6" t="s">
        <v>7590</v>
      </c>
      <c r="H1857" s="6" t="s">
        <v>55</v>
      </c>
      <c r="I1857" s="6" t="s">
        <v>7566</v>
      </c>
      <c r="J1857" s="6" t="s">
        <v>91</v>
      </c>
      <c r="K1857" s="9" t="str">
        <f t="shared" si="23"/>
        <v>Open Creative</v>
      </c>
      <c r="L1857" s="6" t="s">
        <v>131</v>
      </c>
      <c r="M1857" s="6" t="s">
        <v>7537</v>
      </c>
      <c r="N1857" s="6" t="s">
        <v>132</v>
      </c>
      <c r="O1857" s="36" t="s">
        <v>132</v>
      </c>
      <c r="P1857" s="36">
        <v>1.544349986E9</v>
      </c>
      <c r="Q1857" s="36" t="s">
        <v>7541</v>
      </c>
      <c r="R1857" s="6" t="s">
        <v>7542</v>
      </c>
    </row>
    <row r="1858">
      <c r="A1858" s="6" t="s">
        <v>7537</v>
      </c>
      <c r="B1858" s="6" t="s">
        <v>7537</v>
      </c>
      <c r="C1858" s="6">
        <v>249.0</v>
      </c>
      <c r="D1858" s="9" t="str">
        <f>HYPERLINK("https://www.linkedin.com/ad-library/detail/1540238866","Open Ad")</f>
        <v>Open Ad</v>
      </c>
      <c r="E1858" s="6" t="s">
        <v>7543</v>
      </c>
      <c r="F1858" s="6" t="s">
        <v>53</v>
      </c>
      <c r="G1858" s="6" t="s">
        <v>7569</v>
      </c>
      <c r="H1858" s="6" t="s">
        <v>55</v>
      </c>
      <c r="I1858" s="6" t="s">
        <v>7566</v>
      </c>
      <c r="J1858" s="6" t="s">
        <v>7546</v>
      </c>
      <c r="K1858" s="6" t="s">
        <v>60</v>
      </c>
      <c r="L1858" s="6" t="s">
        <v>131</v>
      </c>
      <c r="M1858" s="6" t="s">
        <v>7537</v>
      </c>
      <c r="N1858" s="6" t="s">
        <v>132</v>
      </c>
      <c r="O1858" s="36" t="s">
        <v>132</v>
      </c>
      <c r="P1858" s="36">
        <v>1.540238866E9</v>
      </c>
      <c r="Q1858" s="36" t="s">
        <v>7541</v>
      </c>
      <c r="R1858" s="6" t="s">
        <v>7542</v>
      </c>
    </row>
    <row r="1859">
      <c r="A1859" s="6" t="s">
        <v>7537</v>
      </c>
      <c r="B1859" s="6" t="s">
        <v>7537</v>
      </c>
      <c r="C1859" s="6">
        <v>250.0</v>
      </c>
      <c r="D1859" s="9" t="str">
        <f>HYPERLINK("https://www.linkedin.com/ad-library/detail/1544369986","Open Ad")</f>
        <v>Open Ad</v>
      </c>
      <c r="E1859" s="6" t="s">
        <v>91</v>
      </c>
      <c r="F1859" s="6" t="s">
        <v>53</v>
      </c>
      <c r="G1859" s="6" t="s">
        <v>7590</v>
      </c>
      <c r="H1859" s="6" t="s">
        <v>55</v>
      </c>
      <c r="I1859" s="6" t="s">
        <v>7566</v>
      </c>
      <c r="J1859" s="6" t="s">
        <v>91</v>
      </c>
      <c r="K1859" s="9" t="str">
        <f>HYPERLINK("https://media.licdn.com/dms/image/v2/D5622AQFeGh0Nti2Zmg/feedshare-shrink_1280/B56Z_IaUYgG0AQ-/0/1785773771225?e=2147483647&amp;v=beta&amp;t=LA0qAFOep-ii8fvQ1v2ki8IWWzEuY5pobqw62N817LM","Open Creative")</f>
        <v>Open Creative</v>
      </c>
      <c r="L1859" s="6" t="s">
        <v>131</v>
      </c>
      <c r="M1859" s="6" t="s">
        <v>7537</v>
      </c>
      <c r="N1859" s="6" t="s">
        <v>132</v>
      </c>
      <c r="O1859" s="36" t="s">
        <v>132</v>
      </c>
      <c r="P1859" s="36">
        <v>1.544369986E9</v>
      </c>
      <c r="Q1859" s="36" t="s">
        <v>7541</v>
      </c>
      <c r="R1859" s="6" t="s">
        <v>7542</v>
      </c>
    </row>
    <row r="1860">
      <c r="A1860" s="6" t="s">
        <v>7537</v>
      </c>
      <c r="B1860" s="6" t="s">
        <v>7537</v>
      </c>
      <c r="C1860" s="6">
        <v>251.0</v>
      </c>
      <c r="D1860" s="9" t="str">
        <f>HYPERLINK("https://www.linkedin.com/ad-library/detail/1540553856","Open Ad")</f>
        <v>Open Ad</v>
      </c>
      <c r="E1860" s="6" t="s">
        <v>7543</v>
      </c>
      <c r="F1860" s="6" t="s">
        <v>53</v>
      </c>
      <c r="G1860" s="6" t="s">
        <v>7550</v>
      </c>
      <c r="H1860" s="6" t="s">
        <v>55</v>
      </c>
      <c r="I1860" s="6" t="s">
        <v>7566</v>
      </c>
      <c r="J1860" s="6" t="s">
        <v>7546</v>
      </c>
      <c r="K1860" s="6" t="s">
        <v>60</v>
      </c>
      <c r="L1860" s="6" t="s">
        <v>131</v>
      </c>
      <c r="M1860" s="6" t="s">
        <v>7537</v>
      </c>
      <c r="N1860" s="6" t="s">
        <v>132</v>
      </c>
      <c r="O1860" s="36" t="s">
        <v>132</v>
      </c>
      <c r="P1860" s="36">
        <v>1.540553856E9</v>
      </c>
      <c r="Q1860" s="36" t="s">
        <v>7541</v>
      </c>
      <c r="R1860" s="6" t="s">
        <v>7542</v>
      </c>
    </row>
    <row r="1861">
      <c r="A1861" s="6" t="s">
        <v>7537</v>
      </c>
      <c r="B1861" s="6" t="s">
        <v>7537</v>
      </c>
      <c r="C1861" s="6">
        <v>252.0</v>
      </c>
      <c r="D1861" s="9" t="str">
        <f>HYPERLINK("https://www.linkedin.com/ad-library/detail/1540278966","Open Ad")</f>
        <v>Open Ad</v>
      </c>
      <c r="E1861" s="6" t="s">
        <v>7543</v>
      </c>
      <c r="F1861" s="6" t="s">
        <v>53</v>
      </c>
      <c r="G1861" s="6" t="s">
        <v>7550</v>
      </c>
      <c r="H1861" s="6" t="s">
        <v>55</v>
      </c>
      <c r="I1861" s="6" t="s">
        <v>7566</v>
      </c>
      <c r="J1861" s="6" t="s">
        <v>7546</v>
      </c>
      <c r="K1861" s="6" t="s">
        <v>60</v>
      </c>
      <c r="L1861" s="6" t="s">
        <v>131</v>
      </c>
      <c r="M1861" s="6" t="s">
        <v>7537</v>
      </c>
      <c r="N1861" s="6" t="s">
        <v>132</v>
      </c>
      <c r="O1861" s="36" t="s">
        <v>132</v>
      </c>
      <c r="P1861" s="36">
        <v>1.540278966E9</v>
      </c>
      <c r="Q1861" s="36" t="s">
        <v>7541</v>
      </c>
      <c r="R1861" s="6" t="s">
        <v>7542</v>
      </c>
    </row>
    <row r="1862">
      <c r="A1862" s="6" t="s">
        <v>7537</v>
      </c>
      <c r="B1862" s="6" t="s">
        <v>7537</v>
      </c>
      <c r="C1862" s="6">
        <v>253.0</v>
      </c>
      <c r="D1862" s="9" t="str">
        <f>HYPERLINK("https://www.linkedin.com/ad-library/detail/1540653286","Open Ad")</f>
        <v>Open Ad</v>
      </c>
      <c r="E1862" s="6" t="s">
        <v>7543</v>
      </c>
      <c r="F1862" s="6" t="s">
        <v>53</v>
      </c>
      <c r="G1862" s="6" t="s">
        <v>7550</v>
      </c>
      <c r="H1862" s="6" t="s">
        <v>55</v>
      </c>
      <c r="I1862" s="6" t="s">
        <v>7566</v>
      </c>
      <c r="J1862" s="6" t="s">
        <v>7546</v>
      </c>
      <c r="K1862" s="6" t="s">
        <v>60</v>
      </c>
      <c r="L1862" s="6" t="s">
        <v>131</v>
      </c>
      <c r="M1862" s="6" t="s">
        <v>7537</v>
      </c>
      <c r="N1862" s="6" t="s">
        <v>132</v>
      </c>
      <c r="O1862" s="36" t="s">
        <v>132</v>
      </c>
      <c r="P1862" s="36">
        <v>1.540653286E9</v>
      </c>
      <c r="Q1862" s="36" t="s">
        <v>7541</v>
      </c>
      <c r="R1862" s="6" t="s">
        <v>7542</v>
      </c>
    </row>
    <row r="1863">
      <c r="A1863" s="6" t="s">
        <v>7537</v>
      </c>
      <c r="B1863" s="6" t="s">
        <v>7537</v>
      </c>
      <c r="C1863" s="6">
        <v>254.0</v>
      </c>
      <c r="D1863" s="9" t="str">
        <f>HYPERLINK("https://www.linkedin.com/ad-library/detail/1540573686","Open Ad")</f>
        <v>Open Ad</v>
      </c>
      <c r="E1863" s="6" t="s">
        <v>7543</v>
      </c>
      <c r="F1863" s="6" t="s">
        <v>53</v>
      </c>
      <c r="G1863" s="6" t="s">
        <v>7550</v>
      </c>
      <c r="H1863" s="6" t="s">
        <v>55</v>
      </c>
      <c r="I1863" s="6" t="s">
        <v>7566</v>
      </c>
      <c r="J1863" s="6" t="s">
        <v>7546</v>
      </c>
      <c r="K1863" s="6" t="s">
        <v>60</v>
      </c>
      <c r="L1863" s="6" t="s">
        <v>131</v>
      </c>
      <c r="M1863" s="6" t="s">
        <v>7537</v>
      </c>
      <c r="N1863" s="6" t="s">
        <v>132</v>
      </c>
      <c r="O1863" s="36" t="s">
        <v>132</v>
      </c>
      <c r="P1863" s="36">
        <v>1.540573686E9</v>
      </c>
      <c r="Q1863" s="36" t="s">
        <v>7541</v>
      </c>
      <c r="R1863" s="6" t="s">
        <v>7542</v>
      </c>
    </row>
    <row r="1864">
      <c r="A1864" s="6" t="s">
        <v>7537</v>
      </c>
      <c r="B1864" s="6" t="s">
        <v>7537</v>
      </c>
      <c r="C1864" s="6">
        <v>255.0</v>
      </c>
      <c r="D1864" s="9" t="str">
        <f>HYPERLINK("https://www.linkedin.com/ad-library/detail/1540229326","Open Ad")</f>
        <v>Open Ad</v>
      </c>
      <c r="E1864" s="6" t="s">
        <v>7543</v>
      </c>
      <c r="F1864" s="6" t="s">
        <v>53</v>
      </c>
      <c r="G1864" s="6" t="s">
        <v>7550</v>
      </c>
      <c r="H1864" s="6" t="s">
        <v>55</v>
      </c>
      <c r="I1864" s="6" t="s">
        <v>7566</v>
      </c>
      <c r="J1864" s="6" t="s">
        <v>7546</v>
      </c>
      <c r="K1864" s="6" t="s">
        <v>60</v>
      </c>
      <c r="L1864" s="6" t="s">
        <v>131</v>
      </c>
      <c r="M1864" s="6" t="s">
        <v>7537</v>
      </c>
      <c r="N1864" s="6" t="s">
        <v>132</v>
      </c>
      <c r="O1864" s="36" t="s">
        <v>132</v>
      </c>
      <c r="P1864" s="36">
        <v>1.540229326E9</v>
      </c>
      <c r="Q1864" s="36" t="s">
        <v>7541</v>
      </c>
      <c r="R1864" s="6" t="s">
        <v>7542</v>
      </c>
    </row>
    <row r="1865">
      <c r="A1865" s="6" t="s">
        <v>7537</v>
      </c>
      <c r="B1865" s="6" t="s">
        <v>7537</v>
      </c>
      <c r="C1865" s="6">
        <v>256.0</v>
      </c>
      <c r="D1865" s="9" t="str">
        <f>HYPERLINK("https://www.linkedin.com/ad-library/detail/1544399956","Open Ad")</f>
        <v>Open Ad</v>
      </c>
      <c r="E1865" s="6" t="s">
        <v>91</v>
      </c>
      <c r="F1865" s="6" t="s">
        <v>53</v>
      </c>
      <c r="G1865" s="6" t="s">
        <v>7590</v>
      </c>
      <c r="H1865" s="6" t="s">
        <v>55</v>
      </c>
      <c r="I1865" s="6" t="s">
        <v>7566</v>
      </c>
      <c r="J1865" s="6" t="s">
        <v>91</v>
      </c>
      <c r="K1865" s="9" t="str">
        <f>HYPERLINK("https://media.licdn.com/dms/image/v2/D5622AQFeGh0Nti2Zmg/feedshare-shrink_1280/B56Z_IaUYgG0AQ-/0/1785773771225?e=2147483647&amp;v=beta&amp;t=LA0qAFOep-ii8fvQ1v2ki8IWWzEuY5pobqw62N817LM","Open Creative")</f>
        <v>Open Creative</v>
      </c>
      <c r="L1865" s="6" t="s">
        <v>131</v>
      </c>
      <c r="M1865" s="6" t="s">
        <v>7537</v>
      </c>
      <c r="N1865" s="6" t="s">
        <v>132</v>
      </c>
      <c r="O1865" s="36" t="s">
        <v>132</v>
      </c>
      <c r="P1865" s="36">
        <v>1.544399956E9</v>
      </c>
      <c r="Q1865" s="36" t="s">
        <v>7541</v>
      </c>
      <c r="R1865" s="6" t="s">
        <v>7542</v>
      </c>
    </row>
    <row r="1866">
      <c r="A1866" s="6" t="s">
        <v>7537</v>
      </c>
      <c r="B1866" s="6" t="s">
        <v>7537</v>
      </c>
      <c r="C1866" s="6">
        <v>257.0</v>
      </c>
      <c r="D1866" s="9" t="str">
        <f>HYPERLINK("https://www.linkedin.com/ad-library/detail/1540682766","Open Ad")</f>
        <v>Open Ad</v>
      </c>
      <c r="E1866" s="6" t="s">
        <v>7543</v>
      </c>
      <c r="F1866" s="6" t="s">
        <v>53</v>
      </c>
      <c r="G1866" s="6" t="s">
        <v>7550</v>
      </c>
      <c r="H1866" s="6" t="s">
        <v>55</v>
      </c>
      <c r="I1866" s="6" t="s">
        <v>7566</v>
      </c>
      <c r="J1866" s="6" t="s">
        <v>7546</v>
      </c>
      <c r="K1866" s="6" t="s">
        <v>60</v>
      </c>
      <c r="L1866" s="6" t="s">
        <v>131</v>
      </c>
      <c r="M1866" s="6" t="s">
        <v>7537</v>
      </c>
      <c r="N1866" s="6" t="s">
        <v>132</v>
      </c>
      <c r="O1866" s="36" t="s">
        <v>132</v>
      </c>
      <c r="P1866" s="36">
        <v>1.540682766E9</v>
      </c>
      <c r="Q1866" s="36" t="s">
        <v>7541</v>
      </c>
      <c r="R1866" s="6" t="s">
        <v>7542</v>
      </c>
    </row>
    <row r="1867">
      <c r="A1867" s="6" t="s">
        <v>7537</v>
      </c>
      <c r="B1867" s="6" t="s">
        <v>7537</v>
      </c>
      <c r="C1867" s="6">
        <v>258.0</v>
      </c>
      <c r="D1867" s="9" t="str">
        <f>HYPERLINK("https://www.linkedin.com/ad-library/detail/1544369996","Open Ad")</f>
        <v>Open Ad</v>
      </c>
      <c r="E1867" s="6" t="s">
        <v>91</v>
      </c>
      <c r="F1867" s="6" t="s">
        <v>53</v>
      </c>
      <c r="G1867" s="6" t="s">
        <v>7590</v>
      </c>
      <c r="H1867" s="6" t="s">
        <v>55</v>
      </c>
      <c r="I1867" s="6" t="s">
        <v>7566</v>
      </c>
      <c r="J1867" s="6" t="s">
        <v>91</v>
      </c>
      <c r="K1867" s="9" t="str">
        <f t="shared" ref="K1867:K1868" si="24">HYPERLINK("https://media.licdn.com/dms/image/v2/D5622AQFeGh0Nti2Zmg/feedshare-shrink_1280/B56Z_IaUYgG0AQ-/0/1785773771225?e=2147483647&amp;v=beta&amp;t=LA0qAFOep-ii8fvQ1v2ki8IWWzEuY5pobqw62N817LM","Open Creative")</f>
        <v>Open Creative</v>
      </c>
      <c r="L1867" s="6" t="s">
        <v>131</v>
      </c>
      <c r="M1867" s="6" t="s">
        <v>7537</v>
      </c>
      <c r="N1867" s="6" t="s">
        <v>7601</v>
      </c>
      <c r="O1867" s="36" t="s">
        <v>67</v>
      </c>
      <c r="P1867" s="36">
        <v>1.544369996E9</v>
      </c>
      <c r="Q1867" s="36" t="s">
        <v>7541</v>
      </c>
      <c r="R1867" s="6" t="s">
        <v>7542</v>
      </c>
    </row>
    <row r="1868">
      <c r="A1868" s="6" t="s">
        <v>7537</v>
      </c>
      <c r="B1868" s="6" t="s">
        <v>7537</v>
      </c>
      <c r="C1868" s="6">
        <v>259.0</v>
      </c>
      <c r="D1868" s="9" t="str">
        <f>HYPERLINK("https://www.linkedin.com/ad-library/detail/1544240036","Open Ad")</f>
        <v>Open Ad</v>
      </c>
      <c r="E1868" s="6" t="s">
        <v>91</v>
      </c>
      <c r="F1868" s="6" t="s">
        <v>53</v>
      </c>
      <c r="G1868" s="6" t="s">
        <v>7590</v>
      </c>
      <c r="H1868" s="6" t="s">
        <v>55</v>
      </c>
      <c r="I1868" s="6" t="s">
        <v>7566</v>
      </c>
      <c r="J1868" s="6" t="s">
        <v>91</v>
      </c>
      <c r="K1868" s="9" t="str">
        <f t="shared" si="24"/>
        <v>Open Creative</v>
      </c>
      <c r="L1868" s="6" t="s">
        <v>131</v>
      </c>
      <c r="M1868" s="6" t="s">
        <v>7537</v>
      </c>
      <c r="N1868" s="6" t="s">
        <v>132</v>
      </c>
      <c r="O1868" s="36" t="s">
        <v>132</v>
      </c>
      <c r="P1868" s="36">
        <v>1.544240036E9</v>
      </c>
      <c r="Q1868" s="36" t="s">
        <v>7541</v>
      </c>
      <c r="R1868" s="6" t="s">
        <v>7542</v>
      </c>
    </row>
    <row r="1869">
      <c r="A1869" s="6" t="s">
        <v>7537</v>
      </c>
      <c r="B1869" s="6" t="s">
        <v>7537</v>
      </c>
      <c r="C1869" s="6">
        <v>260.0</v>
      </c>
      <c r="D1869" s="9" t="str">
        <f>HYPERLINK("https://www.linkedin.com/ad-library/detail/1540504146","Open Ad")</f>
        <v>Open Ad</v>
      </c>
      <c r="E1869" s="6" t="s">
        <v>7543</v>
      </c>
      <c r="F1869" s="6" t="s">
        <v>53</v>
      </c>
      <c r="G1869" s="6" t="s">
        <v>7569</v>
      </c>
      <c r="H1869" s="6" t="s">
        <v>55</v>
      </c>
      <c r="I1869" s="6" t="s">
        <v>7566</v>
      </c>
      <c r="J1869" s="6" t="s">
        <v>7546</v>
      </c>
      <c r="K1869" s="6" t="s">
        <v>60</v>
      </c>
      <c r="L1869" s="6" t="s">
        <v>131</v>
      </c>
      <c r="M1869" s="6" t="s">
        <v>7537</v>
      </c>
      <c r="N1869" s="6" t="s">
        <v>132</v>
      </c>
      <c r="O1869" s="36" t="s">
        <v>132</v>
      </c>
      <c r="P1869" s="36">
        <v>1.540504146E9</v>
      </c>
      <c r="Q1869" s="36" t="s">
        <v>7541</v>
      </c>
      <c r="R1869" s="6" t="s">
        <v>7542</v>
      </c>
    </row>
    <row r="1870">
      <c r="A1870" s="6" t="s">
        <v>7537</v>
      </c>
      <c r="B1870" s="6" t="s">
        <v>7537</v>
      </c>
      <c r="C1870" s="6">
        <v>261.0</v>
      </c>
      <c r="D1870" s="9" t="str">
        <f>HYPERLINK("https://www.linkedin.com/ad-library/detail/1540514096","Open Ad")</f>
        <v>Open Ad</v>
      </c>
      <c r="E1870" s="6" t="s">
        <v>7543</v>
      </c>
      <c r="F1870" s="6" t="s">
        <v>53</v>
      </c>
      <c r="G1870" s="6" t="s">
        <v>7550</v>
      </c>
      <c r="H1870" s="6" t="s">
        <v>55</v>
      </c>
      <c r="I1870" s="6" t="s">
        <v>7566</v>
      </c>
      <c r="J1870" s="6" t="s">
        <v>7546</v>
      </c>
      <c r="K1870" s="6" t="s">
        <v>60</v>
      </c>
      <c r="L1870" s="6" t="s">
        <v>131</v>
      </c>
      <c r="M1870" s="6" t="s">
        <v>7537</v>
      </c>
      <c r="N1870" s="6" t="s">
        <v>132</v>
      </c>
      <c r="O1870" s="36" t="s">
        <v>132</v>
      </c>
      <c r="P1870" s="36">
        <v>1.540514096E9</v>
      </c>
      <c r="Q1870" s="36" t="s">
        <v>7541</v>
      </c>
      <c r="R1870" s="6" t="s">
        <v>7542</v>
      </c>
    </row>
    <row r="1871">
      <c r="A1871" s="6" t="s">
        <v>7537</v>
      </c>
      <c r="B1871" s="6" t="s">
        <v>7537</v>
      </c>
      <c r="C1871" s="6">
        <v>262.0</v>
      </c>
      <c r="D1871" s="9" t="str">
        <f>HYPERLINK("https://www.linkedin.com/ad-library/detail/1544409976","Open Ad")</f>
        <v>Open Ad</v>
      </c>
      <c r="E1871" s="6" t="s">
        <v>91</v>
      </c>
      <c r="F1871" s="6" t="s">
        <v>53</v>
      </c>
      <c r="G1871" s="6" t="s">
        <v>7590</v>
      </c>
      <c r="H1871" s="6" t="s">
        <v>55</v>
      </c>
      <c r="I1871" s="6" t="s">
        <v>7566</v>
      </c>
      <c r="J1871" s="6" t="s">
        <v>91</v>
      </c>
      <c r="K1871" s="9" t="str">
        <f>HYPERLINK("https://media.licdn.com/dms/image/v2/D5622AQFeGh0Nti2Zmg/feedshare-shrink_1280/B56Z_IaUYgG0AQ-/0/1785773771225?e=2147483647&amp;v=beta&amp;t=LA0qAFOep-ii8fvQ1v2ki8IWWzEuY5pobqw62N817LM","Open Creative")</f>
        <v>Open Creative</v>
      </c>
      <c r="L1871" s="6" t="s">
        <v>131</v>
      </c>
      <c r="M1871" s="6" t="s">
        <v>7537</v>
      </c>
      <c r="N1871" s="6" t="s">
        <v>132</v>
      </c>
      <c r="O1871" s="36" t="s">
        <v>132</v>
      </c>
      <c r="P1871" s="36">
        <v>1.544409976E9</v>
      </c>
      <c r="Q1871" s="36" t="s">
        <v>7541</v>
      </c>
      <c r="R1871" s="6" t="s">
        <v>7542</v>
      </c>
    </row>
    <row r="1872">
      <c r="A1872" s="6" t="s">
        <v>7537</v>
      </c>
      <c r="B1872" s="6" t="s">
        <v>7537</v>
      </c>
      <c r="C1872" s="6">
        <v>263.0</v>
      </c>
      <c r="D1872" s="9" t="str">
        <f>HYPERLINK("https://www.linkedin.com/ad-library/detail/1540318966","Open Ad")</f>
        <v>Open Ad</v>
      </c>
      <c r="E1872" s="6" t="s">
        <v>7543</v>
      </c>
      <c r="F1872" s="6" t="s">
        <v>53</v>
      </c>
      <c r="G1872" s="6" t="s">
        <v>7569</v>
      </c>
      <c r="H1872" s="6" t="s">
        <v>55</v>
      </c>
      <c r="I1872" s="6" t="s">
        <v>7566</v>
      </c>
      <c r="J1872" s="6" t="s">
        <v>7546</v>
      </c>
      <c r="K1872" s="6" t="s">
        <v>60</v>
      </c>
      <c r="L1872" s="6" t="s">
        <v>131</v>
      </c>
      <c r="M1872" s="6" t="s">
        <v>7537</v>
      </c>
      <c r="N1872" s="6" t="s">
        <v>132</v>
      </c>
      <c r="O1872" s="36" t="s">
        <v>132</v>
      </c>
      <c r="P1872" s="36">
        <v>1.540318966E9</v>
      </c>
      <c r="Q1872" s="36" t="s">
        <v>7541</v>
      </c>
      <c r="R1872" s="6" t="s">
        <v>7542</v>
      </c>
    </row>
    <row r="1873">
      <c r="A1873" s="6" t="s">
        <v>7537</v>
      </c>
      <c r="B1873" s="6" t="s">
        <v>7537</v>
      </c>
      <c r="C1873" s="6">
        <v>264.0</v>
      </c>
      <c r="D1873" s="9" t="str">
        <f>HYPERLINK("https://www.linkedin.com/ad-library/detail/1540613426","Open Ad")</f>
        <v>Open Ad</v>
      </c>
      <c r="E1873" s="6" t="s">
        <v>7543</v>
      </c>
      <c r="F1873" s="6" t="s">
        <v>53</v>
      </c>
      <c r="G1873" s="6" t="s">
        <v>7550</v>
      </c>
      <c r="H1873" s="6" t="s">
        <v>55</v>
      </c>
      <c r="I1873" s="6" t="s">
        <v>7566</v>
      </c>
      <c r="J1873" s="6" t="s">
        <v>7546</v>
      </c>
      <c r="K1873" s="6" t="s">
        <v>60</v>
      </c>
      <c r="L1873" s="6" t="s">
        <v>131</v>
      </c>
      <c r="M1873" s="6" t="s">
        <v>7537</v>
      </c>
      <c r="N1873" s="6" t="s">
        <v>132</v>
      </c>
      <c r="O1873" s="36" t="s">
        <v>132</v>
      </c>
      <c r="P1873" s="36">
        <v>1.540613426E9</v>
      </c>
      <c r="Q1873" s="36" t="s">
        <v>7541</v>
      </c>
      <c r="R1873" s="6" t="s">
        <v>7542</v>
      </c>
    </row>
    <row r="1874">
      <c r="A1874" s="6" t="s">
        <v>7537</v>
      </c>
      <c r="B1874" s="6" t="s">
        <v>7537</v>
      </c>
      <c r="C1874" s="6">
        <v>265.0</v>
      </c>
      <c r="D1874" s="9" t="str">
        <f>HYPERLINK("https://www.linkedin.com/ad-library/detail/1539230786","Open Ad")</f>
        <v>Open Ad</v>
      </c>
      <c r="E1874" s="6" t="s">
        <v>7543</v>
      </c>
      <c r="F1874" s="6" t="s">
        <v>53</v>
      </c>
      <c r="G1874" s="6" t="s">
        <v>7569</v>
      </c>
      <c r="H1874" s="6" t="s">
        <v>55</v>
      </c>
      <c r="I1874" s="6" t="s">
        <v>7566</v>
      </c>
      <c r="J1874" s="6" t="s">
        <v>7546</v>
      </c>
      <c r="K1874" s="6" t="s">
        <v>60</v>
      </c>
      <c r="L1874" s="6" t="s">
        <v>131</v>
      </c>
      <c r="M1874" s="6" t="s">
        <v>7537</v>
      </c>
      <c r="N1874" s="6" t="s">
        <v>132</v>
      </c>
      <c r="O1874" s="36" t="s">
        <v>132</v>
      </c>
      <c r="P1874" s="36">
        <v>1.539230786E9</v>
      </c>
      <c r="Q1874" s="36" t="s">
        <v>7541</v>
      </c>
      <c r="R1874" s="6" t="s">
        <v>7542</v>
      </c>
    </row>
    <row r="1875">
      <c r="A1875" s="6" t="s">
        <v>7537</v>
      </c>
      <c r="B1875" s="6" t="s">
        <v>7537</v>
      </c>
      <c r="C1875" s="6">
        <v>266.0</v>
      </c>
      <c r="D1875" s="9" t="str">
        <f>HYPERLINK("https://www.linkedin.com/ad-library/detail/1539612466","Open Ad")</f>
        <v>Open Ad</v>
      </c>
      <c r="E1875" s="6" t="s">
        <v>91</v>
      </c>
      <c r="F1875" s="6" t="s">
        <v>53</v>
      </c>
      <c r="G1875" s="6" t="s">
        <v>7597</v>
      </c>
      <c r="H1875" s="6" t="s">
        <v>55</v>
      </c>
      <c r="I1875" s="6" t="s">
        <v>7566</v>
      </c>
      <c r="J1875" s="6" t="s">
        <v>91</v>
      </c>
      <c r="K1875" s="9" t="str">
        <f>HYPERLINK("https://media.licdn.com/dms/image/v2/D5610AQFMbD1nRCmKig/image-shrink_1280/B56Z_sYxHeJsAc-/0/1786377344055/Profound_GM_37Stat_1x1png?e=2147483647&amp;v=beta&amp;t=8I-InHtprJMHfmZmPNfrQkm5TTrP1LFO-dsoL6eUajE","Open Creative")</f>
        <v>Open Creative</v>
      </c>
      <c r="L1875" s="6" t="s">
        <v>131</v>
      </c>
      <c r="M1875" s="6" t="s">
        <v>7537</v>
      </c>
      <c r="N1875" s="6" t="s">
        <v>132</v>
      </c>
      <c r="O1875" s="36" t="s">
        <v>132</v>
      </c>
      <c r="P1875" s="36">
        <v>1.539612466E9</v>
      </c>
      <c r="Q1875" s="36" t="s">
        <v>7541</v>
      </c>
      <c r="R1875" s="6" t="s">
        <v>7542</v>
      </c>
    </row>
    <row r="1876">
      <c r="A1876" s="6" t="s">
        <v>7537</v>
      </c>
      <c r="B1876" s="6" t="s">
        <v>7537</v>
      </c>
      <c r="C1876" s="6">
        <v>267.0</v>
      </c>
      <c r="D1876" s="9" t="str">
        <f>HYPERLINK("https://www.linkedin.com/ad-library/detail/1539612246","Open Ad")</f>
        <v>Open Ad</v>
      </c>
      <c r="E1876" s="6" t="s">
        <v>91</v>
      </c>
      <c r="F1876" s="6" t="s">
        <v>53</v>
      </c>
      <c r="G1876" s="6" t="s">
        <v>7597</v>
      </c>
      <c r="H1876" s="6" t="s">
        <v>55</v>
      </c>
      <c r="I1876" s="6" t="s">
        <v>7566</v>
      </c>
      <c r="J1876" s="6" t="s">
        <v>91</v>
      </c>
      <c r="K1876" s="9" t="str">
        <f>HYPERLINK("https://media.licdn.com/dms/image/v2/D5610AQGCArVcCr1v4Q/image-shrink_1280/B56Z_sYjPEKMAc-/0/1786377287113/Profound_GM_The90Stat_1x11png?e=2147483647&amp;v=beta&amp;t=ARJ5ncTsFN32_-jnIdsYAEVQhbSj3ZGdGZn9YCeVGRE","Open Creative")</f>
        <v>Open Creative</v>
      </c>
      <c r="L1876" s="6" t="s">
        <v>131</v>
      </c>
      <c r="M1876" s="6" t="s">
        <v>7537</v>
      </c>
      <c r="N1876" s="6" t="s">
        <v>132</v>
      </c>
      <c r="O1876" s="36" t="s">
        <v>132</v>
      </c>
      <c r="P1876" s="36">
        <v>1.539612246E9</v>
      </c>
      <c r="Q1876" s="36" t="s">
        <v>7541</v>
      </c>
      <c r="R1876" s="6" t="s">
        <v>7542</v>
      </c>
    </row>
    <row r="1877">
      <c r="A1877" s="6" t="s">
        <v>7537</v>
      </c>
      <c r="B1877" s="6" t="s">
        <v>7537</v>
      </c>
      <c r="C1877" s="6">
        <v>268.0</v>
      </c>
      <c r="D1877" s="9" t="str">
        <f>HYPERLINK("https://www.linkedin.com/ad-library/detail/1539400626","Open Ad")</f>
        <v>Open Ad</v>
      </c>
      <c r="E1877" s="6" t="s">
        <v>91</v>
      </c>
      <c r="F1877" s="6" t="s">
        <v>53</v>
      </c>
      <c r="G1877" s="6" t="s">
        <v>7577</v>
      </c>
      <c r="H1877" s="6" t="s">
        <v>55</v>
      </c>
      <c r="I1877" s="6" t="s">
        <v>7566</v>
      </c>
      <c r="J1877" s="6" t="s">
        <v>91</v>
      </c>
      <c r="K1877" s="6" t="s">
        <v>60</v>
      </c>
      <c r="L1877" s="6" t="s">
        <v>131</v>
      </c>
      <c r="M1877" s="6" t="s">
        <v>7537</v>
      </c>
      <c r="N1877" s="6" t="s">
        <v>132</v>
      </c>
      <c r="O1877" s="36" t="s">
        <v>132</v>
      </c>
      <c r="P1877" s="36">
        <v>1.539400626E9</v>
      </c>
      <c r="Q1877" s="36" t="s">
        <v>7541</v>
      </c>
      <c r="R1877" s="6" t="s">
        <v>7542</v>
      </c>
    </row>
    <row r="1878">
      <c r="A1878" s="6" t="s">
        <v>7537</v>
      </c>
      <c r="B1878" s="6" t="s">
        <v>7537</v>
      </c>
      <c r="C1878" s="6">
        <v>269.0</v>
      </c>
      <c r="D1878" s="9" t="str">
        <f>HYPERLINK("https://www.linkedin.com/ad-library/detail/1539210526","Open Ad")</f>
        <v>Open Ad</v>
      </c>
      <c r="E1878" s="6" t="s">
        <v>91</v>
      </c>
      <c r="F1878" s="6" t="s">
        <v>53</v>
      </c>
      <c r="G1878" s="6" t="s">
        <v>7577</v>
      </c>
      <c r="H1878" s="6" t="s">
        <v>55</v>
      </c>
      <c r="I1878" s="6" t="s">
        <v>7566</v>
      </c>
      <c r="J1878" s="6" t="s">
        <v>91</v>
      </c>
      <c r="K1878" s="6" t="s">
        <v>60</v>
      </c>
      <c r="L1878" s="6" t="s">
        <v>131</v>
      </c>
      <c r="M1878" s="6" t="s">
        <v>7537</v>
      </c>
      <c r="N1878" s="6" t="s">
        <v>132</v>
      </c>
      <c r="O1878" s="36" t="s">
        <v>132</v>
      </c>
      <c r="P1878" s="36">
        <v>1.539210526E9</v>
      </c>
      <c r="Q1878" s="36" t="s">
        <v>7541</v>
      </c>
      <c r="R1878" s="6" t="s">
        <v>7542</v>
      </c>
    </row>
    <row r="1879">
      <c r="A1879" s="6" t="s">
        <v>7537</v>
      </c>
      <c r="B1879" s="6" t="s">
        <v>7537</v>
      </c>
      <c r="C1879" s="6">
        <v>270.0</v>
      </c>
      <c r="D1879" s="9" t="str">
        <f>HYPERLINK("https://www.linkedin.com/ad-library/detail/1539170766","Open Ad")</f>
        <v>Open Ad</v>
      </c>
      <c r="E1879" s="6" t="s">
        <v>91</v>
      </c>
      <c r="F1879" s="6" t="s">
        <v>53</v>
      </c>
      <c r="G1879" s="6" t="s">
        <v>7577</v>
      </c>
      <c r="H1879" s="6" t="s">
        <v>55</v>
      </c>
      <c r="I1879" s="6" t="s">
        <v>7566</v>
      </c>
      <c r="J1879" s="6" t="s">
        <v>91</v>
      </c>
      <c r="K1879" s="6" t="s">
        <v>60</v>
      </c>
      <c r="L1879" s="6" t="s">
        <v>131</v>
      </c>
      <c r="M1879" s="6" t="s">
        <v>7537</v>
      </c>
      <c r="N1879" s="6" t="s">
        <v>132</v>
      </c>
      <c r="O1879" s="36" t="s">
        <v>132</v>
      </c>
      <c r="P1879" s="36">
        <v>1.539170766E9</v>
      </c>
      <c r="Q1879" s="36" t="s">
        <v>7541</v>
      </c>
      <c r="R1879" s="6" t="s">
        <v>7542</v>
      </c>
    </row>
    <row r="1880">
      <c r="A1880" s="6" t="s">
        <v>7537</v>
      </c>
      <c r="B1880" s="6" t="s">
        <v>7537</v>
      </c>
      <c r="C1880" s="6">
        <v>271.0</v>
      </c>
      <c r="D1880" s="9" t="str">
        <f>HYPERLINK("https://www.linkedin.com/ad-library/detail/1539280696","Open Ad")</f>
        <v>Open Ad</v>
      </c>
      <c r="E1880" s="6" t="s">
        <v>91</v>
      </c>
      <c r="F1880" s="6" t="s">
        <v>53</v>
      </c>
      <c r="G1880" s="6" t="s">
        <v>7573</v>
      </c>
      <c r="H1880" s="6" t="s">
        <v>55</v>
      </c>
      <c r="I1880" s="6" t="s">
        <v>7566</v>
      </c>
      <c r="J1880" s="6" t="s">
        <v>91</v>
      </c>
      <c r="K1880" s="6" t="s">
        <v>60</v>
      </c>
      <c r="L1880" s="6" t="s">
        <v>131</v>
      </c>
      <c r="M1880" s="6" t="s">
        <v>7537</v>
      </c>
      <c r="N1880" s="6" t="s">
        <v>132</v>
      </c>
      <c r="O1880" s="36" t="s">
        <v>132</v>
      </c>
      <c r="P1880" s="36">
        <v>1.539280696E9</v>
      </c>
      <c r="Q1880" s="36" t="s">
        <v>7541</v>
      </c>
      <c r="R1880" s="6" t="s">
        <v>7542</v>
      </c>
    </row>
    <row r="1881">
      <c r="A1881" s="6" t="s">
        <v>7537</v>
      </c>
      <c r="B1881" s="6" t="s">
        <v>7537</v>
      </c>
      <c r="C1881" s="6">
        <v>272.0</v>
      </c>
      <c r="D1881" s="9" t="str">
        <f>HYPERLINK("https://www.linkedin.com/ad-library/detail/1539602166","Open Ad")</f>
        <v>Open Ad</v>
      </c>
      <c r="E1881" s="6" t="s">
        <v>91</v>
      </c>
      <c r="F1881" s="6" t="s">
        <v>53</v>
      </c>
      <c r="G1881" s="6" t="s">
        <v>7597</v>
      </c>
      <c r="H1881" s="6" t="s">
        <v>55</v>
      </c>
      <c r="I1881" s="6" t="s">
        <v>7566</v>
      </c>
      <c r="J1881" s="6" t="s">
        <v>91</v>
      </c>
      <c r="K1881" s="9" t="str">
        <f>HYPERLINK("https://media.licdn.com/dms/image/v2/D5610AQGQf9YCUEy6ow/image-shrink_1280/B56Z_sYCIuGQAk-/0/1786377151464/Profound_GM_TheRealityCheck_1x11png?e=2147483647&amp;v=beta&amp;t=zCppuPHQTkTVOU4TJwl5pRa5Zq35X7SEHbaNR-AzfsU","Open Creative")</f>
        <v>Open Creative</v>
      </c>
      <c r="L1881" s="6" t="s">
        <v>131</v>
      </c>
      <c r="M1881" s="6" t="s">
        <v>7537</v>
      </c>
      <c r="N1881" s="6" t="s">
        <v>132</v>
      </c>
      <c r="O1881" s="36" t="s">
        <v>132</v>
      </c>
      <c r="P1881" s="36">
        <v>1.539602166E9</v>
      </c>
      <c r="Q1881" s="36" t="s">
        <v>7541</v>
      </c>
      <c r="R1881" s="6" t="s">
        <v>7542</v>
      </c>
    </row>
    <row r="1882">
      <c r="A1882" s="6" t="s">
        <v>7537</v>
      </c>
      <c r="B1882" s="6" t="s">
        <v>7537</v>
      </c>
      <c r="C1882" s="6">
        <v>273.0</v>
      </c>
      <c r="D1882" s="9" t="str">
        <f>HYPERLINK("https://www.linkedin.com/ad-library/detail/1539360666","Open Ad")</f>
        <v>Open Ad</v>
      </c>
      <c r="E1882" s="6" t="s">
        <v>91</v>
      </c>
      <c r="F1882" s="6" t="s">
        <v>53</v>
      </c>
      <c r="G1882" s="6" t="s">
        <v>7578</v>
      </c>
      <c r="H1882" s="6" t="s">
        <v>55</v>
      </c>
      <c r="I1882" s="6" t="s">
        <v>7566</v>
      </c>
      <c r="J1882" s="6" t="s">
        <v>91</v>
      </c>
      <c r="K1882" s="6" t="s">
        <v>60</v>
      </c>
      <c r="L1882" s="6" t="s">
        <v>131</v>
      </c>
      <c r="M1882" s="6" t="s">
        <v>7537</v>
      </c>
      <c r="N1882" s="6" t="s">
        <v>132</v>
      </c>
      <c r="O1882" s="36" t="s">
        <v>132</v>
      </c>
      <c r="P1882" s="36">
        <v>1.539360666E9</v>
      </c>
      <c r="Q1882" s="36" t="s">
        <v>7541</v>
      </c>
      <c r="R1882" s="6" t="s">
        <v>7542</v>
      </c>
    </row>
    <row r="1883">
      <c r="A1883" s="6" t="s">
        <v>7537</v>
      </c>
      <c r="B1883" s="6" t="s">
        <v>7537</v>
      </c>
      <c r="C1883" s="6">
        <v>274.0</v>
      </c>
      <c r="D1883" s="9" t="str">
        <f>HYPERLINK("https://www.linkedin.com/ad-library/detail/1539622016","Open Ad")</f>
        <v>Open Ad</v>
      </c>
      <c r="E1883" s="6" t="s">
        <v>91</v>
      </c>
      <c r="F1883" s="6" t="s">
        <v>53</v>
      </c>
      <c r="G1883" s="6" t="s">
        <v>7597</v>
      </c>
      <c r="H1883" s="6" t="s">
        <v>55</v>
      </c>
      <c r="I1883" s="6" t="s">
        <v>7566</v>
      </c>
      <c r="J1883" s="6" t="s">
        <v>91</v>
      </c>
      <c r="K1883" s="9" t="str">
        <f>HYPERLINK("https://media.licdn.com/dms/image/v2/D5610AQFMbD1nRCmKig/image-shrink_1280/B56Z_sYxHeJsAc-/0/1786377344055/Profound_GM_37Stat_1x1png?e=2147483647&amp;v=beta&amp;t=8I-InHtprJMHfmZmPNfrQkm5TTrP1LFO-dsoL6eUajE","Open Creative")</f>
        <v>Open Creative</v>
      </c>
      <c r="L1883" s="6" t="s">
        <v>131</v>
      </c>
      <c r="M1883" s="6" t="s">
        <v>7537</v>
      </c>
      <c r="N1883" s="6" t="s">
        <v>132</v>
      </c>
      <c r="O1883" s="36" t="s">
        <v>132</v>
      </c>
      <c r="P1883" s="36">
        <v>1.539622016E9</v>
      </c>
      <c r="Q1883" s="36" t="s">
        <v>7541</v>
      </c>
      <c r="R1883" s="6" t="s">
        <v>7542</v>
      </c>
    </row>
    <row r="1884">
      <c r="A1884" s="6" t="s">
        <v>7537</v>
      </c>
      <c r="B1884" s="6" t="s">
        <v>7537</v>
      </c>
      <c r="C1884" s="6">
        <v>275.0</v>
      </c>
      <c r="D1884" s="9" t="str">
        <f>HYPERLINK("https://www.linkedin.com/ad-library/detail/1539432676","Open Ad")</f>
        <v>Open Ad</v>
      </c>
      <c r="E1884" s="6" t="s">
        <v>91</v>
      </c>
      <c r="F1884" s="6" t="s">
        <v>53</v>
      </c>
      <c r="G1884" s="6" t="s">
        <v>7597</v>
      </c>
      <c r="H1884" s="6" t="s">
        <v>55</v>
      </c>
      <c r="I1884" s="6" t="s">
        <v>7566</v>
      </c>
      <c r="J1884" s="6" t="s">
        <v>91</v>
      </c>
      <c r="K1884" s="9" t="str">
        <f>HYPERLINK("https://media.licdn.com/dms/image/v2/D5610AQGQf9YCUEy6ow/image-shrink_1280/B56Z_sYCIuGQAk-/0/1786377151464/Profound_GM_TheRealityCheck_1x11png?e=2147483647&amp;v=beta&amp;t=zCppuPHQTkTVOU4TJwl5pRa5Zq35X7SEHbaNR-AzfsU","Open Creative")</f>
        <v>Open Creative</v>
      </c>
      <c r="L1884" s="6" t="s">
        <v>131</v>
      </c>
      <c r="M1884" s="6" t="s">
        <v>7537</v>
      </c>
      <c r="N1884" s="6" t="s">
        <v>132</v>
      </c>
      <c r="O1884" s="36" t="s">
        <v>132</v>
      </c>
      <c r="P1884" s="36">
        <v>1.539432676E9</v>
      </c>
      <c r="Q1884" s="36" t="s">
        <v>7541</v>
      </c>
      <c r="R1884" s="6" t="s">
        <v>7542</v>
      </c>
    </row>
    <row r="1885">
      <c r="A1885" s="6" t="s">
        <v>7537</v>
      </c>
      <c r="B1885" s="6" t="s">
        <v>7537</v>
      </c>
      <c r="C1885" s="6">
        <v>276.0</v>
      </c>
      <c r="D1885" s="9" t="str">
        <f>HYPERLINK("https://www.linkedin.com/ad-library/detail/1539330766","Open Ad")</f>
        <v>Open Ad</v>
      </c>
      <c r="E1885" s="6" t="s">
        <v>91</v>
      </c>
      <c r="F1885" s="6" t="s">
        <v>53</v>
      </c>
      <c r="G1885" s="6" t="s">
        <v>7575</v>
      </c>
      <c r="H1885" s="6" t="s">
        <v>55</v>
      </c>
      <c r="I1885" s="6" t="s">
        <v>7566</v>
      </c>
      <c r="J1885" s="6" t="s">
        <v>91</v>
      </c>
      <c r="K1885" s="6" t="s">
        <v>60</v>
      </c>
      <c r="L1885" s="6" t="s">
        <v>131</v>
      </c>
      <c r="M1885" s="6" t="s">
        <v>7537</v>
      </c>
      <c r="N1885" s="6" t="s">
        <v>132</v>
      </c>
      <c r="O1885" s="36" t="s">
        <v>132</v>
      </c>
      <c r="P1885" s="36">
        <v>1.539330766E9</v>
      </c>
      <c r="Q1885" s="36" t="s">
        <v>7541</v>
      </c>
      <c r="R1885" s="6" t="s">
        <v>7542</v>
      </c>
    </row>
    <row r="1886">
      <c r="A1886" s="6" t="s">
        <v>7537</v>
      </c>
      <c r="B1886" s="6" t="s">
        <v>7537</v>
      </c>
      <c r="C1886" s="6">
        <v>277.0</v>
      </c>
      <c r="D1886" s="9" t="str">
        <f>HYPERLINK("https://www.linkedin.com/ad-library/detail/1539562246","Open Ad")</f>
        <v>Open Ad</v>
      </c>
      <c r="E1886" s="6" t="s">
        <v>91</v>
      </c>
      <c r="F1886" s="6" t="s">
        <v>53</v>
      </c>
      <c r="G1886" s="6" t="s">
        <v>7597</v>
      </c>
      <c r="H1886" s="6" t="s">
        <v>55</v>
      </c>
      <c r="I1886" s="6" t="s">
        <v>7566</v>
      </c>
      <c r="J1886" s="6" t="s">
        <v>91</v>
      </c>
      <c r="K1886" s="9" t="str">
        <f>HYPERLINK("https://media.licdn.com/dms/image/v2/D5610AQGCArVcCr1v4Q/image-shrink_1280/B56Z_sYjPEKMAc-/0/1786377287113/Profound_GM_The90Stat_1x11png?e=2147483647&amp;v=beta&amp;t=ARJ5ncTsFN32_-jnIdsYAEVQhbSj3ZGdGZn9YCeVGRE","Open Creative")</f>
        <v>Open Creative</v>
      </c>
      <c r="L1886" s="6" t="s">
        <v>131</v>
      </c>
      <c r="M1886" s="6" t="s">
        <v>7537</v>
      </c>
      <c r="N1886" s="6" t="s">
        <v>132</v>
      </c>
      <c r="O1886" s="36" t="s">
        <v>132</v>
      </c>
      <c r="P1886" s="36">
        <v>1.539562246E9</v>
      </c>
      <c r="Q1886" s="36" t="s">
        <v>7541</v>
      </c>
      <c r="R1886" s="6" t="s">
        <v>7542</v>
      </c>
    </row>
    <row r="1887">
      <c r="A1887" s="6" t="s">
        <v>7537</v>
      </c>
      <c r="B1887" s="6" t="s">
        <v>7537</v>
      </c>
      <c r="C1887" s="6">
        <v>278.0</v>
      </c>
      <c r="D1887" s="9" t="str">
        <f>HYPERLINK("https://www.linkedin.com/ad-library/detail/1539482516","Open Ad")</f>
        <v>Open Ad</v>
      </c>
      <c r="E1887" s="6" t="s">
        <v>91</v>
      </c>
      <c r="F1887" s="6" t="s">
        <v>53</v>
      </c>
      <c r="G1887" s="6" t="s">
        <v>7597</v>
      </c>
      <c r="H1887" s="6" t="s">
        <v>55</v>
      </c>
      <c r="I1887" s="6" t="s">
        <v>7566</v>
      </c>
      <c r="J1887" s="6" t="s">
        <v>91</v>
      </c>
      <c r="K1887" s="9" t="str">
        <f>HYPERLINK("https://media.licdn.com/dms/image/v2/D5610AQFMbD1nRCmKig/image-shrink_1280/B56Z_sYxHeJsAc-/0/1786377344055/Profound_GM_37Stat_1x1png?e=2147483647&amp;v=beta&amp;t=8I-InHtprJMHfmZmPNfrQkm5TTrP1LFO-dsoL6eUajE","Open Creative")</f>
        <v>Open Creative</v>
      </c>
      <c r="L1887" s="6" t="s">
        <v>131</v>
      </c>
      <c r="M1887" s="6" t="s">
        <v>7537</v>
      </c>
      <c r="N1887" s="6" t="s">
        <v>132</v>
      </c>
      <c r="O1887" s="36" t="s">
        <v>132</v>
      </c>
      <c r="P1887" s="36">
        <v>1.539482516E9</v>
      </c>
      <c r="Q1887" s="36" t="s">
        <v>7541</v>
      </c>
      <c r="R1887" s="6" t="s">
        <v>7542</v>
      </c>
    </row>
    <row r="1888">
      <c r="A1888" s="6" t="s">
        <v>7537</v>
      </c>
      <c r="B1888" s="6" t="s">
        <v>7537</v>
      </c>
      <c r="C1888" s="6">
        <v>279.0</v>
      </c>
      <c r="D1888" s="9" t="str">
        <f>HYPERLINK("https://www.linkedin.com/ad-library/detail/1539330746","Open Ad")</f>
        <v>Open Ad</v>
      </c>
      <c r="E1888" s="6" t="s">
        <v>91</v>
      </c>
      <c r="F1888" s="6" t="s">
        <v>53</v>
      </c>
      <c r="G1888" s="6" t="s">
        <v>7575</v>
      </c>
      <c r="H1888" s="6" t="s">
        <v>55</v>
      </c>
      <c r="I1888" s="6" t="s">
        <v>7566</v>
      </c>
      <c r="J1888" s="6" t="s">
        <v>91</v>
      </c>
      <c r="K1888" s="6" t="s">
        <v>60</v>
      </c>
      <c r="L1888" s="6" t="s">
        <v>131</v>
      </c>
      <c r="M1888" s="6" t="s">
        <v>7537</v>
      </c>
      <c r="N1888" s="6" t="s">
        <v>132</v>
      </c>
      <c r="O1888" s="36" t="s">
        <v>132</v>
      </c>
      <c r="P1888" s="36">
        <v>1.539330746E9</v>
      </c>
      <c r="Q1888" s="36" t="s">
        <v>7541</v>
      </c>
      <c r="R1888" s="6" t="s">
        <v>7542</v>
      </c>
    </row>
    <row r="1889">
      <c r="A1889" s="6" t="s">
        <v>7537</v>
      </c>
      <c r="B1889" s="6" t="s">
        <v>7537</v>
      </c>
      <c r="C1889" s="6">
        <v>280.0</v>
      </c>
      <c r="D1889" s="9" t="str">
        <f>HYPERLINK("https://www.linkedin.com/ad-library/detail/1539200716","Open Ad")</f>
        <v>Open Ad</v>
      </c>
      <c r="E1889" s="6" t="s">
        <v>91</v>
      </c>
      <c r="F1889" s="6" t="s">
        <v>53</v>
      </c>
      <c r="G1889" s="6" t="s">
        <v>7573</v>
      </c>
      <c r="H1889" s="6" t="s">
        <v>55</v>
      </c>
      <c r="I1889" s="6" t="s">
        <v>7566</v>
      </c>
      <c r="J1889" s="6" t="s">
        <v>91</v>
      </c>
      <c r="K1889" s="6" t="s">
        <v>60</v>
      </c>
      <c r="L1889" s="6" t="s">
        <v>131</v>
      </c>
      <c r="M1889" s="6" t="s">
        <v>7537</v>
      </c>
      <c r="N1889" s="6" t="s">
        <v>132</v>
      </c>
      <c r="O1889" s="36" t="s">
        <v>132</v>
      </c>
      <c r="P1889" s="36">
        <v>1.539200716E9</v>
      </c>
      <c r="Q1889" s="36" t="s">
        <v>7541</v>
      </c>
      <c r="R1889" s="6" t="s">
        <v>7542</v>
      </c>
    </row>
    <row r="1890">
      <c r="A1890" s="6" t="s">
        <v>7537</v>
      </c>
      <c r="B1890" s="6" t="s">
        <v>7537</v>
      </c>
      <c r="C1890" s="6">
        <v>281.0</v>
      </c>
      <c r="D1890" s="9" t="str">
        <f>HYPERLINK("https://www.linkedin.com/ad-library/detail/1539410566","Open Ad")</f>
        <v>Open Ad</v>
      </c>
      <c r="E1890" s="6" t="s">
        <v>7543</v>
      </c>
      <c r="F1890" s="6" t="s">
        <v>53</v>
      </c>
      <c r="G1890" s="6" t="s">
        <v>7550</v>
      </c>
      <c r="H1890" s="6" t="s">
        <v>55</v>
      </c>
      <c r="I1890" s="6" t="s">
        <v>7566</v>
      </c>
      <c r="J1890" s="6" t="s">
        <v>7546</v>
      </c>
      <c r="K1890" s="6" t="s">
        <v>60</v>
      </c>
      <c r="L1890" s="6" t="s">
        <v>131</v>
      </c>
      <c r="M1890" s="6" t="s">
        <v>7537</v>
      </c>
      <c r="N1890" s="6" t="s">
        <v>132</v>
      </c>
      <c r="O1890" s="36" t="s">
        <v>132</v>
      </c>
      <c r="P1890" s="36">
        <v>1.539410566E9</v>
      </c>
      <c r="Q1890" s="36" t="s">
        <v>7541</v>
      </c>
      <c r="R1890" s="6" t="s">
        <v>7542</v>
      </c>
    </row>
    <row r="1891">
      <c r="A1891" s="6" t="s">
        <v>7537</v>
      </c>
      <c r="B1891" s="6" t="s">
        <v>7537</v>
      </c>
      <c r="C1891" s="6">
        <v>282.0</v>
      </c>
      <c r="D1891" s="9" t="str">
        <f>HYPERLINK("https://www.linkedin.com/ad-library/detail/1539532166","Open Ad")</f>
        <v>Open Ad</v>
      </c>
      <c r="E1891" s="6" t="s">
        <v>91</v>
      </c>
      <c r="F1891" s="6" t="s">
        <v>53</v>
      </c>
      <c r="G1891" s="6" t="s">
        <v>7597</v>
      </c>
      <c r="H1891" s="6" t="s">
        <v>55</v>
      </c>
      <c r="I1891" s="6" t="s">
        <v>7566</v>
      </c>
      <c r="J1891" s="6" t="s">
        <v>91</v>
      </c>
      <c r="K1891" s="9" t="str">
        <f>HYPERLINK("https://media.licdn.com/dms/image/v2/D5610AQHFfjbCTN-dvA/image-shrink_1280/B56Z_sYYtrGsAc-/0/1786377243930/Profound_GM_SEOShift_1x11png?e=2147483647&amp;v=beta&amp;t=K2HnNkfefN4yKanNO6XcCia00T4_yqzbxVBVyf8CLmk","Open Creative")</f>
        <v>Open Creative</v>
      </c>
      <c r="L1891" s="6" t="s">
        <v>131</v>
      </c>
      <c r="M1891" s="6" t="s">
        <v>7537</v>
      </c>
      <c r="N1891" s="6" t="s">
        <v>132</v>
      </c>
      <c r="O1891" s="36" t="s">
        <v>132</v>
      </c>
      <c r="P1891" s="36">
        <v>1.539532166E9</v>
      </c>
      <c r="Q1891" s="36" t="s">
        <v>7541</v>
      </c>
      <c r="R1891" s="6" t="s">
        <v>7542</v>
      </c>
    </row>
    <row r="1892">
      <c r="A1892" s="6" t="s">
        <v>7537</v>
      </c>
      <c r="B1892" s="6" t="s">
        <v>7537</v>
      </c>
      <c r="C1892" s="6">
        <v>283.0</v>
      </c>
      <c r="D1892" s="9" t="str">
        <f>HYPERLINK("https://www.linkedin.com/ad-library/detail/1539370656","Open Ad")</f>
        <v>Open Ad</v>
      </c>
      <c r="E1892" s="6" t="s">
        <v>91</v>
      </c>
      <c r="F1892" s="6" t="s">
        <v>53</v>
      </c>
      <c r="G1892" s="6" t="s">
        <v>7573</v>
      </c>
      <c r="H1892" s="6" t="s">
        <v>55</v>
      </c>
      <c r="I1892" s="6" t="s">
        <v>7566</v>
      </c>
      <c r="J1892" s="6" t="s">
        <v>91</v>
      </c>
      <c r="K1892" s="6" t="s">
        <v>60</v>
      </c>
      <c r="L1892" s="6" t="s">
        <v>131</v>
      </c>
      <c r="M1892" s="6" t="s">
        <v>7537</v>
      </c>
      <c r="N1892" s="6" t="s">
        <v>132</v>
      </c>
      <c r="O1892" s="36" t="s">
        <v>132</v>
      </c>
      <c r="P1892" s="36">
        <v>1.539370656E9</v>
      </c>
      <c r="Q1892" s="36" t="s">
        <v>7541</v>
      </c>
      <c r="R1892" s="6" t="s">
        <v>7542</v>
      </c>
    </row>
    <row r="1893">
      <c r="A1893" s="6" t="s">
        <v>7537</v>
      </c>
      <c r="B1893" s="6" t="s">
        <v>7537</v>
      </c>
      <c r="C1893" s="6">
        <v>284.0</v>
      </c>
      <c r="D1893" s="9" t="str">
        <f>HYPERLINK("https://www.linkedin.com/ad-library/detail/1539240626","Open Ad")</f>
        <v>Open Ad</v>
      </c>
      <c r="E1893" s="6" t="s">
        <v>91</v>
      </c>
      <c r="F1893" s="6" t="s">
        <v>53</v>
      </c>
      <c r="G1893" s="6" t="s">
        <v>7576</v>
      </c>
      <c r="H1893" s="6" t="s">
        <v>55</v>
      </c>
      <c r="I1893" s="6" t="s">
        <v>7566</v>
      </c>
      <c r="J1893" s="6" t="s">
        <v>91</v>
      </c>
      <c r="K1893" s="6" t="s">
        <v>60</v>
      </c>
      <c r="L1893" s="6" t="s">
        <v>131</v>
      </c>
      <c r="M1893" s="6" t="s">
        <v>7537</v>
      </c>
      <c r="N1893" s="6" t="s">
        <v>132</v>
      </c>
      <c r="O1893" s="36" t="s">
        <v>132</v>
      </c>
      <c r="P1893" s="36">
        <v>1.539240626E9</v>
      </c>
      <c r="Q1893" s="36" t="s">
        <v>7541</v>
      </c>
      <c r="R1893" s="6" t="s">
        <v>7542</v>
      </c>
    </row>
    <row r="1894">
      <c r="A1894" s="6" t="s">
        <v>7537</v>
      </c>
      <c r="B1894" s="6" t="s">
        <v>7537</v>
      </c>
      <c r="C1894" s="6">
        <v>285.0</v>
      </c>
      <c r="D1894" s="9" t="str">
        <f>HYPERLINK("https://www.linkedin.com/ad-library/detail/1539651906","Open Ad")</f>
        <v>Open Ad</v>
      </c>
      <c r="E1894" s="6" t="s">
        <v>91</v>
      </c>
      <c r="F1894" s="6" t="s">
        <v>53</v>
      </c>
      <c r="G1894" s="6" t="s">
        <v>7597</v>
      </c>
      <c r="H1894" s="6" t="s">
        <v>55</v>
      </c>
      <c r="I1894" s="6" t="s">
        <v>7566</v>
      </c>
      <c r="J1894" s="6" t="s">
        <v>91</v>
      </c>
      <c r="K1894" s="9" t="str">
        <f>HYPERLINK("https://media.licdn.com/dms/image/v2/D5610AQGQf9YCUEy6ow/image-shrink_1280/B56Z_sYCIuGQAk-/0/1786377151464/Profound_GM_TheRealityCheck_1x11png?e=2147483647&amp;v=beta&amp;t=zCppuPHQTkTVOU4TJwl5pRa5Zq35X7SEHbaNR-AzfsU","Open Creative")</f>
        <v>Open Creative</v>
      </c>
      <c r="L1894" s="6" t="s">
        <v>131</v>
      </c>
      <c r="M1894" s="6" t="s">
        <v>7537</v>
      </c>
      <c r="N1894" s="6" t="s">
        <v>132</v>
      </c>
      <c r="O1894" s="36" t="s">
        <v>132</v>
      </c>
      <c r="P1894" s="36">
        <v>1.539651906E9</v>
      </c>
      <c r="Q1894" s="36" t="s">
        <v>7541</v>
      </c>
      <c r="R1894" s="6" t="s">
        <v>7542</v>
      </c>
    </row>
    <row r="1895">
      <c r="A1895" s="6" t="s">
        <v>7537</v>
      </c>
      <c r="B1895" s="6" t="s">
        <v>7537</v>
      </c>
      <c r="C1895" s="6">
        <v>286.0</v>
      </c>
      <c r="D1895" s="9" t="str">
        <f>HYPERLINK("https://www.linkedin.com/ad-library/detail/1539300626","Open Ad")</f>
        <v>Open Ad</v>
      </c>
      <c r="E1895" s="6" t="s">
        <v>91</v>
      </c>
      <c r="F1895" s="6" t="s">
        <v>53</v>
      </c>
      <c r="G1895" s="6" t="s">
        <v>7576</v>
      </c>
      <c r="H1895" s="6" t="s">
        <v>55</v>
      </c>
      <c r="I1895" s="6" t="s">
        <v>7566</v>
      </c>
      <c r="J1895" s="6" t="s">
        <v>91</v>
      </c>
      <c r="K1895" s="6" t="s">
        <v>60</v>
      </c>
      <c r="L1895" s="6" t="s">
        <v>131</v>
      </c>
      <c r="M1895" s="6" t="s">
        <v>7537</v>
      </c>
      <c r="N1895" s="6" t="s">
        <v>132</v>
      </c>
      <c r="O1895" s="36" t="s">
        <v>132</v>
      </c>
      <c r="P1895" s="36">
        <v>1.539300626E9</v>
      </c>
      <c r="Q1895" s="36" t="s">
        <v>7541</v>
      </c>
      <c r="R1895" s="6" t="s">
        <v>7542</v>
      </c>
    </row>
    <row r="1896">
      <c r="A1896" s="6" t="s">
        <v>7537</v>
      </c>
      <c r="B1896" s="6" t="s">
        <v>7537</v>
      </c>
      <c r="C1896" s="6">
        <v>287.0</v>
      </c>
      <c r="D1896" s="9" t="str">
        <f>HYPERLINK("https://www.linkedin.com/ad-library/detail/1539522426","Open Ad")</f>
        <v>Open Ad</v>
      </c>
      <c r="E1896" s="6" t="s">
        <v>91</v>
      </c>
      <c r="F1896" s="6" t="s">
        <v>53</v>
      </c>
      <c r="G1896" s="6" t="s">
        <v>7597</v>
      </c>
      <c r="H1896" s="6" t="s">
        <v>55</v>
      </c>
      <c r="I1896" s="6" t="s">
        <v>7566</v>
      </c>
      <c r="J1896" s="6" t="s">
        <v>91</v>
      </c>
      <c r="K1896" s="9" t="str">
        <f t="shared" ref="K1896:K1897" si="25">HYPERLINK("https://media.licdn.com/dms/image/v2/D5610AQHFfjbCTN-dvA/image-shrink_1280/B56Z_sYYtrGsAc-/0/1786377243930/Profound_GM_SEOShift_1x11png?e=2147483647&amp;v=beta&amp;t=K2HnNkfefN4yKanNO6XcCia00T4_yqzbxVBVyf8CLmk","Open Creative")</f>
        <v>Open Creative</v>
      </c>
      <c r="L1896" s="6" t="s">
        <v>131</v>
      </c>
      <c r="M1896" s="6" t="s">
        <v>7537</v>
      </c>
      <c r="N1896" s="6" t="s">
        <v>132</v>
      </c>
      <c r="O1896" s="36" t="s">
        <v>132</v>
      </c>
      <c r="P1896" s="36">
        <v>1.539522426E9</v>
      </c>
      <c r="Q1896" s="36" t="s">
        <v>7541</v>
      </c>
      <c r="R1896" s="6" t="s">
        <v>7542</v>
      </c>
    </row>
    <row r="1897">
      <c r="A1897" s="6" t="s">
        <v>7537</v>
      </c>
      <c r="B1897" s="6" t="s">
        <v>7537</v>
      </c>
      <c r="C1897" s="6">
        <v>288.0</v>
      </c>
      <c r="D1897" s="9" t="str">
        <f>HYPERLINK("https://www.linkedin.com/ad-library/detail/1539592476","Open Ad")</f>
        <v>Open Ad</v>
      </c>
      <c r="E1897" s="6" t="s">
        <v>91</v>
      </c>
      <c r="F1897" s="6" t="s">
        <v>53</v>
      </c>
      <c r="G1897" s="6" t="s">
        <v>7597</v>
      </c>
      <c r="H1897" s="6" t="s">
        <v>55</v>
      </c>
      <c r="I1897" s="6" t="s">
        <v>7566</v>
      </c>
      <c r="J1897" s="6" t="s">
        <v>91</v>
      </c>
      <c r="K1897" s="9" t="str">
        <f t="shared" si="25"/>
        <v>Open Creative</v>
      </c>
      <c r="L1897" s="6" t="s">
        <v>131</v>
      </c>
      <c r="M1897" s="6" t="s">
        <v>7537</v>
      </c>
      <c r="N1897" s="6" t="s">
        <v>132</v>
      </c>
      <c r="O1897" s="36" t="s">
        <v>132</v>
      </c>
      <c r="P1897" s="36">
        <v>1.539592476E9</v>
      </c>
      <c r="Q1897" s="36" t="s">
        <v>7541</v>
      </c>
      <c r="R1897" s="6" t="s">
        <v>7542</v>
      </c>
    </row>
    <row r="1898">
      <c r="A1898" s="6" t="s">
        <v>7537</v>
      </c>
      <c r="B1898" s="6" t="s">
        <v>7537</v>
      </c>
      <c r="C1898" s="6">
        <v>289.0</v>
      </c>
      <c r="D1898" s="9" t="str">
        <f>HYPERLINK("https://www.linkedin.com/ad-library/detail/1539390606","Open Ad")</f>
        <v>Open Ad</v>
      </c>
      <c r="E1898" s="6" t="s">
        <v>91</v>
      </c>
      <c r="F1898" s="6" t="s">
        <v>53</v>
      </c>
      <c r="G1898" s="6" t="s">
        <v>7602</v>
      </c>
      <c r="H1898" s="6" t="s">
        <v>55</v>
      </c>
      <c r="I1898" s="6" t="s">
        <v>7566</v>
      </c>
      <c r="J1898" s="6" t="s">
        <v>91</v>
      </c>
      <c r="K1898" s="9" t="str">
        <f>HYPERLINK("https://media.licdn.com/dms/image/v2/D5610AQGeqnWAUh7epw/image-shrink_1280/B56Z9JWXKUJoAc-/0/1783642026908/StaticA_1_1png?e=2147483647&amp;v=beta&amp;t=VtoLRIIvB_6SmNkFagK7x5k7ozf_O0g25FDHr-3O0Cg","Open Creative")</f>
        <v>Open Creative</v>
      </c>
      <c r="L1898" s="6" t="s">
        <v>131</v>
      </c>
      <c r="M1898" s="6" t="s">
        <v>7537</v>
      </c>
      <c r="N1898" s="6" t="s">
        <v>132</v>
      </c>
      <c r="O1898" s="36" t="s">
        <v>132</v>
      </c>
      <c r="P1898" s="36">
        <v>1.539390606E9</v>
      </c>
      <c r="Q1898" s="36" t="s">
        <v>7541</v>
      </c>
      <c r="R1898" s="6" t="s">
        <v>7542</v>
      </c>
    </row>
    <row r="1899">
      <c r="A1899" s="6" t="s">
        <v>7537</v>
      </c>
      <c r="B1899" s="6" t="s">
        <v>7537</v>
      </c>
      <c r="C1899" s="6">
        <v>290.0</v>
      </c>
      <c r="D1899" s="9" t="str">
        <f>HYPERLINK("https://www.linkedin.com/ad-library/detail/1539310666","Open Ad")</f>
        <v>Open Ad</v>
      </c>
      <c r="E1899" s="6" t="s">
        <v>91</v>
      </c>
      <c r="F1899" s="6" t="s">
        <v>53</v>
      </c>
      <c r="G1899" s="6" t="s">
        <v>7577</v>
      </c>
      <c r="H1899" s="6" t="s">
        <v>55</v>
      </c>
      <c r="I1899" s="6" t="s">
        <v>7566</v>
      </c>
      <c r="J1899" s="6" t="s">
        <v>91</v>
      </c>
      <c r="K1899" s="6" t="s">
        <v>60</v>
      </c>
      <c r="L1899" s="6" t="s">
        <v>131</v>
      </c>
      <c r="M1899" s="6" t="s">
        <v>7537</v>
      </c>
      <c r="N1899" s="6" t="s">
        <v>132</v>
      </c>
      <c r="O1899" s="36" t="s">
        <v>132</v>
      </c>
      <c r="P1899" s="36">
        <v>1.539310666E9</v>
      </c>
      <c r="Q1899" s="36" t="s">
        <v>7541</v>
      </c>
      <c r="R1899" s="6" t="s">
        <v>7542</v>
      </c>
    </row>
    <row r="1900">
      <c r="A1900" s="6" t="s">
        <v>7537</v>
      </c>
      <c r="B1900" s="6" t="s">
        <v>7537</v>
      </c>
      <c r="C1900" s="6">
        <v>291.0</v>
      </c>
      <c r="D1900" s="9" t="str">
        <f>HYPERLINK("https://www.linkedin.com/ad-library/detail/1539280686","Open Ad")</f>
        <v>Open Ad</v>
      </c>
      <c r="E1900" s="6" t="s">
        <v>7543</v>
      </c>
      <c r="F1900" s="6" t="s">
        <v>53</v>
      </c>
      <c r="G1900" s="6" t="s">
        <v>7550</v>
      </c>
      <c r="H1900" s="6" t="s">
        <v>55</v>
      </c>
      <c r="I1900" s="6" t="s">
        <v>7566</v>
      </c>
      <c r="J1900" s="6" t="s">
        <v>7546</v>
      </c>
      <c r="K1900" s="6" t="s">
        <v>60</v>
      </c>
      <c r="L1900" s="6" t="s">
        <v>131</v>
      </c>
      <c r="M1900" s="6" t="s">
        <v>7537</v>
      </c>
      <c r="N1900" s="6" t="s">
        <v>132</v>
      </c>
      <c r="O1900" s="36" t="s">
        <v>132</v>
      </c>
      <c r="P1900" s="36">
        <v>1.539280686E9</v>
      </c>
      <c r="Q1900" s="36" t="s">
        <v>7541</v>
      </c>
      <c r="R1900" s="6" t="s">
        <v>7542</v>
      </c>
    </row>
    <row r="1901">
      <c r="A1901" s="6" t="s">
        <v>7537</v>
      </c>
      <c r="B1901" s="6" t="s">
        <v>7537</v>
      </c>
      <c r="C1901" s="6">
        <v>292.0</v>
      </c>
      <c r="D1901" s="9" t="str">
        <f>HYPERLINK("https://www.linkedin.com/ad-library/detail/1539230706","Open Ad")</f>
        <v>Open Ad</v>
      </c>
      <c r="E1901" s="6" t="s">
        <v>7543</v>
      </c>
      <c r="F1901" s="6" t="s">
        <v>53</v>
      </c>
      <c r="G1901" s="6" t="s">
        <v>7550</v>
      </c>
      <c r="H1901" s="6" t="s">
        <v>55</v>
      </c>
      <c r="I1901" s="6" t="s">
        <v>7566</v>
      </c>
      <c r="J1901" s="6" t="s">
        <v>7546</v>
      </c>
      <c r="K1901" s="6" t="s">
        <v>60</v>
      </c>
      <c r="L1901" s="6" t="s">
        <v>131</v>
      </c>
      <c r="M1901" s="6" t="s">
        <v>7537</v>
      </c>
      <c r="N1901" s="6" t="s">
        <v>132</v>
      </c>
      <c r="O1901" s="36" t="s">
        <v>132</v>
      </c>
      <c r="P1901" s="36">
        <v>1.539230706E9</v>
      </c>
      <c r="Q1901" s="36" t="s">
        <v>7541</v>
      </c>
      <c r="R1901" s="6" t="s">
        <v>7542</v>
      </c>
    </row>
    <row r="1902">
      <c r="A1902" s="6" t="s">
        <v>7537</v>
      </c>
      <c r="B1902" s="6" t="s">
        <v>7537</v>
      </c>
      <c r="C1902" s="6">
        <v>293.0</v>
      </c>
      <c r="D1902" s="9" t="str">
        <f>HYPERLINK("https://www.linkedin.com/ad-library/detail/1539230726","Open Ad")</f>
        <v>Open Ad</v>
      </c>
      <c r="E1902" s="6" t="s">
        <v>91</v>
      </c>
      <c r="F1902" s="6" t="s">
        <v>53</v>
      </c>
      <c r="G1902" s="6" t="s">
        <v>7575</v>
      </c>
      <c r="H1902" s="6" t="s">
        <v>55</v>
      </c>
      <c r="I1902" s="6" t="s">
        <v>7566</v>
      </c>
      <c r="J1902" s="6" t="s">
        <v>91</v>
      </c>
      <c r="K1902" s="6" t="s">
        <v>60</v>
      </c>
      <c r="L1902" s="6" t="s">
        <v>131</v>
      </c>
      <c r="M1902" s="6" t="s">
        <v>7537</v>
      </c>
      <c r="N1902" s="6" t="s">
        <v>132</v>
      </c>
      <c r="O1902" s="36" t="s">
        <v>132</v>
      </c>
      <c r="P1902" s="36">
        <v>1.539230726E9</v>
      </c>
      <c r="Q1902" s="36" t="s">
        <v>7541</v>
      </c>
      <c r="R1902" s="6" t="s">
        <v>7542</v>
      </c>
    </row>
    <row r="1903">
      <c r="A1903" s="6" t="s">
        <v>7537</v>
      </c>
      <c r="B1903" s="6" t="s">
        <v>7537</v>
      </c>
      <c r="C1903" s="6">
        <v>294.0</v>
      </c>
      <c r="D1903" s="9" t="str">
        <f>HYPERLINK("https://www.linkedin.com/ad-library/detail/1539230736","Open Ad")</f>
        <v>Open Ad</v>
      </c>
      <c r="E1903" s="6" t="s">
        <v>91</v>
      </c>
      <c r="F1903" s="6" t="s">
        <v>53</v>
      </c>
      <c r="G1903" s="6" t="s">
        <v>7578</v>
      </c>
      <c r="H1903" s="6" t="s">
        <v>55</v>
      </c>
      <c r="I1903" s="6" t="s">
        <v>7566</v>
      </c>
      <c r="J1903" s="6" t="s">
        <v>91</v>
      </c>
      <c r="K1903" s="6" t="s">
        <v>60</v>
      </c>
      <c r="L1903" s="6" t="s">
        <v>131</v>
      </c>
      <c r="M1903" s="6" t="s">
        <v>7537</v>
      </c>
      <c r="N1903" s="6" t="s">
        <v>132</v>
      </c>
      <c r="O1903" s="36" t="s">
        <v>132</v>
      </c>
      <c r="P1903" s="36">
        <v>1.539230736E9</v>
      </c>
      <c r="Q1903" s="36" t="s">
        <v>7541</v>
      </c>
      <c r="R1903" s="6" t="s">
        <v>7542</v>
      </c>
    </row>
    <row r="1904">
      <c r="A1904" s="6" t="s">
        <v>7537</v>
      </c>
      <c r="B1904" s="6" t="s">
        <v>7537</v>
      </c>
      <c r="C1904" s="6">
        <v>295.0</v>
      </c>
      <c r="D1904" s="9" t="str">
        <f>HYPERLINK("https://www.linkedin.com/ad-library/detail/1539360656","Open Ad")</f>
        <v>Open Ad</v>
      </c>
      <c r="E1904" s="6" t="s">
        <v>91</v>
      </c>
      <c r="F1904" s="6" t="s">
        <v>53</v>
      </c>
      <c r="G1904" s="6" t="s">
        <v>7603</v>
      </c>
      <c r="H1904" s="6" t="s">
        <v>55</v>
      </c>
      <c r="I1904" s="6" t="s">
        <v>7566</v>
      </c>
      <c r="J1904" s="6" t="s">
        <v>91</v>
      </c>
      <c r="K1904" s="9" t="str">
        <f>HYPERLINK("https://media.licdn.com/dms/image/v2/D5610AQGeqnWAUh7epw/image-shrink_1280/B56Z9JWXKUJoAc-/0/1783642026908/StaticA_1_1png?e=2147483647&amp;v=beta&amp;t=VtoLRIIvB_6SmNkFagK7x5k7ozf_O0g25FDHr-3O0Cg","Open Creative")</f>
        <v>Open Creative</v>
      </c>
      <c r="L1904" s="6" t="s">
        <v>131</v>
      </c>
      <c r="M1904" s="6" t="s">
        <v>7537</v>
      </c>
      <c r="N1904" s="6" t="s">
        <v>132</v>
      </c>
      <c r="O1904" s="36" t="s">
        <v>132</v>
      </c>
      <c r="P1904" s="36">
        <v>1.539360656E9</v>
      </c>
      <c r="Q1904" s="36" t="s">
        <v>7541</v>
      </c>
      <c r="R1904" s="6" t="s">
        <v>7542</v>
      </c>
    </row>
    <row r="1905">
      <c r="A1905" s="6" t="s">
        <v>7537</v>
      </c>
      <c r="B1905" s="6" t="s">
        <v>7537</v>
      </c>
      <c r="C1905" s="6">
        <v>296.0</v>
      </c>
      <c r="D1905" s="9" t="str">
        <f>HYPERLINK("https://www.linkedin.com/ad-library/detail/1539380556","Open Ad")</f>
        <v>Open Ad</v>
      </c>
      <c r="E1905" s="6" t="s">
        <v>91</v>
      </c>
      <c r="F1905" s="6" t="s">
        <v>53</v>
      </c>
      <c r="G1905" s="6" t="s">
        <v>7578</v>
      </c>
      <c r="H1905" s="6" t="s">
        <v>55</v>
      </c>
      <c r="I1905" s="6" t="s">
        <v>7566</v>
      </c>
      <c r="J1905" s="6" t="s">
        <v>91</v>
      </c>
      <c r="K1905" s="6" t="s">
        <v>60</v>
      </c>
      <c r="L1905" s="6" t="s">
        <v>131</v>
      </c>
      <c r="M1905" s="6" t="s">
        <v>7537</v>
      </c>
      <c r="N1905" s="6" t="s">
        <v>132</v>
      </c>
      <c r="O1905" s="36" t="s">
        <v>132</v>
      </c>
      <c r="P1905" s="36">
        <v>1.539380556E9</v>
      </c>
      <c r="Q1905" s="36" t="s">
        <v>7541</v>
      </c>
      <c r="R1905" s="6" t="s">
        <v>7542</v>
      </c>
    </row>
    <row r="1906">
      <c r="A1906" s="6" t="s">
        <v>7537</v>
      </c>
      <c r="B1906" s="6" t="s">
        <v>7537</v>
      </c>
      <c r="C1906" s="6">
        <v>297.0</v>
      </c>
      <c r="D1906" s="9" t="str">
        <f>HYPERLINK("https://www.linkedin.com/ad-library/detail/1539380546","Open Ad")</f>
        <v>Open Ad</v>
      </c>
      <c r="E1906" s="6" t="s">
        <v>7543</v>
      </c>
      <c r="F1906" s="6" t="s">
        <v>53</v>
      </c>
      <c r="G1906" s="6" t="s">
        <v>7550</v>
      </c>
      <c r="H1906" s="6" t="s">
        <v>55</v>
      </c>
      <c r="I1906" s="6" t="s">
        <v>7566</v>
      </c>
      <c r="J1906" s="6" t="s">
        <v>7546</v>
      </c>
      <c r="K1906" s="6" t="s">
        <v>60</v>
      </c>
      <c r="L1906" s="6" t="s">
        <v>131</v>
      </c>
      <c r="M1906" s="6" t="s">
        <v>7537</v>
      </c>
      <c r="N1906" s="6" t="s">
        <v>132</v>
      </c>
      <c r="O1906" s="36" t="s">
        <v>132</v>
      </c>
      <c r="P1906" s="36">
        <v>1.539380546E9</v>
      </c>
      <c r="Q1906" s="36" t="s">
        <v>7541</v>
      </c>
      <c r="R1906" s="6" t="s">
        <v>7542</v>
      </c>
    </row>
    <row r="1907">
      <c r="A1907" s="6" t="s">
        <v>7537</v>
      </c>
      <c r="B1907" s="6" t="s">
        <v>7537</v>
      </c>
      <c r="C1907" s="6">
        <v>298.0</v>
      </c>
      <c r="D1907" s="9" t="str">
        <f>HYPERLINK("https://www.linkedin.com/ad-library/detail/1539290586","Open Ad")</f>
        <v>Open Ad</v>
      </c>
      <c r="E1907" s="6" t="s">
        <v>91</v>
      </c>
      <c r="F1907" s="6" t="s">
        <v>53</v>
      </c>
      <c r="G1907" s="6" t="s">
        <v>7573</v>
      </c>
      <c r="H1907" s="6" t="s">
        <v>55</v>
      </c>
      <c r="I1907" s="6" t="s">
        <v>7566</v>
      </c>
      <c r="J1907" s="6" t="s">
        <v>91</v>
      </c>
      <c r="K1907" s="6" t="s">
        <v>60</v>
      </c>
      <c r="L1907" s="6" t="s">
        <v>131</v>
      </c>
      <c r="M1907" s="6" t="s">
        <v>7537</v>
      </c>
      <c r="N1907" s="6" t="s">
        <v>132</v>
      </c>
      <c r="O1907" s="36" t="s">
        <v>132</v>
      </c>
      <c r="P1907" s="36">
        <v>1.539290586E9</v>
      </c>
      <c r="Q1907" s="36" t="s">
        <v>7541</v>
      </c>
      <c r="R1907" s="6" t="s">
        <v>7542</v>
      </c>
    </row>
    <row r="1908">
      <c r="A1908" s="6" t="s">
        <v>7537</v>
      </c>
      <c r="B1908" s="6" t="s">
        <v>7537</v>
      </c>
      <c r="C1908" s="6">
        <v>299.0</v>
      </c>
      <c r="D1908" s="9" t="str">
        <f>HYPERLINK("https://www.linkedin.com/ad-library/detail/1539330726","Open Ad")</f>
        <v>Open Ad</v>
      </c>
      <c r="E1908" s="6" t="s">
        <v>91</v>
      </c>
      <c r="F1908" s="6" t="s">
        <v>53</v>
      </c>
      <c r="G1908" s="6" t="s">
        <v>7577</v>
      </c>
      <c r="H1908" s="6" t="s">
        <v>55</v>
      </c>
      <c r="I1908" s="6" t="s">
        <v>7566</v>
      </c>
      <c r="J1908" s="6" t="s">
        <v>91</v>
      </c>
      <c r="K1908" s="6" t="s">
        <v>60</v>
      </c>
      <c r="L1908" s="6" t="s">
        <v>131</v>
      </c>
      <c r="M1908" s="6" t="s">
        <v>7537</v>
      </c>
      <c r="N1908" s="6" t="s">
        <v>132</v>
      </c>
      <c r="O1908" s="36" t="s">
        <v>132</v>
      </c>
      <c r="P1908" s="36">
        <v>1.539330726E9</v>
      </c>
      <c r="Q1908" s="36" t="s">
        <v>7541</v>
      </c>
      <c r="R1908" s="6" t="s">
        <v>7542</v>
      </c>
    </row>
    <row r="1909">
      <c r="A1909" s="6" t="s">
        <v>7537</v>
      </c>
      <c r="B1909" s="6" t="s">
        <v>7537</v>
      </c>
      <c r="C1909" s="6">
        <v>300.0</v>
      </c>
      <c r="D1909" s="9" t="str">
        <f>HYPERLINK("https://www.linkedin.com/ad-library/detail/1539290596","Open Ad")</f>
        <v>Open Ad</v>
      </c>
      <c r="E1909" s="6" t="s">
        <v>7543</v>
      </c>
      <c r="F1909" s="6" t="s">
        <v>53</v>
      </c>
      <c r="G1909" s="6" t="s">
        <v>7569</v>
      </c>
      <c r="H1909" s="6" t="s">
        <v>55</v>
      </c>
      <c r="I1909" s="6" t="s">
        <v>7566</v>
      </c>
      <c r="J1909" s="6" t="s">
        <v>7546</v>
      </c>
      <c r="K1909" s="6" t="s">
        <v>60</v>
      </c>
      <c r="L1909" s="6" t="s">
        <v>131</v>
      </c>
      <c r="M1909" s="6" t="s">
        <v>7537</v>
      </c>
      <c r="N1909" s="6" t="s">
        <v>132</v>
      </c>
      <c r="O1909" s="36" t="s">
        <v>132</v>
      </c>
      <c r="P1909" s="36">
        <v>1.539290596E9</v>
      </c>
      <c r="Q1909" s="36" t="s">
        <v>7541</v>
      </c>
      <c r="R1909" s="6" t="s">
        <v>7542</v>
      </c>
    </row>
    <row r="1910">
      <c r="A1910" s="6" t="s">
        <v>7537</v>
      </c>
      <c r="B1910" s="6" t="s">
        <v>7537</v>
      </c>
      <c r="C1910" s="6">
        <v>301.0</v>
      </c>
      <c r="D1910" s="9" t="str">
        <f>HYPERLINK("https://www.linkedin.com/ad-library/detail/1539330716","Open Ad")</f>
        <v>Open Ad</v>
      </c>
      <c r="E1910" s="6" t="s">
        <v>91</v>
      </c>
      <c r="F1910" s="6" t="s">
        <v>53</v>
      </c>
      <c r="G1910" s="6" t="s">
        <v>7575</v>
      </c>
      <c r="H1910" s="6" t="s">
        <v>55</v>
      </c>
      <c r="I1910" s="6" t="s">
        <v>7566</v>
      </c>
      <c r="J1910" s="6" t="s">
        <v>91</v>
      </c>
      <c r="K1910" s="6" t="s">
        <v>60</v>
      </c>
      <c r="L1910" s="6" t="s">
        <v>131</v>
      </c>
      <c r="M1910" s="6" t="s">
        <v>7537</v>
      </c>
      <c r="N1910" s="6" t="s">
        <v>132</v>
      </c>
      <c r="O1910" s="36" t="s">
        <v>132</v>
      </c>
      <c r="P1910" s="36">
        <v>1.539330716E9</v>
      </c>
      <c r="Q1910" s="36" t="s">
        <v>7541</v>
      </c>
      <c r="R1910" s="6" t="s">
        <v>7542</v>
      </c>
    </row>
    <row r="1911">
      <c r="A1911" s="6" t="s">
        <v>7537</v>
      </c>
      <c r="B1911" s="6" t="s">
        <v>7537</v>
      </c>
      <c r="C1911" s="6">
        <v>302.0</v>
      </c>
      <c r="D1911" s="9" t="str">
        <f>HYPERLINK("https://www.linkedin.com/ad-library/detail/1539180496","Open Ad")</f>
        <v>Open Ad</v>
      </c>
      <c r="E1911" s="6" t="s">
        <v>91</v>
      </c>
      <c r="F1911" s="6" t="s">
        <v>53</v>
      </c>
      <c r="G1911" s="6" t="s">
        <v>7576</v>
      </c>
      <c r="H1911" s="6" t="s">
        <v>55</v>
      </c>
      <c r="I1911" s="6" t="s">
        <v>7566</v>
      </c>
      <c r="J1911" s="6" t="s">
        <v>91</v>
      </c>
      <c r="K1911" s="6" t="s">
        <v>60</v>
      </c>
      <c r="L1911" s="6" t="s">
        <v>131</v>
      </c>
      <c r="M1911" s="6" t="s">
        <v>7537</v>
      </c>
      <c r="N1911" s="6" t="s">
        <v>132</v>
      </c>
      <c r="O1911" s="36" t="s">
        <v>132</v>
      </c>
      <c r="P1911" s="36">
        <v>1.539180496E9</v>
      </c>
      <c r="Q1911" s="36" t="s">
        <v>7541</v>
      </c>
      <c r="R1911" s="6" t="s">
        <v>7542</v>
      </c>
    </row>
    <row r="1912">
      <c r="A1912" s="6" t="s">
        <v>7537</v>
      </c>
      <c r="B1912" s="6" t="s">
        <v>7537</v>
      </c>
      <c r="C1912" s="6">
        <v>303.0</v>
      </c>
      <c r="D1912" s="9" t="str">
        <f>HYPERLINK("https://www.linkedin.com/ad-library/detail/1539190616","Open Ad")</f>
        <v>Open Ad</v>
      </c>
      <c r="E1912" s="6" t="s">
        <v>91</v>
      </c>
      <c r="F1912" s="6" t="s">
        <v>53</v>
      </c>
      <c r="G1912" s="6" t="s">
        <v>7604</v>
      </c>
      <c r="H1912" s="6" t="s">
        <v>55</v>
      </c>
      <c r="I1912" s="6" t="s">
        <v>7566</v>
      </c>
      <c r="J1912" s="6" t="s">
        <v>91</v>
      </c>
      <c r="K1912" s="6" t="s">
        <v>60</v>
      </c>
      <c r="L1912" s="6" t="s">
        <v>131</v>
      </c>
      <c r="M1912" s="6" t="s">
        <v>7537</v>
      </c>
      <c r="N1912" s="6" t="s">
        <v>132</v>
      </c>
      <c r="O1912" s="36" t="s">
        <v>132</v>
      </c>
      <c r="P1912" s="36">
        <v>1.539190616E9</v>
      </c>
      <c r="Q1912" s="36" t="s">
        <v>7541</v>
      </c>
      <c r="R1912" s="6" t="s">
        <v>7542</v>
      </c>
    </row>
    <row r="1913">
      <c r="A1913" s="6" t="s">
        <v>7537</v>
      </c>
      <c r="B1913" s="6" t="s">
        <v>7537</v>
      </c>
      <c r="C1913" s="6">
        <v>304.0</v>
      </c>
      <c r="D1913" s="9" t="str">
        <f>HYPERLINK("https://www.linkedin.com/ad-library/detail/1539240586","Open Ad")</f>
        <v>Open Ad</v>
      </c>
      <c r="E1913" s="6" t="s">
        <v>91</v>
      </c>
      <c r="F1913" s="6" t="s">
        <v>53</v>
      </c>
      <c r="G1913" s="6" t="s">
        <v>7575</v>
      </c>
      <c r="H1913" s="6" t="s">
        <v>55</v>
      </c>
      <c r="I1913" s="6" t="s">
        <v>7566</v>
      </c>
      <c r="J1913" s="6" t="s">
        <v>91</v>
      </c>
      <c r="K1913" s="6" t="s">
        <v>60</v>
      </c>
      <c r="L1913" s="6" t="s">
        <v>131</v>
      </c>
      <c r="M1913" s="6" t="s">
        <v>7537</v>
      </c>
      <c r="N1913" s="6" t="s">
        <v>132</v>
      </c>
      <c r="O1913" s="36" t="s">
        <v>132</v>
      </c>
      <c r="P1913" s="36">
        <v>1.539240586E9</v>
      </c>
      <c r="Q1913" s="36" t="s">
        <v>7541</v>
      </c>
      <c r="R1913" s="6" t="s">
        <v>7542</v>
      </c>
    </row>
    <row r="1914">
      <c r="A1914" s="6" t="s">
        <v>7537</v>
      </c>
      <c r="B1914" s="6" t="s">
        <v>7537</v>
      </c>
      <c r="C1914" s="6">
        <v>305.0</v>
      </c>
      <c r="D1914" s="9" t="str">
        <f>HYPERLINK("https://www.linkedin.com/ad-library/detail/1539350506","Open Ad")</f>
        <v>Open Ad</v>
      </c>
      <c r="E1914" s="6" t="s">
        <v>7543</v>
      </c>
      <c r="F1914" s="6" t="s">
        <v>53</v>
      </c>
      <c r="G1914" s="6" t="s">
        <v>7569</v>
      </c>
      <c r="H1914" s="6" t="s">
        <v>55</v>
      </c>
      <c r="I1914" s="6" t="s">
        <v>7566</v>
      </c>
      <c r="J1914" s="6" t="s">
        <v>7546</v>
      </c>
      <c r="K1914" s="6" t="s">
        <v>60</v>
      </c>
      <c r="L1914" s="6" t="s">
        <v>131</v>
      </c>
      <c r="M1914" s="6" t="s">
        <v>7537</v>
      </c>
      <c r="N1914" s="6" t="s">
        <v>132</v>
      </c>
      <c r="O1914" s="36" t="s">
        <v>132</v>
      </c>
      <c r="P1914" s="36">
        <v>1.539350506E9</v>
      </c>
      <c r="Q1914" s="36" t="s">
        <v>7541</v>
      </c>
      <c r="R1914" s="6" t="s">
        <v>7542</v>
      </c>
    </row>
    <row r="1915">
      <c r="A1915" s="6" t="s">
        <v>7537</v>
      </c>
      <c r="B1915" s="6" t="s">
        <v>7537</v>
      </c>
      <c r="C1915" s="6">
        <v>306.0</v>
      </c>
      <c r="D1915" s="9" t="str">
        <f>HYPERLINK("https://www.linkedin.com/ad-library/detail/1539290566","Open Ad")</f>
        <v>Open Ad</v>
      </c>
      <c r="E1915" s="6" t="s">
        <v>7543</v>
      </c>
      <c r="F1915" s="6" t="s">
        <v>53</v>
      </c>
      <c r="G1915" s="6" t="s">
        <v>7550</v>
      </c>
      <c r="H1915" s="6" t="s">
        <v>55</v>
      </c>
      <c r="I1915" s="6" t="s">
        <v>7566</v>
      </c>
      <c r="J1915" s="6" t="s">
        <v>7546</v>
      </c>
      <c r="K1915" s="6" t="s">
        <v>60</v>
      </c>
      <c r="L1915" s="6" t="s">
        <v>131</v>
      </c>
      <c r="M1915" s="6" t="s">
        <v>7537</v>
      </c>
      <c r="N1915" s="6" t="s">
        <v>132</v>
      </c>
      <c r="O1915" s="36" t="s">
        <v>132</v>
      </c>
      <c r="P1915" s="36">
        <v>1.539290566E9</v>
      </c>
      <c r="Q1915" s="36" t="s">
        <v>7541</v>
      </c>
      <c r="R1915" s="6" t="s">
        <v>7542</v>
      </c>
    </row>
    <row r="1916">
      <c r="A1916" s="6" t="s">
        <v>7537</v>
      </c>
      <c r="B1916" s="6" t="s">
        <v>7537</v>
      </c>
      <c r="C1916" s="6">
        <v>307.0</v>
      </c>
      <c r="D1916" s="9" t="str">
        <f>HYPERLINK("https://www.linkedin.com/ad-library/detail/1539300616","Open Ad")</f>
        <v>Open Ad</v>
      </c>
      <c r="E1916" s="6" t="s">
        <v>91</v>
      </c>
      <c r="F1916" s="6" t="s">
        <v>53</v>
      </c>
      <c r="G1916" s="6" t="s">
        <v>7577</v>
      </c>
      <c r="H1916" s="6" t="s">
        <v>55</v>
      </c>
      <c r="I1916" s="6" t="s">
        <v>7566</v>
      </c>
      <c r="J1916" s="6" t="s">
        <v>91</v>
      </c>
      <c r="K1916" s="6" t="s">
        <v>60</v>
      </c>
      <c r="L1916" s="6" t="s">
        <v>131</v>
      </c>
      <c r="M1916" s="6" t="s">
        <v>7537</v>
      </c>
      <c r="N1916" s="6" t="s">
        <v>132</v>
      </c>
      <c r="O1916" s="36" t="s">
        <v>132</v>
      </c>
      <c r="P1916" s="36">
        <v>1.539300616E9</v>
      </c>
      <c r="Q1916" s="36" t="s">
        <v>7541</v>
      </c>
      <c r="R1916" s="6" t="s">
        <v>7542</v>
      </c>
    </row>
    <row r="1917">
      <c r="A1917" s="6" t="s">
        <v>7537</v>
      </c>
      <c r="B1917" s="6" t="s">
        <v>7537</v>
      </c>
      <c r="C1917" s="6">
        <v>308.0</v>
      </c>
      <c r="D1917" s="9" t="str">
        <f>HYPERLINK("https://www.linkedin.com/ad-library/detail/1539170716","Open Ad")</f>
        <v>Open Ad</v>
      </c>
      <c r="E1917" s="6" t="s">
        <v>91</v>
      </c>
      <c r="F1917" s="6" t="s">
        <v>53</v>
      </c>
      <c r="G1917" s="6" t="s">
        <v>7604</v>
      </c>
      <c r="H1917" s="6" t="s">
        <v>55</v>
      </c>
      <c r="I1917" s="6" t="s">
        <v>7566</v>
      </c>
      <c r="J1917" s="6" t="s">
        <v>91</v>
      </c>
      <c r="K1917" s="6" t="s">
        <v>60</v>
      </c>
      <c r="L1917" s="6" t="s">
        <v>131</v>
      </c>
      <c r="M1917" s="6" t="s">
        <v>7537</v>
      </c>
      <c r="N1917" s="6" t="s">
        <v>132</v>
      </c>
      <c r="O1917" s="36" t="s">
        <v>132</v>
      </c>
      <c r="P1917" s="36">
        <v>1.539170716E9</v>
      </c>
      <c r="Q1917" s="36" t="s">
        <v>7541</v>
      </c>
      <c r="R1917" s="6" t="s">
        <v>7542</v>
      </c>
    </row>
    <row r="1918">
      <c r="A1918" s="6" t="s">
        <v>7537</v>
      </c>
      <c r="B1918" s="6" t="s">
        <v>7537</v>
      </c>
      <c r="C1918" s="6">
        <v>309.0</v>
      </c>
      <c r="D1918" s="9" t="str">
        <f>HYPERLINK("https://www.linkedin.com/ad-library/detail/1539240606","Open Ad")</f>
        <v>Open Ad</v>
      </c>
      <c r="E1918" s="6" t="s">
        <v>91</v>
      </c>
      <c r="F1918" s="6" t="s">
        <v>53</v>
      </c>
      <c r="G1918" s="6" t="s">
        <v>7575</v>
      </c>
      <c r="H1918" s="6" t="s">
        <v>55</v>
      </c>
      <c r="I1918" s="6" t="s">
        <v>7566</v>
      </c>
      <c r="J1918" s="6" t="s">
        <v>91</v>
      </c>
      <c r="K1918" s="6" t="s">
        <v>60</v>
      </c>
      <c r="L1918" s="6" t="s">
        <v>131</v>
      </c>
      <c r="M1918" s="6" t="s">
        <v>7537</v>
      </c>
      <c r="N1918" s="6" t="s">
        <v>132</v>
      </c>
      <c r="O1918" s="36" t="s">
        <v>132</v>
      </c>
      <c r="P1918" s="36">
        <v>1.539240606E9</v>
      </c>
      <c r="Q1918" s="36" t="s">
        <v>7541</v>
      </c>
      <c r="R1918" s="6" t="s">
        <v>7542</v>
      </c>
    </row>
    <row r="1919">
      <c r="A1919" s="6" t="s">
        <v>7537</v>
      </c>
      <c r="B1919" s="6" t="s">
        <v>7537</v>
      </c>
      <c r="C1919" s="6">
        <v>310.0</v>
      </c>
      <c r="D1919" s="9" t="str">
        <f>HYPERLINK("https://www.linkedin.com/ad-library/detail/1539410506","Open Ad")</f>
        <v>Open Ad</v>
      </c>
      <c r="E1919" s="6" t="s">
        <v>7543</v>
      </c>
      <c r="F1919" s="6" t="s">
        <v>53</v>
      </c>
      <c r="G1919" s="6" t="s">
        <v>7569</v>
      </c>
      <c r="H1919" s="6" t="s">
        <v>55</v>
      </c>
      <c r="I1919" s="6" t="s">
        <v>7566</v>
      </c>
      <c r="J1919" s="6" t="s">
        <v>7546</v>
      </c>
      <c r="K1919" s="6" t="s">
        <v>60</v>
      </c>
      <c r="L1919" s="6" t="s">
        <v>131</v>
      </c>
      <c r="M1919" s="6" t="s">
        <v>7537</v>
      </c>
      <c r="N1919" s="6" t="s">
        <v>132</v>
      </c>
      <c r="O1919" s="36" t="s">
        <v>132</v>
      </c>
      <c r="P1919" s="36">
        <v>1.539410506E9</v>
      </c>
      <c r="Q1919" s="36" t="s">
        <v>7541</v>
      </c>
      <c r="R1919" s="6" t="s">
        <v>7542</v>
      </c>
    </row>
    <row r="1920">
      <c r="A1920" s="6" t="s">
        <v>7537</v>
      </c>
      <c r="B1920" s="6" t="s">
        <v>7537</v>
      </c>
      <c r="C1920" s="6">
        <v>311.0</v>
      </c>
      <c r="D1920" s="9" t="str">
        <f>HYPERLINK("https://www.linkedin.com/ad-library/detail/1539220556","Open Ad")</f>
        <v>Open Ad</v>
      </c>
      <c r="E1920" s="6" t="s">
        <v>91</v>
      </c>
      <c r="F1920" s="6" t="s">
        <v>53</v>
      </c>
      <c r="G1920" s="6" t="s">
        <v>7578</v>
      </c>
      <c r="H1920" s="6" t="s">
        <v>55</v>
      </c>
      <c r="I1920" s="6" t="s">
        <v>7566</v>
      </c>
      <c r="J1920" s="6" t="s">
        <v>91</v>
      </c>
      <c r="K1920" s="6" t="s">
        <v>60</v>
      </c>
      <c r="L1920" s="6" t="s">
        <v>131</v>
      </c>
      <c r="M1920" s="6" t="s">
        <v>7537</v>
      </c>
      <c r="N1920" s="6" t="s">
        <v>132</v>
      </c>
      <c r="O1920" s="36" t="s">
        <v>132</v>
      </c>
      <c r="P1920" s="36">
        <v>1.539220556E9</v>
      </c>
      <c r="Q1920" s="36" t="s">
        <v>7541</v>
      </c>
      <c r="R1920" s="6" t="s">
        <v>7542</v>
      </c>
    </row>
    <row r="1921">
      <c r="A1921" s="6" t="s">
        <v>7537</v>
      </c>
      <c r="B1921" s="6" t="s">
        <v>7537</v>
      </c>
      <c r="C1921" s="6">
        <v>312.0</v>
      </c>
      <c r="D1921" s="9" t="str">
        <f>HYPERLINK("https://www.linkedin.com/ad-library/detail/1539200696","Open Ad")</f>
        <v>Open Ad</v>
      </c>
      <c r="E1921" s="6" t="s">
        <v>91</v>
      </c>
      <c r="F1921" s="6" t="s">
        <v>53</v>
      </c>
      <c r="G1921" s="6" t="s">
        <v>7573</v>
      </c>
      <c r="H1921" s="6" t="s">
        <v>55</v>
      </c>
      <c r="I1921" s="6" t="s">
        <v>7566</v>
      </c>
      <c r="J1921" s="6" t="s">
        <v>91</v>
      </c>
      <c r="K1921" s="6" t="s">
        <v>60</v>
      </c>
      <c r="L1921" s="6" t="s">
        <v>131</v>
      </c>
      <c r="M1921" s="6" t="s">
        <v>7537</v>
      </c>
      <c r="N1921" s="6" t="s">
        <v>132</v>
      </c>
      <c r="O1921" s="36" t="s">
        <v>132</v>
      </c>
      <c r="P1921" s="36">
        <v>1.539200696E9</v>
      </c>
      <c r="Q1921" s="36" t="s">
        <v>7541</v>
      </c>
      <c r="R1921" s="6" t="s">
        <v>7542</v>
      </c>
    </row>
    <row r="1922">
      <c r="A1922" s="6" t="s">
        <v>7537</v>
      </c>
      <c r="B1922" s="6" t="s">
        <v>7537</v>
      </c>
      <c r="C1922" s="6">
        <v>313.0</v>
      </c>
      <c r="D1922" s="9" t="str">
        <f>HYPERLINK("https://www.linkedin.com/ad-library/detail/1539170696","Open Ad")</f>
        <v>Open Ad</v>
      </c>
      <c r="E1922" s="6" t="s">
        <v>91</v>
      </c>
      <c r="F1922" s="6" t="s">
        <v>53</v>
      </c>
      <c r="G1922" s="6" t="s">
        <v>7577</v>
      </c>
      <c r="H1922" s="6" t="s">
        <v>55</v>
      </c>
      <c r="I1922" s="6" t="s">
        <v>7566</v>
      </c>
      <c r="J1922" s="6" t="s">
        <v>91</v>
      </c>
      <c r="K1922" s="6" t="s">
        <v>60</v>
      </c>
      <c r="L1922" s="6" t="s">
        <v>131</v>
      </c>
      <c r="M1922" s="6" t="s">
        <v>7537</v>
      </c>
      <c r="N1922" s="6" t="s">
        <v>132</v>
      </c>
      <c r="O1922" s="36" t="s">
        <v>132</v>
      </c>
      <c r="P1922" s="36">
        <v>1.539170696E9</v>
      </c>
      <c r="Q1922" s="36" t="s">
        <v>7541</v>
      </c>
      <c r="R1922" s="6" t="s">
        <v>7542</v>
      </c>
    </row>
    <row r="1923">
      <c r="A1923" s="6" t="s">
        <v>7537</v>
      </c>
      <c r="B1923" s="6" t="s">
        <v>7537</v>
      </c>
      <c r="C1923" s="6">
        <v>314.0</v>
      </c>
      <c r="D1923" s="9" t="str">
        <f>HYPERLINK("https://www.linkedin.com/ad-library/detail/1539360596","Open Ad")</f>
        <v>Open Ad</v>
      </c>
      <c r="E1923" s="6" t="s">
        <v>91</v>
      </c>
      <c r="F1923" s="6" t="s">
        <v>53</v>
      </c>
      <c r="G1923" s="6" t="s">
        <v>7576</v>
      </c>
      <c r="H1923" s="6" t="s">
        <v>55</v>
      </c>
      <c r="I1923" s="6" t="s">
        <v>7566</v>
      </c>
      <c r="J1923" s="6" t="s">
        <v>91</v>
      </c>
      <c r="K1923" s="6" t="s">
        <v>60</v>
      </c>
      <c r="L1923" s="6" t="s">
        <v>131</v>
      </c>
      <c r="M1923" s="6" t="s">
        <v>7537</v>
      </c>
      <c r="N1923" s="6" t="s">
        <v>132</v>
      </c>
      <c r="O1923" s="36" t="s">
        <v>132</v>
      </c>
      <c r="P1923" s="36">
        <v>1.539360596E9</v>
      </c>
      <c r="Q1923" s="36" t="s">
        <v>7541</v>
      </c>
      <c r="R1923" s="6" t="s">
        <v>7542</v>
      </c>
    </row>
    <row r="1924">
      <c r="A1924" s="6" t="s">
        <v>7537</v>
      </c>
      <c r="B1924" s="6" t="s">
        <v>7537</v>
      </c>
      <c r="C1924" s="6">
        <v>315.0</v>
      </c>
      <c r="D1924" s="9" t="str">
        <f>HYPERLINK("https://www.linkedin.com/ad-library/detail/1539230696","Open Ad")</f>
        <v>Open Ad</v>
      </c>
      <c r="E1924" s="6" t="s">
        <v>91</v>
      </c>
      <c r="F1924" s="6" t="s">
        <v>53</v>
      </c>
      <c r="G1924" s="6" t="s">
        <v>7602</v>
      </c>
      <c r="H1924" s="6" t="s">
        <v>55</v>
      </c>
      <c r="I1924" s="6" t="s">
        <v>7566</v>
      </c>
      <c r="J1924" s="6" t="s">
        <v>91</v>
      </c>
      <c r="K1924" s="9" t="str">
        <f>HYPERLINK("https://media.licdn.com/dms/image/v2/D5610AQGeqnWAUh7epw/image-shrink_1280/B56Z9JWXKUJoAc-/0/1783642026908/StaticA_1_1png?e=2147483647&amp;v=beta&amp;t=VtoLRIIvB_6SmNkFagK7x5k7ozf_O0g25FDHr-3O0Cg","Open Creative")</f>
        <v>Open Creative</v>
      </c>
      <c r="L1924" s="6" t="s">
        <v>131</v>
      </c>
      <c r="M1924" s="6" t="s">
        <v>7537</v>
      </c>
      <c r="N1924" s="6" t="s">
        <v>132</v>
      </c>
      <c r="O1924" s="36" t="s">
        <v>132</v>
      </c>
      <c r="P1924" s="36">
        <v>1.539230696E9</v>
      </c>
      <c r="Q1924" s="36" t="s">
        <v>7541</v>
      </c>
      <c r="R1924" s="6" t="s">
        <v>7542</v>
      </c>
    </row>
    <row r="1925">
      <c r="A1925" s="6" t="s">
        <v>7537</v>
      </c>
      <c r="B1925" s="6" t="s">
        <v>7537</v>
      </c>
      <c r="C1925" s="6">
        <v>316.0</v>
      </c>
      <c r="D1925" s="9" t="str">
        <f>HYPERLINK("https://www.linkedin.com/ad-library/detail/1539400586","Open Ad")</f>
        <v>Open Ad</v>
      </c>
      <c r="E1925" s="6" t="s">
        <v>91</v>
      </c>
      <c r="F1925" s="6" t="s">
        <v>53</v>
      </c>
      <c r="G1925" s="6" t="s">
        <v>7605</v>
      </c>
      <c r="H1925" s="6" t="s">
        <v>55</v>
      </c>
      <c r="I1925" s="6" t="s">
        <v>7566</v>
      </c>
      <c r="J1925" s="6" t="s">
        <v>91</v>
      </c>
      <c r="K1925" s="9" t="str">
        <f>HYPERLINK("https://media.licdn.com/dms/image/v2/D5610AQHtT-BpHIdKlQ/image-shrink_1280/B56Z9Mv_AuGQAc-/0/1783699075522/StaticB_1_1png?e=2147483647&amp;v=beta&amp;t=VVED26XSFFiKyG6WnQSnhBql3EltELrjof_2fGTA4Ok","Open Creative")</f>
        <v>Open Creative</v>
      </c>
      <c r="L1925" s="6" t="s">
        <v>131</v>
      </c>
      <c r="M1925" s="6" t="s">
        <v>7537</v>
      </c>
      <c r="N1925" s="6" t="s">
        <v>132</v>
      </c>
      <c r="O1925" s="36" t="s">
        <v>132</v>
      </c>
      <c r="P1925" s="36">
        <v>1.539400586E9</v>
      </c>
      <c r="Q1925" s="36" t="s">
        <v>7541</v>
      </c>
      <c r="R1925" s="6" t="s">
        <v>7542</v>
      </c>
    </row>
    <row r="1926">
      <c r="A1926" s="6" t="s">
        <v>7537</v>
      </c>
      <c r="B1926" s="6" t="s">
        <v>7537</v>
      </c>
      <c r="C1926" s="6">
        <v>317.0</v>
      </c>
      <c r="D1926" s="9" t="str">
        <f>HYPERLINK("https://www.linkedin.com/ad-library/detail/1539310656","Open Ad")</f>
        <v>Open Ad</v>
      </c>
      <c r="E1926" s="6" t="s">
        <v>91</v>
      </c>
      <c r="F1926" s="6" t="s">
        <v>53</v>
      </c>
      <c r="G1926" s="6" t="s">
        <v>7605</v>
      </c>
      <c r="H1926" s="6" t="s">
        <v>55</v>
      </c>
      <c r="I1926" s="6" t="s">
        <v>7566</v>
      </c>
      <c r="J1926" s="6" t="s">
        <v>91</v>
      </c>
      <c r="K1926" s="9" t="str">
        <f>HYPERLINK("https://media.licdn.com/dms/image/v2/D5610AQHEvvijYsI_tQ/image-shrink_1280/B56Z9Mvp9QHUAc-/0/1783698989137/StaticA_1_1png?e=2147483647&amp;v=beta&amp;t=MTZtkJ7l5gqylxrRaIdNRy7LYGh-h4daLFiI3M0fauw","Open Creative")</f>
        <v>Open Creative</v>
      </c>
      <c r="L1926" s="6" t="s">
        <v>131</v>
      </c>
      <c r="M1926" s="6" t="s">
        <v>7537</v>
      </c>
      <c r="N1926" s="6" t="s">
        <v>132</v>
      </c>
      <c r="O1926" s="36" t="s">
        <v>132</v>
      </c>
      <c r="P1926" s="36">
        <v>1.539310656E9</v>
      </c>
      <c r="Q1926" s="36" t="s">
        <v>7541</v>
      </c>
      <c r="R1926" s="6" t="s">
        <v>7542</v>
      </c>
    </row>
    <row r="1927">
      <c r="A1927" s="6" t="s">
        <v>7537</v>
      </c>
      <c r="B1927" s="6" t="s">
        <v>7537</v>
      </c>
      <c r="C1927" s="6">
        <v>318.0</v>
      </c>
      <c r="D1927" s="9" t="str">
        <f>HYPERLINK("https://www.linkedin.com/ad-library/detail/1539400576","Open Ad")</f>
        <v>Open Ad</v>
      </c>
      <c r="E1927" s="6" t="s">
        <v>91</v>
      </c>
      <c r="F1927" s="6" t="s">
        <v>53</v>
      </c>
      <c r="G1927" s="6" t="s">
        <v>7576</v>
      </c>
      <c r="H1927" s="6" t="s">
        <v>55</v>
      </c>
      <c r="I1927" s="6" t="s">
        <v>7566</v>
      </c>
      <c r="J1927" s="6" t="s">
        <v>91</v>
      </c>
      <c r="K1927" s="6" t="s">
        <v>60</v>
      </c>
      <c r="L1927" s="6" t="s">
        <v>131</v>
      </c>
      <c r="M1927" s="6" t="s">
        <v>7537</v>
      </c>
      <c r="N1927" s="6" t="s">
        <v>132</v>
      </c>
      <c r="O1927" s="36" t="s">
        <v>132</v>
      </c>
      <c r="P1927" s="36">
        <v>1.539400576E9</v>
      </c>
      <c r="Q1927" s="36" t="s">
        <v>7541</v>
      </c>
      <c r="R1927" s="6" t="s">
        <v>7542</v>
      </c>
    </row>
    <row r="1928">
      <c r="A1928" s="6" t="s">
        <v>7537</v>
      </c>
      <c r="B1928" s="6" t="s">
        <v>7537</v>
      </c>
      <c r="C1928" s="6">
        <v>319.0</v>
      </c>
      <c r="D1928" s="9" t="str">
        <f>HYPERLINK("https://www.linkedin.com/ad-library/detail/1539360626","Open Ad")</f>
        <v>Open Ad</v>
      </c>
      <c r="E1928" s="6" t="s">
        <v>91</v>
      </c>
      <c r="F1928" s="6" t="s">
        <v>53</v>
      </c>
      <c r="G1928" s="6" t="s">
        <v>7602</v>
      </c>
      <c r="H1928" s="6" t="s">
        <v>55</v>
      </c>
      <c r="I1928" s="6" t="s">
        <v>7566</v>
      </c>
      <c r="J1928" s="6" t="s">
        <v>91</v>
      </c>
      <c r="K1928" s="9" t="str">
        <f>HYPERLINK("https://media.licdn.com/dms/image/v2/D5610AQGeqnWAUh7epw/image-shrink_1280/B56Z9JWXKUJoAc-/0/1783642026908/StaticA_1_1png?e=2147483647&amp;v=beta&amp;t=VtoLRIIvB_6SmNkFagK7x5k7ozf_O0g25FDHr-3O0Cg","Open Creative")</f>
        <v>Open Creative</v>
      </c>
      <c r="L1928" s="6" t="s">
        <v>131</v>
      </c>
      <c r="M1928" s="6" t="s">
        <v>7537</v>
      </c>
      <c r="N1928" s="6" t="s">
        <v>132</v>
      </c>
      <c r="O1928" s="36" t="s">
        <v>132</v>
      </c>
      <c r="P1928" s="36">
        <v>1.539360626E9</v>
      </c>
      <c r="Q1928" s="36" t="s">
        <v>7541</v>
      </c>
      <c r="R1928" s="6" t="s">
        <v>7542</v>
      </c>
    </row>
    <row r="1929">
      <c r="A1929" s="6" t="s">
        <v>7537</v>
      </c>
      <c r="B1929" s="6" t="s">
        <v>7537</v>
      </c>
      <c r="C1929" s="6">
        <v>320.0</v>
      </c>
      <c r="D1929" s="9" t="str">
        <f>HYPERLINK("https://www.linkedin.com/ad-library/detail/1539360646","Open Ad")</f>
        <v>Open Ad</v>
      </c>
      <c r="E1929" s="6" t="s">
        <v>154</v>
      </c>
      <c r="F1929" s="6" t="s">
        <v>53</v>
      </c>
      <c r="G1929" s="6" t="s">
        <v>7603</v>
      </c>
      <c r="H1929" s="6" t="s">
        <v>55</v>
      </c>
      <c r="I1929" s="6" t="s">
        <v>7566</v>
      </c>
      <c r="J1929" s="6" t="s">
        <v>154</v>
      </c>
      <c r="K1929" s="9" t="str">
        <f>HYPERLINK("https://dms.licdn.com/playlist/vid/v2/D5610AQGkgKeLU74ILQ/progressive-servable-video/B56Z9hvf3JKgAY-/0/1784051270316?e=2147483647&amp;v=beta&amp;t=V4d6Gtg2Tm_7eNkIGNTfwXZNbFVZhf2lkGahZpMiJ60","Open Creative")</f>
        <v>Open Creative</v>
      </c>
      <c r="L1929" s="6" t="s">
        <v>131</v>
      </c>
      <c r="M1929" s="6" t="s">
        <v>7537</v>
      </c>
      <c r="N1929" s="6" t="s">
        <v>132</v>
      </c>
      <c r="O1929" s="36" t="s">
        <v>132</v>
      </c>
      <c r="P1929" s="36">
        <v>1.539360646E9</v>
      </c>
      <c r="Q1929" s="36" t="s">
        <v>7541</v>
      </c>
      <c r="R1929" s="6" t="s">
        <v>7542</v>
      </c>
    </row>
    <row r="1930">
      <c r="A1930" s="6" t="s">
        <v>7537</v>
      </c>
      <c r="B1930" s="6" t="s">
        <v>7537</v>
      </c>
      <c r="C1930" s="6">
        <v>321.0</v>
      </c>
      <c r="D1930" s="9" t="str">
        <f>HYPERLINK("https://www.linkedin.com/ad-library/detail/1539210496","Open Ad")</f>
        <v>Open Ad</v>
      </c>
      <c r="E1930" s="6" t="s">
        <v>154</v>
      </c>
      <c r="F1930" s="6" t="s">
        <v>53</v>
      </c>
      <c r="G1930" s="6" t="s">
        <v>7606</v>
      </c>
      <c r="H1930" s="6" t="s">
        <v>55</v>
      </c>
      <c r="I1930" s="6" t="s">
        <v>7566</v>
      </c>
      <c r="J1930" s="6" t="s">
        <v>154</v>
      </c>
      <c r="K1930" s="9" t="str">
        <f>HYPERLINK("https://dms.licdn.com/playlist/vid/v2/D5610AQEtQfuXDVOiXg/progressive-servable-video/B56Z9Mz00yIUAg-/0/1783700082646?e=2147483647&amp;v=beta&amp;t=wyK6PvsqvmZIB_2t2o5kOQbhGwkPTdZDU9WzVACYGRY","Open Creative")</f>
        <v>Open Creative</v>
      </c>
      <c r="L1930" s="6" t="s">
        <v>131</v>
      </c>
      <c r="M1930" s="6" t="s">
        <v>7537</v>
      </c>
      <c r="N1930" s="6" t="s">
        <v>132</v>
      </c>
      <c r="O1930" s="36" t="s">
        <v>132</v>
      </c>
      <c r="P1930" s="36">
        <v>1.539210496E9</v>
      </c>
      <c r="Q1930" s="36" t="s">
        <v>7541</v>
      </c>
      <c r="R1930" s="6" t="s">
        <v>7542</v>
      </c>
    </row>
    <row r="1931">
      <c r="A1931" s="6" t="s">
        <v>7537</v>
      </c>
      <c r="B1931" s="6" t="s">
        <v>7537</v>
      </c>
      <c r="C1931" s="6">
        <v>322.0</v>
      </c>
      <c r="D1931" s="9" t="str">
        <f>HYPERLINK("https://www.linkedin.com/ad-library/detail/1539190576","Open Ad")</f>
        <v>Open Ad</v>
      </c>
      <c r="E1931" s="6" t="s">
        <v>91</v>
      </c>
      <c r="F1931" s="6" t="s">
        <v>53</v>
      </c>
      <c r="G1931" s="6" t="s">
        <v>7578</v>
      </c>
      <c r="H1931" s="6" t="s">
        <v>55</v>
      </c>
      <c r="I1931" s="6" t="s">
        <v>7566</v>
      </c>
      <c r="J1931" s="6" t="s">
        <v>91</v>
      </c>
      <c r="K1931" s="6" t="s">
        <v>60</v>
      </c>
      <c r="L1931" s="6" t="s">
        <v>131</v>
      </c>
      <c r="M1931" s="6" t="s">
        <v>7537</v>
      </c>
      <c r="N1931" s="6" t="s">
        <v>132</v>
      </c>
      <c r="O1931" s="36" t="s">
        <v>132</v>
      </c>
      <c r="P1931" s="36">
        <v>1.539190576E9</v>
      </c>
      <c r="Q1931" s="36" t="s">
        <v>7541</v>
      </c>
      <c r="R1931" s="6" t="s">
        <v>7542</v>
      </c>
    </row>
    <row r="1932">
      <c r="A1932" s="6" t="s">
        <v>7537</v>
      </c>
      <c r="B1932" s="6" t="s">
        <v>7537</v>
      </c>
      <c r="C1932" s="6">
        <v>323.0</v>
      </c>
      <c r="D1932" s="9" t="str">
        <f>HYPERLINK("https://www.linkedin.com/ad-library/detail/1539360636","Open Ad")</f>
        <v>Open Ad</v>
      </c>
      <c r="E1932" s="6" t="s">
        <v>154</v>
      </c>
      <c r="F1932" s="6" t="s">
        <v>53</v>
      </c>
      <c r="G1932" s="6" t="s">
        <v>7602</v>
      </c>
      <c r="H1932" s="6" t="s">
        <v>55</v>
      </c>
      <c r="I1932" s="6" t="s">
        <v>7566</v>
      </c>
      <c r="J1932" s="6" t="s">
        <v>154</v>
      </c>
      <c r="K1932" s="9" t="str">
        <f>HYPERLINK("https://dms.licdn.com/playlist/vid/v2/D5610AQGkgKeLU74ILQ/progressive-servable-video/B56Z9hvf3JKgAY-/0/1784051270316?e=2147483647&amp;v=beta&amp;t=V4d6Gtg2Tm_7eNkIGNTfwXZNbFVZhf2lkGahZpMiJ60","Open Creative")</f>
        <v>Open Creative</v>
      </c>
      <c r="L1932" s="6" t="s">
        <v>131</v>
      </c>
      <c r="M1932" s="6" t="s">
        <v>7537</v>
      </c>
      <c r="N1932" s="6" t="s">
        <v>132</v>
      </c>
      <c r="O1932" s="36" t="s">
        <v>132</v>
      </c>
      <c r="P1932" s="36">
        <v>1.539360636E9</v>
      </c>
      <c r="Q1932" s="36" t="s">
        <v>7541</v>
      </c>
      <c r="R1932" s="6" t="s">
        <v>7542</v>
      </c>
    </row>
    <row r="1933">
      <c r="A1933" s="6" t="s">
        <v>7537</v>
      </c>
      <c r="B1933" s="6" t="s">
        <v>7537</v>
      </c>
      <c r="C1933" s="6">
        <v>324.0</v>
      </c>
      <c r="D1933" s="9" t="str">
        <f>HYPERLINK("https://www.linkedin.com/ad-library/detail/1539190586","Open Ad")</f>
        <v>Open Ad</v>
      </c>
      <c r="E1933" s="6" t="s">
        <v>91</v>
      </c>
      <c r="F1933" s="6" t="s">
        <v>53</v>
      </c>
      <c r="G1933" s="6" t="s">
        <v>7573</v>
      </c>
      <c r="H1933" s="6" t="s">
        <v>55</v>
      </c>
      <c r="I1933" s="6" t="s">
        <v>7566</v>
      </c>
      <c r="J1933" s="6" t="s">
        <v>91</v>
      </c>
      <c r="K1933" s="6" t="s">
        <v>60</v>
      </c>
      <c r="L1933" s="6" t="s">
        <v>131</v>
      </c>
      <c r="M1933" s="6" t="s">
        <v>7537</v>
      </c>
      <c r="N1933" s="6" t="s">
        <v>132</v>
      </c>
      <c r="O1933" s="36" t="s">
        <v>132</v>
      </c>
      <c r="P1933" s="36">
        <v>1.539190586E9</v>
      </c>
      <c r="Q1933" s="36" t="s">
        <v>7541</v>
      </c>
      <c r="R1933" s="6" t="s">
        <v>7542</v>
      </c>
    </row>
    <row r="1934">
      <c r="A1934" s="6" t="s">
        <v>7537</v>
      </c>
      <c r="B1934" s="6" t="s">
        <v>7537</v>
      </c>
      <c r="C1934" s="6">
        <v>325.0</v>
      </c>
      <c r="D1934" s="9" t="str">
        <f>HYPERLINK("https://www.linkedin.com/ad-library/detail/1539300586","Open Ad")</f>
        <v>Open Ad</v>
      </c>
      <c r="E1934" s="6" t="s">
        <v>91</v>
      </c>
      <c r="F1934" s="6" t="s">
        <v>53</v>
      </c>
      <c r="G1934" s="6" t="s">
        <v>7573</v>
      </c>
      <c r="H1934" s="6" t="s">
        <v>55</v>
      </c>
      <c r="I1934" s="6" t="s">
        <v>7566</v>
      </c>
      <c r="J1934" s="6" t="s">
        <v>91</v>
      </c>
      <c r="K1934" s="6" t="s">
        <v>60</v>
      </c>
      <c r="L1934" s="6" t="s">
        <v>131</v>
      </c>
      <c r="M1934" s="6" t="s">
        <v>7537</v>
      </c>
      <c r="N1934" s="6" t="s">
        <v>132</v>
      </c>
      <c r="O1934" s="36" t="s">
        <v>132</v>
      </c>
      <c r="P1934" s="36">
        <v>1.539300586E9</v>
      </c>
      <c r="Q1934" s="36" t="s">
        <v>7541</v>
      </c>
      <c r="R1934" s="6" t="s">
        <v>7542</v>
      </c>
    </row>
    <row r="1935">
      <c r="A1935" s="6" t="s">
        <v>7537</v>
      </c>
      <c r="B1935" s="6" t="s">
        <v>7537</v>
      </c>
      <c r="C1935" s="6">
        <v>326.0</v>
      </c>
      <c r="D1935" s="9" t="str">
        <f>HYPERLINK("https://www.linkedin.com/ad-library/detail/1539300596","Open Ad")</f>
        <v>Open Ad</v>
      </c>
      <c r="E1935" s="6" t="s">
        <v>154</v>
      </c>
      <c r="F1935" s="6" t="s">
        <v>53</v>
      </c>
      <c r="G1935" s="6" t="s">
        <v>7606</v>
      </c>
      <c r="H1935" s="6" t="s">
        <v>55</v>
      </c>
      <c r="I1935" s="6" t="s">
        <v>7566</v>
      </c>
      <c r="J1935" s="6" t="s">
        <v>154</v>
      </c>
      <c r="K1935" s="9" t="str">
        <f>HYPERLINK("https://dms.licdn.com/playlist/vid/v2/D5610AQHAC-6rkD2EcQ/mp4-720p-30fp-crf28/B56Z9M0IthG0CE-/0/1783700165654?e=2147483647&amp;v=beta&amp;t=IRp-d5Zc0ABShKpd1S3EP4MXYHD5JYVSGD17gLNqDe8","Open Creative")</f>
        <v>Open Creative</v>
      </c>
      <c r="L1935" s="6" t="s">
        <v>131</v>
      </c>
      <c r="M1935" s="6" t="s">
        <v>7537</v>
      </c>
      <c r="N1935" s="6" t="s">
        <v>132</v>
      </c>
      <c r="O1935" s="36" t="s">
        <v>132</v>
      </c>
      <c r="P1935" s="36">
        <v>1.539300596E9</v>
      </c>
      <c r="Q1935" s="36" t="s">
        <v>7541</v>
      </c>
      <c r="R1935" s="6" t="s">
        <v>7542</v>
      </c>
    </row>
    <row r="1936">
      <c r="A1936" s="6" t="s">
        <v>7537</v>
      </c>
      <c r="B1936" s="6" t="s">
        <v>7537</v>
      </c>
      <c r="C1936" s="6">
        <v>327.0</v>
      </c>
      <c r="D1936" s="9" t="str">
        <f>HYPERLINK("https://www.linkedin.com/ad-library/detail/1539180486","Open Ad")</f>
        <v>Open Ad</v>
      </c>
      <c r="E1936" s="6" t="s">
        <v>91</v>
      </c>
      <c r="F1936" s="6" t="s">
        <v>53</v>
      </c>
      <c r="G1936" s="6" t="s">
        <v>7573</v>
      </c>
      <c r="H1936" s="6" t="s">
        <v>55</v>
      </c>
      <c r="I1936" s="6" t="s">
        <v>7566</v>
      </c>
      <c r="J1936" s="6" t="s">
        <v>91</v>
      </c>
      <c r="K1936" s="6" t="s">
        <v>60</v>
      </c>
      <c r="L1936" s="6" t="s">
        <v>131</v>
      </c>
      <c r="M1936" s="6" t="s">
        <v>7537</v>
      </c>
      <c r="N1936" s="6" t="s">
        <v>132</v>
      </c>
      <c r="O1936" s="36" t="s">
        <v>132</v>
      </c>
      <c r="P1936" s="36">
        <v>1.539180486E9</v>
      </c>
      <c r="Q1936" s="36" t="s">
        <v>7541</v>
      </c>
      <c r="R1936" s="6" t="s">
        <v>7542</v>
      </c>
    </row>
    <row r="1937">
      <c r="A1937" s="6" t="s">
        <v>7537</v>
      </c>
      <c r="B1937" s="6" t="s">
        <v>7537</v>
      </c>
      <c r="C1937" s="6">
        <v>328.0</v>
      </c>
      <c r="D1937" s="9" t="str">
        <f>HYPERLINK("https://www.linkedin.com/ad-library/detail/1539380516","Open Ad")</f>
        <v>Open Ad</v>
      </c>
      <c r="E1937" s="6" t="s">
        <v>91</v>
      </c>
      <c r="F1937" s="6" t="s">
        <v>53</v>
      </c>
      <c r="G1937" s="6" t="s">
        <v>7578</v>
      </c>
      <c r="H1937" s="6" t="s">
        <v>55</v>
      </c>
      <c r="I1937" s="6" t="s">
        <v>7566</v>
      </c>
      <c r="J1937" s="6" t="s">
        <v>91</v>
      </c>
      <c r="K1937" s="6" t="s">
        <v>60</v>
      </c>
      <c r="L1937" s="6" t="s">
        <v>131</v>
      </c>
      <c r="M1937" s="6" t="s">
        <v>7537</v>
      </c>
      <c r="N1937" s="6" t="s">
        <v>132</v>
      </c>
      <c r="O1937" s="36" t="s">
        <v>132</v>
      </c>
      <c r="P1937" s="36">
        <v>1.539380516E9</v>
      </c>
      <c r="Q1937" s="36" t="s">
        <v>7541</v>
      </c>
      <c r="R1937" s="6" t="s">
        <v>7542</v>
      </c>
    </row>
    <row r="1938">
      <c r="A1938" s="6" t="s">
        <v>7537</v>
      </c>
      <c r="B1938" s="6" t="s">
        <v>7537</v>
      </c>
      <c r="C1938" s="6">
        <v>329.0</v>
      </c>
      <c r="D1938" s="9" t="str">
        <f>HYPERLINK("https://www.linkedin.com/ad-library/detail/1539250606","Open Ad")</f>
        <v>Open Ad</v>
      </c>
      <c r="E1938" s="6" t="s">
        <v>91</v>
      </c>
      <c r="F1938" s="6" t="s">
        <v>53</v>
      </c>
      <c r="G1938" s="6" t="s">
        <v>7607</v>
      </c>
      <c r="H1938" s="6" t="s">
        <v>55</v>
      </c>
      <c r="I1938" s="6" t="s">
        <v>7566</v>
      </c>
      <c r="J1938" s="6" t="s">
        <v>91</v>
      </c>
      <c r="K1938" s="6" t="s">
        <v>60</v>
      </c>
      <c r="L1938" s="6" t="s">
        <v>131</v>
      </c>
      <c r="M1938" s="6" t="s">
        <v>7537</v>
      </c>
      <c r="N1938" s="6" t="s">
        <v>132</v>
      </c>
      <c r="O1938" s="36" t="s">
        <v>132</v>
      </c>
      <c r="P1938" s="36">
        <v>1.539250606E9</v>
      </c>
      <c r="Q1938" s="36" t="s">
        <v>7541</v>
      </c>
      <c r="R1938" s="6" t="s">
        <v>7542</v>
      </c>
    </row>
    <row r="1939">
      <c r="A1939" s="6" t="s">
        <v>7537</v>
      </c>
      <c r="B1939" s="6" t="s">
        <v>7537</v>
      </c>
      <c r="C1939" s="6">
        <v>330.0</v>
      </c>
      <c r="D1939" s="9" t="str">
        <f>HYPERLINK("https://www.linkedin.com/ad-library/detail/1539360606","Open Ad")</f>
        <v>Open Ad</v>
      </c>
      <c r="E1939" s="6" t="s">
        <v>91</v>
      </c>
      <c r="F1939" s="6" t="s">
        <v>53</v>
      </c>
      <c r="G1939" s="6" t="s">
        <v>7578</v>
      </c>
      <c r="H1939" s="6" t="s">
        <v>55</v>
      </c>
      <c r="I1939" s="6" t="s">
        <v>7566</v>
      </c>
      <c r="J1939" s="6" t="s">
        <v>91</v>
      </c>
      <c r="K1939" s="6" t="s">
        <v>60</v>
      </c>
      <c r="L1939" s="6" t="s">
        <v>131</v>
      </c>
      <c r="M1939" s="6" t="s">
        <v>7537</v>
      </c>
      <c r="N1939" s="6" t="s">
        <v>132</v>
      </c>
      <c r="O1939" s="36" t="s">
        <v>132</v>
      </c>
      <c r="P1939" s="36">
        <v>1.539360606E9</v>
      </c>
      <c r="Q1939" s="36" t="s">
        <v>7541</v>
      </c>
      <c r="R1939" s="6" t="s">
        <v>7542</v>
      </c>
    </row>
    <row r="1940">
      <c r="A1940" s="6" t="s">
        <v>7537</v>
      </c>
      <c r="B1940" s="6" t="s">
        <v>7537</v>
      </c>
      <c r="C1940" s="6">
        <v>331.0</v>
      </c>
      <c r="D1940" s="9" t="str">
        <f>HYPERLINK("https://www.linkedin.com/ad-library/detail/1539330696","Open Ad")</f>
        <v>Open Ad</v>
      </c>
      <c r="E1940" s="6" t="s">
        <v>154</v>
      </c>
      <c r="F1940" s="6" t="s">
        <v>53</v>
      </c>
      <c r="G1940" s="6" t="s">
        <v>7605</v>
      </c>
      <c r="H1940" s="6" t="s">
        <v>55</v>
      </c>
      <c r="I1940" s="6" t="s">
        <v>7566</v>
      </c>
      <c r="J1940" s="6" t="s">
        <v>154</v>
      </c>
      <c r="K1940" s="9" t="str">
        <f>HYPERLINK("https://dms.licdn.com/playlist/vid/v2/D5610AQEtQfuXDVOiXg/progressive-servable-video/B56Z9Mz00yIUAg-/0/1783700082646?e=2147483647&amp;v=beta&amp;t=wyK6PvsqvmZIB_2t2o5kOQbhGwkPTdZDU9WzVACYGRY","Open Creative")</f>
        <v>Open Creative</v>
      </c>
      <c r="L1940" s="6" t="s">
        <v>131</v>
      </c>
      <c r="M1940" s="6" t="s">
        <v>7537</v>
      </c>
      <c r="N1940" s="6" t="s">
        <v>132</v>
      </c>
      <c r="O1940" s="36" t="s">
        <v>132</v>
      </c>
      <c r="P1940" s="36">
        <v>1.539330696E9</v>
      </c>
      <c r="Q1940" s="36" t="s">
        <v>7541</v>
      </c>
      <c r="R1940" s="6" t="s">
        <v>7542</v>
      </c>
    </row>
    <row r="1941">
      <c r="A1941" s="6" t="s">
        <v>7537</v>
      </c>
      <c r="B1941" s="6" t="s">
        <v>7537</v>
      </c>
      <c r="C1941" s="6">
        <v>332.0</v>
      </c>
      <c r="D1941" s="9" t="str">
        <f>HYPERLINK("https://www.linkedin.com/ad-library/detail/1539400596","Open Ad")</f>
        <v>Open Ad</v>
      </c>
      <c r="E1941" s="6" t="s">
        <v>154</v>
      </c>
      <c r="F1941" s="6" t="s">
        <v>53</v>
      </c>
      <c r="G1941" s="6" t="s">
        <v>7603</v>
      </c>
      <c r="H1941" s="6" t="s">
        <v>55</v>
      </c>
      <c r="I1941" s="6" t="s">
        <v>7566</v>
      </c>
      <c r="J1941" s="6" t="s">
        <v>154</v>
      </c>
      <c r="K1941" s="9" t="str">
        <f>HYPERLINK("https://dms.licdn.com/playlist/vid/v2/D5610AQGkgKeLU74ILQ/progressive-servable-video/B56Z9hvf3JKgAY-/0/1784051270316?e=2147483647&amp;v=beta&amp;t=V4d6Gtg2Tm_7eNkIGNTfwXZNbFVZhf2lkGahZpMiJ60","Open Creative")</f>
        <v>Open Creative</v>
      </c>
      <c r="L1941" s="6" t="s">
        <v>131</v>
      </c>
      <c r="M1941" s="6" t="s">
        <v>7537</v>
      </c>
      <c r="N1941" s="6" t="s">
        <v>132</v>
      </c>
      <c r="O1941" s="36" t="s">
        <v>132</v>
      </c>
      <c r="P1941" s="36">
        <v>1.539400596E9</v>
      </c>
      <c r="Q1941" s="36" t="s">
        <v>7541</v>
      </c>
      <c r="R1941" s="6" t="s">
        <v>7542</v>
      </c>
    </row>
    <row r="1942">
      <c r="A1942" s="6" t="s">
        <v>7537</v>
      </c>
      <c r="B1942" s="6" t="s">
        <v>7537</v>
      </c>
      <c r="C1942" s="6">
        <v>333.0</v>
      </c>
      <c r="D1942" s="9" t="str">
        <f>HYPERLINK("https://www.linkedin.com/ad-library/detail/1539200676","Open Ad")</f>
        <v>Open Ad</v>
      </c>
      <c r="E1942" s="6" t="s">
        <v>154</v>
      </c>
      <c r="F1942" s="6" t="s">
        <v>53</v>
      </c>
      <c r="G1942" s="6" t="s">
        <v>7606</v>
      </c>
      <c r="H1942" s="6" t="s">
        <v>55</v>
      </c>
      <c r="I1942" s="6" t="s">
        <v>7566</v>
      </c>
      <c r="J1942" s="6" t="s">
        <v>154</v>
      </c>
      <c r="K1942" s="9" t="str">
        <f>HYPERLINK("https://dms.licdn.com/playlist/vid/v2/D5610AQEtQfuXDVOiXg/progressive-servable-video/B56Z9Mz00yIUAg-/0/1783700082646?e=2147483647&amp;v=beta&amp;t=wyK6PvsqvmZIB_2t2o5kOQbhGwkPTdZDU9WzVACYGRY","Open Creative")</f>
        <v>Open Creative</v>
      </c>
      <c r="L1942" s="6" t="s">
        <v>131</v>
      </c>
      <c r="M1942" s="6" t="s">
        <v>7537</v>
      </c>
      <c r="N1942" s="6" t="s">
        <v>132</v>
      </c>
      <c r="O1942" s="36" t="s">
        <v>132</v>
      </c>
      <c r="P1942" s="36">
        <v>1.539200676E9</v>
      </c>
      <c r="Q1942" s="36" t="s">
        <v>7541</v>
      </c>
      <c r="R1942" s="6" t="s">
        <v>7542</v>
      </c>
    </row>
    <row r="1943">
      <c r="A1943" s="6" t="s">
        <v>7537</v>
      </c>
      <c r="B1943" s="6" t="s">
        <v>7537</v>
      </c>
      <c r="C1943" s="6">
        <v>334.0</v>
      </c>
      <c r="D1943" s="9" t="str">
        <f>HYPERLINK("https://www.linkedin.com/ad-library/detail/1539350496","Open Ad")</f>
        <v>Open Ad</v>
      </c>
      <c r="E1943" s="6" t="s">
        <v>154</v>
      </c>
      <c r="F1943" s="6" t="s">
        <v>53</v>
      </c>
      <c r="G1943" s="6" t="s">
        <v>7603</v>
      </c>
      <c r="H1943" s="6" t="s">
        <v>55</v>
      </c>
      <c r="I1943" s="6" t="s">
        <v>7566</v>
      </c>
      <c r="J1943" s="6" t="s">
        <v>154</v>
      </c>
      <c r="K1943" s="9" t="str">
        <f>HYPERLINK("https://dms.licdn.com/playlist/vid/v2/D5610AQElQnh6MPL7gQ/mp4-640p-30fp-crf28/B56Z9hwEeDGgBo-/0/1784051422101?e=2147483647&amp;v=beta&amp;t=n6O9PrgSfT0hVQ4c2w4atkiCaX9_sTRGRbzi62OVpFs","Open Creative")</f>
        <v>Open Creative</v>
      </c>
      <c r="L1943" s="6" t="s">
        <v>131</v>
      </c>
      <c r="M1943" s="6" t="s">
        <v>7537</v>
      </c>
      <c r="N1943" s="6" t="s">
        <v>132</v>
      </c>
      <c r="O1943" s="36" t="s">
        <v>132</v>
      </c>
      <c r="P1943" s="36">
        <v>1.539350496E9</v>
      </c>
      <c r="Q1943" s="36" t="s">
        <v>7541</v>
      </c>
      <c r="R1943" s="6" t="s">
        <v>7542</v>
      </c>
    </row>
    <row r="1944">
      <c r="A1944" s="6" t="s">
        <v>7537</v>
      </c>
      <c r="B1944" s="6" t="s">
        <v>7537</v>
      </c>
      <c r="C1944" s="6">
        <v>335.0</v>
      </c>
      <c r="D1944" s="9" t="str">
        <f>HYPERLINK("https://www.linkedin.com/ad-library/detail/1539260746","Open Ad")</f>
        <v>Open Ad</v>
      </c>
      <c r="E1944" s="6" t="s">
        <v>154</v>
      </c>
      <c r="F1944" s="6" t="s">
        <v>53</v>
      </c>
      <c r="G1944" s="6" t="s">
        <v>7603</v>
      </c>
      <c r="H1944" s="6" t="s">
        <v>55</v>
      </c>
      <c r="I1944" s="6" t="s">
        <v>7566</v>
      </c>
      <c r="J1944" s="6" t="s">
        <v>154</v>
      </c>
      <c r="K1944" s="9" t="str">
        <f>HYPERLINK("https://dms.licdn.com/playlist/vid/v2/D5610AQGkgKeLU74ILQ/progressive-servable-video/B56Z9hvf3JKgAY-/0/1784051270316?e=2147483647&amp;v=beta&amp;t=V4d6Gtg2Tm_7eNkIGNTfwXZNbFVZhf2lkGahZpMiJ60","Open Creative")</f>
        <v>Open Creative</v>
      </c>
      <c r="L1944" s="6" t="s">
        <v>131</v>
      </c>
      <c r="M1944" s="6" t="s">
        <v>7537</v>
      </c>
      <c r="N1944" s="6" t="s">
        <v>132</v>
      </c>
      <c r="O1944" s="36" t="s">
        <v>132</v>
      </c>
      <c r="P1944" s="36">
        <v>1.539260746E9</v>
      </c>
      <c r="Q1944" s="36" t="s">
        <v>7541</v>
      </c>
      <c r="R1944" s="6" t="s">
        <v>7542</v>
      </c>
    </row>
    <row r="1945">
      <c r="A1945" s="6" t="s">
        <v>7537</v>
      </c>
      <c r="B1945" s="6" t="s">
        <v>7537</v>
      </c>
      <c r="C1945" s="6">
        <v>336.0</v>
      </c>
      <c r="D1945" s="9" t="str">
        <f>HYPERLINK("https://www.linkedin.com/ad-library/detail/1539370556","Open Ad")</f>
        <v>Open Ad</v>
      </c>
      <c r="E1945" s="6" t="s">
        <v>91</v>
      </c>
      <c r="F1945" s="6" t="s">
        <v>53</v>
      </c>
      <c r="G1945" s="6" t="s">
        <v>7607</v>
      </c>
      <c r="H1945" s="6" t="s">
        <v>55</v>
      </c>
      <c r="I1945" s="6" t="s">
        <v>7566</v>
      </c>
      <c r="J1945" s="6" t="s">
        <v>91</v>
      </c>
      <c r="K1945" s="6" t="s">
        <v>60</v>
      </c>
      <c r="L1945" s="6" t="s">
        <v>131</v>
      </c>
      <c r="M1945" s="6" t="s">
        <v>7537</v>
      </c>
      <c r="N1945" s="6" t="s">
        <v>132</v>
      </c>
      <c r="O1945" s="36" t="s">
        <v>132</v>
      </c>
      <c r="P1945" s="36">
        <v>1.539370556E9</v>
      </c>
      <c r="Q1945" s="36" t="s">
        <v>7541</v>
      </c>
      <c r="R1945" s="6" t="s">
        <v>7542</v>
      </c>
    </row>
    <row r="1946">
      <c r="A1946" s="6" t="s">
        <v>7537</v>
      </c>
      <c r="B1946" s="6" t="s">
        <v>7537</v>
      </c>
      <c r="C1946" s="6">
        <v>337.0</v>
      </c>
      <c r="D1946" s="9" t="str">
        <f>HYPERLINK("https://www.linkedin.com/ad-library/detail/1539260716","Open Ad")</f>
        <v>Open Ad</v>
      </c>
      <c r="E1946" s="6" t="s">
        <v>7543</v>
      </c>
      <c r="F1946" s="6" t="s">
        <v>53</v>
      </c>
      <c r="G1946" s="6" t="s">
        <v>7550</v>
      </c>
      <c r="H1946" s="6" t="s">
        <v>55</v>
      </c>
      <c r="I1946" s="6" t="s">
        <v>7566</v>
      </c>
      <c r="J1946" s="6" t="s">
        <v>7546</v>
      </c>
      <c r="K1946" s="6" t="s">
        <v>60</v>
      </c>
      <c r="L1946" s="6" t="s">
        <v>131</v>
      </c>
      <c r="M1946" s="6" t="s">
        <v>7537</v>
      </c>
      <c r="N1946" s="6" t="s">
        <v>132</v>
      </c>
      <c r="O1946" s="36" t="s">
        <v>132</v>
      </c>
      <c r="P1946" s="36">
        <v>1.539260716E9</v>
      </c>
      <c r="Q1946" s="36" t="s">
        <v>7541</v>
      </c>
      <c r="R1946" s="6" t="s">
        <v>7542</v>
      </c>
    </row>
    <row r="1947">
      <c r="A1947" s="6" t="s">
        <v>7537</v>
      </c>
      <c r="B1947" s="6" t="s">
        <v>7537</v>
      </c>
      <c r="C1947" s="6">
        <v>338.0</v>
      </c>
      <c r="D1947" s="9" t="str">
        <f>HYPERLINK("https://www.linkedin.com/ad-library/detail/1539340646","Open Ad")</f>
        <v>Open Ad</v>
      </c>
      <c r="E1947" s="6" t="s">
        <v>7543</v>
      </c>
      <c r="F1947" s="6" t="s">
        <v>53</v>
      </c>
      <c r="G1947" s="6" t="s">
        <v>7572</v>
      </c>
      <c r="H1947" s="6" t="s">
        <v>55</v>
      </c>
      <c r="I1947" s="6" t="s">
        <v>7566</v>
      </c>
      <c r="J1947" s="6" t="s">
        <v>7546</v>
      </c>
      <c r="K1947" s="6" t="s">
        <v>60</v>
      </c>
      <c r="L1947" s="6" t="s">
        <v>131</v>
      </c>
      <c r="M1947" s="6" t="s">
        <v>7537</v>
      </c>
      <c r="N1947" s="6" t="s">
        <v>132</v>
      </c>
      <c r="O1947" s="36" t="s">
        <v>132</v>
      </c>
      <c r="P1947" s="36">
        <v>1.539340646E9</v>
      </c>
      <c r="Q1947" s="36" t="s">
        <v>7541</v>
      </c>
      <c r="R1947" s="6" t="s">
        <v>7542</v>
      </c>
    </row>
    <row r="1948">
      <c r="A1948" s="6" t="s">
        <v>7537</v>
      </c>
      <c r="B1948" s="6" t="s">
        <v>7537</v>
      </c>
      <c r="C1948" s="6">
        <v>339.0</v>
      </c>
      <c r="D1948" s="9" t="str">
        <f>HYPERLINK("https://www.linkedin.com/ad-library/detail/1539260726","Open Ad")</f>
        <v>Open Ad</v>
      </c>
      <c r="E1948" s="6" t="s">
        <v>7543</v>
      </c>
      <c r="F1948" s="6" t="s">
        <v>53</v>
      </c>
      <c r="G1948" s="6" t="s">
        <v>7569</v>
      </c>
      <c r="H1948" s="6" t="s">
        <v>55</v>
      </c>
      <c r="I1948" s="6" t="s">
        <v>7566</v>
      </c>
      <c r="J1948" s="6" t="s">
        <v>7546</v>
      </c>
      <c r="K1948" s="6" t="s">
        <v>60</v>
      </c>
      <c r="L1948" s="6" t="s">
        <v>131</v>
      </c>
      <c r="M1948" s="6" t="s">
        <v>7537</v>
      </c>
      <c r="N1948" s="6" t="s">
        <v>132</v>
      </c>
      <c r="O1948" s="36" t="s">
        <v>132</v>
      </c>
      <c r="P1948" s="36">
        <v>1.539260726E9</v>
      </c>
      <c r="Q1948" s="36" t="s">
        <v>7541</v>
      </c>
      <c r="R1948" s="6" t="s">
        <v>7542</v>
      </c>
    </row>
    <row r="1949">
      <c r="A1949" s="6" t="s">
        <v>7537</v>
      </c>
      <c r="B1949" s="6" t="s">
        <v>7537</v>
      </c>
      <c r="C1949" s="6">
        <v>340.0</v>
      </c>
      <c r="D1949" s="9" t="str">
        <f>HYPERLINK("https://www.linkedin.com/ad-library/detail/1539360586","Open Ad")</f>
        <v>Open Ad</v>
      </c>
      <c r="E1949" s="6" t="s">
        <v>7543</v>
      </c>
      <c r="F1949" s="6" t="s">
        <v>53</v>
      </c>
      <c r="G1949" s="6" t="s">
        <v>7550</v>
      </c>
      <c r="H1949" s="6" t="s">
        <v>55</v>
      </c>
      <c r="I1949" s="6" t="s">
        <v>7566</v>
      </c>
      <c r="J1949" s="6" t="s">
        <v>7546</v>
      </c>
      <c r="K1949" s="6" t="s">
        <v>60</v>
      </c>
      <c r="L1949" s="6" t="s">
        <v>131</v>
      </c>
      <c r="M1949" s="6" t="s">
        <v>7537</v>
      </c>
      <c r="N1949" s="6" t="s">
        <v>132</v>
      </c>
      <c r="O1949" s="36" t="s">
        <v>132</v>
      </c>
      <c r="P1949" s="36">
        <v>1.539360586E9</v>
      </c>
      <c r="Q1949" s="36" t="s">
        <v>7541</v>
      </c>
      <c r="R1949" s="6" t="s">
        <v>7542</v>
      </c>
    </row>
    <row r="1950">
      <c r="A1950" s="6" t="s">
        <v>7537</v>
      </c>
      <c r="B1950" s="6" t="s">
        <v>7537</v>
      </c>
      <c r="C1950" s="6">
        <v>341.0</v>
      </c>
      <c r="D1950" s="9" t="str">
        <f>HYPERLINK("https://www.linkedin.com/ad-library/detail/1539400516","Open Ad")</f>
        <v>Open Ad</v>
      </c>
      <c r="E1950" s="6" t="s">
        <v>7543</v>
      </c>
      <c r="F1950" s="6" t="s">
        <v>53</v>
      </c>
      <c r="G1950" s="6" t="s">
        <v>7608</v>
      </c>
      <c r="H1950" s="6" t="s">
        <v>55</v>
      </c>
      <c r="I1950" s="6" t="s">
        <v>7566</v>
      </c>
      <c r="J1950" s="6" t="s">
        <v>7546</v>
      </c>
      <c r="K1950" s="6" t="s">
        <v>60</v>
      </c>
      <c r="L1950" s="6" t="s">
        <v>131</v>
      </c>
      <c r="M1950" s="6" t="s">
        <v>7537</v>
      </c>
      <c r="N1950" s="6" t="s">
        <v>132</v>
      </c>
      <c r="O1950" s="36" t="s">
        <v>132</v>
      </c>
      <c r="P1950" s="36">
        <v>1.539400516E9</v>
      </c>
      <c r="Q1950" s="36" t="s">
        <v>7541</v>
      </c>
      <c r="R1950" s="6" t="s">
        <v>7542</v>
      </c>
    </row>
    <row r="1951">
      <c r="A1951" s="6" t="s">
        <v>7537</v>
      </c>
      <c r="B1951" s="6" t="s">
        <v>7537</v>
      </c>
      <c r="C1951" s="6">
        <v>342.0</v>
      </c>
      <c r="D1951" s="9" t="str">
        <f>HYPERLINK("https://www.linkedin.com/ad-library/detail/1539310576","Open Ad")</f>
        <v>Open Ad</v>
      </c>
      <c r="E1951" s="6" t="s">
        <v>7543</v>
      </c>
      <c r="F1951" s="6" t="s">
        <v>53</v>
      </c>
      <c r="G1951" s="6" t="s">
        <v>7609</v>
      </c>
      <c r="H1951" s="6" t="s">
        <v>55</v>
      </c>
      <c r="I1951" s="6" t="s">
        <v>7545</v>
      </c>
      <c r="J1951" s="6" t="s">
        <v>7546</v>
      </c>
      <c r="K1951" s="6" t="s">
        <v>60</v>
      </c>
      <c r="L1951" s="6" t="s">
        <v>131</v>
      </c>
      <c r="M1951" s="6" t="s">
        <v>7537</v>
      </c>
      <c r="N1951" s="6" t="s">
        <v>132</v>
      </c>
      <c r="O1951" s="36" t="s">
        <v>132</v>
      </c>
      <c r="P1951" s="36">
        <v>1.539310576E9</v>
      </c>
      <c r="Q1951" s="36" t="s">
        <v>7541</v>
      </c>
      <c r="R1951" s="6" t="s">
        <v>7542</v>
      </c>
    </row>
    <row r="1952">
      <c r="A1952" s="6" t="s">
        <v>7537</v>
      </c>
      <c r="B1952" s="6" t="s">
        <v>7537</v>
      </c>
      <c r="C1952" s="6">
        <v>343.0</v>
      </c>
      <c r="D1952" s="9" t="str">
        <f>HYPERLINK("https://www.linkedin.com/ad-library/detail/1538505086","Open Ad")</f>
        <v>Open Ad</v>
      </c>
      <c r="E1952" s="6" t="s">
        <v>154</v>
      </c>
      <c r="F1952" s="6" t="s">
        <v>53</v>
      </c>
      <c r="G1952" s="6" t="s">
        <v>7610</v>
      </c>
      <c r="H1952" s="6" t="s">
        <v>55</v>
      </c>
      <c r="I1952" s="6" t="s">
        <v>7566</v>
      </c>
      <c r="J1952" s="6" t="s">
        <v>154</v>
      </c>
      <c r="K1952" s="9" t="str">
        <f>HYPERLINK("https://dms.licdn.com/playlist/vid/v2/D5610AQEmJQ6WMUyjvw/progressive-servable-video/B56Z_ePSJVHYAY-/0/1786139977193?e=2147483647&amp;v=beta&amp;t=Io37z8AMbhMOk95a1pXoQ4yTTtei13JI5sVSlr_KCQE","Open Creative")</f>
        <v>Open Creative</v>
      </c>
      <c r="L1952" s="6" t="s">
        <v>131</v>
      </c>
      <c r="M1952" s="6" t="s">
        <v>7537</v>
      </c>
      <c r="N1952" s="6" t="s">
        <v>132</v>
      </c>
      <c r="O1952" s="36" t="s">
        <v>132</v>
      </c>
      <c r="P1952" s="36">
        <v>1.538505086E9</v>
      </c>
      <c r="Q1952" s="36" t="s">
        <v>7541</v>
      </c>
      <c r="R1952" s="6" t="s">
        <v>7542</v>
      </c>
    </row>
    <row r="1953">
      <c r="A1953" s="6" t="s">
        <v>7537</v>
      </c>
      <c r="B1953" s="6" t="s">
        <v>7537</v>
      </c>
      <c r="C1953" s="6">
        <v>344.0</v>
      </c>
      <c r="D1953" s="9" t="str">
        <f>HYPERLINK("https://www.linkedin.com/ad-library/detail/1539400566","Open Ad")</f>
        <v>Open Ad</v>
      </c>
      <c r="E1953" s="6" t="s">
        <v>7543</v>
      </c>
      <c r="F1953" s="6" t="s">
        <v>53</v>
      </c>
      <c r="G1953" s="6" t="s">
        <v>7550</v>
      </c>
      <c r="H1953" s="6" t="s">
        <v>55</v>
      </c>
      <c r="I1953" s="6" t="s">
        <v>7566</v>
      </c>
      <c r="J1953" s="6" t="s">
        <v>7546</v>
      </c>
      <c r="K1953" s="6" t="s">
        <v>60</v>
      </c>
      <c r="L1953" s="6" t="s">
        <v>131</v>
      </c>
      <c r="M1953" s="6" t="s">
        <v>7537</v>
      </c>
      <c r="N1953" s="6" t="s">
        <v>132</v>
      </c>
      <c r="O1953" s="36" t="s">
        <v>132</v>
      </c>
      <c r="P1953" s="36">
        <v>1.539400566E9</v>
      </c>
      <c r="Q1953" s="36" t="s">
        <v>7541</v>
      </c>
      <c r="R1953" s="6" t="s">
        <v>7542</v>
      </c>
    </row>
    <row r="1954">
      <c r="A1954" s="6" t="s">
        <v>7537</v>
      </c>
      <c r="B1954" s="6" t="s">
        <v>7537</v>
      </c>
      <c r="C1954" s="6">
        <v>345.0</v>
      </c>
      <c r="D1954" s="9" t="str">
        <f>HYPERLINK("https://www.linkedin.com/ad-library/detail/1539280596","Open Ad")</f>
        <v>Open Ad</v>
      </c>
      <c r="E1954" s="6" t="s">
        <v>7543</v>
      </c>
      <c r="F1954" s="6" t="s">
        <v>53</v>
      </c>
      <c r="G1954" s="6" t="s">
        <v>7572</v>
      </c>
      <c r="H1954" s="6" t="s">
        <v>55</v>
      </c>
      <c r="I1954" s="6" t="s">
        <v>7566</v>
      </c>
      <c r="J1954" s="6" t="s">
        <v>7546</v>
      </c>
      <c r="K1954" s="6" t="s">
        <v>60</v>
      </c>
      <c r="L1954" s="6" t="s">
        <v>131</v>
      </c>
      <c r="M1954" s="6" t="s">
        <v>7537</v>
      </c>
      <c r="N1954" s="6" t="s">
        <v>132</v>
      </c>
      <c r="O1954" s="36" t="s">
        <v>132</v>
      </c>
      <c r="P1954" s="36">
        <v>1.539280596E9</v>
      </c>
      <c r="Q1954" s="36" t="s">
        <v>7541</v>
      </c>
      <c r="R1954" s="6" t="s">
        <v>7542</v>
      </c>
    </row>
    <row r="1955">
      <c r="A1955" s="6" t="s">
        <v>7537</v>
      </c>
      <c r="B1955" s="6" t="s">
        <v>7537</v>
      </c>
      <c r="C1955" s="6">
        <v>346.0</v>
      </c>
      <c r="D1955" s="9" t="str">
        <f>HYPERLINK("https://www.linkedin.com/ad-library/detail/1539280586","Open Ad")</f>
        <v>Open Ad</v>
      </c>
      <c r="E1955" s="6" t="s">
        <v>7543</v>
      </c>
      <c r="F1955" s="6" t="s">
        <v>53</v>
      </c>
      <c r="G1955" s="6" t="s">
        <v>7572</v>
      </c>
      <c r="H1955" s="6" t="s">
        <v>55</v>
      </c>
      <c r="I1955" s="6" t="s">
        <v>7566</v>
      </c>
      <c r="J1955" s="6" t="s">
        <v>7546</v>
      </c>
      <c r="K1955" s="6" t="s">
        <v>60</v>
      </c>
      <c r="L1955" s="6" t="s">
        <v>131</v>
      </c>
      <c r="M1955" s="6" t="s">
        <v>7537</v>
      </c>
      <c r="N1955" s="6" t="s">
        <v>132</v>
      </c>
      <c r="O1955" s="36" t="s">
        <v>132</v>
      </c>
      <c r="P1955" s="36">
        <v>1.539280586E9</v>
      </c>
      <c r="Q1955" s="36" t="s">
        <v>7541</v>
      </c>
      <c r="R1955" s="6" t="s">
        <v>7542</v>
      </c>
    </row>
    <row r="1956">
      <c r="A1956" s="6" t="s">
        <v>7537</v>
      </c>
      <c r="B1956" s="6" t="s">
        <v>7537</v>
      </c>
      <c r="C1956" s="6">
        <v>347.0</v>
      </c>
      <c r="D1956" s="9" t="str">
        <f>HYPERLINK("https://www.linkedin.com/ad-library/detail/1539310636","Open Ad")</f>
        <v>Open Ad</v>
      </c>
      <c r="E1956" s="6" t="s">
        <v>91</v>
      </c>
      <c r="F1956" s="6" t="s">
        <v>53</v>
      </c>
      <c r="G1956" s="6" t="s">
        <v>7610</v>
      </c>
      <c r="H1956" s="6" t="s">
        <v>55</v>
      </c>
      <c r="I1956" s="6" t="s">
        <v>7566</v>
      </c>
      <c r="J1956" s="6" t="s">
        <v>91</v>
      </c>
      <c r="K1956" s="9" t="str">
        <f>HYPERLINK("https://media.licdn.com/dms/image/v2/D5610AQE_GptXhOpPNg/image-pad_1200_1200/B4DZ8FR0wlGwAI-/0/1782499986662?e=1789473600&amp;v=beta&amp;t=YAbo8YTM_BDza9aHtGN18JvPtTxWGzIGR7_my6aDXc8","Open Creative")</f>
        <v>Open Creative</v>
      </c>
      <c r="L1956" s="6" t="s">
        <v>131</v>
      </c>
      <c r="M1956" s="6" t="s">
        <v>7537</v>
      </c>
      <c r="N1956" s="6" t="s">
        <v>132</v>
      </c>
      <c r="O1956" s="36" t="s">
        <v>132</v>
      </c>
      <c r="P1956" s="36">
        <v>1.539310636E9</v>
      </c>
      <c r="Q1956" s="36" t="s">
        <v>7541</v>
      </c>
      <c r="R1956" s="6" t="s">
        <v>7542</v>
      </c>
    </row>
    <row r="1957">
      <c r="A1957" s="6" t="s">
        <v>7537</v>
      </c>
      <c r="B1957" s="6" t="s">
        <v>7537</v>
      </c>
      <c r="C1957" s="6">
        <v>348.0</v>
      </c>
      <c r="D1957" s="9" t="str">
        <f>HYPERLINK("https://www.linkedin.com/ad-library/detail/1539210436","Open Ad")</f>
        <v>Open Ad</v>
      </c>
      <c r="E1957" s="6" t="s">
        <v>7543</v>
      </c>
      <c r="F1957" s="6" t="s">
        <v>53</v>
      </c>
      <c r="G1957" s="6" t="s">
        <v>7572</v>
      </c>
      <c r="H1957" s="6" t="s">
        <v>55</v>
      </c>
      <c r="I1957" s="6" t="s">
        <v>7566</v>
      </c>
      <c r="J1957" s="6" t="s">
        <v>7546</v>
      </c>
      <c r="K1957" s="6" t="s">
        <v>60</v>
      </c>
      <c r="L1957" s="6" t="s">
        <v>131</v>
      </c>
      <c r="M1957" s="6" t="s">
        <v>7537</v>
      </c>
      <c r="N1957" s="6" t="s">
        <v>132</v>
      </c>
      <c r="O1957" s="36" t="s">
        <v>132</v>
      </c>
      <c r="P1957" s="36">
        <v>1.539210436E9</v>
      </c>
      <c r="Q1957" s="36" t="s">
        <v>7541</v>
      </c>
      <c r="R1957" s="6" t="s">
        <v>7542</v>
      </c>
    </row>
    <row r="1958">
      <c r="A1958" s="6" t="s">
        <v>7537</v>
      </c>
      <c r="B1958" s="6" t="s">
        <v>7537</v>
      </c>
      <c r="C1958" s="6">
        <v>349.0</v>
      </c>
      <c r="D1958" s="9" t="str">
        <f>HYPERLINK("https://www.linkedin.com/ad-library/detail/1538436646","Open Ad")</f>
        <v>Open Ad</v>
      </c>
      <c r="E1958" s="6" t="s">
        <v>154</v>
      </c>
      <c r="F1958" s="6" t="s">
        <v>53</v>
      </c>
      <c r="G1958" s="6" t="s">
        <v>7610</v>
      </c>
      <c r="H1958" s="6" t="s">
        <v>55</v>
      </c>
      <c r="I1958" s="6" t="s">
        <v>7566</v>
      </c>
      <c r="J1958" s="6" t="s">
        <v>154</v>
      </c>
      <c r="K1958" s="9" t="str">
        <f>HYPERLINK("https://dms.licdn.com/playlist/vid/v2/D5610AQGCpeRj84Atug/mp4-640p-30fp-crf28/B56Z_eN5KvGQBo-/0/1786139614017?e=2147483647&amp;v=beta&amp;t=2VTWX1_QGxATLkJ9aXWVxL2sKWnsO03YmAJxKYTWgaM","Open Creative")</f>
        <v>Open Creative</v>
      </c>
      <c r="L1958" s="6" t="s">
        <v>131</v>
      </c>
      <c r="M1958" s="6" t="s">
        <v>7537</v>
      </c>
      <c r="N1958" s="6" t="s">
        <v>132</v>
      </c>
      <c r="O1958" s="36" t="s">
        <v>132</v>
      </c>
      <c r="P1958" s="36">
        <v>1.538436646E9</v>
      </c>
      <c r="Q1958" s="36" t="s">
        <v>7541</v>
      </c>
      <c r="R1958" s="6" t="s">
        <v>7542</v>
      </c>
    </row>
    <row r="1959">
      <c r="A1959" s="6" t="s">
        <v>7537</v>
      </c>
      <c r="B1959" s="6" t="s">
        <v>7537</v>
      </c>
      <c r="C1959" s="6">
        <v>350.0</v>
      </c>
      <c r="D1959" s="9" t="str">
        <f>HYPERLINK("https://www.linkedin.com/ad-library/detail/1493058644","Open Ad")</f>
        <v>Open Ad</v>
      </c>
      <c r="E1959" s="6" t="s">
        <v>91</v>
      </c>
      <c r="F1959" s="6" t="s">
        <v>53</v>
      </c>
      <c r="G1959" s="6" t="s">
        <v>7611</v>
      </c>
      <c r="H1959" s="6" t="s">
        <v>55</v>
      </c>
      <c r="I1959" s="6" t="s">
        <v>7566</v>
      </c>
      <c r="J1959" s="6" t="s">
        <v>91</v>
      </c>
      <c r="K1959" s="9" t="str">
        <f>HYPERLINK("https://media.licdn.com/dms/image/v2/D4E22AQHsQ-iOOBVXNQ/feedshare-image-high-res/B4EZ3zc4feIMAU-/0/1777905928447?e=2147483647&amp;v=beta&amp;t=L85KO8sqzgVngpfzlmmQ-Vk_qUWT3Jv-gk6ym1-cDss","Open Creative")</f>
        <v>Open Creative</v>
      </c>
      <c r="L1959" s="6" t="s">
        <v>131</v>
      </c>
      <c r="M1959" s="6" t="s">
        <v>7537</v>
      </c>
      <c r="N1959" s="6" t="s">
        <v>132</v>
      </c>
      <c r="O1959" s="36" t="s">
        <v>132</v>
      </c>
      <c r="P1959" s="36">
        <v>1.493058644E9</v>
      </c>
      <c r="Q1959" s="36" t="s">
        <v>7541</v>
      </c>
      <c r="R1959" s="6" t="s">
        <v>7542</v>
      </c>
    </row>
    <row r="1960">
      <c r="A1960" s="6" t="s">
        <v>7537</v>
      </c>
      <c r="B1960" s="6" t="s">
        <v>7537</v>
      </c>
      <c r="C1960" s="6">
        <v>351.0</v>
      </c>
      <c r="D1960" s="9" t="str">
        <f>HYPERLINK("https://www.linkedin.com/ad-library/detail/1539210446","Open Ad")</f>
        <v>Open Ad</v>
      </c>
      <c r="E1960" s="6" t="s">
        <v>7543</v>
      </c>
      <c r="F1960" s="6" t="s">
        <v>53</v>
      </c>
      <c r="G1960" s="6" t="s">
        <v>7609</v>
      </c>
      <c r="H1960" s="6" t="s">
        <v>55</v>
      </c>
      <c r="I1960" s="6" t="s">
        <v>7566</v>
      </c>
      <c r="J1960" s="6" t="s">
        <v>7546</v>
      </c>
      <c r="K1960" s="6" t="s">
        <v>60</v>
      </c>
      <c r="L1960" s="6" t="s">
        <v>131</v>
      </c>
      <c r="M1960" s="6" t="s">
        <v>7537</v>
      </c>
      <c r="N1960" s="6" t="s">
        <v>132</v>
      </c>
      <c r="O1960" s="36" t="s">
        <v>132</v>
      </c>
      <c r="P1960" s="36">
        <v>1.539210446E9</v>
      </c>
      <c r="Q1960" s="36" t="s">
        <v>7541</v>
      </c>
      <c r="R1960" s="6" t="s">
        <v>7542</v>
      </c>
    </row>
    <row r="1961">
      <c r="A1961" s="6" t="s">
        <v>7537</v>
      </c>
      <c r="B1961" s="6" t="s">
        <v>7537</v>
      </c>
      <c r="C1961" s="6">
        <v>352.0</v>
      </c>
      <c r="D1961" s="9" t="str">
        <f>HYPERLINK("https://www.linkedin.com/ad-library/detail/1538524846","Open Ad")</f>
        <v>Open Ad</v>
      </c>
      <c r="E1961" s="6" t="s">
        <v>154</v>
      </c>
      <c r="F1961" s="6" t="s">
        <v>53</v>
      </c>
      <c r="G1961" s="6" t="s">
        <v>7610</v>
      </c>
      <c r="H1961" s="6" t="s">
        <v>55</v>
      </c>
      <c r="I1961" s="6" t="s">
        <v>7566</v>
      </c>
      <c r="J1961" s="6" t="s">
        <v>154</v>
      </c>
      <c r="K1961" s="9" t="str">
        <f>HYPERLINK("https://dms.licdn.com/playlist/vid/v2/D5610AQGCpeRj84Atug/mp4-640p-30fp-crf28/B56Z_eN5KvGQBo-/0/1786139614017?e=2147483647&amp;v=beta&amp;t=2VTWX1_QGxATLkJ9aXWVxL2sKWnsO03YmAJxKYTWgaM","Open Creative")</f>
        <v>Open Creative</v>
      </c>
      <c r="L1961" s="6" t="s">
        <v>131</v>
      </c>
      <c r="M1961" s="6" t="s">
        <v>7537</v>
      </c>
      <c r="N1961" s="6" t="s">
        <v>132</v>
      </c>
      <c r="O1961" s="36" t="s">
        <v>132</v>
      </c>
      <c r="P1961" s="36">
        <v>1.538524846E9</v>
      </c>
      <c r="Q1961" s="36" t="s">
        <v>7541</v>
      </c>
      <c r="R1961" s="6" t="s">
        <v>7542</v>
      </c>
    </row>
    <row r="1962">
      <c r="A1962" s="6" t="s">
        <v>7537</v>
      </c>
      <c r="B1962" s="6" t="s">
        <v>7537</v>
      </c>
      <c r="C1962" s="6">
        <v>353.0</v>
      </c>
      <c r="D1962" s="9" t="str">
        <f>HYPERLINK("https://www.linkedin.com/ad-library/detail/1538544476","Open Ad")</f>
        <v>Open Ad</v>
      </c>
      <c r="E1962" s="6" t="s">
        <v>154</v>
      </c>
      <c r="F1962" s="6" t="s">
        <v>53</v>
      </c>
      <c r="G1962" s="6" t="s">
        <v>7610</v>
      </c>
      <c r="H1962" s="6" t="s">
        <v>55</v>
      </c>
      <c r="I1962" s="6" t="s">
        <v>7566</v>
      </c>
      <c r="J1962" s="6" t="s">
        <v>154</v>
      </c>
      <c r="K1962" s="9" t="str">
        <f>HYPERLINK("https://dms.licdn.com/playlist/vid/v2/D5610AQEmJQ6WMUyjvw/progressive-servable-video/B56Z_ePSJVHYAY-/0/1786139977193?e=2147483647&amp;v=beta&amp;t=Io37z8AMbhMOk95a1pXoQ4yTTtei13JI5sVSlr_KCQE","Open Creative")</f>
        <v>Open Creative</v>
      </c>
      <c r="L1962" s="6" t="s">
        <v>131</v>
      </c>
      <c r="M1962" s="6" t="s">
        <v>7537</v>
      </c>
      <c r="N1962" s="6" t="s">
        <v>132</v>
      </c>
      <c r="O1962" s="36" t="s">
        <v>132</v>
      </c>
      <c r="P1962" s="36">
        <v>1.538544476E9</v>
      </c>
      <c r="Q1962" s="36" t="s">
        <v>7541</v>
      </c>
      <c r="R1962" s="6" t="s">
        <v>7542</v>
      </c>
    </row>
    <row r="1963">
      <c r="A1963" s="6" t="s">
        <v>7537</v>
      </c>
      <c r="B1963" s="6" t="s">
        <v>7537</v>
      </c>
      <c r="C1963" s="6">
        <v>354.0</v>
      </c>
      <c r="D1963" s="9" t="str">
        <f>HYPERLINK("https://www.linkedin.com/ad-library/detail/1539350436","Open Ad")</f>
        <v>Open Ad</v>
      </c>
      <c r="E1963" s="6" t="s">
        <v>7543</v>
      </c>
      <c r="F1963" s="6" t="s">
        <v>53</v>
      </c>
      <c r="G1963" s="6" t="s">
        <v>7612</v>
      </c>
      <c r="H1963" s="6" t="s">
        <v>55</v>
      </c>
      <c r="I1963" s="6" t="s">
        <v>7566</v>
      </c>
      <c r="J1963" s="6" t="s">
        <v>7546</v>
      </c>
      <c r="K1963" s="6" t="s">
        <v>60</v>
      </c>
      <c r="L1963" s="6" t="s">
        <v>131</v>
      </c>
      <c r="M1963" s="6" t="s">
        <v>7537</v>
      </c>
      <c r="N1963" s="6" t="s">
        <v>132</v>
      </c>
      <c r="O1963" s="36" t="s">
        <v>132</v>
      </c>
      <c r="P1963" s="36">
        <v>1.539350436E9</v>
      </c>
      <c r="Q1963" s="36" t="s">
        <v>7541</v>
      </c>
      <c r="R1963" s="6" t="s">
        <v>7542</v>
      </c>
    </row>
    <row r="1964">
      <c r="A1964" s="6" t="s">
        <v>7537</v>
      </c>
      <c r="B1964" s="6" t="s">
        <v>7537</v>
      </c>
      <c r="C1964" s="6">
        <v>355.0</v>
      </c>
      <c r="D1964" s="9" t="str">
        <f>HYPERLINK("https://www.linkedin.com/ad-library/detail/1539380506","Open Ad")</f>
        <v>Open Ad</v>
      </c>
      <c r="E1964" s="6" t="s">
        <v>7543</v>
      </c>
      <c r="F1964" s="6" t="s">
        <v>53</v>
      </c>
      <c r="G1964" s="6" t="s">
        <v>7572</v>
      </c>
      <c r="H1964" s="6" t="s">
        <v>55</v>
      </c>
      <c r="I1964" s="6" t="s">
        <v>7566</v>
      </c>
      <c r="J1964" s="6" t="s">
        <v>7546</v>
      </c>
      <c r="K1964" s="6" t="s">
        <v>60</v>
      </c>
      <c r="L1964" s="6" t="s">
        <v>131</v>
      </c>
      <c r="M1964" s="6" t="s">
        <v>7537</v>
      </c>
      <c r="N1964" s="6" t="s">
        <v>132</v>
      </c>
      <c r="O1964" s="36" t="s">
        <v>132</v>
      </c>
      <c r="P1964" s="36">
        <v>1.539380506E9</v>
      </c>
      <c r="Q1964" s="36" t="s">
        <v>7541</v>
      </c>
      <c r="R1964" s="6" t="s">
        <v>7542</v>
      </c>
    </row>
    <row r="1965">
      <c r="A1965" s="6" t="s">
        <v>7537</v>
      </c>
      <c r="B1965" s="6" t="s">
        <v>7537</v>
      </c>
      <c r="C1965" s="6">
        <v>356.0</v>
      </c>
      <c r="D1965" s="9" t="str">
        <f>HYPERLINK("https://www.linkedin.com/ad-library/detail/1539270486","Open Ad")</f>
        <v>Open Ad</v>
      </c>
      <c r="E1965" s="6" t="s">
        <v>7543</v>
      </c>
      <c r="F1965" s="6" t="s">
        <v>53</v>
      </c>
      <c r="G1965" s="6" t="s">
        <v>7613</v>
      </c>
      <c r="H1965" s="6" t="s">
        <v>55</v>
      </c>
      <c r="I1965" s="6" t="s">
        <v>7566</v>
      </c>
      <c r="J1965" s="6" t="s">
        <v>7546</v>
      </c>
      <c r="K1965" s="6" t="s">
        <v>60</v>
      </c>
      <c r="L1965" s="6" t="s">
        <v>131</v>
      </c>
      <c r="M1965" s="6" t="s">
        <v>7537</v>
      </c>
      <c r="N1965" s="6" t="s">
        <v>132</v>
      </c>
      <c r="O1965" s="36" t="s">
        <v>132</v>
      </c>
      <c r="P1965" s="36">
        <v>1.539270486E9</v>
      </c>
      <c r="Q1965" s="36" t="s">
        <v>7541</v>
      </c>
      <c r="R1965" s="6" t="s">
        <v>7542</v>
      </c>
    </row>
    <row r="1966">
      <c r="A1966" s="6" t="s">
        <v>7537</v>
      </c>
      <c r="B1966" s="6" t="s">
        <v>7537</v>
      </c>
      <c r="C1966" s="6">
        <v>357.0</v>
      </c>
      <c r="D1966" s="9" t="str">
        <f>HYPERLINK("https://www.linkedin.com/ad-library/detail/1539270496","Open Ad")</f>
        <v>Open Ad</v>
      </c>
      <c r="E1966" s="6" t="s">
        <v>7543</v>
      </c>
      <c r="F1966" s="6" t="s">
        <v>53</v>
      </c>
      <c r="G1966" s="6" t="s">
        <v>7612</v>
      </c>
      <c r="H1966" s="6" t="s">
        <v>55</v>
      </c>
      <c r="I1966" s="6" t="s">
        <v>7566</v>
      </c>
      <c r="J1966" s="6" t="s">
        <v>7546</v>
      </c>
      <c r="K1966" s="6" t="s">
        <v>60</v>
      </c>
      <c r="L1966" s="6" t="s">
        <v>131</v>
      </c>
      <c r="M1966" s="6" t="s">
        <v>7537</v>
      </c>
      <c r="N1966" s="6" t="s">
        <v>132</v>
      </c>
      <c r="O1966" s="36" t="s">
        <v>132</v>
      </c>
      <c r="P1966" s="36">
        <v>1.539270496E9</v>
      </c>
      <c r="Q1966" s="36" t="s">
        <v>7541</v>
      </c>
      <c r="R1966" s="6" t="s">
        <v>7542</v>
      </c>
    </row>
    <row r="1967">
      <c r="A1967" s="6" t="s">
        <v>7537</v>
      </c>
      <c r="B1967" s="6" t="s">
        <v>7537</v>
      </c>
      <c r="C1967" s="6">
        <v>358.0</v>
      </c>
      <c r="D1967" s="9" t="str">
        <f>HYPERLINK("https://www.linkedin.com/ad-library/detail/1539370526","Open Ad")</f>
        <v>Open Ad</v>
      </c>
      <c r="E1967" s="6" t="s">
        <v>7543</v>
      </c>
      <c r="F1967" s="6" t="s">
        <v>53</v>
      </c>
      <c r="G1967" s="6" t="s">
        <v>7612</v>
      </c>
      <c r="H1967" s="6" t="s">
        <v>55</v>
      </c>
      <c r="I1967" s="6" t="s">
        <v>7566</v>
      </c>
      <c r="J1967" s="6" t="s">
        <v>7546</v>
      </c>
      <c r="K1967" s="6" t="s">
        <v>60</v>
      </c>
      <c r="L1967" s="6" t="s">
        <v>131</v>
      </c>
      <c r="M1967" s="6" t="s">
        <v>7537</v>
      </c>
      <c r="N1967" s="6" t="s">
        <v>132</v>
      </c>
      <c r="O1967" s="36" t="s">
        <v>132</v>
      </c>
      <c r="P1967" s="36">
        <v>1.539370526E9</v>
      </c>
      <c r="Q1967" s="36" t="s">
        <v>7541</v>
      </c>
      <c r="R1967" s="6" t="s">
        <v>7542</v>
      </c>
    </row>
    <row r="1968">
      <c r="A1968" s="6" t="s">
        <v>7537</v>
      </c>
      <c r="B1968" s="6" t="s">
        <v>7537</v>
      </c>
      <c r="C1968" s="6">
        <v>359.0</v>
      </c>
      <c r="D1968" s="9" t="str">
        <f>HYPERLINK("https://www.linkedin.com/ad-library/detail/1539390576","Open Ad")</f>
        <v>Open Ad</v>
      </c>
      <c r="E1968" s="6" t="s">
        <v>7543</v>
      </c>
      <c r="F1968" s="6" t="s">
        <v>53</v>
      </c>
      <c r="G1968" s="6" t="s">
        <v>7550</v>
      </c>
      <c r="H1968" s="6" t="s">
        <v>55</v>
      </c>
      <c r="I1968" s="6" t="s">
        <v>7566</v>
      </c>
      <c r="J1968" s="6" t="s">
        <v>7546</v>
      </c>
      <c r="K1968" s="6" t="s">
        <v>60</v>
      </c>
      <c r="L1968" s="6" t="s">
        <v>131</v>
      </c>
      <c r="M1968" s="6" t="s">
        <v>7537</v>
      </c>
      <c r="N1968" s="6" t="s">
        <v>132</v>
      </c>
      <c r="O1968" s="36" t="s">
        <v>132</v>
      </c>
      <c r="P1968" s="36">
        <v>1.539390576E9</v>
      </c>
      <c r="Q1968" s="36" t="s">
        <v>7541</v>
      </c>
      <c r="R1968" s="6" t="s">
        <v>7542</v>
      </c>
    </row>
    <row r="1969">
      <c r="A1969" s="6" t="s">
        <v>7537</v>
      </c>
      <c r="B1969" s="6" t="s">
        <v>7537</v>
      </c>
      <c r="C1969" s="6">
        <v>360.0</v>
      </c>
      <c r="D1969" s="9" t="str">
        <f>HYPERLINK("https://www.linkedin.com/ad-library/detail/1494180204","Open Ad")</f>
        <v>Open Ad</v>
      </c>
      <c r="E1969" s="6" t="s">
        <v>91</v>
      </c>
      <c r="F1969" s="6" t="s">
        <v>53</v>
      </c>
      <c r="G1969" s="6" t="s">
        <v>7614</v>
      </c>
      <c r="H1969" s="6" t="s">
        <v>55</v>
      </c>
      <c r="I1969" s="6" t="s">
        <v>7566</v>
      </c>
      <c r="J1969" s="6" t="s">
        <v>91</v>
      </c>
      <c r="K1969" s="9" t="str">
        <f>HYPERLINK("https://media.licdn.com/dms/image/v2/D4E22AQHqQ5H73IKatQ/feedshare-image-high-res/B4EZ3zzSFiHMAU-/0/1777911800529?e=2147483647&amp;v=beta&amp;t=qblordAcoyQ1q4SnwDGV-PHk-smYhZECyzWyulo8f9s","Open Creative")</f>
        <v>Open Creative</v>
      </c>
      <c r="L1969" s="6" t="s">
        <v>131</v>
      </c>
      <c r="M1969" s="6" t="s">
        <v>7537</v>
      </c>
      <c r="N1969" s="6" t="s">
        <v>132</v>
      </c>
      <c r="O1969" s="36" t="s">
        <v>132</v>
      </c>
      <c r="P1969" s="36">
        <v>1.494180204E9</v>
      </c>
      <c r="Q1969" s="36" t="s">
        <v>7541</v>
      </c>
      <c r="R1969" s="6" t="s">
        <v>7542</v>
      </c>
    </row>
    <row r="1970">
      <c r="A1970" s="6" t="s">
        <v>7537</v>
      </c>
      <c r="B1970" s="6" t="s">
        <v>7537</v>
      </c>
      <c r="C1970" s="6">
        <v>361.0</v>
      </c>
      <c r="D1970" s="9" t="str">
        <f>HYPERLINK("https://www.linkedin.com/ad-library/detail/1493078564","Open Ad")</f>
        <v>Open Ad</v>
      </c>
      <c r="E1970" s="6" t="s">
        <v>91</v>
      </c>
      <c r="F1970" s="6" t="s">
        <v>53</v>
      </c>
      <c r="G1970" s="6" t="s">
        <v>7615</v>
      </c>
      <c r="H1970" s="6" t="s">
        <v>55</v>
      </c>
      <c r="I1970" s="6" t="s">
        <v>7566</v>
      </c>
      <c r="J1970" s="6" t="s">
        <v>91</v>
      </c>
      <c r="K1970" s="9" t="str">
        <f>HYPERLINK("https://media.licdn.com/dms/image/v2/D4E22AQHR6Egnuw3qVw/feedshare-image-high-res/B4EZ3z.h4pIwAU-/0/1777914748769?e=2147483647&amp;v=beta&amp;t=irHH_77wAYeH-Ii3d_bji7h-P_31fkrfntPhqu4X-g0","Open Creative")</f>
        <v>Open Creative</v>
      </c>
      <c r="L1970" s="6" t="s">
        <v>131</v>
      </c>
      <c r="M1970" s="6" t="s">
        <v>7537</v>
      </c>
      <c r="N1970" s="6" t="s">
        <v>132</v>
      </c>
      <c r="O1970" s="36" t="s">
        <v>132</v>
      </c>
      <c r="P1970" s="36">
        <v>1.493078564E9</v>
      </c>
      <c r="Q1970" s="36" t="s">
        <v>7541</v>
      </c>
      <c r="R1970" s="6" t="s">
        <v>7542</v>
      </c>
    </row>
    <row r="1971">
      <c r="A1971" s="6" t="s">
        <v>7537</v>
      </c>
      <c r="B1971" s="6" t="s">
        <v>7537</v>
      </c>
      <c r="C1971" s="6">
        <v>362.0</v>
      </c>
      <c r="D1971" s="9" t="str">
        <f>HYPERLINK("https://www.linkedin.com/ad-library/detail/1537561326","Open Ad")</f>
        <v>Open Ad</v>
      </c>
      <c r="E1971" s="6" t="s">
        <v>91</v>
      </c>
      <c r="F1971" s="6" t="s">
        <v>53</v>
      </c>
      <c r="G1971" s="6" t="s">
        <v>7616</v>
      </c>
      <c r="H1971" s="6" t="s">
        <v>55</v>
      </c>
      <c r="I1971" s="6" t="s">
        <v>7566</v>
      </c>
      <c r="J1971" s="6" t="s">
        <v>91</v>
      </c>
      <c r="K1971" s="9" t="str">
        <f>HYPERLINK("https://media.licdn.com/dms/image/v2/D5610AQF0Hf4omFRqQQ/image-shrink_1280/B56Z_Tb6d0G8Ac-/0/1785958738856/Forrester_13Augpng?e=2147483647&amp;v=beta&amp;t=CZwfdCcYpV12W-uA3KS7-1Fdmlaxo3rdljtm4q9gLwo","Open Creative")</f>
        <v>Open Creative</v>
      </c>
      <c r="L1971" s="6" t="s">
        <v>131</v>
      </c>
      <c r="M1971" s="6" t="s">
        <v>7537</v>
      </c>
      <c r="N1971" s="6" t="s">
        <v>132</v>
      </c>
      <c r="O1971" s="36" t="s">
        <v>132</v>
      </c>
      <c r="P1971" s="36">
        <v>1.537561326E9</v>
      </c>
      <c r="Q1971" s="36" t="s">
        <v>7541</v>
      </c>
      <c r="R1971" s="6" t="s">
        <v>7542</v>
      </c>
    </row>
    <row r="1972">
      <c r="A1972" s="6" t="s">
        <v>7537</v>
      </c>
      <c r="B1972" s="6" t="s">
        <v>7537</v>
      </c>
      <c r="C1972" s="6">
        <v>363.0</v>
      </c>
      <c r="D1972" s="9" t="str">
        <f>HYPERLINK("https://www.linkedin.com/ad-library/detail/1537485616","Open Ad")</f>
        <v>Open Ad</v>
      </c>
      <c r="E1972" s="6" t="s">
        <v>91</v>
      </c>
      <c r="F1972" s="6" t="s">
        <v>53</v>
      </c>
      <c r="G1972" s="6" t="s">
        <v>7617</v>
      </c>
      <c r="H1972" s="6" t="s">
        <v>55</v>
      </c>
      <c r="I1972" s="6" t="s">
        <v>7566</v>
      </c>
      <c r="J1972" s="6" t="s">
        <v>91</v>
      </c>
      <c r="K1972" s="9" t="str">
        <f t="shared" ref="K1972:K1973" si="26">HYPERLINK("https://media.licdn.com/dms/image/v2/D5610AQEpQG9yGB9fpw/image-shrink_1280/B56Z_TbuEGG8Ak-/0/1785958688106/Forrester_13Augpng?e=2147483647&amp;v=beta&amp;t=lASggODSv1Pc_JlHB6RhpyVBLDXdn9ZTX1iWVdDJAIo","Open Creative")</f>
        <v>Open Creative</v>
      </c>
      <c r="L1972" s="6" t="s">
        <v>131</v>
      </c>
      <c r="M1972" s="6" t="s">
        <v>7537</v>
      </c>
      <c r="N1972" s="6" t="s">
        <v>132</v>
      </c>
      <c r="O1972" s="36" t="s">
        <v>132</v>
      </c>
      <c r="P1972" s="36">
        <v>1.537485616E9</v>
      </c>
      <c r="Q1972" s="36" t="s">
        <v>7541</v>
      </c>
      <c r="R1972" s="6" t="s">
        <v>7542</v>
      </c>
    </row>
    <row r="1973">
      <c r="A1973" s="6" t="s">
        <v>7537</v>
      </c>
      <c r="B1973" s="6" t="s">
        <v>7537</v>
      </c>
      <c r="C1973" s="6">
        <v>364.0</v>
      </c>
      <c r="D1973" s="9" t="str">
        <f>HYPERLINK("https://www.linkedin.com/ad-library/detail/1536859046","Open Ad")</f>
        <v>Open Ad</v>
      </c>
      <c r="E1973" s="6" t="s">
        <v>91</v>
      </c>
      <c r="F1973" s="6" t="s">
        <v>53</v>
      </c>
      <c r="G1973" s="6" t="s">
        <v>7617</v>
      </c>
      <c r="H1973" s="6" t="s">
        <v>55</v>
      </c>
      <c r="I1973" s="6" t="s">
        <v>7566</v>
      </c>
      <c r="J1973" s="6" t="s">
        <v>91</v>
      </c>
      <c r="K1973" s="9" t="str">
        <f t="shared" si="26"/>
        <v>Open Creative</v>
      </c>
      <c r="L1973" s="6" t="s">
        <v>131</v>
      </c>
      <c r="M1973" s="6" t="s">
        <v>7537</v>
      </c>
      <c r="N1973" s="6" t="s">
        <v>132</v>
      </c>
      <c r="O1973" s="36" t="s">
        <v>132</v>
      </c>
      <c r="P1973" s="36">
        <v>1.536859046E9</v>
      </c>
      <c r="Q1973" s="36" t="s">
        <v>7541</v>
      </c>
      <c r="R1973" s="6" t="s">
        <v>7542</v>
      </c>
    </row>
    <row r="1974">
      <c r="A1974" s="6" t="s">
        <v>7537</v>
      </c>
      <c r="B1974" s="6" t="s">
        <v>7537</v>
      </c>
      <c r="C1974" s="6">
        <v>365.0</v>
      </c>
      <c r="D1974" s="9" t="str">
        <f>HYPERLINK("https://www.linkedin.com/ad-library/detail/1493028734","Open Ad")</f>
        <v>Open Ad</v>
      </c>
      <c r="E1974" s="6" t="s">
        <v>91</v>
      </c>
      <c r="F1974" s="6" t="s">
        <v>53</v>
      </c>
      <c r="G1974" s="6" t="s">
        <v>7618</v>
      </c>
      <c r="H1974" s="6" t="s">
        <v>55</v>
      </c>
      <c r="I1974" s="6" t="s">
        <v>7566</v>
      </c>
      <c r="J1974" s="6" t="s">
        <v>91</v>
      </c>
      <c r="K1974" s="9" t="str">
        <f>HYPERLINK("https://media.licdn.com/dms/image/v2/D4E22AQGUgWvCy3EsCA/feedshare-image-high-res/B4EZ5MfammIIAU-/0/1779399764662?e=2147483647&amp;v=beta&amp;t=RDqRNBrhkZWz3rWfPv8WhtKpVkgRrzMA6KFe_K4nRWM","Open Creative")</f>
        <v>Open Creative</v>
      </c>
      <c r="L1974" s="6" t="s">
        <v>131</v>
      </c>
      <c r="M1974" s="6" t="s">
        <v>7537</v>
      </c>
      <c r="N1974" s="6" t="s">
        <v>132</v>
      </c>
      <c r="O1974" s="36" t="s">
        <v>132</v>
      </c>
      <c r="P1974" s="36">
        <v>1.493028734E9</v>
      </c>
      <c r="Q1974" s="36" t="s">
        <v>7541</v>
      </c>
      <c r="R1974" s="6" t="s">
        <v>7542</v>
      </c>
    </row>
    <row r="1975">
      <c r="A1975" s="6" t="s">
        <v>7537</v>
      </c>
      <c r="B1975" s="6" t="s">
        <v>7537</v>
      </c>
      <c r="C1975" s="6">
        <v>366.0</v>
      </c>
      <c r="D1975" s="9" t="str">
        <f>HYPERLINK("https://www.linkedin.com/ad-library/detail/1532791696","Open Ad")</f>
        <v>Open Ad</v>
      </c>
      <c r="E1975" s="6" t="s">
        <v>91</v>
      </c>
      <c r="F1975" s="6" t="s">
        <v>53</v>
      </c>
      <c r="G1975" s="6" t="s">
        <v>7595</v>
      </c>
      <c r="H1975" s="6" t="s">
        <v>55</v>
      </c>
      <c r="I1975" s="6" t="s">
        <v>7566</v>
      </c>
      <c r="J1975" s="6" t="s">
        <v>91</v>
      </c>
      <c r="K1975" s="9" t="str">
        <f>HYPERLINK("https://media.licdn.com/dms/image/v2/D5610AQF5ONUziLB90Q/image-shrink_1280/B56Z8YuROrGcAc-/0/1782826211326?e=2147483647&amp;v=beta&amp;t=P2Cz2Aul20qMidWME_WS_vAnPWT-iq7vaBsEHckvets","Open Creative")</f>
        <v>Open Creative</v>
      </c>
      <c r="L1975" s="6" t="s">
        <v>131</v>
      </c>
      <c r="M1975" s="6" t="s">
        <v>7537</v>
      </c>
      <c r="N1975" s="6" t="s">
        <v>132</v>
      </c>
      <c r="O1975" s="36" t="s">
        <v>132</v>
      </c>
      <c r="P1975" s="36">
        <v>1.532791696E9</v>
      </c>
      <c r="Q1975" s="36" t="s">
        <v>7541</v>
      </c>
      <c r="R1975" s="6" t="s">
        <v>7542</v>
      </c>
    </row>
    <row r="1976">
      <c r="A1976" s="6" t="s">
        <v>7537</v>
      </c>
      <c r="B1976" s="6" t="s">
        <v>7537</v>
      </c>
      <c r="C1976" s="6">
        <v>367.0</v>
      </c>
      <c r="D1976" s="9" t="str">
        <f>HYPERLINK("https://www.linkedin.com/ad-library/detail/1532920016","Open Ad")</f>
        <v>Open Ad</v>
      </c>
      <c r="E1976" s="6" t="s">
        <v>91</v>
      </c>
      <c r="F1976" s="6" t="s">
        <v>53</v>
      </c>
      <c r="G1976" s="6" t="s">
        <v>7619</v>
      </c>
      <c r="H1976" s="6" t="s">
        <v>55</v>
      </c>
      <c r="I1976" s="6" t="s">
        <v>7566</v>
      </c>
      <c r="J1976" s="6" t="s">
        <v>91</v>
      </c>
      <c r="K1976" s="9" t="str">
        <f>HYPERLINK("https://media.licdn.com/dms/image/v2/D5610AQFCx_YJc45xmQ/image-shrink_1280/B56Z9_1kn.GsAg-/0/1784556178150?e=2147483647&amp;v=beta&amp;t=f1YUvgvX1_1a1kJVoEtCFw4Vo-6pu3fvcM8OtM7KrGI","Open Creative")</f>
        <v>Open Creative</v>
      </c>
      <c r="L1976" s="6" t="s">
        <v>131</v>
      </c>
      <c r="M1976" s="6" t="s">
        <v>7537</v>
      </c>
      <c r="N1976" s="6" t="s">
        <v>132</v>
      </c>
      <c r="O1976" s="36" t="s">
        <v>132</v>
      </c>
      <c r="P1976" s="36">
        <v>1.532920016E9</v>
      </c>
      <c r="Q1976" s="36" t="s">
        <v>7541</v>
      </c>
      <c r="R1976" s="6" t="s">
        <v>7542</v>
      </c>
    </row>
    <row r="1977">
      <c r="A1977" s="6" t="s">
        <v>7537</v>
      </c>
      <c r="B1977" s="6" t="s">
        <v>7537</v>
      </c>
      <c r="C1977" s="6">
        <v>368.0</v>
      </c>
      <c r="D1977" s="9" t="str">
        <f>HYPERLINK("https://www.linkedin.com/ad-library/detail/1532669666","Open Ad")</f>
        <v>Open Ad</v>
      </c>
      <c r="E1977" s="6" t="s">
        <v>91</v>
      </c>
      <c r="F1977" s="6" t="s">
        <v>53</v>
      </c>
      <c r="G1977" s="6" t="s">
        <v>7592</v>
      </c>
      <c r="H1977" s="6" t="s">
        <v>55</v>
      </c>
      <c r="I1977" s="6" t="s">
        <v>7566</v>
      </c>
      <c r="J1977" s="6" t="s">
        <v>91</v>
      </c>
      <c r="K1977" s="9" t="str">
        <f>HYPERLINK("https://media.licdn.com/dms/image/v2/D5610AQG6ROzWPETGmA/image-shrink_1280/B56Z9dR6t1KEAg-/0/1783976406842?e=2147483647&amp;v=beta&amp;t=ubEWJ1uNOIKQkdyOqmhR2qOxm2aAjGOzZhSszx4lxv4","Open Creative")</f>
        <v>Open Creative</v>
      </c>
      <c r="L1977" s="6" t="s">
        <v>131</v>
      </c>
      <c r="M1977" s="6" t="s">
        <v>7537</v>
      </c>
      <c r="N1977" s="6" t="s">
        <v>132</v>
      </c>
      <c r="O1977" s="36" t="s">
        <v>132</v>
      </c>
      <c r="P1977" s="36">
        <v>1.532669666E9</v>
      </c>
      <c r="Q1977" s="36" t="s">
        <v>7541</v>
      </c>
      <c r="R1977" s="6" t="s">
        <v>7542</v>
      </c>
    </row>
    <row r="1978">
      <c r="A1978" s="6" t="s">
        <v>7537</v>
      </c>
      <c r="B1978" s="6" t="s">
        <v>7537</v>
      </c>
      <c r="C1978" s="6">
        <v>369.0</v>
      </c>
      <c r="D1978" s="9" t="str">
        <f>HYPERLINK("https://www.linkedin.com/ad-library/detail/1535400736","Open Ad")</f>
        <v>Open Ad</v>
      </c>
      <c r="E1978" s="6" t="s">
        <v>7543</v>
      </c>
      <c r="F1978" s="6" t="s">
        <v>53</v>
      </c>
      <c r="G1978" s="6" t="s">
        <v>7569</v>
      </c>
      <c r="H1978" s="6" t="s">
        <v>55</v>
      </c>
      <c r="I1978" s="6" t="s">
        <v>7566</v>
      </c>
      <c r="J1978" s="6" t="s">
        <v>7546</v>
      </c>
      <c r="K1978" s="6" t="s">
        <v>60</v>
      </c>
      <c r="L1978" s="6" t="s">
        <v>131</v>
      </c>
      <c r="M1978" s="6" t="s">
        <v>7537</v>
      </c>
      <c r="N1978" s="6" t="s">
        <v>132</v>
      </c>
      <c r="O1978" s="36" t="s">
        <v>132</v>
      </c>
      <c r="P1978" s="36">
        <v>1.535400736E9</v>
      </c>
      <c r="Q1978" s="36" t="s">
        <v>7541</v>
      </c>
      <c r="R1978" s="6" t="s">
        <v>7542</v>
      </c>
    </row>
    <row r="1979">
      <c r="A1979" s="6" t="s">
        <v>7537</v>
      </c>
      <c r="B1979" s="6" t="s">
        <v>7537</v>
      </c>
      <c r="C1979" s="6">
        <v>370.0</v>
      </c>
      <c r="D1979" s="9" t="str">
        <f>HYPERLINK("https://www.linkedin.com/ad-library/detail/1532890316","Open Ad")</f>
        <v>Open Ad</v>
      </c>
      <c r="E1979" s="6" t="s">
        <v>91</v>
      </c>
      <c r="F1979" s="6" t="s">
        <v>53</v>
      </c>
      <c r="G1979" s="6" t="s">
        <v>7588</v>
      </c>
      <c r="H1979" s="6" t="s">
        <v>55</v>
      </c>
      <c r="I1979" s="6" t="s">
        <v>7566</v>
      </c>
      <c r="J1979" s="6" t="s">
        <v>91</v>
      </c>
      <c r="K1979" s="9" t="str">
        <f t="shared" ref="K1979:K1980" si="27">HYPERLINK("https://media.licdn.com/dms/image/v2/D4E10AQEqECWLz8eLfg/image-shrink_1280/B4EZ3UsZ.CGkAc-/0/1777389904287?e=2147483647&amp;v=beta&amp;t=0Mbfqk_hLfichGIBXrMjoO2DeoHez5SeK866pI13xWU","Open Creative")</f>
        <v>Open Creative</v>
      </c>
      <c r="L1979" s="6" t="s">
        <v>131</v>
      </c>
      <c r="M1979" s="6" t="s">
        <v>7537</v>
      </c>
      <c r="N1979" s="6" t="s">
        <v>132</v>
      </c>
      <c r="O1979" s="36" t="s">
        <v>132</v>
      </c>
      <c r="P1979" s="36">
        <v>1.532890316E9</v>
      </c>
      <c r="Q1979" s="36" t="s">
        <v>7541</v>
      </c>
      <c r="R1979" s="6" t="s">
        <v>7542</v>
      </c>
    </row>
    <row r="1980">
      <c r="A1980" s="6" t="s">
        <v>7537</v>
      </c>
      <c r="B1980" s="6" t="s">
        <v>7537</v>
      </c>
      <c r="C1980" s="6">
        <v>371.0</v>
      </c>
      <c r="D1980" s="9" t="str">
        <f>HYPERLINK("https://www.linkedin.com/ad-library/detail/1532791706","Open Ad")</f>
        <v>Open Ad</v>
      </c>
      <c r="E1980" s="6" t="s">
        <v>91</v>
      </c>
      <c r="F1980" s="6" t="s">
        <v>53</v>
      </c>
      <c r="G1980" s="6" t="s">
        <v>7588</v>
      </c>
      <c r="H1980" s="6" t="s">
        <v>55</v>
      </c>
      <c r="I1980" s="6" t="s">
        <v>7566</v>
      </c>
      <c r="J1980" s="6" t="s">
        <v>91</v>
      </c>
      <c r="K1980" s="9" t="str">
        <f t="shared" si="27"/>
        <v>Open Creative</v>
      </c>
      <c r="L1980" s="6" t="s">
        <v>131</v>
      </c>
      <c r="M1980" s="6" t="s">
        <v>7537</v>
      </c>
      <c r="N1980" s="6" t="s">
        <v>132</v>
      </c>
      <c r="O1980" s="36" t="s">
        <v>132</v>
      </c>
      <c r="P1980" s="36">
        <v>1.532791706E9</v>
      </c>
      <c r="Q1980" s="36" t="s">
        <v>7541</v>
      </c>
      <c r="R1980" s="6" t="s">
        <v>7542</v>
      </c>
    </row>
    <row r="1981">
      <c r="A1981" s="6" t="s">
        <v>7537</v>
      </c>
      <c r="B1981" s="6" t="s">
        <v>7537</v>
      </c>
      <c r="C1981" s="6">
        <v>372.0</v>
      </c>
      <c r="D1981" s="9" t="str">
        <f>HYPERLINK("https://www.linkedin.com/ad-library/detail/1532870406","Open Ad")</f>
        <v>Open Ad</v>
      </c>
      <c r="E1981" s="6" t="s">
        <v>91</v>
      </c>
      <c r="F1981" s="6" t="s">
        <v>53</v>
      </c>
      <c r="G1981" s="6" t="s">
        <v>7619</v>
      </c>
      <c r="H1981" s="6" t="s">
        <v>55</v>
      </c>
      <c r="I1981" s="6" t="s">
        <v>7566</v>
      </c>
      <c r="J1981" s="6" t="s">
        <v>91</v>
      </c>
      <c r="K1981" s="9" t="str">
        <f>HYPERLINK("https://media.licdn.com/dms/image/v2/D5610AQFCx_YJc45xmQ/image-shrink_1280/B56Z9_1kn.GsAg-/0/1784556178150?e=2147483647&amp;v=beta&amp;t=f1YUvgvX1_1a1kJVoEtCFw4Vo-6pu3fvcM8OtM7KrGI","Open Creative")</f>
        <v>Open Creative</v>
      </c>
      <c r="L1981" s="6" t="s">
        <v>131</v>
      </c>
      <c r="M1981" s="6" t="s">
        <v>7537</v>
      </c>
      <c r="N1981" s="6" t="s">
        <v>132</v>
      </c>
      <c r="O1981" s="36" t="s">
        <v>132</v>
      </c>
      <c r="P1981" s="36">
        <v>1.532870406E9</v>
      </c>
      <c r="Q1981" s="36" t="s">
        <v>7541</v>
      </c>
      <c r="R1981" s="6" t="s">
        <v>7542</v>
      </c>
    </row>
    <row r="1982">
      <c r="A1982" s="6" t="s">
        <v>7537</v>
      </c>
      <c r="B1982" s="6" t="s">
        <v>7537</v>
      </c>
      <c r="C1982" s="6">
        <v>373.0</v>
      </c>
      <c r="D1982" s="9" t="str">
        <f>HYPERLINK("https://www.linkedin.com/ad-library/detail/1492939564","Open Ad")</f>
        <v>Open Ad</v>
      </c>
      <c r="E1982" s="6" t="s">
        <v>91</v>
      </c>
      <c r="F1982" s="6" t="s">
        <v>53</v>
      </c>
      <c r="G1982" s="6" t="s">
        <v>7620</v>
      </c>
      <c r="H1982" s="6" t="s">
        <v>55</v>
      </c>
      <c r="I1982" s="6" t="s">
        <v>7566</v>
      </c>
      <c r="J1982" s="6" t="s">
        <v>91</v>
      </c>
      <c r="K1982" s="9" t="str">
        <f>HYPERLINK("https://media.licdn.com/dms/image/v2/D4E22AQGpcCW171s7XQ/feedshare-image-high-res/B4EZ48NEUUKQAU-/0/1779126519344?e=2147483647&amp;v=beta&amp;t=qtKlxqfofONgIfGH2M0a_hcnI2zE1Cnk944xMnVrZkY","Open Creative")</f>
        <v>Open Creative</v>
      </c>
      <c r="L1982" s="6" t="s">
        <v>131</v>
      </c>
      <c r="M1982" s="6" t="s">
        <v>7537</v>
      </c>
      <c r="N1982" s="6" t="s">
        <v>132</v>
      </c>
      <c r="O1982" s="36" t="s">
        <v>132</v>
      </c>
      <c r="P1982" s="36">
        <v>1.492939564E9</v>
      </c>
      <c r="Q1982" s="36" t="s">
        <v>7541</v>
      </c>
      <c r="R1982" s="6" t="s">
        <v>7542</v>
      </c>
    </row>
    <row r="1983">
      <c r="A1983" s="6" t="s">
        <v>7537</v>
      </c>
      <c r="B1983" s="6" t="s">
        <v>7537</v>
      </c>
      <c r="C1983" s="6">
        <v>374.0</v>
      </c>
      <c r="D1983" s="9" t="str">
        <f>HYPERLINK("https://www.linkedin.com/ad-library/detail/1537337806","Open Ad")</f>
        <v>Open Ad</v>
      </c>
      <c r="E1983" s="6" t="s">
        <v>91</v>
      </c>
      <c r="F1983" s="6" t="s">
        <v>53</v>
      </c>
      <c r="G1983" s="6" t="s">
        <v>7616</v>
      </c>
      <c r="H1983" s="6" t="s">
        <v>55</v>
      </c>
      <c r="I1983" s="6" t="s">
        <v>7566</v>
      </c>
      <c r="J1983" s="6" t="s">
        <v>91</v>
      </c>
      <c r="K1983" s="9" t="str">
        <f>HYPERLINK("https://media.licdn.com/dms/image/v2/D5610AQF0Hf4omFRqQQ/image-shrink_1280/B56Z_Tb6d0G8Ac-/0/1785958738856/Forrester_13Augpng?e=2147483647&amp;v=beta&amp;t=CZwfdCcYpV12W-uA3KS7-1Fdmlaxo3rdljtm4q9gLwo","Open Creative")</f>
        <v>Open Creative</v>
      </c>
      <c r="L1983" s="6" t="s">
        <v>131</v>
      </c>
      <c r="M1983" s="6" t="s">
        <v>7537</v>
      </c>
      <c r="N1983" s="6" t="s">
        <v>132</v>
      </c>
      <c r="O1983" s="36" t="s">
        <v>132</v>
      </c>
      <c r="P1983" s="36">
        <v>1.537337806E9</v>
      </c>
      <c r="Q1983" s="36" t="s">
        <v>7541</v>
      </c>
      <c r="R1983" s="6" t="s">
        <v>7542</v>
      </c>
    </row>
    <row r="1984">
      <c r="A1984" s="6" t="s">
        <v>7537</v>
      </c>
      <c r="B1984" s="6" t="s">
        <v>7537</v>
      </c>
      <c r="C1984" s="6">
        <v>375.0</v>
      </c>
      <c r="D1984" s="9" t="str">
        <f>HYPERLINK("https://www.linkedin.com/ad-library/detail/1532900446","Open Ad")</f>
        <v>Open Ad</v>
      </c>
      <c r="E1984" s="6" t="s">
        <v>91</v>
      </c>
      <c r="F1984" s="6" t="s">
        <v>53</v>
      </c>
      <c r="G1984" s="6" t="s">
        <v>7621</v>
      </c>
      <c r="H1984" s="6" t="s">
        <v>55</v>
      </c>
      <c r="I1984" s="6" t="s">
        <v>7566</v>
      </c>
      <c r="J1984" s="6" t="s">
        <v>91</v>
      </c>
      <c r="K1984" s="9" t="str">
        <f t="shared" ref="K1984:K1985" si="28">HYPERLINK("https://media.licdn.com/dms/image/v2/D5622AQFPvdKJ2rZGuA/feedshare-shrink_1280/B56Z9DGJizKgAM-/0/1783537114110?e=2147483647&amp;v=beta&amp;t=ibPphT7d-IkefsLLj8zjUziebSWt3eeZJVoLfHU82Kg","Open Creative")</f>
        <v>Open Creative</v>
      </c>
      <c r="L1984" s="6" t="s">
        <v>131</v>
      </c>
      <c r="M1984" s="6" t="s">
        <v>7537</v>
      </c>
      <c r="N1984" s="6" t="s">
        <v>132</v>
      </c>
      <c r="O1984" s="36" t="s">
        <v>132</v>
      </c>
      <c r="P1984" s="36">
        <v>1.532900446E9</v>
      </c>
      <c r="Q1984" s="36" t="s">
        <v>7541</v>
      </c>
      <c r="R1984" s="6" t="s">
        <v>7542</v>
      </c>
    </row>
    <row r="1985">
      <c r="A1985" s="6" t="s">
        <v>7537</v>
      </c>
      <c r="B1985" s="6" t="s">
        <v>7537</v>
      </c>
      <c r="C1985" s="6">
        <v>376.0</v>
      </c>
      <c r="D1985" s="9" t="str">
        <f>HYPERLINK("https://www.linkedin.com/ad-library/detail/1532782226","Open Ad")</f>
        <v>Open Ad</v>
      </c>
      <c r="E1985" s="6" t="s">
        <v>91</v>
      </c>
      <c r="F1985" s="6" t="s">
        <v>53</v>
      </c>
      <c r="G1985" s="6" t="s">
        <v>7621</v>
      </c>
      <c r="H1985" s="6" t="s">
        <v>55</v>
      </c>
      <c r="I1985" s="6" t="s">
        <v>7566</v>
      </c>
      <c r="J1985" s="6" t="s">
        <v>91</v>
      </c>
      <c r="K1985" s="9" t="str">
        <f t="shared" si="28"/>
        <v>Open Creative</v>
      </c>
      <c r="L1985" s="6" t="s">
        <v>131</v>
      </c>
      <c r="M1985" s="6" t="s">
        <v>7537</v>
      </c>
      <c r="N1985" s="6" t="s">
        <v>132</v>
      </c>
      <c r="O1985" s="36" t="s">
        <v>132</v>
      </c>
      <c r="P1985" s="36">
        <v>1.532782226E9</v>
      </c>
      <c r="Q1985" s="36" t="s">
        <v>7541</v>
      </c>
      <c r="R1985" s="6" t="s">
        <v>7542</v>
      </c>
    </row>
    <row r="1986">
      <c r="A1986" s="6" t="s">
        <v>7537</v>
      </c>
      <c r="B1986" s="6" t="s">
        <v>7537</v>
      </c>
      <c r="C1986" s="6">
        <v>377.0</v>
      </c>
      <c r="D1986" s="9" t="str">
        <f>HYPERLINK("https://www.linkedin.com/ad-library/detail/1532782236","Open Ad")</f>
        <v>Open Ad</v>
      </c>
      <c r="E1986" s="6" t="s">
        <v>91</v>
      </c>
      <c r="F1986" s="6" t="s">
        <v>53</v>
      </c>
      <c r="G1986" s="6" t="s">
        <v>7591</v>
      </c>
      <c r="H1986" s="6" t="s">
        <v>55</v>
      </c>
      <c r="I1986" s="6" t="s">
        <v>7566</v>
      </c>
      <c r="J1986" s="6" t="s">
        <v>91</v>
      </c>
      <c r="K1986" s="9" t="str">
        <f>HYPERLINK("https://media.licdn.com/dms/image/v2/D5610AQFapQuTs5RyQg/image-shrink_1280/B56Z9h_6UCGcAg-/0/1784055572538?e=2147483647&amp;v=beta&amp;t=Kv2jNpyAeREV8VRiJojr6bkYk7Ofuq0wj6IaFzQHYEU","Open Creative")</f>
        <v>Open Creative</v>
      </c>
      <c r="L1986" s="6" t="s">
        <v>131</v>
      </c>
      <c r="M1986" s="6" t="s">
        <v>7537</v>
      </c>
      <c r="N1986" s="6" t="s">
        <v>132</v>
      </c>
      <c r="O1986" s="36" t="s">
        <v>132</v>
      </c>
      <c r="P1986" s="36">
        <v>1.532782236E9</v>
      </c>
      <c r="Q1986" s="36" t="s">
        <v>7541</v>
      </c>
      <c r="R1986" s="6" t="s">
        <v>7542</v>
      </c>
    </row>
    <row r="1987">
      <c r="A1987" s="6" t="s">
        <v>7537</v>
      </c>
      <c r="B1987" s="6" t="s">
        <v>7537</v>
      </c>
      <c r="C1987" s="6">
        <v>378.0</v>
      </c>
      <c r="D1987" s="9" t="str">
        <f>HYPERLINK("https://www.linkedin.com/ad-library/detail/1532820946","Open Ad")</f>
        <v>Open Ad</v>
      </c>
      <c r="E1987" s="6" t="s">
        <v>91</v>
      </c>
      <c r="F1987" s="6" t="s">
        <v>53</v>
      </c>
      <c r="G1987" s="6" t="s">
        <v>7592</v>
      </c>
      <c r="H1987" s="6" t="s">
        <v>55</v>
      </c>
      <c r="I1987" s="6" t="s">
        <v>7566</v>
      </c>
      <c r="J1987" s="6" t="s">
        <v>91</v>
      </c>
      <c r="K1987" s="9" t="str">
        <f>HYPERLINK("https://media.licdn.com/dms/image/v2/D5610AQG6ROzWPETGmA/image-shrink_1280/B56Z9dR6t1KEAg-/0/1783976406842?e=2147483647&amp;v=beta&amp;t=ubEWJ1uNOIKQkdyOqmhR2qOxm2aAjGOzZhSszx4lxv4","Open Creative")</f>
        <v>Open Creative</v>
      </c>
      <c r="L1987" s="6" t="s">
        <v>131</v>
      </c>
      <c r="M1987" s="6" t="s">
        <v>7537</v>
      </c>
      <c r="N1987" s="6" t="s">
        <v>132</v>
      </c>
      <c r="O1987" s="36" t="s">
        <v>132</v>
      </c>
      <c r="P1987" s="36">
        <v>1.532820946E9</v>
      </c>
      <c r="Q1987" s="36" t="s">
        <v>7541</v>
      </c>
      <c r="R1987" s="6" t="s">
        <v>7542</v>
      </c>
    </row>
    <row r="1988">
      <c r="A1988" s="6" t="s">
        <v>7537</v>
      </c>
      <c r="B1988" s="6" t="s">
        <v>7537</v>
      </c>
      <c r="C1988" s="6">
        <v>379.0</v>
      </c>
      <c r="D1988" s="9" t="str">
        <f>HYPERLINK("https://www.linkedin.com/ad-library/detail/1532747296","Open Ad")</f>
        <v>Open Ad</v>
      </c>
      <c r="E1988" s="6" t="s">
        <v>91</v>
      </c>
      <c r="F1988" s="6" t="s">
        <v>53</v>
      </c>
      <c r="G1988" s="6" t="s">
        <v>7587</v>
      </c>
      <c r="H1988" s="6" t="s">
        <v>55</v>
      </c>
      <c r="I1988" s="6" t="s">
        <v>7566</v>
      </c>
      <c r="J1988" s="6" t="s">
        <v>91</v>
      </c>
      <c r="K1988" s="9" t="str">
        <f>HYPERLINK("https://media.licdn.com/dms/image/v2/D5610AQEhWScG0zSsQQ/image-shrink_1280/B56Z.ALhD2HIAc-/0/1784561931707?e=2147483647&amp;v=beta&amp;t=CNNXfqX_x8NHdQnVcD2yPE1JO0w4ekTKwdMaxJHCKn4","Open Creative")</f>
        <v>Open Creative</v>
      </c>
      <c r="L1988" s="6" t="s">
        <v>131</v>
      </c>
      <c r="M1988" s="6" t="s">
        <v>7537</v>
      </c>
      <c r="N1988" s="6" t="s">
        <v>132</v>
      </c>
      <c r="O1988" s="36" t="s">
        <v>132</v>
      </c>
      <c r="P1988" s="36">
        <v>1.532747296E9</v>
      </c>
      <c r="Q1988" s="36" t="s">
        <v>7541</v>
      </c>
      <c r="R1988" s="6" t="s">
        <v>7542</v>
      </c>
    </row>
    <row r="1989">
      <c r="A1989" s="6" t="s">
        <v>7537</v>
      </c>
      <c r="B1989" s="6" t="s">
        <v>7537</v>
      </c>
      <c r="C1989" s="6">
        <v>380.0</v>
      </c>
      <c r="D1989" s="9" t="str">
        <f>HYPERLINK("https://www.linkedin.com/ad-library/detail/1532840886","Open Ad")</f>
        <v>Open Ad</v>
      </c>
      <c r="E1989" s="6" t="s">
        <v>91</v>
      </c>
      <c r="F1989" s="6" t="s">
        <v>53</v>
      </c>
      <c r="G1989" s="6" t="s">
        <v>7591</v>
      </c>
      <c r="H1989" s="6" t="s">
        <v>55</v>
      </c>
      <c r="I1989" s="6" t="s">
        <v>7566</v>
      </c>
      <c r="J1989" s="6" t="s">
        <v>91</v>
      </c>
      <c r="K1989" s="9" t="str">
        <f>HYPERLINK("https://media.licdn.com/dms/image/v2/D5610AQFapQuTs5RyQg/image-shrink_1280/B56Z9h_6UCGcAg-/0/1784055572538?e=2147483647&amp;v=beta&amp;t=Kv2jNpyAeREV8VRiJojr6bkYk7Ofuq0wj6IaFzQHYEU","Open Creative")</f>
        <v>Open Creative</v>
      </c>
      <c r="L1989" s="6" t="s">
        <v>131</v>
      </c>
      <c r="M1989" s="6" t="s">
        <v>7537</v>
      </c>
      <c r="N1989" s="6" t="s">
        <v>132</v>
      </c>
      <c r="O1989" s="36" t="s">
        <v>132</v>
      </c>
      <c r="P1989" s="36">
        <v>1.532840886E9</v>
      </c>
      <c r="Q1989" s="36" t="s">
        <v>7541</v>
      </c>
      <c r="R1989" s="6" t="s">
        <v>7542</v>
      </c>
    </row>
    <row r="1990">
      <c r="A1990" s="6" t="s">
        <v>7537</v>
      </c>
      <c r="B1990" s="6" t="s">
        <v>7537</v>
      </c>
      <c r="C1990" s="6">
        <v>381.0</v>
      </c>
      <c r="D1990" s="9" t="str">
        <f>HYPERLINK("https://www.linkedin.com/ad-library/detail/1532860776","Open Ad")</f>
        <v>Open Ad</v>
      </c>
      <c r="E1990" s="6" t="s">
        <v>91</v>
      </c>
      <c r="F1990" s="6" t="s">
        <v>53</v>
      </c>
      <c r="G1990" s="6" t="s">
        <v>7587</v>
      </c>
      <c r="H1990" s="6" t="s">
        <v>55</v>
      </c>
      <c r="I1990" s="6" t="s">
        <v>7566</v>
      </c>
      <c r="J1990" s="6" t="s">
        <v>91</v>
      </c>
      <c r="K1990" s="9" t="str">
        <f>HYPERLINK("https://media.licdn.com/dms/image/v2/D5610AQEhWScG0zSsQQ/image-shrink_1280/B56Z.ALhD2HIAc-/0/1784561931707?e=2147483647&amp;v=beta&amp;t=CNNXfqX_x8NHdQnVcD2yPE1JO0w4ekTKwdMaxJHCKn4","Open Creative")</f>
        <v>Open Creative</v>
      </c>
      <c r="L1990" s="6" t="s">
        <v>131</v>
      </c>
      <c r="M1990" s="6" t="s">
        <v>7537</v>
      </c>
      <c r="N1990" s="6" t="s">
        <v>132</v>
      </c>
      <c r="O1990" s="36" t="s">
        <v>132</v>
      </c>
      <c r="P1990" s="36">
        <v>1.532860776E9</v>
      </c>
      <c r="Q1990" s="36" t="s">
        <v>7541</v>
      </c>
      <c r="R1990" s="6" t="s">
        <v>7542</v>
      </c>
    </row>
    <row r="1991">
      <c r="A1991" s="6" t="s">
        <v>7537</v>
      </c>
      <c r="B1991" s="6" t="s">
        <v>7537</v>
      </c>
      <c r="C1991" s="6">
        <v>382.0</v>
      </c>
      <c r="D1991" s="9" t="str">
        <f>HYPERLINK("https://www.linkedin.com/ad-library/detail/1537476126","Open Ad")</f>
        <v>Open Ad</v>
      </c>
      <c r="E1991" s="6" t="s">
        <v>91</v>
      </c>
      <c r="F1991" s="6" t="s">
        <v>53</v>
      </c>
      <c r="G1991" s="6" t="s">
        <v>7617</v>
      </c>
      <c r="H1991" s="6" t="s">
        <v>55</v>
      </c>
      <c r="I1991" s="6" t="s">
        <v>7566</v>
      </c>
      <c r="J1991" s="6" t="s">
        <v>91</v>
      </c>
      <c r="K1991" s="9" t="str">
        <f>HYPERLINK("https://media.licdn.com/dms/image/v2/D5610AQEpQG9yGB9fpw/image-shrink_1280/B56Z_TbuEGG8Ak-/0/1785958688106/Forrester_13Augpng?e=2147483647&amp;v=beta&amp;t=lASggODSv1Pc_JlHB6RhpyVBLDXdn9ZTX1iWVdDJAIo","Open Creative")</f>
        <v>Open Creative</v>
      </c>
      <c r="L1991" s="6" t="s">
        <v>131</v>
      </c>
      <c r="M1991" s="6" t="s">
        <v>7537</v>
      </c>
      <c r="N1991" s="6" t="s">
        <v>132</v>
      </c>
      <c r="O1991" s="36" t="s">
        <v>132</v>
      </c>
      <c r="P1991" s="36">
        <v>1.537476126E9</v>
      </c>
      <c r="Q1991" s="36" t="s">
        <v>7541</v>
      </c>
      <c r="R1991" s="6" t="s">
        <v>7542</v>
      </c>
    </row>
    <row r="1992">
      <c r="A1992" s="6" t="s">
        <v>7537</v>
      </c>
      <c r="B1992" s="6" t="s">
        <v>7537</v>
      </c>
      <c r="C1992" s="6">
        <v>383.0</v>
      </c>
      <c r="D1992" s="9" t="str">
        <f>HYPERLINK("https://www.linkedin.com/ad-library/detail/1536849716","Open Ad")</f>
        <v>Open Ad</v>
      </c>
      <c r="E1992" s="6" t="s">
        <v>91</v>
      </c>
      <c r="F1992" s="6" t="s">
        <v>53</v>
      </c>
      <c r="G1992" s="6" t="s">
        <v>7616</v>
      </c>
      <c r="H1992" s="6" t="s">
        <v>55</v>
      </c>
      <c r="I1992" s="6" t="s">
        <v>7566</v>
      </c>
      <c r="J1992" s="6" t="s">
        <v>91</v>
      </c>
      <c r="K1992" s="9" t="str">
        <f>HYPERLINK("https://media.licdn.com/dms/image/v2/D5610AQF0Hf4omFRqQQ/image-shrink_1280/B56Z_Tb6d0G8Ac-/0/1785958738856/Forrester_13Augpng?e=2147483647&amp;v=beta&amp;t=CZwfdCcYpV12W-uA3KS7-1Fdmlaxo3rdljtm4q9gLwo","Open Creative")</f>
        <v>Open Creative</v>
      </c>
      <c r="L1992" s="6" t="s">
        <v>131</v>
      </c>
      <c r="M1992" s="6" t="s">
        <v>7537</v>
      </c>
      <c r="N1992" s="6" t="s">
        <v>132</v>
      </c>
      <c r="O1992" s="36" t="s">
        <v>132</v>
      </c>
      <c r="P1992" s="36">
        <v>1.536849716E9</v>
      </c>
      <c r="Q1992" s="36" t="s">
        <v>7541</v>
      </c>
      <c r="R1992" s="6" t="s">
        <v>7542</v>
      </c>
    </row>
    <row r="1993">
      <c r="A1993" s="6" t="s">
        <v>7537</v>
      </c>
      <c r="B1993" s="6" t="s">
        <v>7537</v>
      </c>
      <c r="C1993" s="6">
        <v>384.0</v>
      </c>
      <c r="D1993" s="9" t="str">
        <f>HYPERLINK("https://www.linkedin.com/ad-library/detail/1535370686","Open Ad")</f>
        <v>Open Ad</v>
      </c>
      <c r="E1993" s="6" t="s">
        <v>7543</v>
      </c>
      <c r="F1993" s="6" t="s">
        <v>53</v>
      </c>
      <c r="G1993" s="6" t="s">
        <v>7550</v>
      </c>
      <c r="H1993" s="6" t="s">
        <v>55</v>
      </c>
      <c r="I1993" s="6" t="s">
        <v>7566</v>
      </c>
      <c r="J1993" s="6" t="s">
        <v>7546</v>
      </c>
      <c r="K1993" s="6" t="s">
        <v>60</v>
      </c>
      <c r="L1993" s="6" t="s">
        <v>131</v>
      </c>
      <c r="M1993" s="6" t="s">
        <v>7537</v>
      </c>
      <c r="N1993" s="6" t="s">
        <v>132</v>
      </c>
      <c r="O1993" s="36" t="s">
        <v>132</v>
      </c>
      <c r="P1993" s="36">
        <v>1.535370686E9</v>
      </c>
      <c r="Q1993" s="36" t="s">
        <v>7541</v>
      </c>
      <c r="R1993" s="6" t="s">
        <v>7542</v>
      </c>
    </row>
    <row r="1994">
      <c r="A1994" s="6" t="s">
        <v>7537</v>
      </c>
      <c r="B1994" s="6" t="s">
        <v>7537</v>
      </c>
      <c r="C1994" s="6">
        <v>385.0</v>
      </c>
      <c r="D1994" s="9" t="str">
        <f>HYPERLINK("https://www.linkedin.com/ad-library/detail/1532752726","Open Ad")</f>
        <v>Open Ad</v>
      </c>
      <c r="E1994" s="6" t="s">
        <v>91</v>
      </c>
      <c r="F1994" s="6" t="s">
        <v>53</v>
      </c>
      <c r="G1994" s="6" t="s">
        <v>7577</v>
      </c>
      <c r="H1994" s="6" t="s">
        <v>55</v>
      </c>
      <c r="I1994" s="6" t="s">
        <v>7566</v>
      </c>
      <c r="J1994" s="6" t="s">
        <v>91</v>
      </c>
      <c r="K1994" s="6" t="s">
        <v>60</v>
      </c>
      <c r="L1994" s="6" t="s">
        <v>131</v>
      </c>
      <c r="M1994" s="6" t="s">
        <v>7537</v>
      </c>
      <c r="N1994" s="6" t="s">
        <v>132</v>
      </c>
      <c r="O1994" s="36" t="s">
        <v>132</v>
      </c>
      <c r="P1994" s="36">
        <v>1.532752726E9</v>
      </c>
      <c r="Q1994" s="36" t="s">
        <v>7541</v>
      </c>
      <c r="R1994" s="6" t="s">
        <v>7542</v>
      </c>
    </row>
    <row r="1995">
      <c r="A1995" s="6" t="s">
        <v>7537</v>
      </c>
      <c r="B1995" s="6" t="s">
        <v>7537</v>
      </c>
      <c r="C1995" s="6">
        <v>386.0</v>
      </c>
      <c r="D1995" s="9" t="str">
        <f>HYPERLINK("https://www.linkedin.com/ad-library/detail/1532619636","Open Ad")</f>
        <v>Open Ad</v>
      </c>
      <c r="E1995" s="6" t="s">
        <v>91</v>
      </c>
      <c r="F1995" s="6" t="s">
        <v>53</v>
      </c>
      <c r="G1995" s="6" t="s">
        <v>7592</v>
      </c>
      <c r="H1995" s="6" t="s">
        <v>55</v>
      </c>
      <c r="I1995" s="6" t="s">
        <v>7566</v>
      </c>
      <c r="J1995" s="6" t="s">
        <v>91</v>
      </c>
      <c r="K1995" s="9" t="str">
        <f>HYPERLINK("https://media.licdn.com/dms/image/v2/D5610AQG6ROzWPETGmA/image-shrink_1280/B56Z9dR6t1KEAg-/0/1783976406842?e=2147483647&amp;v=beta&amp;t=ubEWJ1uNOIKQkdyOqmhR2qOxm2aAjGOzZhSszx4lxv4","Open Creative")</f>
        <v>Open Creative</v>
      </c>
      <c r="L1995" s="6" t="s">
        <v>131</v>
      </c>
      <c r="M1995" s="6" t="s">
        <v>7537</v>
      </c>
      <c r="N1995" s="6" t="s">
        <v>132</v>
      </c>
      <c r="O1995" s="36" t="s">
        <v>132</v>
      </c>
      <c r="P1995" s="36">
        <v>1.532619636E9</v>
      </c>
      <c r="Q1995" s="36" t="s">
        <v>7541</v>
      </c>
      <c r="R1995" s="6" t="s">
        <v>7542</v>
      </c>
    </row>
    <row r="1996">
      <c r="A1996" s="6" t="s">
        <v>7537</v>
      </c>
      <c r="B1996" s="6" t="s">
        <v>7537</v>
      </c>
      <c r="C1996" s="6">
        <v>387.0</v>
      </c>
      <c r="D1996" s="9" t="str">
        <f>HYPERLINK("https://www.linkedin.com/ad-library/detail/1532725936","Open Ad")</f>
        <v>Open Ad</v>
      </c>
      <c r="E1996" s="6" t="s">
        <v>91</v>
      </c>
      <c r="F1996" s="6" t="s">
        <v>53</v>
      </c>
      <c r="G1996" s="6" t="s">
        <v>7573</v>
      </c>
      <c r="H1996" s="6" t="s">
        <v>55</v>
      </c>
      <c r="I1996" s="6" t="s">
        <v>7566</v>
      </c>
      <c r="J1996" s="6" t="s">
        <v>91</v>
      </c>
      <c r="K1996" s="6" t="s">
        <v>60</v>
      </c>
      <c r="L1996" s="6" t="s">
        <v>131</v>
      </c>
      <c r="M1996" s="6" t="s">
        <v>7537</v>
      </c>
      <c r="N1996" s="6" t="s">
        <v>132</v>
      </c>
      <c r="O1996" s="36" t="s">
        <v>132</v>
      </c>
      <c r="P1996" s="36">
        <v>1.532725936E9</v>
      </c>
      <c r="Q1996" s="36" t="s">
        <v>7541</v>
      </c>
      <c r="R1996" s="6" t="s">
        <v>7542</v>
      </c>
    </row>
    <row r="1997">
      <c r="A1997" s="6" t="s">
        <v>7537</v>
      </c>
      <c r="B1997" s="6" t="s">
        <v>7537</v>
      </c>
      <c r="C1997" s="6">
        <v>388.0</v>
      </c>
      <c r="D1997" s="9" t="str">
        <f>HYPERLINK("https://www.linkedin.com/ad-library/detail/1532666006","Open Ad")</f>
        <v>Open Ad</v>
      </c>
      <c r="E1997" s="6" t="s">
        <v>91</v>
      </c>
      <c r="F1997" s="6" t="s">
        <v>53</v>
      </c>
      <c r="G1997" s="6" t="s">
        <v>7577</v>
      </c>
      <c r="H1997" s="6" t="s">
        <v>55</v>
      </c>
      <c r="I1997" s="6" t="s">
        <v>7566</v>
      </c>
      <c r="J1997" s="6" t="s">
        <v>91</v>
      </c>
      <c r="K1997" s="6" t="s">
        <v>60</v>
      </c>
      <c r="L1997" s="6" t="s">
        <v>131</v>
      </c>
      <c r="M1997" s="6" t="s">
        <v>7537</v>
      </c>
      <c r="N1997" s="6" t="s">
        <v>132</v>
      </c>
      <c r="O1997" s="36" t="s">
        <v>132</v>
      </c>
      <c r="P1997" s="36">
        <v>1.532666006E9</v>
      </c>
      <c r="Q1997" s="36" t="s">
        <v>7541</v>
      </c>
      <c r="R1997" s="6" t="s">
        <v>7542</v>
      </c>
    </row>
    <row r="1998">
      <c r="A1998" s="6" t="s">
        <v>7537</v>
      </c>
      <c r="B1998" s="6" t="s">
        <v>7537</v>
      </c>
      <c r="C1998" s="6">
        <v>389.0</v>
      </c>
      <c r="D1998" s="9" t="str">
        <f>HYPERLINK("https://www.linkedin.com/ad-library/detail/1532685866","Open Ad")</f>
        <v>Open Ad</v>
      </c>
      <c r="E1998" s="6" t="s">
        <v>154</v>
      </c>
      <c r="F1998" s="6" t="s">
        <v>53</v>
      </c>
      <c r="G1998" s="6" t="s">
        <v>7579</v>
      </c>
      <c r="H1998" s="6" t="s">
        <v>55</v>
      </c>
      <c r="I1998" s="6" t="s">
        <v>7566</v>
      </c>
      <c r="J1998" s="6" t="s">
        <v>154</v>
      </c>
      <c r="K1998" s="9" t="str">
        <f>HYPERLINK("https://dms.licdn.com/playlist/vid/v2/D4E05AQGz-rO1oWg7ZQ/mp4-720p-30fp-crf28/B4EZ.OXbZ0KoB4-/0/1784799941158?e=2147483647&amp;v=beta&amp;t=UrD2A3U5EVqZ6IpwPmbSFZu-ikVK8uBHF2MFFmv-lbo","Open Creative")</f>
        <v>Open Creative</v>
      </c>
      <c r="L1998" s="6" t="s">
        <v>131</v>
      </c>
      <c r="M1998" s="6" t="s">
        <v>7537</v>
      </c>
      <c r="N1998" s="6" t="s">
        <v>132</v>
      </c>
      <c r="O1998" s="36" t="s">
        <v>132</v>
      </c>
      <c r="P1998" s="36">
        <v>1.532685866E9</v>
      </c>
      <c r="Q1998" s="36" t="s">
        <v>7541</v>
      </c>
      <c r="R1998" s="6" t="s">
        <v>7542</v>
      </c>
    </row>
    <row r="1999">
      <c r="A1999" s="6" t="s">
        <v>7537</v>
      </c>
      <c r="B1999" s="6" t="s">
        <v>7537</v>
      </c>
      <c r="C1999" s="6">
        <v>390.0</v>
      </c>
      <c r="D1999" s="9" t="str">
        <f>HYPERLINK("https://www.linkedin.com/ad-library/detail/1532577646","Open Ad")</f>
        <v>Open Ad</v>
      </c>
      <c r="E1999" s="6" t="s">
        <v>154</v>
      </c>
      <c r="F1999" s="6" t="s">
        <v>53</v>
      </c>
      <c r="G1999" s="6" t="s">
        <v>7581</v>
      </c>
      <c r="H1999" s="6" t="s">
        <v>55</v>
      </c>
      <c r="I1999" s="6" t="s">
        <v>7566</v>
      </c>
      <c r="J1999" s="6" t="s">
        <v>154</v>
      </c>
      <c r="K1999" s="9" t="str">
        <f>HYPERLINK("https://dms.licdn.com/playlist/vid/v2/D4E10AQFbU42CgG1Z7g/mp4-720p-30fp-crf28/B4EZ6E1cjuIkBk-/0/1780345071320?e=2147483647&amp;v=beta&amp;t=lm4Raasi9Hn2k_Jca5TAGdFZZmL4wlksoW4hHU6e3XU","Open Creative")</f>
        <v>Open Creative</v>
      </c>
      <c r="L1999" s="6" t="s">
        <v>131</v>
      </c>
      <c r="M1999" s="6" t="s">
        <v>7537</v>
      </c>
      <c r="N1999" s="6" t="s">
        <v>132</v>
      </c>
      <c r="O1999" s="36" t="s">
        <v>132</v>
      </c>
      <c r="P1999" s="36">
        <v>1.532577646E9</v>
      </c>
      <c r="Q1999" s="36" t="s">
        <v>7541</v>
      </c>
      <c r="R1999" s="6" t="s">
        <v>7542</v>
      </c>
    </row>
    <row r="2000">
      <c r="A2000" s="6" t="s">
        <v>7537</v>
      </c>
      <c r="B2000" s="6" t="s">
        <v>7537</v>
      </c>
      <c r="C2000" s="6">
        <v>391.0</v>
      </c>
      <c r="D2000" s="9" t="str">
        <f>HYPERLINK("https://www.linkedin.com/ad-library/detail/1532890306","Open Ad")</f>
        <v>Open Ad</v>
      </c>
      <c r="E2000" s="6" t="s">
        <v>91</v>
      </c>
      <c r="F2000" s="6" t="s">
        <v>53</v>
      </c>
      <c r="G2000" s="6" t="s">
        <v>7595</v>
      </c>
      <c r="H2000" s="6" t="s">
        <v>55</v>
      </c>
      <c r="I2000" s="6" t="s">
        <v>7566</v>
      </c>
      <c r="J2000" s="6" t="s">
        <v>91</v>
      </c>
      <c r="K2000" s="9" t="str">
        <f>HYPERLINK("https://media.licdn.com/dms/image/v2/D5610AQF5ONUziLB90Q/image-shrink_1280/B56Z8YuROrGcAc-/0/1782826211326?e=2147483647&amp;v=beta&amp;t=P2Cz2Aul20qMidWME_WS_vAnPWT-iq7vaBsEHckvets","Open Creative")</f>
        <v>Open Creative</v>
      </c>
      <c r="L2000" s="6" t="s">
        <v>131</v>
      </c>
      <c r="M2000" s="6" t="s">
        <v>7537</v>
      </c>
      <c r="N2000" s="6" t="s">
        <v>132</v>
      </c>
      <c r="O2000" s="36" t="s">
        <v>132</v>
      </c>
      <c r="P2000" s="36">
        <v>1.532890306E9</v>
      </c>
      <c r="Q2000" s="36" t="s">
        <v>7541</v>
      </c>
      <c r="R2000" s="6" t="s">
        <v>7542</v>
      </c>
    </row>
    <row r="2001">
      <c r="A2001" s="6" t="s">
        <v>7537</v>
      </c>
      <c r="B2001" s="6" t="s">
        <v>7537</v>
      </c>
      <c r="C2001" s="6">
        <v>392.0</v>
      </c>
      <c r="D2001" s="9" t="str">
        <f>HYPERLINK("https://www.linkedin.com/ad-library/detail/1532810486","Open Ad")</f>
        <v>Open Ad</v>
      </c>
      <c r="E2001" s="6" t="s">
        <v>154</v>
      </c>
      <c r="F2001" s="6" t="s">
        <v>53</v>
      </c>
      <c r="G2001" s="6" t="s">
        <v>7574</v>
      </c>
      <c r="H2001" s="6" t="s">
        <v>55</v>
      </c>
      <c r="I2001" s="6" t="s">
        <v>7566</v>
      </c>
      <c r="J2001" s="6" t="s">
        <v>154</v>
      </c>
      <c r="K2001" s="9" t="str">
        <f>HYPERLINK("https://dms.licdn.com/playlist/vid/v2/D5610AQEYMxfT9huYsg/mp4-640p-30fp-crf28/B56Z9r5IasLABI-/0/1784221579230?e=2147483647&amp;v=beta&amp;t=wqawh6PBQUrCJZJ-XscUNS7gfMgItz12cEfcJuVzzWI","Open Creative")</f>
        <v>Open Creative</v>
      </c>
      <c r="L2001" s="6" t="s">
        <v>131</v>
      </c>
      <c r="M2001" s="6" t="s">
        <v>7537</v>
      </c>
      <c r="N2001" s="6" t="s">
        <v>132</v>
      </c>
      <c r="O2001" s="36" t="s">
        <v>132</v>
      </c>
      <c r="P2001" s="36">
        <v>1.532810486E9</v>
      </c>
      <c r="Q2001" s="36" t="s">
        <v>7541</v>
      </c>
      <c r="R2001" s="6" t="s">
        <v>7542</v>
      </c>
    </row>
    <row r="2002">
      <c r="A2002" s="6" t="s">
        <v>7537</v>
      </c>
      <c r="B2002" s="6" t="s">
        <v>7537</v>
      </c>
      <c r="C2002" s="6">
        <v>393.0</v>
      </c>
      <c r="D2002" s="9" t="str">
        <f>HYPERLINK("https://www.linkedin.com/ad-library/detail/1532607276","Open Ad")</f>
        <v>Open Ad</v>
      </c>
      <c r="E2002" s="6" t="s">
        <v>91</v>
      </c>
      <c r="F2002" s="6" t="s">
        <v>53</v>
      </c>
      <c r="G2002" s="6" t="s">
        <v>7573</v>
      </c>
      <c r="H2002" s="6" t="s">
        <v>55</v>
      </c>
      <c r="I2002" s="6" t="s">
        <v>7566</v>
      </c>
      <c r="J2002" s="6" t="s">
        <v>91</v>
      </c>
      <c r="K2002" s="6" t="s">
        <v>60</v>
      </c>
      <c r="L2002" s="6" t="s">
        <v>131</v>
      </c>
      <c r="M2002" s="6" t="s">
        <v>7537</v>
      </c>
      <c r="N2002" s="6" t="s">
        <v>132</v>
      </c>
      <c r="O2002" s="36" t="s">
        <v>132</v>
      </c>
      <c r="P2002" s="36">
        <v>1.532607276E9</v>
      </c>
      <c r="Q2002" s="36" t="s">
        <v>7541</v>
      </c>
      <c r="R2002" s="6" t="s">
        <v>7542</v>
      </c>
    </row>
    <row r="2003">
      <c r="A2003" s="6" t="s">
        <v>7537</v>
      </c>
      <c r="B2003" s="6" t="s">
        <v>7537</v>
      </c>
      <c r="C2003" s="6">
        <v>394.0</v>
      </c>
      <c r="D2003" s="9" t="str">
        <f>HYPERLINK("https://www.linkedin.com/ad-library/detail/1532709336","Open Ad")</f>
        <v>Open Ad</v>
      </c>
      <c r="E2003" s="6" t="s">
        <v>91</v>
      </c>
      <c r="F2003" s="6" t="s">
        <v>53</v>
      </c>
      <c r="G2003" s="6" t="s">
        <v>7577</v>
      </c>
      <c r="H2003" s="6" t="s">
        <v>55</v>
      </c>
      <c r="I2003" s="6" t="s">
        <v>7566</v>
      </c>
      <c r="J2003" s="6" t="s">
        <v>91</v>
      </c>
      <c r="K2003" s="6" t="s">
        <v>60</v>
      </c>
      <c r="L2003" s="6" t="s">
        <v>131</v>
      </c>
      <c r="M2003" s="6" t="s">
        <v>7537</v>
      </c>
      <c r="N2003" s="6" t="s">
        <v>132</v>
      </c>
      <c r="O2003" s="36" t="s">
        <v>132</v>
      </c>
      <c r="P2003" s="36">
        <v>1.532709336E9</v>
      </c>
      <c r="Q2003" s="36" t="s">
        <v>7541</v>
      </c>
      <c r="R2003" s="6" t="s">
        <v>7542</v>
      </c>
    </row>
    <row r="2004">
      <c r="A2004" s="6" t="s">
        <v>7537</v>
      </c>
      <c r="B2004" s="6" t="s">
        <v>7537</v>
      </c>
      <c r="C2004" s="6">
        <v>395.0</v>
      </c>
      <c r="D2004" s="9" t="str">
        <f>HYPERLINK("https://www.linkedin.com/ad-library/detail/1532725896","Open Ad")</f>
        <v>Open Ad</v>
      </c>
      <c r="E2004" s="6" t="s">
        <v>91</v>
      </c>
      <c r="F2004" s="6" t="s">
        <v>53</v>
      </c>
      <c r="G2004" s="6" t="s">
        <v>7587</v>
      </c>
      <c r="H2004" s="6" t="s">
        <v>55</v>
      </c>
      <c r="I2004" s="6" t="s">
        <v>7566</v>
      </c>
      <c r="J2004" s="6" t="s">
        <v>91</v>
      </c>
      <c r="K2004" s="9" t="str">
        <f>HYPERLINK("https://media.licdn.com/dms/image/v2/D5610AQEhWScG0zSsQQ/image-shrink_1280/B56Z.ALhD2HIAc-/0/1784561931707?e=2147483647&amp;v=beta&amp;t=CNNXfqX_x8NHdQnVcD2yPE1JO0w4ekTKwdMaxJHCKn4","Open Creative")</f>
        <v>Open Creative</v>
      </c>
      <c r="L2004" s="6" t="s">
        <v>131</v>
      </c>
      <c r="M2004" s="6" t="s">
        <v>7537</v>
      </c>
      <c r="N2004" s="6" t="s">
        <v>132</v>
      </c>
      <c r="O2004" s="36" t="s">
        <v>132</v>
      </c>
      <c r="P2004" s="36">
        <v>1.532725896E9</v>
      </c>
      <c r="Q2004" s="36" t="s">
        <v>7541</v>
      </c>
      <c r="R2004" s="6" t="s">
        <v>7542</v>
      </c>
    </row>
    <row r="2005">
      <c r="A2005" s="6" t="s">
        <v>7537</v>
      </c>
      <c r="B2005" s="6" t="s">
        <v>7537</v>
      </c>
      <c r="C2005" s="6">
        <v>396.0</v>
      </c>
      <c r="D2005" s="9" t="str">
        <f>HYPERLINK("https://www.linkedin.com/ad-library/detail/1532743856","Open Ad")</f>
        <v>Open Ad</v>
      </c>
      <c r="E2005" s="6" t="s">
        <v>154</v>
      </c>
      <c r="F2005" s="6" t="s">
        <v>53</v>
      </c>
      <c r="G2005" s="6" t="s">
        <v>7584</v>
      </c>
      <c r="H2005" s="6" t="s">
        <v>55</v>
      </c>
      <c r="I2005" s="6" t="s">
        <v>7566</v>
      </c>
      <c r="J2005" s="6" t="s">
        <v>154</v>
      </c>
      <c r="K2005" s="9" t="str">
        <f>HYPERLINK("https://dms.licdn.com/playlist/vid/v2/D5610AQEgZSN1R6lkQg/mp4-360p-30fp-crf28/B56Z.pe6eZJoBg-/0/1785254888120?e=2147483647&amp;v=beta&amp;t=5h1R6KvMhc0CxepDbbh4l98qEndRxnaP-BM6oZz1ryY","Open Creative")</f>
        <v>Open Creative</v>
      </c>
      <c r="L2005" s="6" t="s">
        <v>131</v>
      </c>
      <c r="M2005" s="6" t="s">
        <v>7537</v>
      </c>
      <c r="N2005" s="6" t="s">
        <v>132</v>
      </c>
      <c r="O2005" s="36" t="s">
        <v>132</v>
      </c>
      <c r="P2005" s="36">
        <v>1.532743856E9</v>
      </c>
      <c r="Q2005" s="36" t="s">
        <v>7541</v>
      </c>
      <c r="R2005" s="6" t="s">
        <v>7542</v>
      </c>
    </row>
    <row r="2006">
      <c r="A2006" s="6" t="s">
        <v>7537</v>
      </c>
      <c r="B2006" s="6" t="s">
        <v>7537</v>
      </c>
      <c r="C2006" s="6">
        <v>397.0</v>
      </c>
      <c r="D2006" s="9" t="str">
        <f>HYPERLINK("https://www.linkedin.com/ad-library/detail/1532567036","Open Ad")</f>
        <v>Open Ad</v>
      </c>
      <c r="E2006" s="6" t="s">
        <v>91</v>
      </c>
      <c r="F2006" s="6" t="s">
        <v>53</v>
      </c>
      <c r="G2006" s="6" t="s">
        <v>7577</v>
      </c>
      <c r="H2006" s="6" t="s">
        <v>55</v>
      </c>
      <c r="I2006" s="6" t="s">
        <v>7566</v>
      </c>
      <c r="J2006" s="6" t="s">
        <v>91</v>
      </c>
      <c r="K2006" s="6" t="s">
        <v>60</v>
      </c>
      <c r="L2006" s="6" t="s">
        <v>131</v>
      </c>
      <c r="M2006" s="6" t="s">
        <v>7537</v>
      </c>
      <c r="N2006" s="6" t="s">
        <v>132</v>
      </c>
      <c r="O2006" s="36" t="s">
        <v>132</v>
      </c>
      <c r="P2006" s="36">
        <v>1.532567036E9</v>
      </c>
      <c r="Q2006" s="36" t="s">
        <v>7541</v>
      </c>
      <c r="R2006" s="6" t="s">
        <v>7542</v>
      </c>
    </row>
    <row r="2007">
      <c r="A2007" s="6" t="s">
        <v>7537</v>
      </c>
      <c r="B2007" s="6" t="s">
        <v>7537</v>
      </c>
      <c r="C2007" s="6">
        <v>398.0</v>
      </c>
      <c r="D2007" s="9" t="str">
        <f>HYPERLINK("https://www.linkedin.com/ad-library/detail/1532518696","Open Ad")</f>
        <v>Open Ad</v>
      </c>
      <c r="E2007" s="6" t="s">
        <v>91</v>
      </c>
      <c r="F2007" s="6" t="s">
        <v>53</v>
      </c>
      <c r="G2007" s="6" t="s">
        <v>7577</v>
      </c>
      <c r="H2007" s="6" t="s">
        <v>55</v>
      </c>
      <c r="I2007" s="6" t="s">
        <v>7566</v>
      </c>
      <c r="J2007" s="6" t="s">
        <v>91</v>
      </c>
      <c r="K2007" s="6" t="s">
        <v>60</v>
      </c>
      <c r="L2007" s="6" t="s">
        <v>131</v>
      </c>
      <c r="M2007" s="6" t="s">
        <v>7537</v>
      </c>
      <c r="N2007" s="6" t="s">
        <v>132</v>
      </c>
      <c r="O2007" s="36" t="s">
        <v>132</v>
      </c>
      <c r="P2007" s="36">
        <v>1.532518696E9</v>
      </c>
      <c r="Q2007" s="36" t="s">
        <v>7541</v>
      </c>
      <c r="R2007" s="6" t="s">
        <v>7542</v>
      </c>
    </row>
    <row r="2008">
      <c r="A2008" s="6" t="s">
        <v>7537</v>
      </c>
      <c r="B2008" s="6" t="s">
        <v>7537</v>
      </c>
      <c r="C2008" s="6">
        <v>399.0</v>
      </c>
      <c r="D2008" s="9" t="str">
        <f>HYPERLINK("https://www.linkedin.com/ad-library/detail/1532790926","Open Ad")</f>
        <v>Open Ad</v>
      </c>
      <c r="E2008" s="6" t="s">
        <v>91</v>
      </c>
      <c r="F2008" s="6" t="s">
        <v>53</v>
      </c>
      <c r="G2008" s="6" t="s">
        <v>7577</v>
      </c>
      <c r="H2008" s="6" t="s">
        <v>55</v>
      </c>
      <c r="I2008" s="6" t="s">
        <v>7566</v>
      </c>
      <c r="J2008" s="6" t="s">
        <v>91</v>
      </c>
      <c r="K2008" s="6" t="s">
        <v>60</v>
      </c>
      <c r="L2008" s="6" t="s">
        <v>131</v>
      </c>
      <c r="M2008" s="6" t="s">
        <v>7537</v>
      </c>
      <c r="N2008" s="6" t="s">
        <v>132</v>
      </c>
      <c r="O2008" s="36" t="s">
        <v>132</v>
      </c>
      <c r="P2008" s="36">
        <v>1.532790926E9</v>
      </c>
      <c r="Q2008" s="36" t="s">
        <v>7541</v>
      </c>
      <c r="R2008" s="6" t="s">
        <v>7542</v>
      </c>
    </row>
    <row r="2009">
      <c r="A2009" s="6" t="s">
        <v>7537</v>
      </c>
      <c r="B2009" s="6" t="s">
        <v>7537</v>
      </c>
      <c r="C2009" s="6">
        <v>400.0</v>
      </c>
      <c r="D2009" s="9" t="str">
        <f>HYPERLINK("https://www.linkedin.com/ad-library/detail/1532685906","Open Ad")</f>
        <v>Open Ad</v>
      </c>
      <c r="E2009" s="6" t="s">
        <v>91</v>
      </c>
      <c r="F2009" s="6" t="s">
        <v>53</v>
      </c>
      <c r="G2009" s="6" t="s">
        <v>7573</v>
      </c>
      <c r="H2009" s="6" t="s">
        <v>55</v>
      </c>
      <c r="I2009" s="6" t="s">
        <v>7566</v>
      </c>
      <c r="J2009" s="6" t="s">
        <v>91</v>
      </c>
      <c r="K2009" s="6" t="s">
        <v>60</v>
      </c>
      <c r="L2009" s="6" t="s">
        <v>131</v>
      </c>
      <c r="M2009" s="6" t="s">
        <v>7537</v>
      </c>
      <c r="N2009" s="6" t="s">
        <v>132</v>
      </c>
      <c r="O2009" s="36" t="s">
        <v>132</v>
      </c>
      <c r="P2009" s="36">
        <v>1.532685906E9</v>
      </c>
      <c r="Q2009" s="36" t="s">
        <v>7541</v>
      </c>
      <c r="R2009" s="6" t="s">
        <v>7542</v>
      </c>
    </row>
    <row r="2010">
      <c r="A2010" s="6" t="s">
        <v>7537</v>
      </c>
      <c r="B2010" s="6" t="s">
        <v>7537</v>
      </c>
      <c r="C2010" s="6">
        <v>401.0</v>
      </c>
      <c r="D2010" s="9" t="str">
        <f>HYPERLINK("https://www.linkedin.com/ad-library/detail/1532629626","Open Ad")</f>
        <v>Open Ad</v>
      </c>
      <c r="E2010" s="6" t="s">
        <v>91</v>
      </c>
      <c r="F2010" s="6" t="s">
        <v>53</v>
      </c>
      <c r="G2010" s="6" t="s">
        <v>7573</v>
      </c>
      <c r="H2010" s="6" t="s">
        <v>55</v>
      </c>
      <c r="I2010" s="6" t="s">
        <v>7566</v>
      </c>
      <c r="J2010" s="6" t="s">
        <v>91</v>
      </c>
      <c r="K2010" s="6" t="s">
        <v>60</v>
      </c>
      <c r="L2010" s="6" t="s">
        <v>131</v>
      </c>
      <c r="M2010" s="6" t="s">
        <v>7537</v>
      </c>
      <c r="N2010" s="6" t="s">
        <v>132</v>
      </c>
      <c r="O2010" s="36" t="s">
        <v>132</v>
      </c>
      <c r="P2010" s="36">
        <v>1.532629626E9</v>
      </c>
      <c r="Q2010" s="36" t="s">
        <v>7541</v>
      </c>
      <c r="R2010" s="6" t="s">
        <v>7542</v>
      </c>
    </row>
    <row r="2011">
      <c r="A2011" s="6" t="s">
        <v>7537</v>
      </c>
      <c r="B2011" s="6" t="s">
        <v>7537</v>
      </c>
      <c r="C2011" s="6">
        <v>402.0</v>
      </c>
      <c r="D2011" s="9" t="str">
        <f>HYPERLINK("https://www.linkedin.com/ad-library/detail/1532706046","Open Ad")</f>
        <v>Open Ad</v>
      </c>
      <c r="E2011" s="6" t="s">
        <v>91</v>
      </c>
      <c r="F2011" s="6" t="s">
        <v>53</v>
      </c>
      <c r="G2011" s="6" t="s">
        <v>7622</v>
      </c>
      <c r="H2011" s="6" t="s">
        <v>55</v>
      </c>
      <c r="I2011" s="6" t="s">
        <v>7566</v>
      </c>
      <c r="J2011" s="6" t="s">
        <v>91</v>
      </c>
      <c r="K2011" s="9" t="str">
        <f>HYPERLINK("https://media.licdn.com/dms/image/v2/D5610AQFQ9xMHhkIH-g/image-shrink_1280/B56Z9x3WnqKEAc-/0/1784321764097?e=2147483647&amp;v=beta&amp;t=DkMg95bRWP4EePXr-dRDD8dQjGJzZ-lRep0xf40Vv5k","Open Creative")</f>
        <v>Open Creative</v>
      </c>
      <c r="L2011" s="6" t="s">
        <v>131</v>
      </c>
      <c r="M2011" s="6" t="s">
        <v>7537</v>
      </c>
      <c r="N2011" s="6" t="s">
        <v>132</v>
      </c>
      <c r="O2011" s="36" t="s">
        <v>132</v>
      </c>
      <c r="P2011" s="36">
        <v>1.532706046E9</v>
      </c>
      <c r="Q2011" s="36" t="s">
        <v>7541</v>
      </c>
      <c r="R2011" s="6" t="s">
        <v>7542</v>
      </c>
    </row>
    <row r="2012">
      <c r="A2012" s="6" t="s">
        <v>7537</v>
      </c>
      <c r="B2012" s="6" t="s">
        <v>7537</v>
      </c>
      <c r="C2012" s="6">
        <v>403.0</v>
      </c>
      <c r="D2012" s="9" t="str">
        <f>HYPERLINK("https://www.linkedin.com/ad-library/detail/1532737476","Open Ad")</f>
        <v>Open Ad</v>
      </c>
      <c r="E2012" s="6" t="s">
        <v>154</v>
      </c>
      <c r="F2012" s="6" t="s">
        <v>53</v>
      </c>
      <c r="G2012" s="6" t="s">
        <v>7582</v>
      </c>
      <c r="H2012" s="6" t="s">
        <v>55</v>
      </c>
      <c r="I2012" s="6" t="s">
        <v>7566</v>
      </c>
      <c r="J2012" s="6" t="s">
        <v>154</v>
      </c>
      <c r="K2012" s="9" t="str">
        <f>HYPERLINK("https://dms.licdn.com/playlist/vid/v2/D5610AQHCJpD_4X3r0w/mp4-360p-30fp-crf28/B56Z8jGxPuG0Bg-/0/1783000416146?e=2147483647&amp;v=beta&amp;t=buNqytXIKQbDSPmN-gF0MjkJ-TiOGUHb02s8kF2cYZo","Open Creative")</f>
        <v>Open Creative</v>
      </c>
      <c r="L2012" s="6" t="s">
        <v>131</v>
      </c>
      <c r="M2012" s="6" t="s">
        <v>7537</v>
      </c>
      <c r="N2012" s="6" t="s">
        <v>132</v>
      </c>
      <c r="O2012" s="36" t="s">
        <v>132</v>
      </c>
      <c r="P2012" s="36">
        <v>1.532737476E9</v>
      </c>
      <c r="Q2012" s="36" t="s">
        <v>7541</v>
      </c>
      <c r="R2012" s="6" t="s">
        <v>7542</v>
      </c>
    </row>
    <row r="2013">
      <c r="A2013" s="6" t="s">
        <v>7537</v>
      </c>
      <c r="B2013" s="6" t="s">
        <v>7537</v>
      </c>
      <c r="C2013" s="6">
        <v>404.0</v>
      </c>
      <c r="D2013" s="9" t="str">
        <f>HYPERLINK("https://www.linkedin.com/ad-library/detail/1532676406","Open Ad")</f>
        <v>Open Ad</v>
      </c>
      <c r="E2013" s="6" t="s">
        <v>91</v>
      </c>
      <c r="F2013" s="6" t="s">
        <v>53</v>
      </c>
      <c r="G2013" s="6" t="s">
        <v>7573</v>
      </c>
      <c r="H2013" s="6" t="s">
        <v>55</v>
      </c>
      <c r="I2013" s="6" t="s">
        <v>7566</v>
      </c>
      <c r="J2013" s="6" t="s">
        <v>91</v>
      </c>
      <c r="K2013" s="6" t="s">
        <v>60</v>
      </c>
      <c r="L2013" s="6" t="s">
        <v>131</v>
      </c>
      <c r="M2013" s="6" t="s">
        <v>7537</v>
      </c>
      <c r="N2013" s="6" t="s">
        <v>132</v>
      </c>
      <c r="O2013" s="36" t="s">
        <v>132</v>
      </c>
      <c r="P2013" s="36">
        <v>1.532676406E9</v>
      </c>
      <c r="Q2013" s="36" t="s">
        <v>7541</v>
      </c>
      <c r="R2013" s="6" t="s">
        <v>7542</v>
      </c>
    </row>
    <row r="2014">
      <c r="A2014" s="6" t="s">
        <v>7537</v>
      </c>
      <c r="B2014" s="6" t="s">
        <v>7537</v>
      </c>
      <c r="C2014" s="6">
        <v>405.0</v>
      </c>
      <c r="D2014" s="9" t="str">
        <f>HYPERLINK("https://www.linkedin.com/ad-library/detail/1532679726","Open Ad")</f>
        <v>Open Ad</v>
      </c>
      <c r="E2014" s="6" t="s">
        <v>154</v>
      </c>
      <c r="F2014" s="6" t="s">
        <v>53</v>
      </c>
      <c r="G2014" s="6" t="s">
        <v>7585</v>
      </c>
      <c r="H2014" s="6" t="s">
        <v>55</v>
      </c>
      <c r="I2014" s="6" t="s">
        <v>7566</v>
      </c>
      <c r="J2014" s="6" t="s">
        <v>154</v>
      </c>
      <c r="K2014" s="9" t="str">
        <f>HYPERLINK("https://dms.licdn.com/playlist/vid/v2/D5610AQE-VfSgTRNyaw/mp4-360p-30fp-crf28/B56Z.uEO8SKEBg-/0/1785331783820?e=2147483647&amp;v=beta&amp;t=e9YZglcKCxI_lxTW8MHZKf8rDd_-EPTYRks5j3J7Xgg","Open Creative")</f>
        <v>Open Creative</v>
      </c>
      <c r="L2014" s="6" t="s">
        <v>131</v>
      </c>
      <c r="M2014" s="6" t="s">
        <v>7537</v>
      </c>
      <c r="N2014" s="6" t="s">
        <v>132</v>
      </c>
      <c r="O2014" s="36" t="s">
        <v>132</v>
      </c>
      <c r="P2014" s="36">
        <v>1.532679726E9</v>
      </c>
      <c r="Q2014" s="36" t="s">
        <v>7541</v>
      </c>
      <c r="R2014" s="6" t="s">
        <v>7542</v>
      </c>
    </row>
    <row r="2015">
      <c r="A2015" s="6" t="s">
        <v>7537</v>
      </c>
      <c r="B2015" s="6" t="s">
        <v>7537</v>
      </c>
      <c r="C2015" s="6">
        <v>406.0</v>
      </c>
      <c r="D2015" s="9" t="str">
        <f>HYPERLINK("https://www.linkedin.com/ad-library/detail/1532734626","Open Ad")</f>
        <v>Open Ad</v>
      </c>
      <c r="E2015" s="6" t="s">
        <v>154</v>
      </c>
      <c r="F2015" s="6" t="s">
        <v>53</v>
      </c>
      <c r="G2015" s="6" t="s">
        <v>7583</v>
      </c>
      <c r="H2015" s="6" t="s">
        <v>55</v>
      </c>
      <c r="I2015" s="6" t="s">
        <v>7566</v>
      </c>
      <c r="J2015" s="6" t="s">
        <v>154</v>
      </c>
      <c r="K2015" s="9" t="str">
        <f>HYPERLINK("https://dms.licdn.com/playlist/vid/v2/D5610AQFSMcnW06imag/mp4-720p-30fp-crf28/B56Z.pe2QCKMBk-/0/1785254870903?e=2147483647&amp;v=beta&amp;t=g-3k8J4kc7bttKyXTLsE0c8iC3sdncRAqezIsmyhZN4","Open Creative")</f>
        <v>Open Creative</v>
      </c>
      <c r="L2015" s="6" t="s">
        <v>131</v>
      </c>
      <c r="M2015" s="6" t="s">
        <v>7537</v>
      </c>
      <c r="N2015" s="6" t="s">
        <v>132</v>
      </c>
      <c r="O2015" s="36" t="s">
        <v>132</v>
      </c>
      <c r="P2015" s="36">
        <v>1.532734626E9</v>
      </c>
      <c r="Q2015" s="36" t="s">
        <v>7541</v>
      </c>
      <c r="R2015" s="6" t="s">
        <v>7542</v>
      </c>
    </row>
    <row r="2016">
      <c r="A2016" s="6" t="s">
        <v>7537</v>
      </c>
      <c r="B2016" s="6" t="s">
        <v>7537</v>
      </c>
      <c r="C2016" s="6">
        <v>407.0</v>
      </c>
      <c r="D2016" s="9" t="str">
        <f>HYPERLINK("https://www.linkedin.com/ad-library/detail/1532752666","Open Ad")</f>
        <v>Open Ad</v>
      </c>
      <c r="E2016" s="6" t="s">
        <v>91</v>
      </c>
      <c r="F2016" s="6" t="s">
        <v>53</v>
      </c>
      <c r="G2016" s="6" t="s">
        <v>7619</v>
      </c>
      <c r="H2016" s="6" t="s">
        <v>55</v>
      </c>
      <c r="I2016" s="6" t="s">
        <v>7566</v>
      </c>
      <c r="J2016" s="6" t="s">
        <v>91</v>
      </c>
      <c r="K2016" s="9" t="str">
        <f>HYPERLINK("https://media.licdn.com/dms/image/v2/D5610AQFCx_YJc45xmQ/image-shrink_1280/B56Z9_1kn.GsAg-/0/1784556178150?e=2147483647&amp;v=beta&amp;t=f1YUvgvX1_1a1kJVoEtCFw4Vo-6pu3fvcM8OtM7KrGI","Open Creative")</f>
        <v>Open Creative</v>
      </c>
      <c r="L2016" s="6" t="s">
        <v>131</v>
      </c>
      <c r="M2016" s="6" t="s">
        <v>7537</v>
      </c>
      <c r="N2016" s="6" t="s">
        <v>132</v>
      </c>
      <c r="O2016" s="36" t="s">
        <v>132</v>
      </c>
      <c r="P2016" s="36">
        <v>1.532752666E9</v>
      </c>
      <c r="Q2016" s="36" t="s">
        <v>7541</v>
      </c>
      <c r="R2016" s="6" t="s">
        <v>7542</v>
      </c>
    </row>
    <row r="2017">
      <c r="A2017" s="6" t="s">
        <v>7537</v>
      </c>
      <c r="B2017" s="6" t="s">
        <v>7537</v>
      </c>
      <c r="C2017" s="6">
        <v>408.0</v>
      </c>
      <c r="D2017" s="9" t="str">
        <f>HYPERLINK("https://www.linkedin.com/ad-library/detail/1532771406","Open Ad")</f>
        <v>Open Ad</v>
      </c>
      <c r="E2017" s="6" t="s">
        <v>91</v>
      </c>
      <c r="F2017" s="6" t="s">
        <v>53</v>
      </c>
      <c r="G2017" s="6" t="s">
        <v>7573</v>
      </c>
      <c r="H2017" s="6" t="s">
        <v>55</v>
      </c>
      <c r="I2017" s="6" t="s">
        <v>7566</v>
      </c>
      <c r="J2017" s="6" t="s">
        <v>91</v>
      </c>
      <c r="K2017" s="6" t="s">
        <v>60</v>
      </c>
      <c r="L2017" s="6" t="s">
        <v>131</v>
      </c>
      <c r="M2017" s="6" t="s">
        <v>7537</v>
      </c>
      <c r="N2017" s="6" t="s">
        <v>132</v>
      </c>
      <c r="O2017" s="36" t="s">
        <v>132</v>
      </c>
      <c r="P2017" s="36">
        <v>1.532771406E9</v>
      </c>
      <c r="Q2017" s="36" t="s">
        <v>7541</v>
      </c>
      <c r="R2017" s="6" t="s">
        <v>7542</v>
      </c>
    </row>
    <row r="2018">
      <c r="A2018" s="6" t="s">
        <v>7537</v>
      </c>
      <c r="B2018" s="6" t="s">
        <v>7537</v>
      </c>
      <c r="C2018" s="6">
        <v>409.0</v>
      </c>
      <c r="D2018" s="9" t="str">
        <f>HYPERLINK("https://www.linkedin.com/ad-library/detail/1529147036","Open Ad")</f>
        <v>Open Ad</v>
      </c>
      <c r="E2018" s="6" t="s">
        <v>91</v>
      </c>
      <c r="F2018" s="6" t="s">
        <v>53</v>
      </c>
      <c r="G2018" s="6" t="s">
        <v>7623</v>
      </c>
      <c r="H2018" s="6" t="s">
        <v>55</v>
      </c>
      <c r="I2018" s="6" t="s">
        <v>7566</v>
      </c>
      <c r="J2018" s="6" t="s">
        <v>91</v>
      </c>
      <c r="K2018" s="9" t="str">
        <f>HYPERLINK("https://media.licdn.com/dms/image/v2/D4E10AQHuWWIwBs13sw/image-shrink_1280/B4EZ.0cbsyIAAc-/0/1785438781038?e=2147483647&amp;v=beta&amp;t=iFOiEvH9oM0XSx2lRGGqRaVXgoFatQh9ALAnDcujQPY","Open Creative")</f>
        <v>Open Creative</v>
      </c>
      <c r="L2018" s="6" t="s">
        <v>131</v>
      </c>
      <c r="M2018" s="6" t="s">
        <v>7537</v>
      </c>
      <c r="N2018" s="6" t="s">
        <v>132</v>
      </c>
      <c r="O2018" s="36" t="s">
        <v>132</v>
      </c>
      <c r="P2018" s="36">
        <v>1.529147036E9</v>
      </c>
      <c r="Q2018" s="36" t="s">
        <v>7541</v>
      </c>
      <c r="R2018" s="6" t="s">
        <v>7542</v>
      </c>
    </row>
    <row r="2019">
      <c r="A2019" s="6" t="s">
        <v>7537</v>
      </c>
      <c r="B2019" s="6" t="s">
        <v>7537</v>
      </c>
      <c r="C2019" s="6">
        <v>410.0</v>
      </c>
      <c r="D2019" s="9" t="str">
        <f>HYPERLINK("https://www.linkedin.com/ad-library/detail/1532695966","Open Ad")</f>
        <v>Open Ad</v>
      </c>
      <c r="E2019" s="6" t="s">
        <v>91</v>
      </c>
      <c r="F2019" s="6" t="s">
        <v>53</v>
      </c>
      <c r="G2019" s="6" t="s">
        <v>7624</v>
      </c>
      <c r="H2019" s="6" t="s">
        <v>55</v>
      </c>
      <c r="I2019" s="6" t="s">
        <v>7566</v>
      </c>
      <c r="J2019" s="6" t="s">
        <v>91</v>
      </c>
      <c r="K2019" s="9" t="str">
        <f>HYPERLINK("https://media.licdn.com/dms/image/v2/D5610AQHWN3cBgpsrZA/image-shrink_1280/B56Z8ThVnqLAAc-/0/1782738934569?e=2147483647&amp;v=beta&amp;t=A-Y9kI8t-vvKXU86I3eo4Ke7-nBQGOwNbp_-WJGBzdU","Open Creative")</f>
        <v>Open Creative</v>
      </c>
      <c r="L2019" s="6" t="s">
        <v>131</v>
      </c>
      <c r="M2019" s="6" t="s">
        <v>7537</v>
      </c>
      <c r="N2019" s="6" t="s">
        <v>7625</v>
      </c>
      <c r="O2019" s="36" t="s">
        <v>67</v>
      </c>
      <c r="P2019" s="36">
        <v>1.532695966E9</v>
      </c>
      <c r="Q2019" s="36" t="s">
        <v>7541</v>
      </c>
      <c r="R2019" s="6" t="s">
        <v>7542</v>
      </c>
    </row>
    <row r="2020">
      <c r="A2020" s="6" t="s">
        <v>7537</v>
      </c>
      <c r="B2020" s="6" t="s">
        <v>7537</v>
      </c>
      <c r="C2020" s="6">
        <v>411.0</v>
      </c>
      <c r="D2020" s="9" t="str">
        <f>HYPERLINK("https://www.linkedin.com/ad-library/detail/1528197576","Open Ad")</f>
        <v>Open Ad</v>
      </c>
      <c r="E2020" s="6" t="s">
        <v>154</v>
      </c>
      <c r="F2020" s="6" t="s">
        <v>53</v>
      </c>
      <c r="G2020" s="6" t="s">
        <v>7626</v>
      </c>
      <c r="H2020" s="6" t="s">
        <v>55</v>
      </c>
      <c r="I2020" s="6" t="s">
        <v>7566</v>
      </c>
      <c r="J2020" s="6" t="s">
        <v>154</v>
      </c>
      <c r="K2020" s="9" t="str">
        <f t="shared" ref="K2020:K2021" si="29">HYPERLINK("https://dms.licdn.com/playlist/vid/v2/D5605AQHT7vk0A-3seQ/mp4-720p-30fp-crf28/B56Z9_tNZaG8CE-/0/1784553999764?e=2147483647&amp;v=beta&amp;t=_pTgd_w3ipyXA3GSOVK4YiCFXZVAebifIJBI21X9GDI","Open Creative")</f>
        <v>Open Creative</v>
      </c>
      <c r="L2020" s="6" t="s">
        <v>131</v>
      </c>
      <c r="M2020" s="6" t="s">
        <v>7537</v>
      </c>
      <c r="N2020" s="6" t="s">
        <v>132</v>
      </c>
      <c r="O2020" s="36" t="s">
        <v>132</v>
      </c>
      <c r="P2020" s="36">
        <v>1.528197576E9</v>
      </c>
      <c r="Q2020" s="36" t="s">
        <v>7541</v>
      </c>
      <c r="R2020" s="6" t="s">
        <v>7542</v>
      </c>
    </row>
    <row r="2021">
      <c r="A2021" s="6" t="s">
        <v>7537</v>
      </c>
      <c r="B2021" s="6" t="s">
        <v>7537</v>
      </c>
      <c r="C2021" s="6">
        <v>412.0</v>
      </c>
      <c r="D2021" s="9" t="str">
        <f>HYPERLINK("https://www.linkedin.com/ad-library/detail/1528108536","Open Ad")</f>
        <v>Open Ad</v>
      </c>
      <c r="E2021" s="6" t="s">
        <v>154</v>
      </c>
      <c r="F2021" s="6" t="s">
        <v>53</v>
      </c>
      <c r="G2021" s="6" t="s">
        <v>7626</v>
      </c>
      <c r="H2021" s="6" t="s">
        <v>55</v>
      </c>
      <c r="I2021" s="6" t="s">
        <v>7566</v>
      </c>
      <c r="J2021" s="6" t="s">
        <v>154</v>
      </c>
      <c r="K2021" s="9" t="str">
        <f t="shared" si="29"/>
        <v>Open Creative</v>
      </c>
      <c r="L2021" s="6" t="s">
        <v>131</v>
      </c>
      <c r="M2021" s="6" t="s">
        <v>7537</v>
      </c>
      <c r="N2021" s="6" t="s">
        <v>132</v>
      </c>
      <c r="O2021" s="36" t="s">
        <v>132</v>
      </c>
      <c r="P2021" s="36">
        <v>1.528108536E9</v>
      </c>
      <c r="Q2021" s="36" t="s">
        <v>7541</v>
      </c>
      <c r="R2021" s="6" t="s">
        <v>7542</v>
      </c>
    </row>
    <row r="2022">
      <c r="A2022" s="6" t="s">
        <v>7537</v>
      </c>
      <c r="B2022" s="6" t="s">
        <v>7537</v>
      </c>
      <c r="C2022" s="6">
        <v>413.0</v>
      </c>
      <c r="D2022" s="9" t="str">
        <f>HYPERLINK("https://www.linkedin.com/ad-library/detail/1532577626","Open Ad")</f>
        <v>Open Ad</v>
      </c>
      <c r="E2022" s="6" t="s">
        <v>91</v>
      </c>
      <c r="F2022" s="6" t="s">
        <v>53</v>
      </c>
      <c r="G2022" s="6" t="s">
        <v>7595</v>
      </c>
      <c r="H2022" s="6" t="s">
        <v>55</v>
      </c>
      <c r="I2022" s="6" t="s">
        <v>7566</v>
      </c>
      <c r="J2022" s="6" t="s">
        <v>91</v>
      </c>
      <c r="K2022" s="9" t="str">
        <f>HYPERLINK("https://media.licdn.com/dms/image/v2/D5610AQF5ONUziLB90Q/image-shrink_1280/B56Z8YuROrGcAc-/0/1782826211326?e=2147483647&amp;v=beta&amp;t=P2Cz2Aul20qMidWME_WS_vAnPWT-iq7vaBsEHckvets","Open Creative")</f>
        <v>Open Creative</v>
      </c>
      <c r="L2022" s="6" t="s">
        <v>131</v>
      </c>
      <c r="M2022" s="6" t="s">
        <v>7537</v>
      </c>
      <c r="N2022" s="6" t="s">
        <v>132</v>
      </c>
      <c r="O2022" s="36" t="s">
        <v>132</v>
      </c>
      <c r="P2022" s="36">
        <v>1.532577626E9</v>
      </c>
      <c r="Q2022" s="36" t="s">
        <v>7541</v>
      </c>
      <c r="R2022" s="6" t="s">
        <v>7542</v>
      </c>
    </row>
    <row r="2023">
      <c r="A2023" s="6" t="s">
        <v>7537</v>
      </c>
      <c r="B2023" s="6" t="s">
        <v>7537</v>
      </c>
      <c r="C2023" s="6">
        <v>414.0</v>
      </c>
      <c r="D2023" s="9" t="str">
        <f>HYPERLINK("https://www.linkedin.com/ad-library/detail/1529274656","Open Ad")</f>
        <v>Open Ad</v>
      </c>
      <c r="E2023" s="6" t="s">
        <v>91</v>
      </c>
      <c r="F2023" s="6" t="s">
        <v>53</v>
      </c>
      <c r="G2023" s="6" t="s">
        <v>7623</v>
      </c>
      <c r="H2023" s="6" t="s">
        <v>55</v>
      </c>
      <c r="I2023" s="6" t="s">
        <v>7566</v>
      </c>
      <c r="J2023" s="6" t="s">
        <v>91</v>
      </c>
      <c r="K2023" s="9" t="str">
        <f>HYPERLINK("https://media.licdn.com/dms/image/v2/D4E10AQHuWWIwBs13sw/image-shrink_1280/B4EZ.0cbsyIAAc-/0/1785438781038?e=2147483647&amp;v=beta&amp;t=iFOiEvH9oM0XSx2lRGGqRaVXgoFatQh9ALAnDcujQPY","Open Creative")</f>
        <v>Open Creative</v>
      </c>
      <c r="L2023" s="6" t="s">
        <v>131</v>
      </c>
      <c r="M2023" s="6" t="s">
        <v>7537</v>
      </c>
      <c r="N2023" s="6" t="s">
        <v>132</v>
      </c>
      <c r="O2023" s="36" t="s">
        <v>132</v>
      </c>
      <c r="P2023" s="36">
        <v>1.529274656E9</v>
      </c>
      <c r="Q2023" s="36" t="s">
        <v>7541</v>
      </c>
      <c r="R2023" s="6" t="s">
        <v>7542</v>
      </c>
    </row>
    <row r="2024">
      <c r="A2024" s="6" t="s">
        <v>7537</v>
      </c>
      <c r="B2024" s="6" t="s">
        <v>7537</v>
      </c>
      <c r="C2024" s="6">
        <v>415.0</v>
      </c>
      <c r="D2024" s="9" t="str">
        <f>HYPERLINK("https://www.linkedin.com/ad-library/detail/1528098586","Open Ad")</f>
        <v>Open Ad</v>
      </c>
      <c r="E2024" s="6" t="s">
        <v>154</v>
      </c>
      <c r="F2024" s="6" t="s">
        <v>53</v>
      </c>
      <c r="G2024" s="6" t="s">
        <v>7626</v>
      </c>
      <c r="H2024" s="6" t="s">
        <v>55</v>
      </c>
      <c r="I2024" s="6" t="s">
        <v>7566</v>
      </c>
      <c r="J2024" s="6" t="s">
        <v>154</v>
      </c>
      <c r="K2024" s="9" t="str">
        <f t="shared" ref="K2024:K2025" si="30">HYPERLINK("https://dms.licdn.com/playlist/vid/v2/D5605AQHT7vk0A-3seQ/mp4-720p-30fp-crf28/B56Z9_tNZaG8CE-/0/1784553999764?e=2147483647&amp;v=beta&amp;t=_pTgd_w3ipyXA3GSOVK4YiCFXZVAebifIJBI21X9GDI","Open Creative")</f>
        <v>Open Creative</v>
      </c>
      <c r="L2024" s="6" t="s">
        <v>131</v>
      </c>
      <c r="M2024" s="6" t="s">
        <v>7537</v>
      </c>
      <c r="N2024" s="6" t="s">
        <v>132</v>
      </c>
      <c r="O2024" s="36" t="s">
        <v>132</v>
      </c>
      <c r="P2024" s="36">
        <v>1.528098586E9</v>
      </c>
      <c r="Q2024" s="36" t="s">
        <v>7541</v>
      </c>
      <c r="R2024" s="6" t="s">
        <v>7542</v>
      </c>
    </row>
    <row r="2025">
      <c r="A2025" s="6" t="s">
        <v>7537</v>
      </c>
      <c r="B2025" s="6" t="s">
        <v>7537</v>
      </c>
      <c r="C2025" s="6">
        <v>416.0</v>
      </c>
      <c r="D2025" s="9" t="str">
        <f>HYPERLINK("https://www.linkedin.com/ad-library/detail/1528088946","Open Ad")</f>
        <v>Open Ad</v>
      </c>
      <c r="E2025" s="6" t="s">
        <v>154</v>
      </c>
      <c r="F2025" s="6" t="s">
        <v>53</v>
      </c>
      <c r="G2025" s="6" t="s">
        <v>7626</v>
      </c>
      <c r="H2025" s="6" t="s">
        <v>55</v>
      </c>
      <c r="I2025" s="6" t="s">
        <v>7566</v>
      </c>
      <c r="J2025" s="6" t="s">
        <v>154</v>
      </c>
      <c r="K2025" s="9" t="str">
        <f t="shared" si="30"/>
        <v>Open Creative</v>
      </c>
      <c r="L2025" s="6" t="s">
        <v>131</v>
      </c>
      <c r="M2025" s="6" t="s">
        <v>7537</v>
      </c>
      <c r="N2025" s="6" t="s">
        <v>132</v>
      </c>
      <c r="O2025" s="36" t="s">
        <v>132</v>
      </c>
      <c r="P2025" s="36">
        <v>1.528088946E9</v>
      </c>
      <c r="Q2025" s="36" t="s">
        <v>7541</v>
      </c>
      <c r="R2025" s="6" t="s">
        <v>7542</v>
      </c>
    </row>
    <row r="2026">
      <c r="A2026" s="6" t="s">
        <v>7537</v>
      </c>
      <c r="B2026" s="6" t="s">
        <v>7537</v>
      </c>
      <c r="C2026" s="6">
        <v>417.0</v>
      </c>
      <c r="D2026" s="9" t="str">
        <f>HYPERLINK("https://www.linkedin.com/ad-library/detail/1529087976","Open Ad")</f>
        <v>Open Ad</v>
      </c>
      <c r="E2026" s="6" t="s">
        <v>91</v>
      </c>
      <c r="F2026" s="6" t="s">
        <v>53</v>
      </c>
      <c r="G2026" s="6" t="s">
        <v>7623</v>
      </c>
      <c r="H2026" s="6" t="s">
        <v>55</v>
      </c>
      <c r="I2026" s="6" t="s">
        <v>7566</v>
      </c>
      <c r="J2026" s="6" t="s">
        <v>91</v>
      </c>
      <c r="K2026" s="9" t="str">
        <f>HYPERLINK("https://media.licdn.com/dms/image/v2/D4E10AQHuWWIwBs13sw/image-shrink_1280/B4EZ.0cbsyIAAc-/0/1785438781038?e=2147483647&amp;v=beta&amp;t=iFOiEvH9oM0XSx2lRGGqRaVXgoFatQh9ALAnDcujQPY","Open Creative")</f>
        <v>Open Creative</v>
      </c>
      <c r="L2026" s="6" t="s">
        <v>131</v>
      </c>
      <c r="M2026" s="6" t="s">
        <v>7537</v>
      </c>
      <c r="N2026" s="6" t="s">
        <v>132</v>
      </c>
      <c r="O2026" s="36" t="s">
        <v>132</v>
      </c>
      <c r="P2026" s="36">
        <v>1.529087976E9</v>
      </c>
      <c r="Q2026" s="36" t="s">
        <v>7541</v>
      </c>
      <c r="R2026" s="6" t="s">
        <v>7542</v>
      </c>
    </row>
    <row r="2027">
      <c r="A2027" s="6" t="s">
        <v>7537</v>
      </c>
      <c r="B2027" s="6" t="s">
        <v>7537</v>
      </c>
      <c r="C2027" s="6">
        <v>418.0</v>
      </c>
      <c r="D2027" s="9" t="str">
        <f>HYPERLINK("https://www.linkedin.com/ad-library/detail/1532636916","Open Ad")</f>
        <v>Open Ad</v>
      </c>
      <c r="E2027" s="6" t="s">
        <v>91</v>
      </c>
      <c r="F2027" s="6" t="s">
        <v>53</v>
      </c>
      <c r="G2027" s="6" t="s">
        <v>7588</v>
      </c>
      <c r="H2027" s="6" t="s">
        <v>55</v>
      </c>
      <c r="I2027" s="6" t="s">
        <v>7566</v>
      </c>
      <c r="J2027" s="6" t="s">
        <v>91</v>
      </c>
      <c r="K2027" s="9" t="str">
        <f>HYPERLINK("https://media.licdn.com/dms/image/v2/D4E10AQEqECWLz8eLfg/image-shrink_1280/B4EZ3UsZ.CGkAc-/0/1777389904287?e=2147483647&amp;v=beta&amp;t=0Mbfqk_hLfichGIBXrMjoO2DeoHez5SeK866pI13xWU","Open Creative")</f>
        <v>Open Creative</v>
      </c>
      <c r="L2027" s="6" t="s">
        <v>131</v>
      </c>
      <c r="M2027" s="6" t="s">
        <v>7537</v>
      </c>
      <c r="N2027" s="6" t="s">
        <v>132</v>
      </c>
      <c r="O2027" s="36" t="s">
        <v>132</v>
      </c>
      <c r="P2027" s="36">
        <v>1.532636916E9</v>
      </c>
      <c r="Q2027" s="36" t="s">
        <v>7541</v>
      </c>
      <c r="R2027" s="6" t="s">
        <v>7542</v>
      </c>
    </row>
    <row r="2028">
      <c r="A2028" s="6" t="s">
        <v>7537</v>
      </c>
      <c r="B2028" s="6" t="s">
        <v>7537</v>
      </c>
      <c r="C2028" s="6">
        <v>419.0</v>
      </c>
      <c r="D2028" s="9" t="str">
        <f>HYPERLINK("https://www.linkedin.com/ad-library/detail/1528138676","Open Ad")</f>
        <v>Open Ad</v>
      </c>
      <c r="E2028" s="6" t="s">
        <v>154</v>
      </c>
      <c r="F2028" s="6" t="s">
        <v>53</v>
      </c>
      <c r="G2028" s="6" t="s">
        <v>7626</v>
      </c>
      <c r="H2028" s="6" t="s">
        <v>55</v>
      </c>
      <c r="I2028" s="6" t="s">
        <v>7566</v>
      </c>
      <c r="J2028" s="6" t="s">
        <v>154</v>
      </c>
      <c r="K2028" s="9" t="str">
        <f>HYPERLINK("https://dms.licdn.com/playlist/vid/v2/D5605AQHT7vk0A-3seQ/mp4-720p-30fp-crf28/B56Z9_tNZaG8CE-/0/1784553999764?e=2147483647&amp;v=beta&amp;t=_pTgd_w3ipyXA3GSOVK4YiCFXZVAebifIJBI21X9GDI","Open Creative")</f>
        <v>Open Creative</v>
      </c>
      <c r="L2028" s="6" t="s">
        <v>131</v>
      </c>
      <c r="M2028" s="6" t="s">
        <v>7537</v>
      </c>
      <c r="N2028" s="6" t="s">
        <v>132</v>
      </c>
      <c r="O2028" s="36" t="s">
        <v>132</v>
      </c>
      <c r="P2028" s="36">
        <v>1.528138676E9</v>
      </c>
      <c r="Q2028" s="36" t="s">
        <v>7541</v>
      </c>
      <c r="R2028" s="6" t="s">
        <v>7542</v>
      </c>
    </row>
    <row r="2029">
      <c r="A2029" s="6" t="s">
        <v>7537</v>
      </c>
      <c r="B2029" s="6" t="s">
        <v>7537</v>
      </c>
      <c r="C2029" s="6">
        <v>420.0</v>
      </c>
      <c r="D2029" s="9" t="str">
        <f>HYPERLINK("https://www.linkedin.com/ad-library/detail/1529097596","Open Ad")</f>
        <v>Open Ad</v>
      </c>
      <c r="E2029" s="6" t="s">
        <v>91</v>
      </c>
      <c r="F2029" s="6" t="s">
        <v>53</v>
      </c>
      <c r="G2029" s="6" t="s">
        <v>7623</v>
      </c>
      <c r="H2029" s="6" t="s">
        <v>55</v>
      </c>
      <c r="I2029" s="6" t="s">
        <v>7566</v>
      </c>
      <c r="J2029" s="6" t="s">
        <v>91</v>
      </c>
      <c r="K2029" s="9" t="str">
        <f t="shared" ref="K2029:K2032" si="31">HYPERLINK("https://media.licdn.com/dms/image/v2/D4E10AQHuWWIwBs13sw/image-shrink_1280/B4EZ.0cbsyIAAc-/0/1785438781038?e=2147483647&amp;v=beta&amp;t=iFOiEvH9oM0XSx2lRGGqRaVXgoFatQh9ALAnDcujQPY","Open Creative")</f>
        <v>Open Creative</v>
      </c>
      <c r="L2029" s="6" t="s">
        <v>131</v>
      </c>
      <c r="M2029" s="6" t="s">
        <v>7537</v>
      </c>
      <c r="N2029" s="6" t="s">
        <v>132</v>
      </c>
      <c r="O2029" s="36" t="s">
        <v>132</v>
      </c>
      <c r="P2029" s="36">
        <v>1.529097596E9</v>
      </c>
      <c r="Q2029" s="36" t="s">
        <v>7541</v>
      </c>
      <c r="R2029" s="6" t="s">
        <v>7542</v>
      </c>
    </row>
    <row r="2030">
      <c r="A2030" s="6" t="s">
        <v>7537</v>
      </c>
      <c r="B2030" s="6" t="s">
        <v>7537</v>
      </c>
      <c r="C2030" s="6">
        <v>421.0</v>
      </c>
      <c r="D2030" s="9" t="str">
        <f>HYPERLINK("https://www.linkedin.com/ad-library/detail/1529157026","Open Ad")</f>
        <v>Open Ad</v>
      </c>
      <c r="E2030" s="6" t="s">
        <v>91</v>
      </c>
      <c r="F2030" s="6" t="s">
        <v>53</v>
      </c>
      <c r="G2030" s="6" t="s">
        <v>7623</v>
      </c>
      <c r="H2030" s="6" t="s">
        <v>55</v>
      </c>
      <c r="I2030" s="6" t="s">
        <v>7566</v>
      </c>
      <c r="J2030" s="6" t="s">
        <v>91</v>
      </c>
      <c r="K2030" s="9" t="str">
        <f t="shared" si="31"/>
        <v>Open Creative</v>
      </c>
      <c r="L2030" s="6" t="s">
        <v>131</v>
      </c>
      <c r="M2030" s="6" t="s">
        <v>7537</v>
      </c>
      <c r="N2030" s="6" t="s">
        <v>132</v>
      </c>
      <c r="O2030" s="36" t="s">
        <v>132</v>
      </c>
      <c r="P2030" s="36">
        <v>1.529157026E9</v>
      </c>
      <c r="Q2030" s="36" t="s">
        <v>7541</v>
      </c>
      <c r="R2030" s="6" t="s">
        <v>7542</v>
      </c>
    </row>
    <row r="2031">
      <c r="A2031" s="6" t="s">
        <v>7537</v>
      </c>
      <c r="B2031" s="6" t="s">
        <v>7537</v>
      </c>
      <c r="C2031" s="6">
        <v>422.0</v>
      </c>
      <c r="D2031" s="9" t="str">
        <f>HYPERLINK("https://www.linkedin.com/ad-library/detail/1529097586","Open Ad")</f>
        <v>Open Ad</v>
      </c>
      <c r="E2031" s="6" t="s">
        <v>91</v>
      </c>
      <c r="F2031" s="6" t="s">
        <v>53</v>
      </c>
      <c r="G2031" s="6" t="s">
        <v>7623</v>
      </c>
      <c r="H2031" s="6" t="s">
        <v>55</v>
      </c>
      <c r="I2031" s="6" t="s">
        <v>7566</v>
      </c>
      <c r="J2031" s="6" t="s">
        <v>91</v>
      </c>
      <c r="K2031" s="9" t="str">
        <f t="shared" si="31"/>
        <v>Open Creative</v>
      </c>
      <c r="L2031" s="6" t="s">
        <v>131</v>
      </c>
      <c r="M2031" s="6" t="s">
        <v>7537</v>
      </c>
      <c r="N2031" s="6" t="s">
        <v>132</v>
      </c>
      <c r="O2031" s="36" t="s">
        <v>132</v>
      </c>
      <c r="P2031" s="36">
        <v>1.529097586E9</v>
      </c>
      <c r="Q2031" s="36" t="s">
        <v>7541</v>
      </c>
      <c r="R2031" s="6" t="s">
        <v>7542</v>
      </c>
    </row>
    <row r="2032">
      <c r="A2032" s="6" t="s">
        <v>7537</v>
      </c>
      <c r="B2032" s="6" t="s">
        <v>7537</v>
      </c>
      <c r="C2032" s="6">
        <v>423.0</v>
      </c>
      <c r="D2032" s="9" t="str">
        <f>HYPERLINK("https://www.linkedin.com/ad-library/detail/1529107366","Open Ad")</f>
        <v>Open Ad</v>
      </c>
      <c r="E2032" s="6" t="s">
        <v>91</v>
      </c>
      <c r="F2032" s="6" t="s">
        <v>53</v>
      </c>
      <c r="G2032" s="6" t="s">
        <v>7623</v>
      </c>
      <c r="H2032" s="6" t="s">
        <v>55</v>
      </c>
      <c r="I2032" s="6" t="s">
        <v>7566</v>
      </c>
      <c r="J2032" s="6" t="s">
        <v>91</v>
      </c>
      <c r="K2032" s="9" t="str">
        <f t="shared" si="31"/>
        <v>Open Creative</v>
      </c>
      <c r="L2032" s="6" t="s">
        <v>131</v>
      </c>
      <c r="M2032" s="6" t="s">
        <v>7537</v>
      </c>
      <c r="N2032" s="6" t="s">
        <v>132</v>
      </c>
      <c r="O2032" s="36" t="s">
        <v>132</v>
      </c>
      <c r="P2032" s="36">
        <v>1.529107366E9</v>
      </c>
      <c r="Q2032" s="36" t="s">
        <v>7541</v>
      </c>
      <c r="R2032" s="6" t="s">
        <v>7542</v>
      </c>
    </row>
    <row r="2033">
      <c r="A2033" s="6" t="s">
        <v>7537</v>
      </c>
      <c r="B2033" s="6" t="s">
        <v>7537</v>
      </c>
      <c r="C2033" s="6">
        <v>424.0</v>
      </c>
      <c r="D2033" s="9" t="str">
        <f>HYPERLINK("https://www.linkedin.com/ad-library/detail/1532587346","Open Ad")</f>
        <v>Open Ad</v>
      </c>
      <c r="E2033" s="6" t="s">
        <v>91</v>
      </c>
      <c r="F2033" s="6" t="s">
        <v>53</v>
      </c>
      <c r="G2033" s="6" t="s">
        <v>7591</v>
      </c>
      <c r="H2033" s="6" t="s">
        <v>55</v>
      </c>
      <c r="I2033" s="6" t="s">
        <v>7566</v>
      </c>
      <c r="J2033" s="6" t="s">
        <v>91</v>
      </c>
      <c r="K2033" s="9" t="str">
        <f>HYPERLINK("https://media.licdn.com/dms/image/v2/D5610AQFapQuTs5RyQg/image-shrink_1280/B56Z9h_6UCGcAg-/0/1784055572538?e=2147483647&amp;v=beta&amp;t=Kv2jNpyAeREV8VRiJojr6bkYk7Ofuq0wj6IaFzQHYEU","Open Creative")</f>
        <v>Open Creative</v>
      </c>
      <c r="L2033" s="6" t="s">
        <v>131</v>
      </c>
      <c r="M2033" s="6" t="s">
        <v>7537</v>
      </c>
      <c r="N2033" s="6" t="s">
        <v>132</v>
      </c>
      <c r="O2033" s="36" t="s">
        <v>132</v>
      </c>
      <c r="P2033" s="36">
        <v>1.532587346E9</v>
      </c>
      <c r="Q2033" s="36" t="s">
        <v>7541</v>
      </c>
      <c r="R2033" s="6" t="s">
        <v>7542</v>
      </c>
    </row>
    <row r="2034">
      <c r="A2034" s="6" t="s">
        <v>7537</v>
      </c>
      <c r="B2034" s="6" t="s">
        <v>7537</v>
      </c>
      <c r="C2034" s="6">
        <v>425.0</v>
      </c>
      <c r="D2034" s="9" t="str">
        <f>HYPERLINK("https://www.linkedin.com/ad-library/detail/1528207536","Open Ad")</f>
        <v>Open Ad</v>
      </c>
      <c r="E2034" s="6" t="s">
        <v>154</v>
      </c>
      <c r="F2034" s="6" t="s">
        <v>53</v>
      </c>
      <c r="G2034" s="6" t="s">
        <v>7626</v>
      </c>
      <c r="H2034" s="6" t="s">
        <v>55</v>
      </c>
      <c r="I2034" s="6" t="s">
        <v>7566</v>
      </c>
      <c r="J2034" s="6" t="s">
        <v>154</v>
      </c>
      <c r="K2034" s="9" t="str">
        <f t="shared" ref="K2034:K2037" si="32">HYPERLINK("https://dms.licdn.com/playlist/vid/v2/D5605AQHT7vk0A-3seQ/mp4-720p-30fp-crf28/B56Z9_tNZaG8CE-/0/1784553999764?e=2147483647&amp;v=beta&amp;t=_pTgd_w3ipyXA3GSOVK4YiCFXZVAebifIJBI21X9GDI","Open Creative")</f>
        <v>Open Creative</v>
      </c>
      <c r="L2034" s="6" t="s">
        <v>131</v>
      </c>
      <c r="M2034" s="6" t="s">
        <v>7537</v>
      </c>
      <c r="N2034" s="6" t="s">
        <v>132</v>
      </c>
      <c r="O2034" s="36" t="s">
        <v>132</v>
      </c>
      <c r="P2034" s="36">
        <v>1.528207536E9</v>
      </c>
      <c r="Q2034" s="36" t="s">
        <v>7541</v>
      </c>
      <c r="R2034" s="6" t="s">
        <v>7542</v>
      </c>
    </row>
    <row r="2035">
      <c r="A2035" s="6" t="s">
        <v>7537</v>
      </c>
      <c r="B2035" s="6" t="s">
        <v>7537</v>
      </c>
      <c r="C2035" s="6">
        <v>426.0</v>
      </c>
      <c r="D2035" s="9" t="str">
        <f>HYPERLINK("https://www.linkedin.com/ad-library/detail/1528217476","Open Ad")</f>
        <v>Open Ad</v>
      </c>
      <c r="E2035" s="6" t="s">
        <v>154</v>
      </c>
      <c r="F2035" s="6" t="s">
        <v>53</v>
      </c>
      <c r="G2035" s="6" t="s">
        <v>7626</v>
      </c>
      <c r="H2035" s="6" t="s">
        <v>55</v>
      </c>
      <c r="I2035" s="6" t="s">
        <v>7566</v>
      </c>
      <c r="J2035" s="6" t="s">
        <v>154</v>
      </c>
      <c r="K2035" s="9" t="str">
        <f t="shared" si="32"/>
        <v>Open Creative</v>
      </c>
      <c r="L2035" s="6" t="s">
        <v>131</v>
      </c>
      <c r="M2035" s="6" t="s">
        <v>7537</v>
      </c>
      <c r="N2035" s="6" t="s">
        <v>132</v>
      </c>
      <c r="O2035" s="36" t="s">
        <v>132</v>
      </c>
      <c r="P2035" s="36">
        <v>1.528217476E9</v>
      </c>
      <c r="Q2035" s="36" t="s">
        <v>7541</v>
      </c>
      <c r="R2035" s="6" t="s">
        <v>7542</v>
      </c>
    </row>
    <row r="2036">
      <c r="A2036" s="6" t="s">
        <v>7537</v>
      </c>
      <c r="B2036" s="6" t="s">
        <v>7537</v>
      </c>
      <c r="C2036" s="6">
        <v>427.0</v>
      </c>
      <c r="D2036" s="9" t="str">
        <f>HYPERLINK("https://www.linkedin.com/ad-library/detail/1528148506","Open Ad")</f>
        <v>Open Ad</v>
      </c>
      <c r="E2036" s="6" t="s">
        <v>154</v>
      </c>
      <c r="F2036" s="6" t="s">
        <v>53</v>
      </c>
      <c r="G2036" s="6" t="s">
        <v>7626</v>
      </c>
      <c r="H2036" s="6" t="s">
        <v>55</v>
      </c>
      <c r="I2036" s="6" t="s">
        <v>7566</v>
      </c>
      <c r="J2036" s="6" t="s">
        <v>154</v>
      </c>
      <c r="K2036" s="9" t="str">
        <f t="shared" si="32"/>
        <v>Open Creative</v>
      </c>
      <c r="L2036" s="6" t="s">
        <v>131</v>
      </c>
      <c r="M2036" s="6" t="s">
        <v>7537</v>
      </c>
      <c r="N2036" s="6" t="s">
        <v>132</v>
      </c>
      <c r="O2036" s="36" t="s">
        <v>132</v>
      </c>
      <c r="P2036" s="36">
        <v>1.528148506E9</v>
      </c>
      <c r="Q2036" s="36" t="s">
        <v>7541</v>
      </c>
      <c r="R2036" s="6" t="s">
        <v>7542</v>
      </c>
    </row>
    <row r="2037">
      <c r="A2037" s="6" t="s">
        <v>7537</v>
      </c>
      <c r="B2037" s="6" t="s">
        <v>7537</v>
      </c>
      <c r="C2037" s="6">
        <v>428.0</v>
      </c>
      <c r="D2037" s="9" t="str">
        <f>HYPERLINK("https://www.linkedin.com/ad-library/detail/1528069166","Open Ad")</f>
        <v>Open Ad</v>
      </c>
      <c r="E2037" s="6" t="s">
        <v>154</v>
      </c>
      <c r="F2037" s="6" t="s">
        <v>53</v>
      </c>
      <c r="G2037" s="6" t="s">
        <v>7626</v>
      </c>
      <c r="H2037" s="6" t="s">
        <v>55</v>
      </c>
      <c r="I2037" s="6" t="s">
        <v>7566</v>
      </c>
      <c r="J2037" s="6" t="s">
        <v>154</v>
      </c>
      <c r="K2037" s="9" t="str">
        <f t="shared" si="32"/>
        <v>Open Creative</v>
      </c>
      <c r="L2037" s="6" t="s">
        <v>131</v>
      </c>
      <c r="M2037" s="6" t="s">
        <v>7537</v>
      </c>
      <c r="N2037" s="6" t="s">
        <v>132</v>
      </c>
      <c r="O2037" s="36" t="s">
        <v>132</v>
      </c>
      <c r="P2037" s="36">
        <v>1.528069166E9</v>
      </c>
      <c r="Q2037" s="36" t="s">
        <v>7541</v>
      </c>
      <c r="R2037" s="6" t="s">
        <v>7542</v>
      </c>
    </row>
    <row r="2038">
      <c r="A2038" s="6" t="s">
        <v>7537</v>
      </c>
      <c r="B2038" s="6" t="s">
        <v>7537</v>
      </c>
      <c r="C2038" s="6">
        <v>429.0</v>
      </c>
      <c r="D2038" s="9" t="str">
        <f>HYPERLINK("https://www.linkedin.com/ad-library/detail/1529147066","Open Ad")</f>
        <v>Open Ad</v>
      </c>
      <c r="E2038" s="6" t="s">
        <v>91</v>
      </c>
      <c r="F2038" s="6" t="s">
        <v>53</v>
      </c>
      <c r="G2038" s="6" t="s">
        <v>7623</v>
      </c>
      <c r="H2038" s="6" t="s">
        <v>55</v>
      </c>
      <c r="I2038" s="6" t="s">
        <v>7566</v>
      </c>
      <c r="J2038" s="6" t="s">
        <v>91</v>
      </c>
      <c r="K2038" s="9" t="str">
        <f t="shared" ref="K2038:K2039" si="33">HYPERLINK("https://media.licdn.com/dms/image/v2/D4E10AQHuWWIwBs13sw/image-shrink_1280/B4EZ.0cbsyIAAc-/0/1785438781038?e=2147483647&amp;v=beta&amp;t=iFOiEvH9oM0XSx2lRGGqRaVXgoFatQh9ALAnDcujQPY","Open Creative")</f>
        <v>Open Creative</v>
      </c>
      <c r="L2038" s="6" t="s">
        <v>131</v>
      </c>
      <c r="M2038" s="6" t="s">
        <v>7537</v>
      </c>
      <c r="N2038" s="6" t="s">
        <v>132</v>
      </c>
      <c r="O2038" s="36" t="s">
        <v>132</v>
      </c>
      <c r="P2038" s="36">
        <v>1.529147066E9</v>
      </c>
      <c r="Q2038" s="36" t="s">
        <v>7541</v>
      </c>
      <c r="R2038" s="6" t="s">
        <v>7542</v>
      </c>
    </row>
    <row r="2039">
      <c r="A2039" s="6" t="s">
        <v>7537</v>
      </c>
      <c r="B2039" s="6" t="s">
        <v>7537</v>
      </c>
      <c r="C2039" s="6">
        <v>430.0</v>
      </c>
      <c r="D2039" s="9" t="str">
        <f>HYPERLINK("https://www.linkedin.com/ad-library/detail/1529225856","Open Ad")</f>
        <v>Open Ad</v>
      </c>
      <c r="E2039" s="6" t="s">
        <v>91</v>
      </c>
      <c r="F2039" s="6" t="s">
        <v>53</v>
      </c>
      <c r="G2039" s="6" t="s">
        <v>7623</v>
      </c>
      <c r="H2039" s="6" t="s">
        <v>55</v>
      </c>
      <c r="I2039" s="6" t="s">
        <v>7566</v>
      </c>
      <c r="J2039" s="6" t="s">
        <v>91</v>
      </c>
      <c r="K2039" s="9" t="str">
        <f t="shared" si="33"/>
        <v>Open Creative</v>
      </c>
      <c r="L2039" s="6" t="s">
        <v>131</v>
      </c>
      <c r="M2039" s="6" t="s">
        <v>7537</v>
      </c>
      <c r="N2039" s="6" t="s">
        <v>132</v>
      </c>
      <c r="O2039" s="36" t="s">
        <v>132</v>
      </c>
      <c r="P2039" s="36">
        <v>1.529225856E9</v>
      </c>
      <c r="Q2039" s="36" t="s">
        <v>7541</v>
      </c>
      <c r="R2039" s="6" t="s">
        <v>7542</v>
      </c>
    </row>
    <row r="2040">
      <c r="A2040" s="6" t="s">
        <v>7537</v>
      </c>
      <c r="B2040" s="6" t="s">
        <v>7537</v>
      </c>
      <c r="C2040" s="6">
        <v>431.0</v>
      </c>
      <c r="D2040" s="9" t="str">
        <f>HYPERLINK("https://www.linkedin.com/ad-library/detail/1528310676","Open Ad")</f>
        <v>Open Ad</v>
      </c>
      <c r="E2040" s="6" t="s">
        <v>154</v>
      </c>
      <c r="F2040" s="6" t="s">
        <v>53</v>
      </c>
      <c r="G2040" s="6" t="s">
        <v>7626</v>
      </c>
      <c r="H2040" s="6" t="s">
        <v>55</v>
      </c>
      <c r="I2040" s="6" t="s">
        <v>7566</v>
      </c>
      <c r="J2040" s="6" t="s">
        <v>154</v>
      </c>
      <c r="K2040" s="9" t="str">
        <f t="shared" ref="K2040:K2041" si="34">HYPERLINK("https://dms.licdn.com/playlist/vid/v2/D5605AQHT7vk0A-3seQ/mp4-720p-30fp-crf28/B56Z9_tNZaG8CE-/0/1784553999764?e=2147483647&amp;v=beta&amp;t=_pTgd_w3ipyXA3GSOVK4YiCFXZVAebifIJBI21X9GDI","Open Creative")</f>
        <v>Open Creative</v>
      </c>
      <c r="L2040" s="6" t="s">
        <v>131</v>
      </c>
      <c r="M2040" s="6" t="s">
        <v>7537</v>
      </c>
      <c r="N2040" s="6" t="s">
        <v>7627</v>
      </c>
      <c r="O2040" s="36" t="s">
        <v>67</v>
      </c>
      <c r="P2040" s="36">
        <v>1.528310676E9</v>
      </c>
      <c r="Q2040" s="36" t="s">
        <v>7541</v>
      </c>
      <c r="R2040" s="6" t="s">
        <v>7542</v>
      </c>
    </row>
    <row r="2041">
      <c r="A2041" s="6" t="s">
        <v>7537</v>
      </c>
      <c r="B2041" s="6" t="s">
        <v>7537</v>
      </c>
      <c r="C2041" s="6">
        <v>432.0</v>
      </c>
      <c r="D2041" s="9" t="str">
        <f>HYPERLINK("https://www.linkedin.com/ad-library/detail/1528257346","Open Ad")</f>
        <v>Open Ad</v>
      </c>
      <c r="E2041" s="6" t="s">
        <v>154</v>
      </c>
      <c r="F2041" s="6" t="s">
        <v>53</v>
      </c>
      <c r="G2041" s="6" t="s">
        <v>7626</v>
      </c>
      <c r="H2041" s="6" t="s">
        <v>55</v>
      </c>
      <c r="I2041" s="6" t="s">
        <v>7566</v>
      </c>
      <c r="J2041" s="6" t="s">
        <v>154</v>
      </c>
      <c r="K2041" s="9" t="str">
        <f t="shared" si="34"/>
        <v>Open Creative</v>
      </c>
      <c r="L2041" s="6" t="s">
        <v>131</v>
      </c>
      <c r="M2041" s="6" t="s">
        <v>7537</v>
      </c>
      <c r="N2041" s="6" t="s">
        <v>132</v>
      </c>
      <c r="O2041" s="36" t="s">
        <v>132</v>
      </c>
      <c r="P2041" s="36">
        <v>1.528257346E9</v>
      </c>
      <c r="Q2041" s="36" t="s">
        <v>7541</v>
      </c>
      <c r="R2041" s="6" t="s">
        <v>7542</v>
      </c>
    </row>
    <row r="2042">
      <c r="A2042" s="6" t="s">
        <v>7537</v>
      </c>
      <c r="B2042" s="6" t="s">
        <v>7537</v>
      </c>
      <c r="C2042" s="6">
        <v>433.0</v>
      </c>
      <c r="D2042" s="9" t="str">
        <f>HYPERLINK("https://www.linkedin.com/ad-library/detail/1476923504","Open Ad")</f>
        <v>Open Ad</v>
      </c>
      <c r="E2042" s="6" t="s">
        <v>154</v>
      </c>
      <c r="F2042" s="6" t="s">
        <v>53</v>
      </c>
      <c r="G2042" s="6" t="s">
        <v>7583</v>
      </c>
      <c r="H2042" s="6" t="s">
        <v>55</v>
      </c>
      <c r="I2042" s="6" t="s">
        <v>7566</v>
      </c>
      <c r="J2042" s="6" t="s">
        <v>154</v>
      </c>
      <c r="K2042" s="9" t="str">
        <f>HYPERLINK("https://dms.licdn.com/playlist/vid/v2/D5610AQFSMcnW06imag/mp4-720p-30fp-crf28/B56Z.pe2QCKMBk-/0/1785254870903?e=2147483647&amp;v=beta&amp;t=g-3k8J4kc7bttKyXTLsE0c8iC3sdncRAqezIsmyhZN4","Open Creative")</f>
        <v>Open Creative</v>
      </c>
      <c r="L2042" s="6" t="s">
        <v>131</v>
      </c>
      <c r="M2042" s="6" t="s">
        <v>7537</v>
      </c>
      <c r="N2042" s="6" t="s">
        <v>132</v>
      </c>
      <c r="O2042" s="36" t="s">
        <v>132</v>
      </c>
      <c r="P2042" s="36">
        <v>1.476923504E9</v>
      </c>
      <c r="Q2042" s="36" t="s">
        <v>7541</v>
      </c>
      <c r="R2042" s="6" t="s">
        <v>7542</v>
      </c>
    </row>
    <row r="2043">
      <c r="A2043" s="6" t="s">
        <v>7537</v>
      </c>
      <c r="B2043" s="6" t="s">
        <v>7537</v>
      </c>
      <c r="C2043" s="6">
        <v>434.0</v>
      </c>
      <c r="D2043" s="9" t="str">
        <f>HYPERLINK("https://www.linkedin.com/ad-library/detail/1476970974","Open Ad")</f>
        <v>Open Ad</v>
      </c>
      <c r="E2043" s="6" t="s">
        <v>154</v>
      </c>
      <c r="F2043" s="6" t="s">
        <v>53</v>
      </c>
      <c r="G2043" s="6" t="s">
        <v>7584</v>
      </c>
      <c r="H2043" s="6" t="s">
        <v>55</v>
      </c>
      <c r="I2043" s="6" t="s">
        <v>7566</v>
      </c>
      <c r="J2043" s="6" t="s">
        <v>154</v>
      </c>
      <c r="K2043" s="9" t="str">
        <f>HYPERLINK("https://dms.licdn.com/playlist/vid/v2/D5610AQEgZSN1R6lkQg/mp4-360p-30fp-crf28/B56Z.pe6eZJoBg-/0/1785254888120?e=2147483647&amp;v=beta&amp;t=5h1R6KvMhc0CxepDbbh4l98qEndRxnaP-BM6oZz1ryY","Open Creative")</f>
        <v>Open Creative</v>
      </c>
      <c r="L2043" s="6" t="s">
        <v>131</v>
      </c>
      <c r="M2043" s="6" t="s">
        <v>7537</v>
      </c>
      <c r="N2043" s="6" t="s">
        <v>132</v>
      </c>
      <c r="O2043" s="36" t="s">
        <v>132</v>
      </c>
      <c r="P2043" s="36">
        <v>1.476970974E9</v>
      </c>
      <c r="Q2043" s="36" t="s">
        <v>7541</v>
      </c>
      <c r="R2043" s="6" t="s">
        <v>7542</v>
      </c>
    </row>
    <row r="2044">
      <c r="A2044" s="6" t="s">
        <v>7537</v>
      </c>
      <c r="B2044" s="6" t="s">
        <v>7537</v>
      </c>
      <c r="C2044" s="6">
        <v>435.0</v>
      </c>
      <c r="D2044" s="9" t="str">
        <f>HYPERLINK("https://www.linkedin.com/ad-library/detail/1476883334","Open Ad")</f>
        <v>Open Ad</v>
      </c>
      <c r="E2044" s="6" t="s">
        <v>154</v>
      </c>
      <c r="F2044" s="6" t="s">
        <v>53</v>
      </c>
      <c r="G2044" s="6" t="s">
        <v>7583</v>
      </c>
      <c r="H2044" s="6" t="s">
        <v>55</v>
      </c>
      <c r="I2044" s="6" t="s">
        <v>7566</v>
      </c>
      <c r="J2044" s="6" t="s">
        <v>154</v>
      </c>
      <c r="K2044" s="9" t="str">
        <f t="shared" ref="K2044:K2046" si="35">HYPERLINK("https://dms.licdn.com/playlist/vid/v2/D5610AQFSMcnW06imag/mp4-720p-30fp-crf28/B56Z.pe2QCKMBk-/0/1785254870903?e=2147483647&amp;v=beta&amp;t=g-3k8J4kc7bttKyXTLsE0c8iC3sdncRAqezIsmyhZN4","Open Creative")</f>
        <v>Open Creative</v>
      </c>
      <c r="L2044" s="6" t="s">
        <v>131</v>
      </c>
      <c r="M2044" s="6" t="s">
        <v>7537</v>
      </c>
      <c r="N2044" s="6" t="s">
        <v>132</v>
      </c>
      <c r="O2044" s="36" t="s">
        <v>132</v>
      </c>
      <c r="P2044" s="36">
        <v>1.476883334E9</v>
      </c>
      <c r="Q2044" s="36" t="s">
        <v>7541</v>
      </c>
      <c r="R2044" s="6" t="s">
        <v>7542</v>
      </c>
    </row>
    <row r="2045">
      <c r="A2045" s="6" t="s">
        <v>7537</v>
      </c>
      <c r="B2045" s="6" t="s">
        <v>7537</v>
      </c>
      <c r="C2045" s="6">
        <v>436.0</v>
      </c>
      <c r="D2045" s="9" t="str">
        <f>HYPERLINK("https://www.linkedin.com/ad-library/detail/1476971004","Open Ad")</f>
        <v>Open Ad</v>
      </c>
      <c r="E2045" s="6" t="s">
        <v>154</v>
      </c>
      <c r="F2045" s="6" t="s">
        <v>53</v>
      </c>
      <c r="G2045" s="6" t="s">
        <v>7583</v>
      </c>
      <c r="H2045" s="6" t="s">
        <v>55</v>
      </c>
      <c r="I2045" s="6" t="s">
        <v>7566</v>
      </c>
      <c r="J2045" s="6" t="s">
        <v>154</v>
      </c>
      <c r="K2045" s="9" t="str">
        <f t="shared" si="35"/>
        <v>Open Creative</v>
      </c>
      <c r="L2045" s="6" t="s">
        <v>131</v>
      </c>
      <c r="M2045" s="6" t="s">
        <v>7537</v>
      </c>
      <c r="N2045" s="6" t="s">
        <v>132</v>
      </c>
      <c r="O2045" s="36" t="s">
        <v>132</v>
      </c>
      <c r="P2045" s="36">
        <v>1.476971004E9</v>
      </c>
      <c r="Q2045" s="36" t="s">
        <v>7541</v>
      </c>
      <c r="R2045" s="6" t="s">
        <v>7542</v>
      </c>
    </row>
    <row r="2046">
      <c r="A2046" s="6" t="s">
        <v>7537</v>
      </c>
      <c r="B2046" s="6" t="s">
        <v>7537</v>
      </c>
      <c r="C2046" s="6">
        <v>437.0</v>
      </c>
      <c r="D2046" s="9" t="str">
        <f>HYPERLINK("https://www.linkedin.com/ad-library/detail/1476971014","Open Ad")</f>
        <v>Open Ad</v>
      </c>
      <c r="E2046" s="6" t="s">
        <v>154</v>
      </c>
      <c r="F2046" s="6" t="s">
        <v>53</v>
      </c>
      <c r="G2046" s="6" t="s">
        <v>7583</v>
      </c>
      <c r="H2046" s="6" t="s">
        <v>55</v>
      </c>
      <c r="I2046" s="6" t="s">
        <v>7566</v>
      </c>
      <c r="J2046" s="6" t="s">
        <v>154</v>
      </c>
      <c r="K2046" s="9" t="str">
        <f t="shared" si="35"/>
        <v>Open Creative</v>
      </c>
      <c r="L2046" s="6" t="s">
        <v>131</v>
      </c>
      <c r="M2046" s="6" t="s">
        <v>7537</v>
      </c>
      <c r="N2046" s="6" t="s">
        <v>132</v>
      </c>
      <c r="O2046" s="36" t="s">
        <v>132</v>
      </c>
      <c r="P2046" s="36">
        <v>1.476971014E9</v>
      </c>
      <c r="Q2046" s="36" t="s">
        <v>7541</v>
      </c>
      <c r="R2046" s="6" t="s">
        <v>7542</v>
      </c>
    </row>
    <row r="2047">
      <c r="A2047" s="6" t="s">
        <v>7537</v>
      </c>
      <c r="B2047" s="6" t="s">
        <v>7537</v>
      </c>
      <c r="C2047" s="6">
        <v>438.0</v>
      </c>
      <c r="D2047" s="9" t="str">
        <f>HYPERLINK("https://www.linkedin.com/ad-library/detail/1476933394","Open Ad")</f>
        <v>Open Ad</v>
      </c>
      <c r="E2047" s="6" t="s">
        <v>154</v>
      </c>
      <c r="F2047" s="6" t="s">
        <v>53</v>
      </c>
      <c r="G2047" s="6" t="s">
        <v>7584</v>
      </c>
      <c r="H2047" s="6" t="s">
        <v>55</v>
      </c>
      <c r="I2047" s="6" t="s">
        <v>7566</v>
      </c>
      <c r="J2047" s="6" t="s">
        <v>154</v>
      </c>
      <c r="K2047" s="9" t="str">
        <f>HYPERLINK("https://dms.licdn.com/playlist/vid/v2/D5610AQEgZSN1R6lkQg/mp4-360p-30fp-crf28/B56Z.pe6eZJoBg-/0/1785254888120?e=2147483647&amp;v=beta&amp;t=5h1R6KvMhc0CxepDbbh4l98qEndRxnaP-BM6oZz1ryY","Open Creative")</f>
        <v>Open Creative</v>
      </c>
      <c r="L2047" s="6" t="s">
        <v>131</v>
      </c>
      <c r="M2047" s="6" t="s">
        <v>7537</v>
      </c>
      <c r="N2047" s="6" t="s">
        <v>132</v>
      </c>
      <c r="O2047" s="36" t="s">
        <v>132</v>
      </c>
      <c r="P2047" s="36">
        <v>1.476933394E9</v>
      </c>
      <c r="Q2047" s="36" t="s">
        <v>7541</v>
      </c>
      <c r="R2047" s="6" t="s">
        <v>7542</v>
      </c>
    </row>
    <row r="2048">
      <c r="A2048" s="6" t="s">
        <v>7537</v>
      </c>
      <c r="B2048" s="6" t="s">
        <v>7537</v>
      </c>
      <c r="C2048" s="6">
        <v>439.0</v>
      </c>
      <c r="D2048" s="9" t="str">
        <f>HYPERLINK("https://www.linkedin.com/ad-library/detail/1476971024","Open Ad")</f>
        <v>Open Ad</v>
      </c>
      <c r="E2048" s="6" t="s">
        <v>154</v>
      </c>
      <c r="F2048" s="6" t="s">
        <v>53</v>
      </c>
      <c r="G2048" s="6" t="s">
        <v>7583</v>
      </c>
      <c r="H2048" s="6" t="s">
        <v>55</v>
      </c>
      <c r="I2048" s="6" t="s">
        <v>7566</v>
      </c>
      <c r="J2048" s="6" t="s">
        <v>154</v>
      </c>
      <c r="K2048" s="9" t="str">
        <f t="shared" ref="K2048:K2049" si="36">HYPERLINK("https://dms.licdn.com/playlist/vid/v2/D5610AQFSMcnW06imag/mp4-720p-30fp-crf28/B56Z.pe2QCKMBk-/0/1785254870903?e=2147483647&amp;v=beta&amp;t=g-3k8J4kc7bttKyXTLsE0c8iC3sdncRAqezIsmyhZN4","Open Creative")</f>
        <v>Open Creative</v>
      </c>
      <c r="L2048" s="6" t="s">
        <v>131</v>
      </c>
      <c r="M2048" s="6" t="s">
        <v>7537</v>
      </c>
      <c r="N2048" s="6" t="s">
        <v>132</v>
      </c>
      <c r="O2048" s="36" t="s">
        <v>132</v>
      </c>
      <c r="P2048" s="36">
        <v>1.476971024E9</v>
      </c>
      <c r="Q2048" s="36" t="s">
        <v>7541</v>
      </c>
      <c r="R2048" s="6" t="s">
        <v>7542</v>
      </c>
    </row>
    <row r="2049">
      <c r="A2049" s="6" t="s">
        <v>7537</v>
      </c>
      <c r="B2049" s="6" t="s">
        <v>7537</v>
      </c>
      <c r="C2049" s="6">
        <v>440.0</v>
      </c>
      <c r="D2049" s="9" t="str">
        <f>HYPERLINK("https://www.linkedin.com/ad-library/detail/1476833674","Open Ad")</f>
        <v>Open Ad</v>
      </c>
      <c r="E2049" s="6" t="s">
        <v>154</v>
      </c>
      <c r="F2049" s="6" t="s">
        <v>53</v>
      </c>
      <c r="G2049" s="6" t="s">
        <v>7583</v>
      </c>
      <c r="H2049" s="6" t="s">
        <v>55</v>
      </c>
      <c r="I2049" s="6" t="s">
        <v>7566</v>
      </c>
      <c r="J2049" s="6" t="s">
        <v>154</v>
      </c>
      <c r="K2049" s="9" t="str">
        <f t="shared" si="36"/>
        <v>Open Creative</v>
      </c>
      <c r="L2049" s="6" t="s">
        <v>131</v>
      </c>
      <c r="M2049" s="6" t="s">
        <v>7537</v>
      </c>
      <c r="N2049" s="6" t="s">
        <v>132</v>
      </c>
      <c r="O2049" s="36" t="s">
        <v>132</v>
      </c>
      <c r="P2049" s="36">
        <v>1.476833674E9</v>
      </c>
      <c r="Q2049" s="36" t="s">
        <v>7541</v>
      </c>
      <c r="R2049" s="6" t="s">
        <v>7542</v>
      </c>
    </row>
    <row r="2050">
      <c r="A2050" s="6" t="s">
        <v>7537</v>
      </c>
      <c r="B2050" s="6" t="s">
        <v>7537</v>
      </c>
      <c r="C2050" s="6">
        <v>441.0</v>
      </c>
      <c r="D2050" s="9" t="str">
        <f>HYPERLINK("https://www.linkedin.com/ad-library/detail/1476893504","Open Ad")</f>
        <v>Open Ad</v>
      </c>
      <c r="E2050" s="6" t="s">
        <v>154</v>
      </c>
      <c r="F2050" s="6" t="s">
        <v>53</v>
      </c>
      <c r="G2050" s="6" t="s">
        <v>7584</v>
      </c>
      <c r="H2050" s="6" t="s">
        <v>55</v>
      </c>
      <c r="I2050" s="6" t="s">
        <v>7566</v>
      </c>
      <c r="J2050" s="6" t="s">
        <v>154</v>
      </c>
      <c r="K2050" s="9" t="str">
        <f t="shared" ref="K2050:K2053" si="37">HYPERLINK("https://dms.licdn.com/playlist/vid/v2/D5610AQEgZSN1R6lkQg/mp4-360p-30fp-crf28/B56Z.pe6eZJoBg-/0/1785254888120?e=2147483647&amp;v=beta&amp;t=5h1R6KvMhc0CxepDbbh4l98qEndRxnaP-BM6oZz1ryY","Open Creative")</f>
        <v>Open Creative</v>
      </c>
      <c r="L2050" s="6" t="s">
        <v>131</v>
      </c>
      <c r="M2050" s="6" t="s">
        <v>7537</v>
      </c>
      <c r="N2050" s="6" t="s">
        <v>132</v>
      </c>
      <c r="O2050" s="36" t="s">
        <v>132</v>
      </c>
      <c r="P2050" s="36">
        <v>1.476893504E9</v>
      </c>
      <c r="Q2050" s="36" t="s">
        <v>7541</v>
      </c>
      <c r="R2050" s="6" t="s">
        <v>7542</v>
      </c>
    </row>
    <row r="2051">
      <c r="A2051" s="6" t="s">
        <v>7537</v>
      </c>
      <c r="B2051" s="6" t="s">
        <v>7537</v>
      </c>
      <c r="C2051" s="6">
        <v>442.0</v>
      </c>
      <c r="D2051" s="9" t="str">
        <f>HYPERLINK("https://www.linkedin.com/ad-library/detail/1476795854","Open Ad")</f>
        <v>Open Ad</v>
      </c>
      <c r="E2051" s="6" t="s">
        <v>154</v>
      </c>
      <c r="F2051" s="6" t="s">
        <v>53</v>
      </c>
      <c r="G2051" s="6" t="s">
        <v>7584</v>
      </c>
      <c r="H2051" s="6" t="s">
        <v>55</v>
      </c>
      <c r="I2051" s="6" t="s">
        <v>7566</v>
      </c>
      <c r="J2051" s="6" t="s">
        <v>154</v>
      </c>
      <c r="K2051" s="9" t="str">
        <f t="shared" si="37"/>
        <v>Open Creative</v>
      </c>
      <c r="L2051" s="6" t="s">
        <v>131</v>
      </c>
      <c r="M2051" s="6" t="s">
        <v>7537</v>
      </c>
      <c r="N2051" s="6" t="s">
        <v>132</v>
      </c>
      <c r="O2051" s="36" t="s">
        <v>132</v>
      </c>
      <c r="P2051" s="36">
        <v>1.476795854E9</v>
      </c>
      <c r="Q2051" s="36" t="s">
        <v>7541</v>
      </c>
      <c r="R2051" s="6" t="s">
        <v>7542</v>
      </c>
    </row>
    <row r="2052">
      <c r="A2052" s="6" t="s">
        <v>7537</v>
      </c>
      <c r="B2052" s="6" t="s">
        <v>7537</v>
      </c>
      <c r="C2052" s="6">
        <v>443.0</v>
      </c>
      <c r="D2052" s="9" t="str">
        <f>HYPERLINK("https://www.linkedin.com/ad-library/detail/1476833624","Open Ad")</f>
        <v>Open Ad</v>
      </c>
      <c r="E2052" s="6" t="s">
        <v>154</v>
      </c>
      <c r="F2052" s="6" t="s">
        <v>53</v>
      </c>
      <c r="G2052" s="6" t="s">
        <v>7584</v>
      </c>
      <c r="H2052" s="6" t="s">
        <v>55</v>
      </c>
      <c r="I2052" s="6" t="s">
        <v>7566</v>
      </c>
      <c r="J2052" s="6" t="s">
        <v>154</v>
      </c>
      <c r="K2052" s="9" t="str">
        <f t="shared" si="37"/>
        <v>Open Creative</v>
      </c>
      <c r="L2052" s="6" t="s">
        <v>131</v>
      </c>
      <c r="M2052" s="6" t="s">
        <v>7537</v>
      </c>
      <c r="N2052" s="6" t="s">
        <v>132</v>
      </c>
      <c r="O2052" s="36" t="s">
        <v>132</v>
      </c>
      <c r="P2052" s="36">
        <v>1.476833624E9</v>
      </c>
      <c r="Q2052" s="36" t="s">
        <v>7541</v>
      </c>
      <c r="R2052" s="6" t="s">
        <v>7542</v>
      </c>
    </row>
    <row r="2053">
      <c r="A2053" s="6" t="s">
        <v>7537</v>
      </c>
      <c r="B2053" s="6" t="s">
        <v>7537</v>
      </c>
      <c r="C2053" s="6">
        <v>444.0</v>
      </c>
      <c r="D2053" s="9" t="str">
        <f>HYPERLINK("https://www.linkedin.com/ad-library/detail/1476824054","Open Ad")</f>
        <v>Open Ad</v>
      </c>
      <c r="E2053" s="6" t="s">
        <v>154</v>
      </c>
      <c r="F2053" s="6" t="s">
        <v>53</v>
      </c>
      <c r="G2053" s="6" t="s">
        <v>7584</v>
      </c>
      <c r="H2053" s="6" t="s">
        <v>55</v>
      </c>
      <c r="I2053" s="6" t="s">
        <v>7566</v>
      </c>
      <c r="J2053" s="6" t="s">
        <v>154</v>
      </c>
      <c r="K2053" s="9" t="str">
        <f t="shared" si="37"/>
        <v>Open Creative</v>
      </c>
      <c r="L2053" s="6" t="s">
        <v>131</v>
      </c>
      <c r="M2053" s="6" t="s">
        <v>7537</v>
      </c>
      <c r="N2053" s="6" t="s">
        <v>132</v>
      </c>
      <c r="O2053" s="36" t="s">
        <v>132</v>
      </c>
      <c r="P2053" s="36">
        <v>1.476824054E9</v>
      </c>
      <c r="Q2053" s="36" t="s">
        <v>7541</v>
      </c>
      <c r="R2053" s="6" t="s">
        <v>7542</v>
      </c>
    </row>
    <row r="2054">
      <c r="A2054" s="6" t="s">
        <v>7537</v>
      </c>
      <c r="B2054" s="6" t="s">
        <v>7537</v>
      </c>
      <c r="C2054" s="6">
        <v>445.0</v>
      </c>
      <c r="D2054" s="9" t="str">
        <f>HYPERLINK("https://www.linkedin.com/ad-library/detail/1476980944","Open Ad")</f>
        <v>Open Ad</v>
      </c>
      <c r="E2054" s="6" t="s">
        <v>154</v>
      </c>
      <c r="F2054" s="6" t="s">
        <v>53</v>
      </c>
      <c r="G2054" s="6" t="s">
        <v>7583</v>
      </c>
      <c r="H2054" s="6" t="s">
        <v>55</v>
      </c>
      <c r="I2054" s="6" t="s">
        <v>7566</v>
      </c>
      <c r="J2054" s="6" t="s">
        <v>154</v>
      </c>
      <c r="K2054" s="9" t="str">
        <f t="shared" ref="K2054:K2056" si="38">HYPERLINK("https://dms.licdn.com/playlist/vid/v2/D5610AQFSMcnW06imag/mp4-720p-30fp-crf28/B56Z.pe2QCKMBk-/0/1785254870903?e=2147483647&amp;v=beta&amp;t=g-3k8J4kc7bttKyXTLsE0c8iC3sdncRAqezIsmyhZN4","Open Creative")</f>
        <v>Open Creative</v>
      </c>
      <c r="L2054" s="6" t="s">
        <v>131</v>
      </c>
      <c r="M2054" s="6" t="s">
        <v>7537</v>
      </c>
      <c r="N2054" s="6" t="s">
        <v>132</v>
      </c>
      <c r="O2054" s="36" t="s">
        <v>132</v>
      </c>
      <c r="P2054" s="36">
        <v>1.476980944E9</v>
      </c>
      <c r="Q2054" s="36" t="s">
        <v>7541</v>
      </c>
      <c r="R2054" s="6" t="s">
        <v>7542</v>
      </c>
    </row>
    <row r="2055">
      <c r="A2055" s="6" t="s">
        <v>7537</v>
      </c>
      <c r="B2055" s="6" t="s">
        <v>7537</v>
      </c>
      <c r="C2055" s="6">
        <v>446.0</v>
      </c>
      <c r="D2055" s="9" t="str">
        <f>HYPERLINK("https://www.linkedin.com/ad-library/detail/1476962714","Open Ad")</f>
        <v>Open Ad</v>
      </c>
      <c r="E2055" s="6" t="s">
        <v>154</v>
      </c>
      <c r="F2055" s="6" t="s">
        <v>53</v>
      </c>
      <c r="G2055" s="6" t="s">
        <v>7583</v>
      </c>
      <c r="H2055" s="6" t="s">
        <v>55</v>
      </c>
      <c r="I2055" s="6" t="s">
        <v>7566</v>
      </c>
      <c r="J2055" s="6" t="s">
        <v>154</v>
      </c>
      <c r="K2055" s="9" t="str">
        <f t="shared" si="38"/>
        <v>Open Creative</v>
      </c>
      <c r="L2055" s="6" t="s">
        <v>131</v>
      </c>
      <c r="M2055" s="6" t="s">
        <v>7537</v>
      </c>
      <c r="N2055" s="6" t="s">
        <v>132</v>
      </c>
      <c r="O2055" s="36" t="s">
        <v>132</v>
      </c>
      <c r="P2055" s="36">
        <v>1.476962714E9</v>
      </c>
      <c r="Q2055" s="36" t="s">
        <v>7541</v>
      </c>
      <c r="R2055" s="6" t="s">
        <v>7542</v>
      </c>
    </row>
    <row r="2056">
      <c r="A2056" s="6" t="s">
        <v>7537</v>
      </c>
      <c r="B2056" s="6" t="s">
        <v>7537</v>
      </c>
      <c r="C2056" s="6">
        <v>447.0</v>
      </c>
      <c r="D2056" s="9" t="str">
        <f>HYPERLINK("https://www.linkedin.com/ad-library/detail/1476903454","Open Ad")</f>
        <v>Open Ad</v>
      </c>
      <c r="E2056" s="6" t="s">
        <v>154</v>
      </c>
      <c r="F2056" s="6" t="s">
        <v>53</v>
      </c>
      <c r="G2056" s="6" t="s">
        <v>7583</v>
      </c>
      <c r="H2056" s="6" t="s">
        <v>55</v>
      </c>
      <c r="I2056" s="6" t="s">
        <v>7566</v>
      </c>
      <c r="J2056" s="6" t="s">
        <v>154</v>
      </c>
      <c r="K2056" s="9" t="str">
        <f t="shared" si="38"/>
        <v>Open Creative</v>
      </c>
      <c r="L2056" s="6" t="s">
        <v>131</v>
      </c>
      <c r="M2056" s="6" t="s">
        <v>7537</v>
      </c>
      <c r="N2056" s="6" t="s">
        <v>132</v>
      </c>
      <c r="O2056" s="36" t="s">
        <v>132</v>
      </c>
      <c r="P2056" s="36">
        <v>1.476903454E9</v>
      </c>
      <c r="Q2056" s="36" t="s">
        <v>7541</v>
      </c>
      <c r="R2056" s="6" t="s">
        <v>7542</v>
      </c>
    </row>
    <row r="2057">
      <c r="A2057" s="6" t="s">
        <v>7537</v>
      </c>
      <c r="B2057" s="6" t="s">
        <v>7537</v>
      </c>
      <c r="C2057" s="6">
        <v>448.0</v>
      </c>
      <c r="D2057" s="9" t="str">
        <f>HYPERLINK("https://www.linkedin.com/ad-library/detail/1476863384","Open Ad")</f>
        <v>Open Ad</v>
      </c>
      <c r="E2057" s="6" t="s">
        <v>154</v>
      </c>
      <c r="F2057" s="6" t="s">
        <v>53</v>
      </c>
      <c r="G2057" s="6" t="s">
        <v>7584</v>
      </c>
      <c r="H2057" s="6" t="s">
        <v>55</v>
      </c>
      <c r="I2057" s="6" t="s">
        <v>7566</v>
      </c>
      <c r="J2057" s="6" t="s">
        <v>154</v>
      </c>
      <c r="K2057" s="9" t="str">
        <f>HYPERLINK("https://dms.licdn.com/playlist/vid/v2/D5610AQEgZSN1R6lkQg/mp4-360p-30fp-crf28/B56Z.pe6eZJoBg-/0/1785254888120?e=2147483647&amp;v=beta&amp;t=5h1R6KvMhc0CxepDbbh4l98qEndRxnaP-BM6oZz1ryY","Open Creative")</f>
        <v>Open Creative</v>
      </c>
      <c r="L2057" s="6" t="s">
        <v>131</v>
      </c>
      <c r="M2057" s="6" t="s">
        <v>7537</v>
      </c>
      <c r="N2057" s="6" t="s">
        <v>132</v>
      </c>
      <c r="O2057" s="36" t="s">
        <v>132</v>
      </c>
      <c r="P2057" s="36">
        <v>1.476863384E9</v>
      </c>
      <c r="Q2057" s="36" t="s">
        <v>7541</v>
      </c>
      <c r="R2057" s="6" t="s">
        <v>7542</v>
      </c>
    </row>
    <row r="2058">
      <c r="A2058" s="6" t="s">
        <v>7537</v>
      </c>
      <c r="B2058" s="6" t="s">
        <v>7537</v>
      </c>
      <c r="C2058" s="6">
        <v>449.0</v>
      </c>
      <c r="D2058" s="9" t="str">
        <f>HYPERLINK("https://www.linkedin.com/ad-library/detail/1476833704","Open Ad")</f>
        <v>Open Ad</v>
      </c>
      <c r="E2058" s="6" t="s">
        <v>154</v>
      </c>
      <c r="F2058" s="6" t="s">
        <v>53</v>
      </c>
      <c r="G2058" s="6" t="s">
        <v>7583</v>
      </c>
      <c r="H2058" s="6" t="s">
        <v>55</v>
      </c>
      <c r="I2058" s="6" t="s">
        <v>7566</v>
      </c>
      <c r="J2058" s="6" t="s">
        <v>154</v>
      </c>
      <c r="K2058" s="9" t="str">
        <f t="shared" ref="K2058:K2059" si="39">HYPERLINK("https://dms.licdn.com/playlist/vid/v2/D5610AQFSMcnW06imag/mp4-720p-30fp-crf28/B56Z.pe2QCKMBk-/0/1785254870903?e=2147483647&amp;v=beta&amp;t=g-3k8J4kc7bttKyXTLsE0c8iC3sdncRAqezIsmyhZN4","Open Creative")</f>
        <v>Open Creative</v>
      </c>
      <c r="L2058" s="6" t="s">
        <v>131</v>
      </c>
      <c r="M2058" s="6" t="s">
        <v>7537</v>
      </c>
      <c r="N2058" s="6" t="s">
        <v>132</v>
      </c>
      <c r="O2058" s="36" t="s">
        <v>132</v>
      </c>
      <c r="P2058" s="36">
        <v>1.476833704E9</v>
      </c>
      <c r="Q2058" s="36" t="s">
        <v>7541</v>
      </c>
      <c r="R2058" s="6" t="s">
        <v>7542</v>
      </c>
    </row>
    <row r="2059">
      <c r="A2059" s="6" t="s">
        <v>7537</v>
      </c>
      <c r="B2059" s="6" t="s">
        <v>7537</v>
      </c>
      <c r="C2059" s="6">
        <v>450.0</v>
      </c>
      <c r="D2059" s="9" t="str">
        <f>HYPERLINK("https://www.linkedin.com/ad-library/detail/1476980934","Open Ad")</f>
        <v>Open Ad</v>
      </c>
      <c r="E2059" s="6" t="s">
        <v>154</v>
      </c>
      <c r="F2059" s="6" t="s">
        <v>53</v>
      </c>
      <c r="G2059" s="6" t="s">
        <v>7583</v>
      </c>
      <c r="H2059" s="6" t="s">
        <v>55</v>
      </c>
      <c r="I2059" s="6" t="s">
        <v>7566</v>
      </c>
      <c r="J2059" s="6" t="s">
        <v>154</v>
      </c>
      <c r="K2059" s="9" t="str">
        <f t="shared" si="39"/>
        <v>Open Creative</v>
      </c>
      <c r="L2059" s="6" t="s">
        <v>131</v>
      </c>
      <c r="M2059" s="6" t="s">
        <v>7537</v>
      </c>
      <c r="N2059" s="6" t="s">
        <v>132</v>
      </c>
      <c r="O2059" s="36" t="s">
        <v>132</v>
      </c>
      <c r="P2059" s="36">
        <v>1.476980934E9</v>
      </c>
      <c r="Q2059" s="36" t="s">
        <v>7541</v>
      </c>
      <c r="R2059" s="6" t="s">
        <v>7542</v>
      </c>
    </row>
    <row r="2060">
      <c r="A2060" s="6" t="s">
        <v>7537</v>
      </c>
      <c r="B2060" s="6" t="s">
        <v>7537</v>
      </c>
      <c r="C2060" s="6">
        <v>451.0</v>
      </c>
      <c r="D2060" s="9" t="str">
        <f>HYPERLINK("https://www.linkedin.com/ad-library/detail/1476893494","Open Ad")</f>
        <v>Open Ad</v>
      </c>
      <c r="E2060" s="6" t="s">
        <v>154</v>
      </c>
      <c r="F2060" s="6" t="s">
        <v>53</v>
      </c>
      <c r="G2060" s="6" t="s">
        <v>7584</v>
      </c>
      <c r="H2060" s="6" t="s">
        <v>55</v>
      </c>
      <c r="I2060" s="6" t="s">
        <v>7566</v>
      </c>
      <c r="J2060" s="6" t="s">
        <v>154</v>
      </c>
      <c r="K2060" s="9" t="str">
        <f t="shared" ref="K2060:K2061" si="40">HYPERLINK("https://dms.licdn.com/playlist/vid/v2/D5610AQEgZSN1R6lkQg/mp4-360p-30fp-crf28/B56Z.pe6eZJoBg-/0/1785254888120?e=2147483647&amp;v=beta&amp;t=5h1R6KvMhc0CxepDbbh4l98qEndRxnaP-BM6oZz1ryY","Open Creative")</f>
        <v>Open Creative</v>
      </c>
      <c r="L2060" s="6" t="s">
        <v>131</v>
      </c>
      <c r="M2060" s="6" t="s">
        <v>7537</v>
      </c>
      <c r="N2060" s="6" t="s">
        <v>132</v>
      </c>
      <c r="O2060" s="36" t="s">
        <v>132</v>
      </c>
      <c r="P2060" s="36">
        <v>1.476893494E9</v>
      </c>
      <c r="Q2060" s="36" t="s">
        <v>7541</v>
      </c>
      <c r="R2060" s="6" t="s">
        <v>7542</v>
      </c>
    </row>
    <row r="2061">
      <c r="A2061" s="6" t="s">
        <v>7537</v>
      </c>
      <c r="B2061" s="6" t="s">
        <v>7537</v>
      </c>
      <c r="C2061" s="6">
        <v>452.0</v>
      </c>
      <c r="D2061" s="9" t="str">
        <f>HYPERLINK("https://www.linkedin.com/ad-library/detail/1476843374","Open Ad")</f>
        <v>Open Ad</v>
      </c>
      <c r="E2061" s="6" t="s">
        <v>154</v>
      </c>
      <c r="F2061" s="6" t="s">
        <v>53</v>
      </c>
      <c r="G2061" s="6" t="s">
        <v>7584</v>
      </c>
      <c r="H2061" s="6" t="s">
        <v>55</v>
      </c>
      <c r="I2061" s="6" t="s">
        <v>7566</v>
      </c>
      <c r="J2061" s="6" t="s">
        <v>154</v>
      </c>
      <c r="K2061" s="9" t="str">
        <f t="shared" si="40"/>
        <v>Open Creative</v>
      </c>
      <c r="L2061" s="6" t="s">
        <v>131</v>
      </c>
      <c r="M2061" s="6" t="s">
        <v>7537</v>
      </c>
      <c r="N2061" s="6" t="s">
        <v>132</v>
      </c>
      <c r="O2061" s="36" t="s">
        <v>132</v>
      </c>
      <c r="P2061" s="36">
        <v>1.476843374E9</v>
      </c>
      <c r="Q2061" s="36" t="s">
        <v>7541</v>
      </c>
      <c r="R2061" s="6" t="s">
        <v>7542</v>
      </c>
    </row>
    <row r="2062">
      <c r="A2062" s="6" t="s">
        <v>7537</v>
      </c>
      <c r="B2062" s="6" t="s">
        <v>7537</v>
      </c>
      <c r="C2062" s="6">
        <v>453.0</v>
      </c>
      <c r="D2062" s="9" t="str">
        <f>HYPERLINK("https://www.linkedin.com/ad-library/detail/1528158056","Open Ad")</f>
        <v>Open Ad</v>
      </c>
      <c r="E2062" s="6" t="s">
        <v>154</v>
      </c>
      <c r="F2062" s="6" t="s">
        <v>53</v>
      </c>
      <c r="G2062" s="6" t="s">
        <v>7626</v>
      </c>
      <c r="H2062" s="6" t="s">
        <v>55</v>
      </c>
      <c r="I2062" s="6" t="s">
        <v>7566</v>
      </c>
      <c r="J2062" s="6" t="s">
        <v>154</v>
      </c>
      <c r="K2062" s="9" t="str">
        <f>HYPERLINK("https://dms.licdn.com/playlist/vid/v2/D5605AQHT7vk0A-3seQ/mp4-720p-30fp-crf28/B56Z9_tNZaG8CE-/0/1784553999764?e=2147483647&amp;v=beta&amp;t=_pTgd_w3ipyXA3GSOVK4YiCFXZVAebifIJBI21X9GDI","Open Creative")</f>
        <v>Open Creative</v>
      </c>
      <c r="L2062" s="6" t="s">
        <v>131</v>
      </c>
      <c r="M2062" s="6" t="s">
        <v>7537</v>
      </c>
      <c r="N2062" s="6" t="s">
        <v>132</v>
      </c>
      <c r="O2062" s="36" t="s">
        <v>132</v>
      </c>
      <c r="P2062" s="36">
        <v>1.528158056E9</v>
      </c>
      <c r="Q2062" s="36" t="s">
        <v>7541</v>
      </c>
      <c r="R2062" s="6" t="s">
        <v>7542</v>
      </c>
    </row>
    <row r="2063">
      <c r="A2063" s="6" t="s">
        <v>7537</v>
      </c>
      <c r="B2063" s="6" t="s">
        <v>7537</v>
      </c>
      <c r="C2063" s="6">
        <v>454.0</v>
      </c>
      <c r="D2063" s="9" t="str">
        <f>HYPERLINK("https://www.linkedin.com/ad-library/detail/1476814044","Open Ad")</f>
        <v>Open Ad</v>
      </c>
      <c r="E2063" s="6" t="s">
        <v>154</v>
      </c>
      <c r="F2063" s="6" t="s">
        <v>53</v>
      </c>
      <c r="G2063" s="6" t="s">
        <v>7583</v>
      </c>
      <c r="H2063" s="6" t="s">
        <v>55</v>
      </c>
      <c r="I2063" s="6" t="s">
        <v>7566</v>
      </c>
      <c r="J2063" s="6" t="s">
        <v>154</v>
      </c>
      <c r="K2063" s="9" t="str">
        <f>HYPERLINK("https://dms.licdn.com/playlist/vid/v2/D5610AQFSMcnW06imag/mp4-720p-30fp-crf28/B56Z.pe2QCKMBk-/0/1785254870903?e=2147483647&amp;v=beta&amp;t=g-3k8J4kc7bttKyXTLsE0c8iC3sdncRAqezIsmyhZN4","Open Creative")</f>
        <v>Open Creative</v>
      </c>
      <c r="L2063" s="6" t="s">
        <v>131</v>
      </c>
      <c r="M2063" s="6" t="s">
        <v>7537</v>
      </c>
      <c r="N2063" s="6" t="s">
        <v>132</v>
      </c>
      <c r="O2063" s="36" t="s">
        <v>132</v>
      </c>
      <c r="P2063" s="36">
        <v>1.476814044E9</v>
      </c>
      <c r="Q2063" s="36" t="s">
        <v>7541</v>
      </c>
      <c r="R2063" s="6" t="s">
        <v>7542</v>
      </c>
    </row>
    <row r="2064">
      <c r="A2064" s="6" t="s">
        <v>7537</v>
      </c>
      <c r="B2064" s="6" t="s">
        <v>7537</v>
      </c>
      <c r="C2064" s="6">
        <v>455.0</v>
      </c>
      <c r="D2064" s="9" t="str">
        <f>HYPERLINK("https://www.linkedin.com/ad-library/detail/1476873574","Open Ad")</f>
        <v>Open Ad</v>
      </c>
      <c r="E2064" s="6" t="s">
        <v>154</v>
      </c>
      <c r="F2064" s="6" t="s">
        <v>53</v>
      </c>
      <c r="G2064" s="6" t="s">
        <v>7584</v>
      </c>
      <c r="H2064" s="6" t="s">
        <v>55</v>
      </c>
      <c r="I2064" s="6" t="s">
        <v>7566</v>
      </c>
      <c r="J2064" s="6" t="s">
        <v>154</v>
      </c>
      <c r="K2064" s="9" t="str">
        <f t="shared" ref="K2064:K2065" si="41">HYPERLINK("https://dms.licdn.com/playlist/vid/v2/D5610AQEgZSN1R6lkQg/mp4-360p-30fp-crf28/B56Z.pe6eZJoBg-/0/1785254888120?e=2147483647&amp;v=beta&amp;t=5h1R6KvMhc0CxepDbbh4l98qEndRxnaP-BM6oZz1ryY","Open Creative")</f>
        <v>Open Creative</v>
      </c>
      <c r="L2064" s="6" t="s">
        <v>131</v>
      </c>
      <c r="M2064" s="6" t="s">
        <v>7537</v>
      </c>
      <c r="N2064" s="6" t="s">
        <v>132</v>
      </c>
      <c r="O2064" s="36" t="s">
        <v>132</v>
      </c>
      <c r="P2064" s="36">
        <v>1.476873574E9</v>
      </c>
      <c r="Q2064" s="36" t="s">
        <v>7541</v>
      </c>
      <c r="R2064" s="6" t="s">
        <v>7542</v>
      </c>
    </row>
    <row r="2065">
      <c r="A2065" s="6" t="s">
        <v>7537</v>
      </c>
      <c r="B2065" s="6" t="s">
        <v>7537</v>
      </c>
      <c r="C2065" s="6">
        <v>456.0</v>
      </c>
      <c r="D2065" s="9" t="str">
        <f>HYPERLINK("https://www.linkedin.com/ad-library/detail/1476766134","Open Ad")</f>
        <v>Open Ad</v>
      </c>
      <c r="E2065" s="6" t="s">
        <v>154</v>
      </c>
      <c r="F2065" s="6" t="s">
        <v>53</v>
      </c>
      <c r="G2065" s="6" t="s">
        <v>7584</v>
      </c>
      <c r="H2065" s="6" t="s">
        <v>55</v>
      </c>
      <c r="I2065" s="6" t="s">
        <v>7566</v>
      </c>
      <c r="J2065" s="6" t="s">
        <v>154</v>
      </c>
      <c r="K2065" s="9" t="str">
        <f t="shared" si="41"/>
        <v>Open Creative</v>
      </c>
      <c r="L2065" s="6" t="s">
        <v>131</v>
      </c>
      <c r="M2065" s="6" t="s">
        <v>7537</v>
      </c>
      <c r="N2065" s="6" t="s">
        <v>132</v>
      </c>
      <c r="O2065" s="36" t="s">
        <v>132</v>
      </c>
      <c r="P2065" s="36">
        <v>1.476766134E9</v>
      </c>
      <c r="Q2065" s="36" t="s">
        <v>7541</v>
      </c>
      <c r="R2065" s="6" t="s">
        <v>7542</v>
      </c>
    </row>
    <row r="2066">
      <c r="A2066" s="6" t="s">
        <v>7537</v>
      </c>
      <c r="B2066" s="6" t="s">
        <v>7537</v>
      </c>
      <c r="C2066" s="6">
        <v>457.0</v>
      </c>
      <c r="D2066" s="9" t="str">
        <f>HYPERLINK("https://www.linkedin.com/ad-library/detail/1516306436","Open Ad")</f>
        <v>Open Ad</v>
      </c>
      <c r="E2066" s="6" t="s">
        <v>154</v>
      </c>
      <c r="F2066" s="6" t="s">
        <v>53</v>
      </c>
      <c r="G2066" s="6" t="s">
        <v>7579</v>
      </c>
      <c r="H2066" s="6" t="s">
        <v>55</v>
      </c>
      <c r="I2066" s="6" t="s">
        <v>7566</v>
      </c>
      <c r="J2066" s="6" t="s">
        <v>154</v>
      </c>
      <c r="K2066" s="9" t="str">
        <f>HYPERLINK("https://dms.licdn.com/playlist/vid/v2/D4E05AQGz-rO1oWg7ZQ/mp4-720p-30fp-crf28/B4EZ.OXbZ0KoB4-/0/1784799941158?e=2147483647&amp;v=beta&amp;t=UrD2A3U5EVqZ6IpwPmbSFZu-ikVK8uBHF2MFFmv-lbo","Open Creative")</f>
        <v>Open Creative</v>
      </c>
      <c r="L2066" s="6" t="s">
        <v>131</v>
      </c>
      <c r="M2066" s="6" t="s">
        <v>7537</v>
      </c>
      <c r="N2066" s="6" t="s">
        <v>132</v>
      </c>
      <c r="O2066" s="36" t="s">
        <v>132</v>
      </c>
      <c r="P2066" s="36">
        <v>1.516306436E9</v>
      </c>
      <c r="Q2066" s="36" t="s">
        <v>7541</v>
      </c>
      <c r="R2066" s="6" t="s">
        <v>7542</v>
      </c>
    </row>
    <row r="2067">
      <c r="A2067" s="6" t="s">
        <v>7537</v>
      </c>
      <c r="B2067" s="6" t="s">
        <v>7537</v>
      </c>
      <c r="C2067" s="6">
        <v>458.0</v>
      </c>
      <c r="D2067" s="9" t="str">
        <f>HYPERLINK("https://www.linkedin.com/ad-library/detail/1519531056","Open Ad")</f>
        <v>Open Ad</v>
      </c>
      <c r="E2067" s="6" t="s">
        <v>91</v>
      </c>
      <c r="F2067" s="6" t="s">
        <v>53</v>
      </c>
      <c r="G2067" s="6" t="s">
        <v>7573</v>
      </c>
      <c r="H2067" s="6" t="s">
        <v>55</v>
      </c>
      <c r="I2067" s="6" t="s">
        <v>7566</v>
      </c>
      <c r="J2067" s="6" t="s">
        <v>91</v>
      </c>
      <c r="K2067" s="6" t="s">
        <v>60</v>
      </c>
      <c r="L2067" s="6" t="s">
        <v>131</v>
      </c>
      <c r="M2067" s="6" t="s">
        <v>7537</v>
      </c>
      <c r="N2067" s="6" t="s">
        <v>132</v>
      </c>
      <c r="O2067" s="36" t="s">
        <v>132</v>
      </c>
      <c r="P2067" s="36">
        <v>1.519531056E9</v>
      </c>
      <c r="Q2067" s="36" t="s">
        <v>7541</v>
      </c>
      <c r="R2067" s="6" t="s">
        <v>7542</v>
      </c>
    </row>
    <row r="2068">
      <c r="A2068" s="6" t="s">
        <v>7537</v>
      </c>
      <c r="B2068" s="6" t="s">
        <v>7537</v>
      </c>
      <c r="C2068" s="6">
        <v>459.0</v>
      </c>
      <c r="D2068" s="9" t="str">
        <f>HYPERLINK("https://www.linkedin.com/ad-library/detail/1516306466","Open Ad")</f>
        <v>Open Ad</v>
      </c>
      <c r="E2068" s="6" t="s">
        <v>154</v>
      </c>
      <c r="F2068" s="6" t="s">
        <v>53</v>
      </c>
      <c r="G2068" s="6" t="s">
        <v>7579</v>
      </c>
      <c r="H2068" s="6" t="s">
        <v>55</v>
      </c>
      <c r="I2068" s="6" t="s">
        <v>7566</v>
      </c>
      <c r="J2068" s="6" t="s">
        <v>154</v>
      </c>
      <c r="K2068" s="9" t="str">
        <f>HYPERLINK("https://dms.licdn.com/playlist/vid/v2/D4E05AQGz-rO1oWg7ZQ/mp4-720p-30fp-crf28/B4EZ.OXbZ0KoB4-/0/1784799941158?e=2147483647&amp;v=beta&amp;t=UrD2A3U5EVqZ6IpwPmbSFZu-ikVK8uBHF2MFFmv-lbo","Open Creative")</f>
        <v>Open Creative</v>
      </c>
      <c r="L2068" s="6" t="s">
        <v>131</v>
      </c>
      <c r="M2068" s="6" t="s">
        <v>7537</v>
      </c>
      <c r="N2068" s="6" t="s">
        <v>132</v>
      </c>
      <c r="O2068" s="36" t="s">
        <v>132</v>
      </c>
      <c r="P2068" s="36">
        <v>1.516306466E9</v>
      </c>
      <c r="Q2068" s="36" t="s">
        <v>7541</v>
      </c>
      <c r="R2068" s="6" t="s">
        <v>7542</v>
      </c>
    </row>
    <row r="2069">
      <c r="A2069" s="6" t="s">
        <v>7537</v>
      </c>
      <c r="B2069" s="6" t="s">
        <v>7537</v>
      </c>
      <c r="C2069" s="6">
        <v>460.0</v>
      </c>
      <c r="D2069" s="9" t="str">
        <f>HYPERLINK("https://www.linkedin.com/ad-library/detail/1519511256","Open Ad")</f>
        <v>Open Ad</v>
      </c>
      <c r="E2069" s="6" t="s">
        <v>91</v>
      </c>
      <c r="F2069" s="6" t="s">
        <v>53</v>
      </c>
      <c r="G2069" s="6" t="s">
        <v>7577</v>
      </c>
      <c r="H2069" s="6" t="s">
        <v>55</v>
      </c>
      <c r="I2069" s="6" t="s">
        <v>7566</v>
      </c>
      <c r="J2069" s="6" t="s">
        <v>91</v>
      </c>
      <c r="K2069" s="6" t="s">
        <v>60</v>
      </c>
      <c r="L2069" s="6" t="s">
        <v>131</v>
      </c>
      <c r="M2069" s="6" t="s">
        <v>7537</v>
      </c>
      <c r="N2069" s="6" t="s">
        <v>132</v>
      </c>
      <c r="O2069" s="36" t="s">
        <v>132</v>
      </c>
      <c r="P2069" s="36">
        <v>1.519511256E9</v>
      </c>
      <c r="Q2069" s="36" t="s">
        <v>7541</v>
      </c>
      <c r="R2069" s="6" t="s">
        <v>7542</v>
      </c>
    </row>
    <row r="2070">
      <c r="A2070" s="6" t="s">
        <v>7537</v>
      </c>
      <c r="B2070" s="6" t="s">
        <v>7537</v>
      </c>
      <c r="C2070" s="6">
        <v>461.0</v>
      </c>
      <c r="D2070" s="9" t="str">
        <f>HYPERLINK("https://www.linkedin.com/ad-library/detail/1519451526","Open Ad")</f>
        <v>Open Ad</v>
      </c>
      <c r="E2070" s="6" t="s">
        <v>91</v>
      </c>
      <c r="F2070" s="6" t="s">
        <v>53</v>
      </c>
      <c r="G2070" s="6" t="s">
        <v>7573</v>
      </c>
      <c r="H2070" s="6" t="s">
        <v>55</v>
      </c>
      <c r="I2070" s="6" t="s">
        <v>7566</v>
      </c>
      <c r="J2070" s="6" t="s">
        <v>91</v>
      </c>
      <c r="K2070" s="6" t="s">
        <v>60</v>
      </c>
      <c r="L2070" s="6" t="s">
        <v>131</v>
      </c>
      <c r="M2070" s="6" t="s">
        <v>7537</v>
      </c>
      <c r="N2070" s="6" t="s">
        <v>132</v>
      </c>
      <c r="O2070" s="36" t="s">
        <v>132</v>
      </c>
      <c r="P2070" s="36">
        <v>1.519451526E9</v>
      </c>
      <c r="Q2070" s="36" t="s">
        <v>7541</v>
      </c>
      <c r="R2070" s="6" t="s">
        <v>7542</v>
      </c>
    </row>
    <row r="2071">
      <c r="A2071" s="6" t="s">
        <v>7537</v>
      </c>
      <c r="B2071" s="6" t="s">
        <v>7537</v>
      </c>
      <c r="C2071" s="6">
        <v>462.0</v>
      </c>
      <c r="D2071" s="9" t="str">
        <f>HYPERLINK("https://www.linkedin.com/ad-library/detail/1516355456","Open Ad")</f>
        <v>Open Ad</v>
      </c>
      <c r="E2071" s="6" t="s">
        <v>154</v>
      </c>
      <c r="F2071" s="6" t="s">
        <v>53</v>
      </c>
      <c r="G2071" s="6" t="s">
        <v>7579</v>
      </c>
      <c r="H2071" s="6" t="s">
        <v>55</v>
      </c>
      <c r="I2071" s="6" t="s">
        <v>7566</v>
      </c>
      <c r="J2071" s="6" t="s">
        <v>154</v>
      </c>
      <c r="K2071" s="9" t="str">
        <f>HYPERLINK("https://dms.licdn.com/playlist/vid/v2/D4E05AQGz-rO1oWg7ZQ/mp4-720p-30fp-crf28/B4EZ.OXbZ0KoB4-/0/1784799941158?e=2147483647&amp;v=beta&amp;t=UrD2A3U5EVqZ6IpwPmbSFZu-ikVK8uBHF2MFFmv-lbo","Open Creative")</f>
        <v>Open Creative</v>
      </c>
      <c r="L2071" s="6" t="s">
        <v>131</v>
      </c>
      <c r="M2071" s="6" t="s">
        <v>7537</v>
      </c>
      <c r="N2071" s="6" t="s">
        <v>132</v>
      </c>
      <c r="O2071" s="36" t="s">
        <v>132</v>
      </c>
      <c r="P2071" s="36">
        <v>1.516355456E9</v>
      </c>
      <c r="Q2071" s="36" t="s">
        <v>7541</v>
      </c>
      <c r="R2071" s="6" t="s">
        <v>7542</v>
      </c>
    </row>
    <row r="2072">
      <c r="A2072" s="6" t="s">
        <v>7537</v>
      </c>
      <c r="B2072" s="6" t="s">
        <v>7537</v>
      </c>
      <c r="C2072" s="6">
        <v>463.0</v>
      </c>
      <c r="D2072" s="9" t="str">
        <f>HYPERLINK("https://www.linkedin.com/ad-library/detail/1476771434","Open Ad")</f>
        <v>Open Ad</v>
      </c>
      <c r="E2072" s="6" t="s">
        <v>91</v>
      </c>
      <c r="F2072" s="6" t="s">
        <v>53</v>
      </c>
      <c r="G2072" s="6" t="s">
        <v>7620</v>
      </c>
      <c r="H2072" s="6" t="s">
        <v>55</v>
      </c>
      <c r="I2072" s="6" t="s">
        <v>7566</v>
      </c>
      <c r="J2072" s="6" t="s">
        <v>91</v>
      </c>
      <c r="K2072" s="9" t="str">
        <f>HYPERLINK("https://media.licdn.com/dms/image/v2/D4E22AQGpcCW171s7XQ/feedshare-image-high-res/B4EZ48NEUUKQAU-/0/1779126519344?e=2147483647&amp;v=beta&amp;t=qtKlxqfofONgIfGH2M0a_hcnI2zE1Cnk944xMnVrZkY","Open Creative")</f>
        <v>Open Creative</v>
      </c>
      <c r="L2072" s="6" t="s">
        <v>131</v>
      </c>
      <c r="M2072" s="6" t="s">
        <v>7537</v>
      </c>
      <c r="N2072" s="6" t="s">
        <v>132</v>
      </c>
      <c r="O2072" s="36" t="s">
        <v>132</v>
      </c>
      <c r="P2072" s="36">
        <v>1.476771434E9</v>
      </c>
      <c r="Q2072" s="36" t="s">
        <v>7541</v>
      </c>
      <c r="R2072" s="6" t="s">
        <v>7542</v>
      </c>
    </row>
    <row r="2073">
      <c r="A2073" s="6" t="s">
        <v>7537</v>
      </c>
      <c r="B2073" s="6" t="s">
        <v>7537</v>
      </c>
      <c r="C2073" s="6">
        <v>464.0</v>
      </c>
      <c r="D2073" s="9" t="str">
        <f>HYPERLINK("https://www.linkedin.com/ad-library/detail/1519560056","Open Ad")</f>
        <v>Open Ad</v>
      </c>
      <c r="E2073" s="6" t="s">
        <v>91</v>
      </c>
      <c r="F2073" s="6" t="s">
        <v>53</v>
      </c>
      <c r="G2073" s="6" t="s">
        <v>7577</v>
      </c>
      <c r="H2073" s="6" t="s">
        <v>55</v>
      </c>
      <c r="I2073" s="6" t="s">
        <v>7566</v>
      </c>
      <c r="J2073" s="6" t="s">
        <v>91</v>
      </c>
      <c r="K2073" s="6" t="s">
        <v>60</v>
      </c>
      <c r="L2073" s="6" t="s">
        <v>131</v>
      </c>
      <c r="M2073" s="6" t="s">
        <v>7537</v>
      </c>
      <c r="N2073" s="6" t="s">
        <v>132</v>
      </c>
      <c r="O2073" s="36" t="s">
        <v>132</v>
      </c>
      <c r="P2073" s="36">
        <v>1.519560056E9</v>
      </c>
      <c r="Q2073" s="36" t="s">
        <v>7541</v>
      </c>
      <c r="R2073" s="6" t="s">
        <v>7542</v>
      </c>
    </row>
    <row r="2074">
      <c r="A2074" s="6" t="s">
        <v>7537</v>
      </c>
      <c r="B2074" s="6" t="s">
        <v>7537</v>
      </c>
      <c r="C2074" s="6">
        <v>465.0</v>
      </c>
      <c r="D2074" s="9" t="str">
        <f>HYPERLINK("https://www.linkedin.com/ad-library/detail/1516186926","Open Ad")</f>
        <v>Open Ad</v>
      </c>
      <c r="E2074" s="6" t="s">
        <v>154</v>
      </c>
      <c r="F2074" s="6" t="s">
        <v>53</v>
      </c>
      <c r="G2074" s="6" t="s">
        <v>7579</v>
      </c>
      <c r="H2074" s="6" t="s">
        <v>55</v>
      </c>
      <c r="I2074" s="6" t="s">
        <v>7566</v>
      </c>
      <c r="J2074" s="6" t="s">
        <v>154</v>
      </c>
      <c r="K2074" s="9" t="str">
        <f t="shared" ref="K2074:K2076" si="42">HYPERLINK("https://dms.licdn.com/playlist/vid/v2/D4E05AQGz-rO1oWg7ZQ/mp4-720p-30fp-crf28/B4EZ.OXbZ0KoB4-/0/1784799941158?e=2147483647&amp;v=beta&amp;t=UrD2A3U5EVqZ6IpwPmbSFZu-ikVK8uBHF2MFFmv-lbo","Open Creative")</f>
        <v>Open Creative</v>
      </c>
      <c r="L2074" s="6" t="s">
        <v>131</v>
      </c>
      <c r="M2074" s="6" t="s">
        <v>7537</v>
      </c>
      <c r="N2074" s="6" t="s">
        <v>132</v>
      </c>
      <c r="O2074" s="36" t="s">
        <v>132</v>
      </c>
      <c r="P2074" s="36">
        <v>1.516186926E9</v>
      </c>
      <c r="Q2074" s="36" t="s">
        <v>7541</v>
      </c>
      <c r="R2074" s="6" t="s">
        <v>7542</v>
      </c>
    </row>
    <row r="2075">
      <c r="A2075" s="6" t="s">
        <v>7537</v>
      </c>
      <c r="B2075" s="6" t="s">
        <v>7537</v>
      </c>
      <c r="C2075" s="6">
        <v>466.0</v>
      </c>
      <c r="D2075" s="9" t="str">
        <f>HYPERLINK("https://www.linkedin.com/ad-library/detail/1516186946","Open Ad")</f>
        <v>Open Ad</v>
      </c>
      <c r="E2075" s="6" t="s">
        <v>154</v>
      </c>
      <c r="F2075" s="6" t="s">
        <v>53</v>
      </c>
      <c r="G2075" s="6" t="s">
        <v>7579</v>
      </c>
      <c r="H2075" s="6" t="s">
        <v>55</v>
      </c>
      <c r="I2075" s="6" t="s">
        <v>7566</v>
      </c>
      <c r="J2075" s="6" t="s">
        <v>154</v>
      </c>
      <c r="K2075" s="9" t="str">
        <f t="shared" si="42"/>
        <v>Open Creative</v>
      </c>
      <c r="L2075" s="6" t="s">
        <v>131</v>
      </c>
      <c r="M2075" s="6" t="s">
        <v>7537</v>
      </c>
      <c r="N2075" s="6" t="s">
        <v>132</v>
      </c>
      <c r="O2075" s="36" t="s">
        <v>132</v>
      </c>
      <c r="P2075" s="36">
        <v>1.516186946E9</v>
      </c>
      <c r="Q2075" s="36" t="s">
        <v>7541</v>
      </c>
      <c r="R2075" s="6" t="s">
        <v>7542</v>
      </c>
    </row>
    <row r="2076">
      <c r="A2076" s="6" t="s">
        <v>7537</v>
      </c>
      <c r="B2076" s="6" t="s">
        <v>7537</v>
      </c>
      <c r="C2076" s="6">
        <v>467.0</v>
      </c>
      <c r="D2076" s="9" t="str">
        <f>HYPERLINK("https://www.linkedin.com/ad-library/detail/1516256086","Open Ad")</f>
        <v>Open Ad</v>
      </c>
      <c r="E2076" s="6" t="s">
        <v>154</v>
      </c>
      <c r="F2076" s="6" t="s">
        <v>53</v>
      </c>
      <c r="G2076" s="6" t="s">
        <v>7579</v>
      </c>
      <c r="H2076" s="6" t="s">
        <v>55</v>
      </c>
      <c r="I2076" s="6" t="s">
        <v>7566</v>
      </c>
      <c r="J2076" s="6" t="s">
        <v>154</v>
      </c>
      <c r="K2076" s="9" t="str">
        <f t="shared" si="42"/>
        <v>Open Creative</v>
      </c>
      <c r="L2076" s="6" t="s">
        <v>131</v>
      </c>
      <c r="M2076" s="6" t="s">
        <v>7537</v>
      </c>
      <c r="N2076" s="6" t="s">
        <v>132</v>
      </c>
      <c r="O2076" s="36" t="s">
        <v>132</v>
      </c>
      <c r="P2076" s="36">
        <v>1.516256086E9</v>
      </c>
      <c r="Q2076" s="36" t="s">
        <v>7541</v>
      </c>
      <c r="R2076" s="6" t="s">
        <v>7542</v>
      </c>
    </row>
    <row r="2077">
      <c r="A2077" s="6" t="s">
        <v>7537</v>
      </c>
      <c r="B2077" s="6" t="s">
        <v>7537</v>
      </c>
      <c r="C2077" s="6">
        <v>468.0</v>
      </c>
      <c r="D2077" s="9" t="str">
        <f>HYPERLINK("https://www.linkedin.com/ad-library/detail/1476549384","Open Ad")</f>
        <v>Open Ad</v>
      </c>
      <c r="E2077" s="6" t="s">
        <v>91</v>
      </c>
      <c r="F2077" s="6" t="s">
        <v>53</v>
      </c>
      <c r="G2077" s="6" t="s">
        <v>7615</v>
      </c>
      <c r="H2077" s="6" t="s">
        <v>55</v>
      </c>
      <c r="I2077" s="6" t="s">
        <v>7566</v>
      </c>
      <c r="J2077" s="6" t="s">
        <v>91</v>
      </c>
      <c r="K2077" s="9" t="str">
        <f>HYPERLINK("https://media.licdn.com/dms/image/v2/D4E22AQHR6Egnuw3qVw/feedshare-image-high-res/B4EZ3z.h4pIwAU-/0/1777914748769?e=2147483647&amp;v=beta&amp;t=irHH_77wAYeH-Ii3d_bji7h-P_31fkrfntPhqu4X-g0","Open Creative")</f>
        <v>Open Creative</v>
      </c>
      <c r="L2077" s="6" t="s">
        <v>131</v>
      </c>
      <c r="M2077" s="6" t="s">
        <v>7537</v>
      </c>
      <c r="N2077" s="6" t="s">
        <v>132</v>
      </c>
      <c r="O2077" s="36" t="s">
        <v>132</v>
      </c>
      <c r="P2077" s="36">
        <v>1.476549384E9</v>
      </c>
      <c r="Q2077" s="36" t="s">
        <v>7541</v>
      </c>
      <c r="R2077" s="6" t="s">
        <v>7542</v>
      </c>
    </row>
    <row r="2078">
      <c r="A2078" s="6" t="s">
        <v>7537</v>
      </c>
      <c r="B2078" s="6" t="s">
        <v>7537</v>
      </c>
      <c r="C2078" s="6">
        <v>469.0</v>
      </c>
      <c r="D2078" s="9" t="str">
        <f>HYPERLINK("https://www.linkedin.com/ad-library/detail/1516186936","Open Ad")</f>
        <v>Open Ad</v>
      </c>
      <c r="E2078" s="6" t="s">
        <v>154</v>
      </c>
      <c r="F2078" s="6" t="s">
        <v>53</v>
      </c>
      <c r="G2078" s="6" t="s">
        <v>7579</v>
      </c>
      <c r="H2078" s="6" t="s">
        <v>55</v>
      </c>
      <c r="I2078" s="6" t="s">
        <v>7566</v>
      </c>
      <c r="J2078" s="6" t="s">
        <v>154</v>
      </c>
      <c r="K2078" s="9" t="str">
        <f>HYPERLINK("https://dms.licdn.com/playlist/vid/v2/D4E05AQGz-rO1oWg7ZQ/mp4-720p-30fp-crf28/B4EZ.OXbZ0KoB4-/0/1784799941158?e=2147483647&amp;v=beta&amp;t=UrD2A3U5EVqZ6IpwPmbSFZu-ikVK8uBHF2MFFmv-lbo","Open Creative")</f>
        <v>Open Creative</v>
      </c>
      <c r="L2078" s="6" t="s">
        <v>131</v>
      </c>
      <c r="M2078" s="6" t="s">
        <v>7537</v>
      </c>
      <c r="N2078" s="6" t="s">
        <v>132</v>
      </c>
      <c r="O2078" s="36" t="s">
        <v>132</v>
      </c>
      <c r="P2078" s="36">
        <v>1.516186936E9</v>
      </c>
      <c r="Q2078" s="36" t="s">
        <v>7541</v>
      </c>
      <c r="R2078" s="6" t="s">
        <v>7542</v>
      </c>
    </row>
    <row r="2079">
      <c r="A2079" s="6" t="s">
        <v>7537</v>
      </c>
      <c r="B2079" s="6" t="s">
        <v>7537</v>
      </c>
      <c r="C2079" s="6">
        <v>470.0</v>
      </c>
      <c r="D2079" s="9" t="str">
        <f>HYPERLINK("https://www.linkedin.com/ad-library/detail/1514100826","Open Ad")</f>
        <v>Open Ad</v>
      </c>
      <c r="E2079" s="6" t="s">
        <v>91</v>
      </c>
      <c r="F2079" s="6" t="s">
        <v>53</v>
      </c>
      <c r="G2079" s="6" t="s">
        <v>7577</v>
      </c>
      <c r="H2079" s="6" t="s">
        <v>55</v>
      </c>
      <c r="I2079" s="6" t="s">
        <v>7566</v>
      </c>
      <c r="J2079" s="6" t="s">
        <v>91</v>
      </c>
      <c r="K2079" s="6" t="s">
        <v>60</v>
      </c>
      <c r="L2079" s="6" t="s">
        <v>131</v>
      </c>
      <c r="M2079" s="6" t="s">
        <v>7537</v>
      </c>
      <c r="N2079" s="6" t="s">
        <v>132</v>
      </c>
      <c r="O2079" s="36" t="s">
        <v>132</v>
      </c>
      <c r="P2079" s="36">
        <v>1.514100826E9</v>
      </c>
      <c r="Q2079" s="36" t="s">
        <v>7541</v>
      </c>
      <c r="R2079" s="6" t="s">
        <v>7542</v>
      </c>
    </row>
    <row r="2080">
      <c r="A2080" s="6" t="s">
        <v>7537</v>
      </c>
      <c r="B2080" s="6" t="s">
        <v>7537</v>
      </c>
      <c r="C2080" s="6">
        <v>471.0</v>
      </c>
      <c r="D2080" s="9" t="str">
        <f>HYPERLINK("https://www.linkedin.com/ad-library/detail/1476638914","Open Ad")</f>
        <v>Open Ad</v>
      </c>
      <c r="E2080" s="6" t="s">
        <v>91</v>
      </c>
      <c r="F2080" s="6" t="s">
        <v>53</v>
      </c>
      <c r="G2080" s="6" t="s">
        <v>7611</v>
      </c>
      <c r="H2080" s="6" t="s">
        <v>55</v>
      </c>
      <c r="I2080" s="6" t="s">
        <v>7566</v>
      </c>
      <c r="J2080" s="6" t="s">
        <v>91</v>
      </c>
      <c r="K2080" s="9" t="str">
        <f>HYPERLINK("https://media.licdn.com/dms/image/v2/D4E22AQHsQ-iOOBVXNQ/feedshare-image-high-res/B4EZ3zc4feIMAU-/0/1777905928447?e=2147483647&amp;v=beta&amp;t=L85KO8sqzgVngpfzlmmQ-Vk_qUWT3Jv-gk6ym1-cDss","Open Creative")</f>
        <v>Open Creative</v>
      </c>
      <c r="L2080" s="6" t="s">
        <v>131</v>
      </c>
      <c r="M2080" s="6" t="s">
        <v>7537</v>
      </c>
      <c r="N2080" s="6" t="s">
        <v>132</v>
      </c>
      <c r="O2080" s="36" t="s">
        <v>132</v>
      </c>
      <c r="P2080" s="36">
        <v>1.476638914E9</v>
      </c>
      <c r="Q2080" s="36" t="s">
        <v>7541</v>
      </c>
      <c r="R2080" s="6" t="s">
        <v>7542</v>
      </c>
    </row>
    <row r="2081">
      <c r="A2081" s="6" t="s">
        <v>7537</v>
      </c>
      <c r="B2081" s="6" t="s">
        <v>7537</v>
      </c>
      <c r="C2081" s="6">
        <v>472.0</v>
      </c>
      <c r="D2081" s="9" t="str">
        <f>HYPERLINK("https://www.linkedin.com/ad-library/detail/1476853634","Open Ad")</f>
        <v>Open Ad</v>
      </c>
      <c r="E2081" s="6" t="s">
        <v>154</v>
      </c>
      <c r="F2081" s="6" t="s">
        <v>53</v>
      </c>
      <c r="G2081" s="6" t="s">
        <v>7584</v>
      </c>
      <c r="H2081" s="6" t="s">
        <v>55</v>
      </c>
      <c r="I2081" s="6" t="s">
        <v>7566</v>
      </c>
      <c r="J2081" s="6" t="s">
        <v>154</v>
      </c>
      <c r="K2081" s="9" t="str">
        <f>HYPERLINK("https://dms.licdn.com/playlist/vid/v2/D5610AQEgZSN1R6lkQg/mp4-360p-30fp-crf28/B56Z.pe6eZJoBg-/0/1785254888120?e=2147483647&amp;v=beta&amp;t=5h1R6KvMhc0CxepDbbh4l98qEndRxnaP-BM6oZz1ryY","Open Creative")</f>
        <v>Open Creative</v>
      </c>
      <c r="L2081" s="6" t="s">
        <v>131</v>
      </c>
      <c r="M2081" s="6" t="s">
        <v>7537</v>
      </c>
      <c r="N2081" s="6" t="s">
        <v>132</v>
      </c>
      <c r="O2081" s="36" t="s">
        <v>132</v>
      </c>
      <c r="P2081" s="36">
        <v>1.476853634E9</v>
      </c>
      <c r="Q2081" s="36" t="s">
        <v>7541</v>
      </c>
      <c r="R2081" s="6" t="s">
        <v>7542</v>
      </c>
    </row>
    <row r="2082">
      <c r="A2082" s="6" t="s">
        <v>7537</v>
      </c>
      <c r="B2082" s="6" t="s">
        <v>7537</v>
      </c>
      <c r="C2082" s="6">
        <v>473.0</v>
      </c>
      <c r="D2082" s="9" t="str">
        <f>HYPERLINK("https://www.linkedin.com/ad-library/detail/1525911066","Open Ad")</f>
        <v>Open Ad</v>
      </c>
      <c r="E2082" s="6" t="s">
        <v>91</v>
      </c>
      <c r="F2082" s="6" t="s">
        <v>53</v>
      </c>
      <c r="G2082" s="6" t="s">
        <v>7628</v>
      </c>
      <c r="H2082" s="6" t="s">
        <v>55</v>
      </c>
      <c r="I2082" s="6" t="s">
        <v>7566</v>
      </c>
      <c r="J2082" s="6" t="s">
        <v>91</v>
      </c>
      <c r="K2082" s="9" t="str">
        <f>HYPERLINK("https://media.licdn.com/dms/image/v2/D4E22AQF2237TIe76Vg/feedshare-image-high-res/B4EZ.jo3p3JQAU-/0/1785156828787?e=2147483647&amp;v=beta&amp;t=yI9Q_5Dz5AdUxnmlAvbzTkwa3kLV4EzXS8wB49lC80s","Open Creative")</f>
        <v>Open Creative</v>
      </c>
      <c r="L2082" s="6" t="s">
        <v>131</v>
      </c>
      <c r="M2082" s="6" t="s">
        <v>7537</v>
      </c>
      <c r="N2082" s="6" t="s">
        <v>132</v>
      </c>
      <c r="O2082" s="36" t="s">
        <v>132</v>
      </c>
      <c r="P2082" s="36">
        <v>1.525911066E9</v>
      </c>
      <c r="Q2082" s="36" t="s">
        <v>7541</v>
      </c>
      <c r="R2082" s="6" t="s">
        <v>7542</v>
      </c>
    </row>
    <row r="2083">
      <c r="A2083" s="6" t="s">
        <v>7537</v>
      </c>
      <c r="B2083" s="6" t="s">
        <v>7537</v>
      </c>
      <c r="C2083" s="6">
        <v>474.0</v>
      </c>
      <c r="D2083" s="9" t="str">
        <f>HYPERLINK("https://www.linkedin.com/ad-library/detail/1476579104","Open Ad")</f>
        <v>Open Ad</v>
      </c>
      <c r="E2083" s="6" t="s">
        <v>91</v>
      </c>
      <c r="F2083" s="6" t="s">
        <v>53</v>
      </c>
      <c r="G2083" s="6" t="s">
        <v>7618</v>
      </c>
      <c r="H2083" s="6" t="s">
        <v>55</v>
      </c>
      <c r="I2083" s="6" t="s">
        <v>7566</v>
      </c>
      <c r="J2083" s="6" t="s">
        <v>91</v>
      </c>
      <c r="K2083" s="9" t="str">
        <f>HYPERLINK("https://media.licdn.com/dms/image/v2/D4E22AQGUgWvCy3EsCA/feedshare-image-high-res/B4EZ5MfammIIAU-/0/1779399764662?e=2147483647&amp;v=beta&amp;t=RDqRNBrhkZWz3rWfPv8WhtKpVkgRrzMA6KFe_K4nRWM","Open Creative")</f>
        <v>Open Creative</v>
      </c>
      <c r="L2083" s="6" t="s">
        <v>131</v>
      </c>
      <c r="M2083" s="6" t="s">
        <v>7537</v>
      </c>
      <c r="N2083" s="6" t="s">
        <v>132</v>
      </c>
      <c r="O2083" s="36" t="s">
        <v>132</v>
      </c>
      <c r="P2083" s="36">
        <v>1.476579104E9</v>
      </c>
      <c r="Q2083" s="36" t="s">
        <v>7541</v>
      </c>
      <c r="R2083" s="6" t="s">
        <v>7542</v>
      </c>
    </row>
    <row r="2084">
      <c r="A2084" s="6" t="s">
        <v>7537</v>
      </c>
      <c r="B2084" s="6" t="s">
        <v>7537</v>
      </c>
      <c r="C2084" s="6">
        <v>475.0</v>
      </c>
      <c r="D2084" s="9" t="str">
        <f>HYPERLINK("https://www.linkedin.com/ad-library/detail/1476579114","Open Ad")</f>
        <v>Open Ad</v>
      </c>
      <c r="E2084" s="6" t="s">
        <v>91</v>
      </c>
      <c r="F2084" s="6" t="s">
        <v>53</v>
      </c>
      <c r="G2084" s="6" t="s">
        <v>7614</v>
      </c>
      <c r="H2084" s="6" t="s">
        <v>55</v>
      </c>
      <c r="I2084" s="6" t="s">
        <v>7566</v>
      </c>
      <c r="J2084" s="6" t="s">
        <v>91</v>
      </c>
      <c r="K2084" s="9" t="str">
        <f>HYPERLINK("https://media.licdn.com/dms/image/v2/D4E22AQHqQ5H73IKatQ/feedshare-image-high-res/B4EZ3zzSFiHMAU-/0/1777911800529?e=2147483647&amp;v=beta&amp;t=qblordAcoyQ1q4SnwDGV-PHk-smYhZECyzWyulo8f9s","Open Creative")</f>
        <v>Open Creative</v>
      </c>
      <c r="L2084" s="6" t="s">
        <v>131</v>
      </c>
      <c r="M2084" s="6" t="s">
        <v>7537</v>
      </c>
      <c r="N2084" s="6" t="s">
        <v>132</v>
      </c>
      <c r="O2084" s="36" t="s">
        <v>132</v>
      </c>
      <c r="P2084" s="36">
        <v>1.476579114E9</v>
      </c>
      <c r="Q2084" s="36" t="s">
        <v>7541</v>
      </c>
      <c r="R2084" s="6" t="s">
        <v>7542</v>
      </c>
    </row>
    <row r="2085">
      <c r="A2085" s="6" t="s">
        <v>7537</v>
      </c>
      <c r="B2085" s="6" t="s">
        <v>7537</v>
      </c>
      <c r="C2085" s="6">
        <v>476.0</v>
      </c>
      <c r="D2085" s="9" t="str">
        <f>HYPERLINK("https://www.linkedin.com/ad-library/detail/1514127246","Open Ad")</f>
        <v>Open Ad</v>
      </c>
      <c r="E2085" s="6" t="s">
        <v>154</v>
      </c>
      <c r="F2085" s="6" t="s">
        <v>53</v>
      </c>
      <c r="G2085" s="6" t="s">
        <v>7579</v>
      </c>
      <c r="H2085" s="6" t="s">
        <v>55</v>
      </c>
      <c r="I2085" s="6" t="s">
        <v>7566</v>
      </c>
      <c r="J2085" s="6" t="s">
        <v>154</v>
      </c>
      <c r="K2085" s="9" t="str">
        <f t="shared" ref="K2085:K2086" si="43">HYPERLINK("https://dms.licdn.com/playlist/vid/v2/D4E05AQGz-rO1oWg7ZQ/mp4-720p-30fp-crf28/B4EZ.OXbZ0KoB4-/0/1784799941158?e=2147483647&amp;v=beta&amp;t=UrD2A3U5EVqZ6IpwPmbSFZu-ikVK8uBHF2MFFmv-lbo","Open Creative")</f>
        <v>Open Creative</v>
      </c>
      <c r="L2085" s="6" t="s">
        <v>131</v>
      </c>
      <c r="M2085" s="6" t="s">
        <v>7537</v>
      </c>
      <c r="N2085" s="6" t="s">
        <v>132</v>
      </c>
      <c r="O2085" s="36" t="s">
        <v>132</v>
      </c>
      <c r="P2085" s="36">
        <v>1.514127246E9</v>
      </c>
      <c r="Q2085" s="36" t="s">
        <v>7541</v>
      </c>
      <c r="R2085" s="6" t="s">
        <v>7542</v>
      </c>
    </row>
    <row r="2086">
      <c r="A2086" s="6" t="s">
        <v>7537</v>
      </c>
      <c r="B2086" s="6" t="s">
        <v>7537</v>
      </c>
      <c r="C2086" s="6">
        <v>477.0</v>
      </c>
      <c r="D2086" s="9" t="str">
        <f>HYPERLINK("https://www.linkedin.com/ad-library/detail/1514166416","Open Ad")</f>
        <v>Open Ad</v>
      </c>
      <c r="E2086" s="6" t="s">
        <v>154</v>
      </c>
      <c r="F2086" s="6" t="s">
        <v>53</v>
      </c>
      <c r="G2086" s="6" t="s">
        <v>7579</v>
      </c>
      <c r="H2086" s="6" t="s">
        <v>55</v>
      </c>
      <c r="I2086" s="6" t="s">
        <v>7566</v>
      </c>
      <c r="J2086" s="6" t="s">
        <v>154</v>
      </c>
      <c r="K2086" s="9" t="str">
        <f t="shared" si="43"/>
        <v>Open Creative</v>
      </c>
      <c r="L2086" s="6" t="s">
        <v>131</v>
      </c>
      <c r="M2086" s="6" t="s">
        <v>7537</v>
      </c>
      <c r="N2086" s="6" t="s">
        <v>132</v>
      </c>
      <c r="O2086" s="36" t="s">
        <v>132</v>
      </c>
      <c r="P2086" s="36">
        <v>1.514166416E9</v>
      </c>
      <c r="Q2086" s="36" t="s">
        <v>7541</v>
      </c>
      <c r="R2086" s="6" t="s">
        <v>7542</v>
      </c>
    </row>
    <row r="2087">
      <c r="A2087" s="6" t="s">
        <v>7537</v>
      </c>
      <c r="B2087" s="6" t="s">
        <v>7537</v>
      </c>
      <c r="C2087" s="6">
        <v>478.0</v>
      </c>
      <c r="D2087" s="9" t="str">
        <f>HYPERLINK("https://www.linkedin.com/ad-library/detail/1514051486","Open Ad")</f>
        <v>Open Ad</v>
      </c>
      <c r="E2087" s="6" t="s">
        <v>91</v>
      </c>
      <c r="F2087" s="6" t="s">
        <v>53</v>
      </c>
      <c r="G2087" s="6" t="s">
        <v>7573</v>
      </c>
      <c r="H2087" s="6" t="s">
        <v>55</v>
      </c>
      <c r="I2087" s="6" t="s">
        <v>7566</v>
      </c>
      <c r="J2087" s="6" t="s">
        <v>91</v>
      </c>
      <c r="K2087" s="6" t="s">
        <v>60</v>
      </c>
      <c r="L2087" s="6" t="s">
        <v>131</v>
      </c>
      <c r="M2087" s="6" t="s">
        <v>7537</v>
      </c>
      <c r="N2087" s="6" t="s">
        <v>132</v>
      </c>
      <c r="O2087" s="36" t="s">
        <v>132</v>
      </c>
      <c r="P2087" s="36">
        <v>1.514051486E9</v>
      </c>
      <c r="Q2087" s="36" t="s">
        <v>7541</v>
      </c>
      <c r="R2087" s="6" t="s">
        <v>7542</v>
      </c>
    </row>
    <row r="2088">
      <c r="A2088" s="6" t="s">
        <v>7537</v>
      </c>
      <c r="B2088" s="6" t="s">
        <v>7537</v>
      </c>
      <c r="C2088" s="6">
        <v>479.0</v>
      </c>
      <c r="D2088" s="9" t="str">
        <f>HYPERLINK("https://www.linkedin.com/ad-library/detail/1516286116","Open Ad")</f>
        <v>Open Ad</v>
      </c>
      <c r="E2088" s="6" t="s">
        <v>154</v>
      </c>
      <c r="F2088" s="6" t="s">
        <v>53</v>
      </c>
      <c r="G2088" s="6" t="s">
        <v>7579</v>
      </c>
      <c r="H2088" s="6" t="s">
        <v>55</v>
      </c>
      <c r="I2088" s="6" t="s">
        <v>7566</v>
      </c>
      <c r="J2088" s="6" t="s">
        <v>154</v>
      </c>
      <c r="K2088" s="9" t="str">
        <f t="shared" ref="K2088:K2089" si="44">HYPERLINK("https://dms.licdn.com/playlist/vid/v2/D4E05AQGz-rO1oWg7ZQ/mp4-720p-30fp-crf28/B4EZ.OXbZ0KoB4-/0/1784799941158?e=2147483647&amp;v=beta&amp;t=UrD2A3U5EVqZ6IpwPmbSFZu-ikVK8uBHF2MFFmv-lbo","Open Creative")</f>
        <v>Open Creative</v>
      </c>
      <c r="L2088" s="6" t="s">
        <v>131</v>
      </c>
      <c r="M2088" s="6" t="s">
        <v>7537</v>
      </c>
      <c r="N2088" s="6" t="s">
        <v>132</v>
      </c>
      <c r="O2088" s="36" t="s">
        <v>132</v>
      </c>
      <c r="P2088" s="36">
        <v>1.516286116E9</v>
      </c>
      <c r="Q2088" s="36" t="s">
        <v>7541</v>
      </c>
      <c r="R2088" s="6" t="s">
        <v>7542</v>
      </c>
    </row>
    <row r="2089">
      <c r="A2089" s="6" t="s">
        <v>7537</v>
      </c>
      <c r="B2089" s="6" t="s">
        <v>7537</v>
      </c>
      <c r="C2089" s="6">
        <v>480.0</v>
      </c>
      <c r="D2089" s="9" t="str">
        <f>HYPERLINK("https://www.linkedin.com/ad-library/detail/1514127276","Open Ad")</f>
        <v>Open Ad</v>
      </c>
      <c r="E2089" s="6" t="s">
        <v>154</v>
      </c>
      <c r="F2089" s="6" t="s">
        <v>53</v>
      </c>
      <c r="G2089" s="6" t="s">
        <v>7579</v>
      </c>
      <c r="H2089" s="6" t="s">
        <v>55</v>
      </c>
      <c r="I2089" s="6" t="s">
        <v>7566</v>
      </c>
      <c r="J2089" s="6" t="s">
        <v>154</v>
      </c>
      <c r="K2089" s="9" t="str">
        <f t="shared" si="44"/>
        <v>Open Creative</v>
      </c>
      <c r="L2089" s="6" t="s">
        <v>131</v>
      </c>
      <c r="M2089" s="6" t="s">
        <v>7537</v>
      </c>
      <c r="N2089" s="6" t="s">
        <v>132</v>
      </c>
      <c r="O2089" s="36" t="s">
        <v>132</v>
      </c>
      <c r="P2089" s="36">
        <v>1.514127276E9</v>
      </c>
      <c r="Q2089" s="36" t="s">
        <v>7541</v>
      </c>
      <c r="R2089" s="6" t="s">
        <v>7542</v>
      </c>
    </row>
    <row r="2090">
      <c r="A2090" s="6" t="s">
        <v>7537</v>
      </c>
      <c r="B2090" s="6" t="s">
        <v>7537</v>
      </c>
      <c r="C2090" s="6">
        <v>481.0</v>
      </c>
      <c r="D2090" s="9" t="str">
        <f>HYPERLINK("https://www.linkedin.com/ad-library/detail/1512808476","Open Ad")</f>
        <v>Open Ad</v>
      </c>
      <c r="E2090" s="6" t="s">
        <v>91</v>
      </c>
      <c r="F2090" s="6" t="s">
        <v>53</v>
      </c>
      <c r="G2090" s="6" t="s">
        <v>7587</v>
      </c>
      <c r="H2090" s="6" t="s">
        <v>55</v>
      </c>
      <c r="I2090" s="6" t="s">
        <v>7566</v>
      </c>
      <c r="J2090" s="6" t="s">
        <v>91</v>
      </c>
      <c r="K2090" s="9" t="str">
        <f>HYPERLINK("https://media.licdn.com/dms/image/v2/D5610AQEhWScG0zSsQQ/image-shrink_1280/B56Z.ALhD2HIAc-/0/1784561931707?e=2147483647&amp;v=beta&amp;t=CNNXfqX_x8NHdQnVcD2yPE1JO0w4ekTKwdMaxJHCKn4","Open Creative")</f>
        <v>Open Creative</v>
      </c>
      <c r="L2090" s="6" t="s">
        <v>131</v>
      </c>
      <c r="M2090" s="6" t="s">
        <v>7537</v>
      </c>
      <c r="N2090" s="6" t="s">
        <v>132</v>
      </c>
      <c r="O2090" s="36" t="s">
        <v>132</v>
      </c>
      <c r="P2090" s="36">
        <v>1.512808476E9</v>
      </c>
      <c r="Q2090" s="36" t="s">
        <v>7541</v>
      </c>
      <c r="R2090" s="6" t="s">
        <v>7542</v>
      </c>
    </row>
    <row r="2091">
      <c r="A2091" s="6" t="s">
        <v>7537</v>
      </c>
      <c r="B2091" s="6" t="s">
        <v>7537</v>
      </c>
      <c r="C2091" s="6">
        <v>482.0</v>
      </c>
      <c r="D2091" s="9" t="str">
        <f>HYPERLINK("https://www.linkedin.com/ad-library/detail/1512942146","Open Ad")</f>
        <v>Open Ad</v>
      </c>
      <c r="E2091" s="6" t="s">
        <v>91</v>
      </c>
      <c r="F2091" s="6" t="s">
        <v>53</v>
      </c>
      <c r="G2091" s="6" t="s">
        <v>7629</v>
      </c>
      <c r="H2091" s="6" t="s">
        <v>55</v>
      </c>
      <c r="I2091" s="6" t="s">
        <v>7566</v>
      </c>
      <c r="J2091" s="6" t="s">
        <v>91</v>
      </c>
      <c r="K2091" s="9" t="str">
        <f>HYPERLINK("https://media.licdn.com/dms/image/v2/D5610AQGmRdXpmMu5Fg/image-shrink_1280/B56Z.FznkcGgAc-/0/1784656329684?e=2147483647&amp;v=beta&amp;t=KevfNG51vRr-UQ3Y1iwDu9tckHQMfK2HWbONWRk7qj4","Open Creative")</f>
        <v>Open Creative</v>
      </c>
      <c r="L2091" s="6" t="s">
        <v>131</v>
      </c>
      <c r="M2091" s="6" t="s">
        <v>7537</v>
      </c>
      <c r="N2091" s="6" t="s">
        <v>132</v>
      </c>
      <c r="O2091" s="36" t="s">
        <v>132</v>
      </c>
      <c r="P2091" s="36">
        <v>1.512942146E9</v>
      </c>
      <c r="Q2091" s="36" t="s">
        <v>7541</v>
      </c>
      <c r="R2091" s="6" t="s">
        <v>7542</v>
      </c>
    </row>
    <row r="2092">
      <c r="A2092" s="6" t="s">
        <v>7537</v>
      </c>
      <c r="B2092" s="6" t="s">
        <v>7537</v>
      </c>
      <c r="C2092" s="6">
        <v>483.0</v>
      </c>
      <c r="D2092" s="9" t="str">
        <f>HYPERLINK("https://www.linkedin.com/ad-library/detail/1512950716","Open Ad")</f>
        <v>Open Ad</v>
      </c>
      <c r="E2092" s="6" t="s">
        <v>91</v>
      </c>
      <c r="F2092" s="6" t="s">
        <v>53</v>
      </c>
      <c r="G2092" s="6" t="s">
        <v>7619</v>
      </c>
      <c r="H2092" s="6" t="s">
        <v>55</v>
      </c>
      <c r="I2092" s="6" t="s">
        <v>7566</v>
      </c>
      <c r="J2092" s="6" t="s">
        <v>91</v>
      </c>
      <c r="K2092" s="9" t="str">
        <f>HYPERLINK("https://media.licdn.com/dms/image/v2/D5610AQFCx_YJc45xmQ/image-shrink_1280/B56Z9_1kn.GsAg-/0/1784556178150?e=2147483647&amp;v=beta&amp;t=f1YUvgvX1_1a1kJVoEtCFw4Vo-6pu3fvcM8OtM7KrGI","Open Creative")</f>
        <v>Open Creative</v>
      </c>
      <c r="L2092" s="6" t="s">
        <v>131</v>
      </c>
      <c r="M2092" s="6" t="s">
        <v>7537</v>
      </c>
      <c r="N2092" s="6" t="s">
        <v>132</v>
      </c>
      <c r="O2092" s="36" t="s">
        <v>132</v>
      </c>
      <c r="P2092" s="36">
        <v>1.512950716E9</v>
      </c>
      <c r="Q2092" s="36" t="s">
        <v>7541</v>
      </c>
      <c r="R2092" s="6" t="s">
        <v>7542</v>
      </c>
    </row>
    <row r="2093">
      <c r="A2093" s="6" t="s">
        <v>7537</v>
      </c>
      <c r="B2093" s="6" t="s">
        <v>7537</v>
      </c>
      <c r="C2093" s="6">
        <v>484.0</v>
      </c>
      <c r="D2093" s="9" t="str">
        <f>HYPERLINK("https://www.linkedin.com/ad-library/detail/1512922536","Open Ad")</f>
        <v>Open Ad</v>
      </c>
      <c r="E2093" s="6" t="s">
        <v>91</v>
      </c>
      <c r="F2093" s="6" t="s">
        <v>53</v>
      </c>
      <c r="G2093" s="6" t="s">
        <v>7629</v>
      </c>
      <c r="H2093" s="6" t="s">
        <v>55</v>
      </c>
      <c r="I2093" s="6" t="s">
        <v>7566</v>
      </c>
      <c r="J2093" s="6" t="s">
        <v>91</v>
      </c>
      <c r="K2093" s="9" t="str">
        <f t="shared" ref="K2093:K2094" si="45">HYPERLINK("https://media.licdn.com/dms/image/v2/D5610AQGmRdXpmMu5Fg/image-shrink_1280/B56Z.FznkcGgAc-/0/1784656329684?e=2147483647&amp;v=beta&amp;t=KevfNG51vRr-UQ3Y1iwDu9tckHQMfK2HWbONWRk7qj4","Open Creative")</f>
        <v>Open Creative</v>
      </c>
      <c r="L2093" s="6" t="s">
        <v>131</v>
      </c>
      <c r="M2093" s="6" t="s">
        <v>7537</v>
      </c>
      <c r="N2093" s="6" t="s">
        <v>132</v>
      </c>
      <c r="O2093" s="36" t="s">
        <v>132</v>
      </c>
      <c r="P2093" s="36">
        <v>1.512922536E9</v>
      </c>
      <c r="Q2093" s="36" t="s">
        <v>7541</v>
      </c>
      <c r="R2093" s="6" t="s">
        <v>7542</v>
      </c>
    </row>
    <row r="2094">
      <c r="A2094" s="6" t="s">
        <v>7537</v>
      </c>
      <c r="B2094" s="6" t="s">
        <v>7537</v>
      </c>
      <c r="C2094" s="6">
        <v>485.0</v>
      </c>
      <c r="D2094" s="9" t="str">
        <f>HYPERLINK("https://www.linkedin.com/ad-library/detail/1512798306","Open Ad")</f>
        <v>Open Ad</v>
      </c>
      <c r="E2094" s="6" t="s">
        <v>91</v>
      </c>
      <c r="F2094" s="6" t="s">
        <v>53</v>
      </c>
      <c r="G2094" s="6" t="s">
        <v>7629</v>
      </c>
      <c r="H2094" s="6" t="s">
        <v>55</v>
      </c>
      <c r="I2094" s="6" t="s">
        <v>7566</v>
      </c>
      <c r="J2094" s="6" t="s">
        <v>91</v>
      </c>
      <c r="K2094" s="9" t="str">
        <f t="shared" si="45"/>
        <v>Open Creative</v>
      </c>
      <c r="L2094" s="6" t="s">
        <v>131</v>
      </c>
      <c r="M2094" s="6" t="s">
        <v>7537</v>
      </c>
      <c r="N2094" s="6" t="s">
        <v>132</v>
      </c>
      <c r="O2094" s="36" t="s">
        <v>132</v>
      </c>
      <c r="P2094" s="36">
        <v>1.512798306E9</v>
      </c>
      <c r="Q2094" s="36" t="s">
        <v>7541</v>
      </c>
      <c r="R2094" s="6" t="s">
        <v>7542</v>
      </c>
    </row>
    <row r="2095">
      <c r="A2095" s="6" t="s">
        <v>7537</v>
      </c>
      <c r="B2095" s="6" t="s">
        <v>7537</v>
      </c>
      <c r="C2095" s="6">
        <v>486.0</v>
      </c>
      <c r="D2095" s="9" t="str">
        <f>HYPERLINK("https://www.linkedin.com/ad-library/detail/1512798316","Open Ad")</f>
        <v>Open Ad</v>
      </c>
      <c r="E2095" s="6" t="s">
        <v>91</v>
      </c>
      <c r="F2095" s="6" t="s">
        <v>53</v>
      </c>
      <c r="G2095" s="6" t="s">
        <v>7630</v>
      </c>
      <c r="H2095" s="6" t="s">
        <v>55</v>
      </c>
      <c r="I2095" s="6" t="s">
        <v>7566</v>
      </c>
      <c r="J2095" s="6" t="s">
        <v>91</v>
      </c>
      <c r="K2095" s="9" t="str">
        <f>HYPERLINK("https://media.licdn.com/dms/image/v2/D5610AQHPtIuemE-Z6g/image-shrink_1280/B56Z.E6MnSKEAc-/0/1784641276669?e=2147483647&amp;v=beta&amp;t=C0DeRl8Zk_RdwbyGj_XOcJvUrpV9Hn_bXQqiB5PN3aA","Open Creative")</f>
        <v>Open Creative</v>
      </c>
      <c r="L2095" s="6" t="s">
        <v>131</v>
      </c>
      <c r="M2095" s="6" t="s">
        <v>7537</v>
      </c>
      <c r="N2095" s="6" t="s">
        <v>132</v>
      </c>
      <c r="O2095" s="36" t="s">
        <v>132</v>
      </c>
      <c r="P2095" s="36">
        <v>1.512798316E9</v>
      </c>
      <c r="Q2095" s="36" t="s">
        <v>7541</v>
      </c>
      <c r="R2095" s="6" t="s">
        <v>7542</v>
      </c>
    </row>
    <row r="2096">
      <c r="A2096" s="6" t="s">
        <v>7537</v>
      </c>
      <c r="B2096" s="6" t="s">
        <v>7537</v>
      </c>
      <c r="C2096" s="6">
        <v>487.0</v>
      </c>
      <c r="D2096" s="9" t="str">
        <f>HYPERLINK("https://www.linkedin.com/ad-library/detail/1512817326","Open Ad")</f>
        <v>Open Ad</v>
      </c>
      <c r="E2096" s="6" t="s">
        <v>91</v>
      </c>
      <c r="F2096" s="6" t="s">
        <v>53</v>
      </c>
      <c r="G2096" s="6" t="s">
        <v>7629</v>
      </c>
      <c r="H2096" s="6" t="s">
        <v>55</v>
      </c>
      <c r="I2096" s="6" t="s">
        <v>7566</v>
      </c>
      <c r="J2096" s="6" t="s">
        <v>91</v>
      </c>
      <c r="K2096" s="9" t="str">
        <f>HYPERLINK("https://media.licdn.com/dms/image/v2/D5610AQGmRdXpmMu5Fg/image-shrink_1280/B56Z.FznkcGgAc-/0/1784656329684?e=2147483647&amp;v=beta&amp;t=KevfNG51vRr-UQ3Y1iwDu9tckHQMfK2HWbONWRk7qj4","Open Creative")</f>
        <v>Open Creative</v>
      </c>
      <c r="L2096" s="6" t="s">
        <v>131</v>
      </c>
      <c r="M2096" s="6" t="s">
        <v>7537</v>
      </c>
      <c r="N2096" s="6" t="s">
        <v>132</v>
      </c>
      <c r="O2096" s="36" t="s">
        <v>132</v>
      </c>
      <c r="P2096" s="36">
        <v>1.512817326E9</v>
      </c>
      <c r="Q2096" s="36" t="s">
        <v>7541</v>
      </c>
      <c r="R2096" s="6" t="s">
        <v>7542</v>
      </c>
    </row>
    <row r="2097">
      <c r="A2097" s="6" t="s">
        <v>7537</v>
      </c>
      <c r="B2097" s="6" t="s">
        <v>7537</v>
      </c>
      <c r="C2097" s="6">
        <v>488.0</v>
      </c>
      <c r="D2097" s="9" t="str">
        <f>HYPERLINK("https://www.linkedin.com/ad-library/detail/1512960146","Open Ad")</f>
        <v>Open Ad</v>
      </c>
      <c r="E2097" s="6" t="s">
        <v>91</v>
      </c>
      <c r="F2097" s="6" t="s">
        <v>53</v>
      </c>
      <c r="G2097" s="6" t="s">
        <v>7587</v>
      </c>
      <c r="H2097" s="6" t="s">
        <v>55</v>
      </c>
      <c r="I2097" s="6" t="s">
        <v>7566</v>
      </c>
      <c r="J2097" s="6" t="s">
        <v>91</v>
      </c>
      <c r="K2097" s="9" t="str">
        <f t="shared" ref="K2097:K2099" si="46">HYPERLINK("https://media.licdn.com/dms/image/v2/D5610AQEhWScG0zSsQQ/image-shrink_1280/B56Z.ALhD2HIAc-/0/1784561931707?e=2147483647&amp;v=beta&amp;t=CNNXfqX_x8NHdQnVcD2yPE1JO0w4ekTKwdMaxJHCKn4","Open Creative")</f>
        <v>Open Creative</v>
      </c>
      <c r="L2097" s="6" t="s">
        <v>131</v>
      </c>
      <c r="M2097" s="6" t="s">
        <v>7537</v>
      </c>
      <c r="N2097" s="6" t="s">
        <v>132</v>
      </c>
      <c r="O2097" s="36" t="s">
        <v>132</v>
      </c>
      <c r="P2097" s="36">
        <v>1.512960146E9</v>
      </c>
      <c r="Q2097" s="36" t="s">
        <v>7541</v>
      </c>
      <c r="R2097" s="6" t="s">
        <v>7542</v>
      </c>
    </row>
    <row r="2098">
      <c r="A2098" s="6" t="s">
        <v>7537</v>
      </c>
      <c r="B2098" s="6" t="s">
        <v>7537</v>
      </c>
      <c r="C2098" s="6">
        <v>489.0</v>
      </c>
      <c r="D2098" s="9" t="str">
        <f>HYPERLINK("https://www.linkedin.com/ad-library/detail/1512836186","Open Ad")</f>
        <v>Open Ad</v>
      </c>
      <c r="E2098" s="6" t="s">
        <v>91</v>
      </c>
      <c r="F2098" s="6" t="s">
        <v>53</v>
      </c>
      <c r="G2098" s="6" t="s">
        <v>7587</v>
      </c>
      <c r="H2098" s="6" t="s">
        <v>55</v>
      </c>
      <c r="I2098" s="6" t="s">
        <v>7566</v>
      </c>
      <c r="J2098" s="6" t="s">
        <v>91</v>
      </c>
      <c r="K2098" s="9" t="str">
        <f t="shared" si="46"/>
        <v>Open Creative</v>
      </c>
      <c r="L2098" s="6" t="s">
        <v>131</v>
      </c>
      <c r="M2098" s="6" t="s">
        <v>7537</v>
      </c>
      <c r="N2098" s="6" t="s">
        <v>132</v>
      </c>
      <c r="O2098" s="36" t="s">
        <v>132</v>
      </c>
      <c r="P2098" s="36">
        <v>1.512836186E9</v>
      </c>
      <c r="Q2098" s="36" t="s">
        <v>7541</v>
      </c>
      <c r="R2098" s="6" t="s">
        <v>7542</v>
      </c>
    </row>
    <row r="2099">
      <c r="A2099" s="6" t="s">
        <v>7537</v>
      </c>
      <c r="B2099" s="6" t="s">
        <v>7537</v>
      </c>
      <c r="C2099" s="6">
        <v>490.0</v>
      </c>
      <c r="D2099" s="9" t="str">
        <f>HYPERLINK("https://www.linkedin.com/ad-library/detail/1512798296","Open Ad")</f>
        <v>Open Ad</v>
      </c>
      <c r="E2099" s="6" t="s">
        <v>91</v>
      </c>
      <c r="F2099" s="6" t="s">
        <v>53</v>
      </c>
      <c r="G2099" s="6" t="s">
        <v>7587</v>
      </c>
      <c r="H2099" s="6" t="s">
        <v>55</v>
      </c>
      <c r="I2099" s="6" t="s">
        <v>7566</v>
      </c>
      <c r="J2099" s="6" t="s">
        <v>91</v>
      </c>
      <c r="K2099" s="9" t="str">
        <f t="shared" si="46"/>
        <v>Open Creative</v>
      </c>
      <c r="L2099" s="6" t="s">
        <v>131</v>
      </c>
      <c r="M2099" s="6" t="s">
        <v>7537</v>
      </c>
      <c r="N2099" s="6" t="s">
        <v>132</v>
      </c>
      <c r="O2099" s="36" t="s">
        <v>132</v>
      </c>
      <c r="P2099" s="36">
        <v>1.512798296E9</v>
      </c>
      <c r="Q2099" s="36" t="s">
        <v>7541</v>
      </c>
      <c r="R2099" s="6" t="s">
        <v>7542</v>
      </c>
    </row>
    <row r="2100">
      <c r="A2100" s="6" t="s">
        <v>7537</v>
      </c>
      <c r="B2100" s="6" t="s">
        <v>7537</v>
      </c>
      <c r="C2100" s="6">
        <v>491.0</v>
      </c>
      <c r="D2100" s="9" t="str">
        <f>HYPERLINK("https://www.linkedin.com/ad-library/detail/1512960156","Open Ad")</f>
        <v>Open Ad</v>
      </c>
      <c r="E2100" s="6" t="s">
        <v>91</v>
      </c>
      <c r="F2100" s="6" t="s">
        <v>53</v>
      </c>
      <c r="G2100" s="6" t="s">
        <v>7629</v>
      </c>
      <c r="H2100" s="6" t="s">
        <v>55</v>
      </c>
      <c r="I2100" s="6" t="s">
        <v>7566</v>
      </c>
      <c r="J2100" s="6" t="s">
        <v>91</v>
      </c>
      <c r="K2100" s="9" t="str">
        <f t="shared" ref="K2100:K2101" si="47">HYPERLINK("https://media.licdn.com/dms/image/v2/D5610AQGmRdXpmMu5Fg/image-shrink_1280/B56Z.FznkcGgAc-/0/1784656329684?e=2147483647&amp;v=beta&amp;t=KevfNG51vRr-UQ3Y1iwDu9tckHQMfK2HWbONWRk7qj4","Open Creative")</f>
        <v>Open Creative</v>
      </c>
      <c r="L2100" s="6" t="s">
        <v>131</v>
      </c>
      <c r="M2100" s="6" t="s">
        <v>7537</v>
      </c>
      <c r="N2100" s="6" t="s">
        <v>132</v>
      </c>
      <c r="O2100" s="36" t="s">
        <v>132</v>
      </c>
      <c r="P2100" s="36">
        <v>1.512960156E9</v>
      </c>
      <c r="Q2100" s="36" t="s">
        <v>7541</v>
      </c>
      <c r="R2100" s="6" t="s">
        <v>7542</v>
      </c>
    </row>
    <row r="2101">
      <c r="A2101" s="6" t="s">
        <v>7537</v>
      </c>
      <c r="B2101" s="6" t="s">
        <v>7537</v>
      </c>
      <c r="C2101" s="6">
        <v>492.0</v>
      </c>
      <c r="D2101" s="9" t="str">
        <f>HYPERLINK("https://www.linkedin.com/ad-library/detail/1512836236","Open Ad")</f>
        <v>Open Ad</v>
      </c>
      <c r="E2101" s="6" t="s">
        <v>91</v>
      </c>
      <c r="F2101" s="6" t="s">
        <v>53</v>
      </c>
      <c r="G2101" s="6" t="s">
        <v>7629</v>
      </c>
      <c r="H2101" s="6" t="s">
        <v>55</v>
      </c>
      <c r="I2101" s="6" t="s">
        <v>7566</v>
      </c>
      <c r="J2101" s="6" t="s">
        <v>91</v>
      </c>
      <c r="K2101" s="9" t="str">
        <f t="shared" si="47"/>
        <v>Open Creative</v>
      </c>
      <c r="L2101" s="6" t="s">
        <v>131</v>
      </c>
      <c r="M2101" s="6" t="s">
        <v>7537</v>
      </c>
      <c r="N2101" s="6" t="s">
        <v>132</v>
      </c>
      <c r="O2101" s="36" t="s">
        <v>132</v>
      </c>
      <c r="P2101" s="36">
        <v>1.512836236E9</v>
      </c>
      <c r="Q2101" s="36" t="s">
        <v>7541</v>
      </c>
      <c r="R2101" s="6" t="s">
        <v>7542</v>
      </c>
    </row>
    <row r="2102">
      <c r="A2102" s="6" t="s">
        <v>7537</v>
      </c>
      <c r="B2102" s="6" t="s">
        <v>7537</v>
      </c>
      <c r="C2102" s="6">
        <v>493.0</v>
      </c>
      <c r="D2102" s="9" t="str">
        <f>HYPERLINK("https://www.linkedin.com/ad-library/detail/1512874756","Open Ad")</f>
        <v>Open Ad</v>
      </c>
      <c r="E2102" s="6" t="s">
        <v>91</v>
      </c>
      <c r="F2102" s="6" t="s">
        <v>53</v>
      </c>
      <c r="G2102" s="6" t="s">
        <v>7587</v>
      </c>
      <c r="H2102" s="6" t="s">
        <v>55</v>
      </c>
      <c r="I2102" s="6" t="s">
        <v>7566</v>
      </c>
      <c r="J2102" s="6" t="s">
        <v>91</v>
      </c>
      <c r="K2102" s="9" t="str">
        <f>HYPERLINK("https://media.licdn.com/dms/image/v2/D5610AQEhWScG0zSsQQ/image-shrink_1280/B56Z.ALhD2HIAc-/0/1784561931707?e=2147483647&amp;v=beta&amp;t=CNNXfqX_x8NHdQnVcD2yPE1JO0w4ekTKwdMaxJHCKn4","Open Creative")</f>
        <v>Open Creative</v>
      </c>
      <c r="L2102" s="6" t="s">
        <v>131</v>
      </c>
      <c r="M2102" s="6" t="s">
        <v>7537</v>
      </c>
      <c r="N2102" s="6" t="s">
        <v>132</v>
      </c>
      <c r="O2102" s="36" t="s">
        <v>132</v>
      </c>
      <c r="P2102" s="36">
        <v>1.512874756E9</v>
      </c>
      <c r="Q2102" s="36" t="s">
        <v>7541</v>
      </c>
      <c r="R2102" s="6" t="s">
        <v>7542</v>
      </c>
    </row>
    <row r="2103">
      <c r="A2103" s="6" t="s">
        <v>7537</v>
      </c>
      <c r="B2103" s="6" t="s">
        <v>7537</v>
      </c>
      <c r="C2103" s="6">
        <v>494.0</v>
      </c>
      <c r="D2103" s="9" t="str">
        <f>HYPERLINK("https://www.linkedin.com/ad-library/detail/1512739666","Open Ad")</f>
        <v>Open Ad</v>
      </c>
      <c r="E2103" s="6" t="s">
        <v>91</v>
      </c>
      <c r="F2103" s="6" t="s">
        <v>53</v>
      </c>
      <c r="G2103" s="6" t="s">
        <v>7629</v>
      </c>
      <c r="H2103" s="6" t="s">
        <v>55</v>
      </c>
      <c r="I2103" s="6" t="s">
        <v>7566</v>
      </c>
      <c r="J2103" s="6" t="s">
        <v>91</v>
      </c>
      <c r="K2103" s="9" t="str">
        <f>HYPERLINK("https://media.licdn.com/dms/image/v2/D5610AQGmRdXpmMu5Fg/image-shrink_1280/B56Z.FznkcGgAc-/0/1784656329684?e=2147483647&amp;v=beta&amp;t=KevfNG51vRr-UQ3Y1iwDu9tckHQMfK2HWbONWRk7qj4","Open Creative")</f>
        <v>Open Creative</v>
      </c>
      <c r="L2103" s="6" t="s">
        <v>131</v>
      </c>
      <c r="M2103" s="6" t="s">
        <v>7537</v>
      </c>
      <c r="N2103" s="6" t="s">
        <v>132</v>
      </c>
      <c r="O2103" s="36" t="s">
        <v>132</v>
      </c>
      <c r="P2103" s="36">
        <v>1.512739666E9</v>
      </c>
      <c r="Q2103" s="36" t="s">
        <v>7541</v>
      </c>
      <c r="R2103" s="6" t="s">
        <v>7542</v>
      </c>
    </row>
    <row r="2104">
      <c r="A2104" s="6" t="s">
        <v>7537</v>
      </c>
      <c r="B2104" s="6" t="s">
        <v>7537</v>
      </c>
      <c r="C2104" s="6">
        <v>495.0</v>
      </c>
      <c r="D2104" s="9" t="str">
        <f>HYPERLINK("https://www.linkedin.com/ad-library/detail/1512874746","Open Ad")</f>
        <v>Open Ad</v>
      </c>
      <c r="E2104" s="6" t="s">
        <v>91</v>
      </c>
      <c r="F2104" s="6" t="s">
        <v>53</v>
      </c>
      <c r="G2104" s="6" t="s">
        <v>7587</v>
      </c>
      <c r="H2104" s="6" t="s">
        <v>55</v>
      </c>
      <c r="I2104" s="6" t="s">
        <v>7566</v>
      </c>
      <c r="J2104" s="6" t="s">
        <v>91</v>
      </c>
      <c r="K2104" s="9" t="str">
        <f t="shared" ref="K2104:K2105" si="48">HYPERLINK("https://media.licdn.com/dms/image/v2/D5610AQEhWScG0zSsQQ/image-shrink_1280/B56Z.ALhD2HIAc-/0/1784561931707?e=2147483647&amp;v=beta&amp;t=CNNXfqX_x8NHdQnVcD2yPE1JO0w4ekTKwdMaxJHCKn4","Open Creative")</f>
        <v>Open Creative</v>
      </c>
      <c r="L2104" s="6" t="s">
        <v>131</v>
      </c>
      <c r="M2104" s="6" t="s">
        <v>7537</v>
      </c>
      <c r="N2104" s="6" t="s">
        <v>132</v>
      </c>
      <c r="O2104" s="36" t="s">
        <v>132</v>
      </c>
      <c r="P2104" s="36">
        <v>1.512874746E9</v>
      </c>
      <c r="Q2104" s="36" t="s">
        <v>7541</v>
      </c>
      <c r="R2104" s="6" t="s">
        <v>7542</v>
      </c>
    </row>
    <row r="2105">
      <c r="A2105" s="6" t="s">
        <v>7537</v>
      </c>
      <c r="B2105" s="6" t="s">
        <v>7537</v>
      </c>
      <c r="C2105" s="6">
        <v>496.0</v>
      </c>
      <c r="D2105" s="9" t="str">
        <f>HYPERLINK("https://www.linkedin.com/ad-library/detail/1512836196","Open Ad")</f>
        <v>Open Ad</v>
      </c>
      <c r="E2105" s="6" t="s">
        <v>91</v>
      </c>
      <c r="F2105" s="6" t="s">
        <v>53</v>
      </c>
      <c r="G2105" s="6" t="s">
        <v>7587</v>
      </c>
      <c r="H2105" s="6" t="s">
        <v>55</v>
      </c>
      <c r="I2105" s="6" t="s">
        <v>7566</v>
      </c>
      <c r="J2105" s="6" t="s">
        <v>91</v>
      </c>
      <c r="K2105" s="9" t="str">
        <f t="shared" si="48"/>
        <v>Open Creative</v>
      </c>
      <c r="L2105" s="6" t="s">
        <v>131</v>
      </c>
      <c r="M2105" s="6" t="s">
        <v>7537</v>
      </c>
      <c r="N2105" s="6" t="s">
        <v>132</v>
      </c>
      <c r="O2105" s="36" t="s">
        <v>132</v>
      </c>
      <c r="P2105" s="36">
        <v>1.512836196E9</v>
      </c>
      <c r="Q2105" s="36" t="s">
        <v>7541</v>
      </c>
      <c r="R2105" s="6" t="s">
        <v>7542</v>
      </c>
    </row>
    <row r="2106">
      <c r="A2106" s="6" t="s">
        <v>7537</v>
      </c>
      <c r="B2106" s="6" t="s">
        <v>7537</v>
      </c>
      <c r="C2106" s="6">
        <v>497.0</v>
      </c>
      <c r="D2106" s="9" t="str">
        <f>HYPERLINK("https://www.linkedin.com/ad-library/detail/1512769226","Open Ad")</f>
        <v>Open Ad</v>
      </c>
      <c r="E2106" s="6" t="s">
        <v>91</v>
      </c>
      <c r="F2106" s="6" t="s">
        <v>53</v>
      </c>
      <c r="G2106" s="6" t="s">
        <v>7629</v>
      </c>
      <c r="H2106" s="6" t="s">
        <v>55</v>
      </c>
      <c r="I2106" s="6" t="s">
        <v>7566</v>
      </c>
      <c r="J2106" s="6" t="s">
        <v>91</v>
      </c>
      <c r="K2106" s="9" t="str">
        <f>HYPERLINK("https://media.licdn.com/dms/image/v2/D5610AQGmRdXpmMu5Fg/image-shrink_1280/B56Z.FznkcGgAc-/0/1784656329684?e=2147483647&amp;v=beta&amp;t=KevfNG51vRr-UQ3Y1iwDu9tckHQMfK2HWbONWRk7qj4","Open Creative")</f>
        <v>Open Creative</v>
      </c>
      <c r="L2106" s="6" t="s">
        <v>131</v>
      </c>
      <c r="M2106" s="6" t="s">
        <v>7537</v>
      </c>
      <c r="N2106" s="6" t="s">
        <v>132</v>
      </c>
      <c r="O2106" s="36" t="s">
        <v>132</v>
      </c>
      <c r="P2106" s="36">
        <v>1.512769226E9</v>
      </c>
      <c r="Q2106" s="36" t="s">
        <v>7541</v>
      </c>
      <c r="R2106" s="6" t="s">
        <v>7542</v>
      </c>
    </row>
    <row r="2107">
      <c r="A2107" s="6" t="s">
        <v>7537</v>
      </c>
      <c r="B2107" s="6" t="s">
        <v>7537</v>
      </c>
      <c r="C2107" s="6">
        <v>498.0</v>
      </c>
      <c r="D2107" s="9" t="str">
        <f>HYPERLINK("https://www.linkedin.com/ad-library/detail/1512865286","Open Ad")</f>
        <v>Open Ad</v>
      </c>
      <c r="E2107" s="6" t="s">
        <v>91</v>
      </c>
      <c r="F2107" s="6" t="s">
        <v>53</v>
      </c>
      <c r="G2107" s="6" t="s">
        <v>7587</v>
      </c>
      <c r="H2107" s="6" t="s">
        <v>55</v>
      </c>
      <c r="I2107" s="6" t="s">
        <v>7566</v>
      </c>
      <c r="J2107" s="6" t="s">
        <v>91</v>
      </c>
      <c r="K2107" s="9" t="str">
        <f>HYPERLINK("https://media.licdn.com/dms/image/v2/D5610AQEhWScG0zSsQQ/image-shrink_1280/B56Z.ALhD2HIAc-/0/1784561931707?e=2147483647&amp;v=beta&amp;t=CNNXfqX_x8NHdQnVcD2yPE1JO0w4ekTKwdMaxJHCKn4","Open Creative")</f>
        <v>Open Creative</v>
      </c>
      <c r="L2107" s="6" t="s">
        <v>131</v>
      </c>
      <c r="M2107" s="6" t="s">
        <v>7537</v>
      </c>
      <c r="N2107" s="6" t="s">
        <v>132</v>
      </c>
      <c r="O2107" s="36" t="s">
        <v>132</v>
      </c>
      <c r="P2107" s="36">
        <v>1.512865286E9</v>
      </c>
      <c r="Q2107" s="36" t="s">
        <v>7541</v>
      </c>
      <c r="R2107" s="6" t="s">
        <v>7542</v>
      </c>
    </row>
    <row r="2108">
      <c r="A2108" s="6" t="s">
        <v>7537</v>
      </c>
      <c r="B2108" s="6" t="s">
        <v>7537</v>
      </c>
      <c r="C2108" s="6">
        <v>499.0</v>
      </c>
      <c r="D2108" s="9" t="str">
        <f>HYPERLINK("https://www.linkedin.com/ad-library/detail/1512902976","Open Ad")</f>
        <v>Open Ad</v>
      </c>
      <c r="E2108" s="6" t="s">
        <v>91</v>
      </c>
      <c r="F2108" s="6" t="s">
        <v>53</v>
      </c>
      <c r="G2108" s="6" t="s">
        <v>7629</v>
      </c>
      <c r="H2108" s="6" t="s">
        <v>55</v>
      </c>
      <c r="I2108" s="6" t="s">
        <v>7566</v>
      </c>
      <c r="J2108" s="6" t="s">
        <v>91</v>
      </c>
      <c r="K2108" s="9" t="str">
        <f>HYPERLINK("https://media.licdn.com/dms/image/v2/D5610AQGmRdXpmMu5Fg/image-shrink_1280/B56Z.FznkcGgAc-/0/1784656329684?e=2147483647&amp;v=beta&amp;t=KevfNG51vRr-UQ3Y1iwDu9tckHQMfK2HWbONWRk7qj4","Open Creative")</f>
        <v>Open Creative</v>
      </c>
      <c r="L2108" s="6" t="s">
        <v>131</v>
      </c>
      <c r="M2108" s="6" t="s">
        <v>7537</v>
      </c>
      <c r="N2108" s="6" t="s">
        <v>132</v>
      </c>
      <c r="O2108" s="36" t="s">
        <v>132</v>
      </c>
      <c r="P2108" s="36">
        <v>1.512902976E9</v>
      </c>
      <c r="Q2108" s="36" t="s">
        <v>7541</v>
      </c>
      <c r="R2108" s="6" t="s">
        <v>7542</v>
      </c>
    </row>
    <row r="2109">
      <c r="A2109" s="6" t="s">
        <v>7537</v>
      </c>
      <c r="B2109" s="6" t="s">
        <v>7537</v>
      </c>
      <c r="C2109" s="6">
        <v>500.0</v>
      </c>
      <c r="D2109" s="9" t="str">
        <f>HYPERLINK("https://www.linkedin.com/ad-library/detail/1512808516","Open Ad")</f>
        <v>Open Ad</v>
      </c>
      <c r="E2109" s="6" t="s">
        <v>91</v>
      </c>
      <c r="F2109" s="6" t="s">
        <v>53</v>
      </c>
      <c r="G2109" s="6" t="s">
        <v>7631</v>
      </c>
      <c r="H2109" s="6" t="s">
        <v>55</v>
      </c>
      <c r="I2109" s="6" t="s">
        <v>7566</v>
      </c>
      <c r="J2109" s="6" t="s">
        <v>91</v>
      </c>
      <c r="K2109" s="9" t="str">
        <f>HYPERLINK("https://media.licdn.com/dms/image/v2/D5610AQG8dtvBL4qKxQ/image-shrink_1280/B56Z.GQ5L0IUAc-/0/1784664004331?e=2147483647&amp;v=beta&amp;t=k5MlKF1AwjpxVjQmvXSc8u3RiJndKieVjs0J0TOTVo8","Open Creative")</f>
        <v>Open Creative</v>
      </c>
      <c r="L2109" s="6" t="s">
        <v>131</v>
      </c>
      <c r="M2109" s="6" t="s">
        <v>7537</v>
      </c>
      <c r="N2109" s="6" t="s">
        <v>132</v>
      </c>
      <c r="O2109" s="36" t="s">
        <v>132</v>
      </c>
      <c r="P2109" s="36">
        <v>1.512808516E9</v>
      </c>
      <c r="Q2109" s="36" t="s">
        <v>7541</v>
      </c>
      <c r="R2109" s="6" t="s">
        <v>7542</v>
      </c>
    </row>
    <row r="2110">
      <c r="A2110" s="6" t="s">
        <v>7537</v>
      </c>
      <c r="B2110" s="6" t="s">
        <v>7537</v>
      </c>
      <c r="C2110" s="6">
        <v>501.0</v>
      </c>
      <c r="D2110" s="9" t="str">
        <f>HYPERLINK("https://www.linkedin.com/ad-library/detail/1512759306","Open Ad")</f>
        <v>Open Ad</v>
      </c>
      <c r="E2110" s="6" t="s">
        <v>91</v>
      </c>
      <c r="F2110" s="6" t="s">
        <v>53</v>
      </c>
      <c r="G2110" s="6" t="s">
        <v>7587</v>
      </c>
      <c r="H2110" s="6" t="s">
        <v>55</v>
      </c>
      <c r="I2110" s="6" t="s">
        <v>7566</v>
      </c>
      <c r="J2110" s="6" t="s">
        <v>91</v>
      </c>
      <c r="K2110" s="9" t="str">
        <f>HYPERLINK("https://media.licdn.com/dms/image/v2/D5610AQEhWScG0zSsQQ/image-shrink_1280/B56Z.ALhD2HIAc-/0/1784561931707?e=2147483647&amp;v=beta&amp;t=CNNXfqX_x8NHdQnVcD2yPE1JO0w4ekTKwdMaxJHCKn4","Open Creative")</f>
        <v>Open Creative</v>
      </c>
      <c r="L2110" s="6" t="s">
        <v>131</v>
      </c>
      <c r="M2110" s="6" t="s">
        <v>7537</v>
      </c>
      <c r="N2110" s="6" t="s">
        <v>132</v>
      </c>
      <c r="O2110" s="36" t="s">
        <v>132</v>
      </c>
      <c r="P2110" s="36">
        <v>1.512759306E9</v>
      </c>
      <c r="Q2110" s="36" t="s">
        <v>7541</v>
      </c>
      <c r="R2110" s="6" t="s">
        <v>7542</v>
      </c>
    </row>
    <row r="2111">
      <c r="A2111" s="6" t="s">
        <v>7537</v>
      </c>
      <c r="B2111" s="6" t="s">
        <v>7537</v>
      </c>
      <c r="C2111" s="6">
        <v>502.0</v>
      </c>
      <c r="D2111" s="9" t="str">
        <f>HYPERLINK("https://www.linkedin.com/ad-library/detail/1512970136","Open Ad")</f>
        <v>Open Ad</v>
      </c>
      <c r="E2111" s="6" t="s">
        <v>91</v>
      </c>
      <c r="F2111" s="6" t="s">
        <v>53</v>
      </c>
      <c r="G2111" s="6" t="s">
        <v>7629</v>
      </c>
      <c r="H2111" s="6" t="s">
        <v>55</v>
      </c>
      <c r="I2111" s="6" t="s">
        <v>7566</v>
      </c>
      <c r="J2111" s="6" t="s">
        <v>91</v>
      </c>
      <c r="K2111" s="9" t="str">
        <f>HYPERLINK("https://media.licdn.com/dms/image/v2/D5610AQGmRdXpmMu5Fg/image-shrink_1280/B56Z.FznkcGgAc-/0/1784656329684?e=2147483647&amp;v=beta&amp;t=KevfNG51vRr-UQ3Y1iwDu9tckHQMfK2HWbONWRk7qj4","Open Creative")</f>
        <v>Open Creative</v>
      </c>
      <c r="L2111" s="6" t="s">
        <v>131</v>
      </c>
      <c r="M2111" s="6" t="s">
        <v>7537</v>
      </c>
      <c r="N2111" s="6" t="s">
        <v>132</v>
      </c>
      <c r="O2111" s="36" t="s">
        <v>132</v>
      </c>
      <c r="P2111" s="36">
        <v>1.512970136E9</v>
      </c>
      <c r="Q2111" s="36" t="s">
        <v>7541</v>
      </c>
      <c r="R2111" s="6" t="s">
        <v>7542</v>
      </c>
    </row>
    <row r="2112">
      <c r="A2112" s="6" t="s">
        <v>7537</v>
      </c>
      <c r="B2112" s="6" t="s">
        <v>7537</v>
      </c>
      <c r="C2112" s="6">
        <v>503.0</v>
      </c>
      <c r="D2112" s="9" t="str">
        <f>HYPERLINK("https://www.linkedin.com/ad-library/detail/1512902946","Open Ad")</f>
        <v>Open Ad</v>
      </c>
      <c r="E2112" s="6" t="s">
        <v>91</v>
      </c>
      <c r="F2112" s="6" t="s">
        <v>53</v>
      </c>
      <c r="G2112" s="6" t="s">
        <v>7587</v>
      </c>
      <c r="H2112" s="6" t="s">
        <v>55</v>
      </c>
      <c r="I2112" s="6" t="s">
        <v>7566</v>
      </c>
      <c r="J2112" s="6" t="s">
        <v>91</v>
      </c>
      <c r="K2112" s="9" t="str">
        <f t="shared" ref="K2112:K2113" si="49">HYPERLINK("https://media.licdn.com/dms/image/v2/D5610AQEhWScG0zSsQQ/image-shrink_1280/B56Z.ALhD2HIAc-/0/1784561931707?e=2147483647&amp;v=beta&amp;t=CNNXfqX_x8NHdQnVcD2yPE1JO0w4ekTKwdMaxJHCKn4","Open Creative")</f>
        <v>Open Creative</v>
      </c>
      <c r="L2112" s="6" t="s">
        <v>131</v>
      </c>
      <c r="M2112" s="6" t="s">
        <v>7537</v>
      </c>
      <c r="N2112" s="6" t="s">
        <v>132</v>
      </c>
      <c r="O2112" s="36" t="s">
        <v>132</v>
      </c>
      <c r="P2112" s="36">
        <v>1.512902946E9</v>
      </c>
      <c r="Q2112" s="36" t="s">
        <v>7541</v>
      </c>
      <c r="R2112" s="6" t="s">
        <v>7542</v>
      </c>
    </row>
    <row r="2113">
      <c r="A2113" s="6" t="s">
        <v>7537</v>
      </c>
      <c r="B2113" s="6" t="s">
        <v>7537</v>
      </c>
      <c r="C2113" s="6">
        <v>504.0</v>
      </c>
      <c r="D2113" s="9" t="str">
        <f>HYPERLINK("https://www.linkedin.com/ad-library/detail/1512845756","Open Ad")</f>
        <v>Open Ad</v>
      </c>
      <c r="E2113" s="6" t="s">
        <v>91</v>
      </c>
      <c r="F2113" s="6" t="s">
        <v>53</v>
      </c>
      <c r="G2113" s="6" t="s">
        <v>7587</v>
      </c>
      <c r="H2113" s="6" t="s">
        <v>55</v>
      </c>
      <c r="I2113" s="6" t="s">
        <v>7566</v>
      </c>
      <c r="J2113" s="6" t="s">
        <v>91</v>
      </c>
      <c r="K2113" s="9" t="str">
        <f t="shared" si="49"/>
        <v>Open Creative</v>
      </c>
      <c r="L2113" s="6" t="s">
        <v>131</v>
      </c>
      <c r="M2113" s="6" t="s">
        <v>7537</v>
      </c>
      <c r="N2113" s="6" t="s">
        <v>132</v>
      </c>
      <c r="O2113" s="36" t="s">
        <v>132</v>
      </c>
      <c r="P2113" s="36">
        <v>1.512845756E9</v>
      </c>
      <c r="Q2113" s="36" t="s">
        <v>7541</v>
      </c>
      <c r="R2113" s="6" t="s">
        <v>7542</v>
      </c>
    </row>
    <row r="2114">
      <c r="A2114" s="6" t="s">
        <v>7537</v>
      </c>
      <c r="B2114" s="6" t="s">
        <v>7537</v>
      </c>
      <c r="C2114" s="6">
        <v>505.0</v>
      </c>
      <c r="D2114" s="9" t="str">
        <f>HYPERLINK("https://www.linkedin.com/ad-library/detail/1506385706","Open Ad")</f>
        <v>Open Ad</v>
      </c>
      <c r="E2114" s="6" t="s">
        <v>154</v>
      </c>
      <c r="F2114" s="6" t="s">
        <v>53</v>
      </c>
      <c r="G2114" s="6" t="s">
        <v>7574</v>
      </c>
      <c r="H2114" s="6" t="s">
        <v>55</v>
      </c>
      <c r="I2114" s="6" t="s">
        <v>7566</v>
      </c>
      <c r="J2114" s="6" t="s">
        <v>154</v>
      </c>
      <c r="K2114" s="9" t="str">
        <f>HYPERLINK("https://dms.licdn.com/playlist/vid/v2/D5610AQEYMxfT9huYsg/mp4-640p-30fp-crf28/B56Z9r5IasLABI-/0/1784221579230?e=2147483647&amp;v=beta&amp;t=wqawh6PBQUrCJZJ-XscUNS7gfMgItz12cEfcJuVzzWI","Open Creative")</f>
        <v>Open Creative</v>
      </c>
      <c r="L2114" s="6" t="s">
        <v>131</v>
      </c>
      <c r="M2114" s="6" t="s">
        <v>7537</v>
      </c>
      <c r="N2114" s="6" t="s">
        <v>132</v>
      </c>
      <c r="O2114" s="36" t="s">
        <v>132</v>
      </c>
      <c r="P2114" s="36">
        <v>1.506385706E9</v>
      </c>
      <c r="Q2114" s="36" t="s">
        <v>7541</v>
      </c>
      <c r="R2114" s="6" t="s">
        <v>7542</v>
      </c>
    </row>
    <row r="2115">
      <c r="A2115" s="6" t="s">
        <v>7537</v>
      </c>
      <c r="B2115" s="6" t="s">
        <v>7537</v>
      </c>
      <c r="C2115" s="6">
        <v>506.0</v>
      </c>
      <c r="D2115" s="9" t="str">
        <f>HYPERLINK("https://www.linkedin.com/ad-library/detail/1512942116","Open Ad")</f>
        <v>Open Ad</v>
      </c>
      <c r="E2115" s="6" t="s">
        <v>91</v>
      </c>
      <c r="F2115" s="6" t="s">
        <v>53</v>
      </c>
      <c r="G2115" s="6" t="s">
        <v>7619</v>
      </c>
      <c r="H2115" s="6" t="s">
        <v>55</v>
      </c>
      <c r="I2115" s="6" t="s">
        <v>7566</v>
      </c>
      <c r="J2115" s="6" t="s">
        <v>91</v>
      </c>
      <c r="K2115" s="9" t="str">
        <f t="shared" ref="K2115:K2116" si="50">HYPERLINK("https://media.licdn.com/dms/image/v2/D5610AQFCx_YJc45xmQ/image-shrink_1280/B56Z9_1kn.GsAg-/0/1784556178150?e=2147483647&amp;v=beta&amp;t=f1YUvgvX1_1a1kJVoEtCFw4Vo-6pu3fvcM8OtM7KrGI","Open Creative")</f>
        <v>Open Creative</v>
      </c>
      <c r="L2115" s="6" t="s">
        <v>131</v>
      </c>
      <c r="M2115" s="6" t="s">
        <v>7537</v>
      </c>
      <c r="N2115" s="6" t="s">
        <v>132</v>
      </c>
      <c r="O2115" s="36" t="s">
        <v>132</v>
      </c>
      <c r="P2115" s="36">
        <v>1.512942116E9</v>
      </c>
      <c r="Q2115" s="36" t="s">
        <v>7541</v>
      </c>
      <c r="R2115" s="6" t="s">
        <v>7542</v>
      </c>
    </row>
    <row r="2116">
      <c r="A2116" s="6" t="s">
        <v>7537</v>
      </c>
      <c r="B2116" s="6" t="s">
        <v>7537</v>
      </c>
      <c r="C2116" s="6">
        <v>507.0</v>
      </c>
      <c r="D2116" s="9" t="str">
        <f>HYPERLINK("https://www.linkedin.com/ad-library/detail/1512855496","Open Ad")</f>
        <v>Open Ad</v>
      </c>
      <c r="E2116" s="6" t="s">
        <v>91</v>
      </c>
      <c r="F2116" s="6" t="s">
        <v>53</v>
      </c>
      <c r="G2116" s="6" t="s">
        <v>7619</v>
      </c>
      <c r="H2116" s="6" t="s">
        <v>55</v>
      </c>
      <c r="I2116" s="6" t="s">
        <v>7566</v>
      </c>
      <c r="J2116" s="6" t="s">
        <v>91</v>
      </c>
      <c r="K2116" s="9" t="str">
        <f t="shared" si="50"/>
        <v>Open Creative</v>
      </c>
      <c r="L2116" s="6" t="s">
        <v>131</v>
      </c>
      <c r="M2116" s="6" t="s">
        <v>7537</v>
      </c>
      <c r="N2116" s="6" t="s">
        <v>132</v>
      </c>
      <c r="O2116" s="36" t="s">
        <v>132</v>
      </c>
      <c r="P2116" s="36">
        <v>1.512855496E9</v>
      </c>
      <c r="Q2116" s="36" t="s">
        <v>7541</v>
      </c>
      <c r="R2116" s="6" t="s">
        <v>7542</v>
      </c>
    </row>
    <row r="2117">
      <c r="A2117" s="6" t="s">
        <v>7537</v>
      </c>
      <c r="B2117" s="6" t="s">
        <v>7537</v>
      </c>
      <c r="C2117" s="6">
        <v>508.0</v>
      </c>
      <c r="D2117" s="9" t="str">
        <f>HYPERLINK("https://www.linkedin.com/ad-library/detail/1506541066","Open Ad")</f>
        <v>Open Ad</v>
      </c>
      <c r="E2117" s="6" t="s">
        <v>154</v>
      </c>
      <c r="F2117" s="6" t="s">
        <v>53</v>
      </c>
      <c r="G2117" s="6" t="s">
        <v>7574</v>
      </c>
      <c r="H2117" s="6" t="s">
        <v>55</v>
      </c>
      <c r="I2117" s="6" t="s">
        <v>7566</v>
      </c>
      <c r="J2117" s="6" t="s">
        <v>154</v>
      </c>
      <c r="K2117" s="9" t="str">
        <f>HYPERLINK("https://dms.licdn.com/playlist/vid/v2/D5610AQEYMxfT9huYsg/mp4-640p-30fp-crf28/B56Z9r5IasLABI-/0/1784221579230?e=2147483647&amp;v=beta&amp;t=wqawh6PBQUrCJZJ-XscUNS7gfMgItz12cEfcJuVzzWI","Open Creative")</f>
        <v>Open Creative</v>
      </c>
      <c r="L2117" s="6" t="s">
        <v>131</v>
      </c>
      <c r="M2117" s="6" t="s">
        <v>7537</v>
      </c>
      <c r="N2117" s="6" t="s">
        <v>132</v>
      </c>
      <c r="O2117" s="36" t="s">
        <v>132</v>
      </c>
      <c r="P2117" s="36">
        <v>1.506541066E9</v>
      </c>
      <c r="Q2117" s="36" t="s">
        <v>7541</v>
      </c>
      <c r="R2117" s="6" t="s">
        <v>7542</v>
      </c>
    </row>
    <row r="2118">
      <c r="A2118" s="6" t="s">
        <v>7537</v>
      </c>
      <c r="B2118" s="6" t="s">
        <v>7537</v>
      </c>
      <c r="C2118" s="6">
        <v>509.0</v>
      </c>
      <c r="D2118" s="9" t="str">
        <f>HYPERLINK("https://www.linkedin.com/ad-library/detail/1512855486","Open Ad")</f>
        <v>Open Ad</v>
      </c>
      <c r="E2118" s="6" t="s">
        <v>91</v>
      </c>
      <c r="F2118" s="6" t="s">
        <v>53</v>
      </c>
      <c r="G2118" s="6" t="s">
        <v>7619</v>
      </c>
      <c r="H2118" s="6" t="s">
        <v>55</v>
      </c>
      <c r="I2118" s="6" t="s">
        <v>7566</v>
      </c>
      <c r="J2118" s="6" t="s">
        <v>91</v>
      </c>
      <c r="K2118" s="9" t="str">
        <f>HYPERLINK("https://media.licdn.com/dms/image/v2/D5610AQFCx_YJc45xmQ/image-shrink_1280/B56Z9_1kn.GsAg-/0/1784556178150?e=2147483647&amp;v=beta&amp;t=f1YUvgvX1_1a1kJVoEtCFw4Vo-6pu3fvcM8OtM7KrGI","Open Creative")</f>
        <v>Open Creative</v>
      </c>
      <c r="L2118" s="6" t="s">
        <v>131</v>
      </c>
      <c r="M2118" s="6" t="s">
        <v>7537</v>
      </c>
      <c r="N2118" s="6" t="s">
        <v>132</v>
      </c>
      <c r="O2118" s="36" t="s">
        <v>132</v>
      </c>
      <c r="P2118" s="36">
        <v>1.512855486E9</v>
      </c>
      <c r="Q2118" s="36" t="s">
        <v>7541</v>
      </c>
      <c r="R2118" s="6" t="s">
        <v>7542</v>
      </c>
    </row>
    <row r="2119">
      <c r="A2119" s="6" t="s">
        <v>7537</v>
      </c>
      <c r="B2119" s="6" t="s">
        <v>7537</v>
      </c>
      <c r="C2119" s="6">
        <v>510.0</v>
      </c>
      <c r="D2119" s="9" t="str">
        <f>HYPERLINK("https://www.linkedin.com/ad-library/detail/1512779216","Open Ad")</f>
        <v>Open Ad</v>
      </c>
      <c r="E2119" s="6" t="s">
        <v>91</v>
      </c>
      <c r="F2119" s="6" t="s">
        <v>53</v>
      </c>
      <c r="G2119" s="6" t="s">
        <v>7622</v>
      </c>
      <c r="H2119" s="6" t="s">
        <v>55</v>
      </c>
      <c r="I2119" s="6" t="s">
        <v>7566</v>
      </c>
      <c r="J2119" s="6" t="s">
        <v>91</v>
      </c>
      <c r="K2119" s="9" t="str">
        <f t="shared" ref="K2119:K2122" si="51">HYPERLINK("https://media.licdn.com/dms/image/v2/D5610AQFQ9xMHhkIH-g/image-shrink_1280/B56Z9x3WnqKEAc-/0/1784321764097?e=2147483647&amp;v=beta&amp;t=DkMg95bRWP4EePXr-dRDD8dQjGJzZ-lRep0xf40Vv5k","Open Creative")</f>
        <v>Open Creative</v>
      </c>
      <c r="L2119" s="6" t="s">
        <v>131</v>
      </c>
      <c r="M2119" s="6" t="s">
        <v>7537</v>
      </c>
      <c r="N2119" s="6" t="s">
        <v>132</v>
      </c>
      <c r="O2119" s="36" t="s">
        <v>132</v>
      </c>
      <c r="P2119" s="36">
        <v>1.512779216E9</v>
      </c>
      <c r="Q2119" s="36" t="s">
        <v>7541</v>
      </c>
      <c r="R2119" s="6" t="s">
        <v>7542</v>
      </c>
    </row>
    <row r="2120">
      <c r="A2120" s="6" t="s">
        <v>7537</v>
      </c>
      <c r="B2120" s="6" t="s">
        <v>7537</v>
      </c>
      <c r="C2120" s="6">
        <v>511.0</v>
      </c>
      <c r="D2120" s="9" t="str">
        <f>HYPERLINK("https://www.linkedin.com/ad-library/detail/1512942106","Open Ad")</f>
        <v>Open Ad</v>
      </c>
      <c r="E2120" s="6" t="s">
        <v>91</v>
      </c>
      <c r="F2120" s="6" t="s">
        <v>53</v>
      </c>
      <c r="G2120" s="6" t="s">
        <v>7622</v>
      </c>
      <c r="H2120" s="6" t="s">
        <v>55</v>
      </c>
      <c r="I2120" s="6" t="s">
        <v>7566</v>
      </c>
      <c r="J2120" s="6" t="s">
        <v>91</v>
      </c>
      <c r="K2120" s="9" t="str">
        <f t="shared" si="51"/>
        <v>Open Creative</v>
      </c>
      <c r="L2120" s="6" t="s">
        <v>131</v>
      </c>
      <c r="M2120" s="6" t="s">
        <v>7537</v>
      </c>
      <c r="N2120" s="6" t="s">
        <v>132</v>
      </c>
      <c r="O2120" s="36" t="s">
        <v>132</v>
      </c>
      <c r="P2120" s="36">
        <v>1.512942106E9</v>
      </c>
      <c r="Q2120" s="36" t="s">
        <v>7541</v>
      </c>
      <c r="R2120" s="6" t="s">
        <v>7542</v>
      </c>
    </row>
    <row r="2121">
      <c r="A2121" s="6" t="s">
        <v>7537</v>
      </c>
      <c r="B2121" s="6" t="s">
        <v>7537</v>
      </c>
      <c r="C2121" s="6">
        <v>512.0</v>
      </c>
      <c r="D2121" s="9" t="str">
        <f>HYPERLINK("https://www.linkedin.com/ad-library/detail/1512960116","Open Ad")</f>
        <v>Open Ad</v>
      </c>
      <c r="E2121" s="6" t="s">
        <v>91</v>
      </c>
      <c r="F2121" s="6" t="s">
        <v>53</v>
      </c>
      <c r="G2121" s="6" t="s">
        <v>7622</v>
      </c>
      <c r="H2121" s="6" t="s">
        <v>55</v>
      </c>
      <c r="I2121" s="6" t="s">
        <v>7566</v>
      </c>
      <c r="J2121" s="6" t="s">
        <v>91</v>
      </c>
      <c r="K2121" s="9" t="str">
        <f t="shared" si="51"/>
        <v>Open Creative</v>
      </c>
      <c r="L2121" s="6" t="s">
        <v>131</v>
      </c>
      <c r="M2121" s="6" t="s">
        <v>7537</v>
      </c>
      <c r="N2121" s="6" t="s">
        <v>132</v>
      </c>
      <c r="O2121" s="36" t="s">
        <v>132</v>
      </c>
      <c r="P2121" s="36">
        <v>1.512960116E9</v>
      </c>
      <c r="Q2121" s="36" t="s">
        <v>7541</v>
      </c>
      <c r="R2121" s="6" t="s">
        <v>7542</v>
      </c>
    </row>
    <row r="2122">
      <c r="A2122" s="6" t="s">
        <v>7537</v>
      </c>
      <c r="B2122" s="6" t="s">
        <v>7537</v>
      </c>
      <c r="C2122" s="6">
        <v>513.0</v>
      </c>
      <c r="D2122" s="9" t="str">
        <f>HYPERLINK("https://www.linkedin.com/ad-library/detail/1512749526","Open Ad")</f>
        <v>Open Ad</v>
      </c>
      <c r="E2122" s="6" t="s">
        <v>91</v>
      </c>
      <c r="F2122" s="6" t="s">
        <v>53</v>
      </c>
      <c r="G2122" s="6" t="s">
        <v>7622</v>
      </c>
      <c r="H2122" s="6" t="s">
        <v>55</v>
      </c>
      <c r="I2122" s="6" t="s">
        <v>7566</v>
      </c>
      <c r="J2122" s="6" t="s">
        <v>91</v>
      </c>
      <c r="K2122" s="9" t="str">
        <f t="shared" si="51"/>
        <v>Open Creative</v>
      </c>
      <c r="L2122" s="6" t="s">
        <v>131</v>
      </c>
      <c r="M2122" s="6" t="s">
        <v>7537</v>
      </c>
      <c r="N2122" s="6" t="s">
        <v>132</v>
      </c>
      <c r="O2122" s="36" t="s">
        <v>132</v>
      </c>
      <c r="P2122" s="36">
        <v>1.512749526E9</v>
      </c>
      <c r="Q2122" s="36" t="s">
        <v>7541</v>
      </c>
      <c r="R2122" s="6" t="s">
        <v>7542</v>
      </c>
    </row>
    <row r="2123">
      <c r="A2123" s="6" t="s">
        <v>7537</v>
      </c>
      <c r="B2123" s="6" t="s">
        <v>7537</v>
      </c>
      <c r="C2123" s="6">
        <v>514.0</v>
      </c>
      <c r="D2123" s="9" t="str">
        <f>HYPERLINK("https://www.linkedin.com/ad-library/detail/1512836166","Open Ad")</f>
        <v>Open Ad</v>
      </c>
      <c r="E2123" s="6" t="s">
        <v>91</v>
      </c>
      <c r="F2123" s="6" t="s">
        <v>53</v>
      </c>
      <c r="G2123" s="6" t="s">
        <v>7619</v>
      </c>
      <c r="H2123" s="6" t="s">
        <v>55</v>
      </c>
      <c r="I2123" s="6" t="s">
        <v>7566</v>
      </c>
      <c r="J2123" s="6" t="s">
        <v>91</v>
      </c>
      <c r="K2123" s="9" t="str">
        <f t="shared" ref="K2123:K2124" si="52">HYPERLINK("https://media.licdn.com/dms/image/v2/D5610AQFCx_YJc45xmQ/image-shrink_1280/B56Z9_1kn.GsAg-/0/1784556178150?e=2147483647&amp;v=beta&amp;t=f1YUvgvX1_1a1kJVoEtCFw4Vo-6pu3fvcM8OtM7KrGI","Open Creative")</f>
        <v>Open Creative</v>
      </c>
      <c r="L2123" s="6" t="s">
        <v>62</v>
      </c>
      <c r="M2123" s="6" t="s">
        <v>7537</v>
      </c>
      <c r="N2123" s="6" t="s">
        <v>7632</v>
      </c>
      <c r="O2123" s="36" t="s">
        <v>132</v>
      </c>
      <c r="P2123" s="36">
        <v>1.512836166E9</v>
      </c>
      <c r="Q2123" s="36" t="s">
        <v>68</v>
      </c>
      <c r="R2123" s="6" t="s">
        <v>7633</v>
      </c>
    </row>
    <row r="2124">
      <c r="A2124" s="6" t="s">
        <v>7537</v>
      </c>
      <c r="B2124" s="6" t="s">
        <v>7537</v>
      </c>
      <c r="C2124" s="6">
        <v>515.0</v>
      </c>
      <c r="D2124" s="9" t="str">
        <f>HYPERLINK("https://www.linkedin.com/ad-library/detail/1512960126","Open Ad")</f>
        <v>Open Ad</v>
      </c>
      <c r="E2124" s="6" t="s">
        <v>91</v>
      </c>
      <c r="F2124" s="6" t="s">
        <v>53</v>
      </c>
      <c r="G2124" s="6" t="s">
        <v>7619</v>
      </c>
      <c r="H2124" s="6" t="s">
        <v>55</v>
      </c>
      <c r="I2124" s="6" t="s">
        <v>7566</v>
      </c>
      <c r="J2124" s="6" t="s">
        <v>91</v>
      </c>
      <c r="K2124" s="9" t="str">
        <f t="shared" si="52"/>
        <v>Open Creative</v>
      </c>
      <c r="L2124" s="6" t="s">
        <v>131</v>
      </c>
      <c r="M2124" s="6" t="s">
        <v>7537</v>
      </c>
      <c r="N2124" s="6" t="s">
        <v>132</v>
      </c>
      <c r="O2124" s="36" t="s">
        <v>132</v>
      </c>
      <c r="P2124" s="36">
        <v>1.512960126E9</v>
      </c>
      <c r="Q2124" s="36" t="s">
        <v>7541</v>
      </c>
      <c r="R2124" s="6" t="s">
        <v>7542</v>
      </c>
    </row>
    <row r="2125">
      <c r="A2125" s="6" t="s">
        <v>7537</v>
      </c>
      <c r="B2125" s="6" t="s">
        <v>7537</v>
      </c>
      <c r="C2125" s="6">
        <v>516.0</v>
      </c>
      <c r="D2125" s="9" t="str">
        <f>HYPERLINK("https://www.linkedin.com/ad-library/detail/1512836146","Open Ad")</f>
        <v>Open Ad</v>
      </c>
      <c r="E2125" s="6" t="s">
        <v>91</v>
      </c>
      <c r="F2125" s="6" t="s">
        <v>53</v>
      </c>
      <c r="G2125" s="6" t="s">
        <v>7622</v>
      </c>
      <c r="H2125" s="6" t="s">
        <v>55</v>
      </c>
      <c r="I2125" s="6" t="s">
        <v>7566</v>
      </c>
      <c r="J2125" s="6" t="s">
        <v>91</v>
      </c>
      <c r="K2125" s="9" t="str">
        <f>HYPERLINK("https://media.licdn.com/dms/image/v2/D5610AQFQ9xMHhkIH-g/image-shrink_1280/B56Z9x3WnqKEAc-/0/1784321764097?e=2147483647&amp;v=beta&amp;t=DkMg95bRWP4EePXr-dRDD8dQjGJzZ-lRep0xf40Vv5k","Open Creative")</f>
        <v>Open Creative</v>
      </c>
      <c r="L2125" s="6" t="s">
        <v>131</v>
      </c>
      <c r="M2125" s="6" t="s">
        <v>7537</v>
      </c>
      <c r="N2125" s="6" t="s">
        <v>132</v>
      </c>
      <c r="O2125" s="36" t="s">
        <v>132</v>
      </c>
      <c r="P2125" s="36">
        <v>1.512836146E9</v>
      </c>
      <c r="Q2125" s="36" t="s">
        <v>7541</v>
      </c>
      <c r="R2125" s="6" t="s">
        <v>7542</v>
      </c>
    </row>
    <row r="2126">
      <c r="A2126" s="6" t="s">
        <v>7537</v>
      </c>
      <c r="B2126" s="6" t="s">
        <v>7537</v>
      </c>
      <c r="C2126" s="6">
        <v>517.0</v>
      </c>
      <c r="D2126" s="9" t="str">
        <f>HYPERLINK("https://www.linkedin.com/ad-library/detail/1512817296","Open Ad")</f>
        <v>Open Ad</v>
      </c>
      <c r="E2126" s="6" t="s">
        <v>91</v>
      </c>
      <c r="F2126" s="6" t="s">
        <v>53</v>
      </c>
      <c r="G2126" s="6" t="s">
        <v>7619</v>
      </c>
      <c r="H2126" s="6" t="s">
        <v>55</v>
      </c>
      <c r="I2126" s="6" t="s">
        <v>7566</v>
      </c>
      <c r="J2126" s="6" t="s">
        <v>91</v>
      </c>
      <c r="K2126" s="9" t="str">
        <f>HYPERLINK("https://media.licdn.com/dms/image/v2/D5610AQFCx_YJc45xmQ/image-shrink_1280/B56Z9_1kn.GsAg-/0/1784556178150?e=2147483647&amp;v=beta&amp;t=f1YUvgvX1_1a1kJVoEtCFw4Vo-6pu3fvcM8OtM7KrGI","Open Creative")</f>
        <v>Open Creative</v>
      </c>
      <c r="L2126" s="6" t="s">
        <v>131</v>
      </c>
      <c r="M2126" s="6" t="s">
        <v>7537</v>
      </c>
      <c r="N2126" s="6" t="s">
        <v>132</v>
      </c>
      <c r="O2126" s="36" t="s">
        <v>132</v>
      </c>
      <c r="P2126" s="36">
        <v>1.512817296E9</v>
      </c>
      <c r="Q2126" s="36" t="s">
        <v>7541</v>
      </c>
      <c r="R2126" s="6" t="s">
        <v>7542</v>
      </c>
    </row>
    <row r="2127">
      <c r="A2127" s="6" t="s">
        <v>7537</v>
      </c>
      <c r="B2127" s="6" t="s">
        <v>7537</v>
      </c>
      <c r="C2127" s="6">
        <v>518.0</v>
      </c>
      <c r="D2127" s="9" t="str">
        <f>HYPERLINK("https://www.linkedin.com/ad-library/detail/1512826836","Open Ad")</f>
        <v>Open Ad</v>
      </c>
      <c r="E2127" s="6" t="s">
        <v>91</v>
      </c>
      <c r="F2127" s="6" t="s">
        <v>53</v>
      </c>
      <c r="G2127" s="6" t="s">
        <v>7622</v>
      </c>
      <c r="H2127" s="6" t="s">
        <v>55</v>
      </c>
      <c r="I2127" s="6" t="s">
        <v>7566</v>
      </c>
      <c r="J2127" s="6" t="s">
        <v>91</v>
      </c>
      <c r="K2127" s="9" t="str">
        <f>HYPERLINK("https://media.licdn.com/dms/image/v2/D5610AQFQ9xMHhkIH-g/image-shrink_1280/B56Z9x3WnqKEAc-/0/1784321764097?e=2147483647&amp;v=beta&amp;t=DkMg95bRWP4EePXr-dRDD8dQjGJzZ-lRep0xf40Vv5k","Open Creative")</f>
        <v>Open Creative</v>
      </c>
      <c r="L2127" s="6" t="s">
        <v>131</v>
      </c>
      <c r="M2127" s="6" t="s">
        <v>7537</v>
      </c>
      <c r="N2127" s="6" t="s">
        <v>132</v>
      </c>
      <c r="O2127" s="36" t="s">
        <v>132</v>
      </c>
      <c r="P2127" s="36">
        <v>1.512826836E9</v>
      </c>
      <c r="Q2127" s="36" t="s">
        <v>7541</v>
      </c>
      <c r="R2127" s="6" t="s">
        <v>7542</v>
      </c>
    </row>
    <row r="2128">
      <c r="A2128" s="6" t="s">
        <v>7537</v>
      </c>
      <c r="B2128" s="6" t="s">
        <v>7537</v>
      </c>
      <c r="C2128" s="6">
        <v>519.0</v>
      </c>
      <c r="D2128" s="9" t="str">
        <f>HYPERLINK("https://www.linkedin.com/ad-library/detail/1512826846","Open Ad")</f>
        <v>Open Ad</v>
      </c>
      <c r="E2128" s="6" t="s">
        <v>91</v>
      </c>
      <c r="F2128" s="6" t="s">
        <v>53</v>
      </c>
      <c r="G2128" s="6" t="s">
        <v>7619</v>
      </c>
      <c r="H2128" s="6" t="s">
        <v>55</v>
      </c>
      <c r="I2128" s="6" t="s">
        <v>7566</v>
      </c>
      <c r="J2128" s="6" t="s">
        <v>91</v>
      </c>
      <c r="K2128" s="9" t="str">
        <f t="shared" ref="K2128:K2129" si="53">HYPERLINK("https://media.licdn.com/dms/image/v2/D5610AQFCx_YJc45xmQ/image-shrink_1280/B56Z9_1kn.GsAg-/0/1784556178150?e=2147483647&amp;v=beta&amp;t=f1YUvgvX1_1a1kJVoEtCFw4Vo-6pu3fvcM8OtM7KrGI","Open Creative")</f>
        <v>Open Creative</v>
      </c>
      <c r="L2128" s="6" t="s">
        <v>131</v>
      </c>
      <c r="M2128" s="6" t="s">
        <v>7537</v>
      </c>
      <c r="N2128" s="6" t="s">
        <v>132</v>
      </c>
      <c r="O2128" s="36" t="s">
        <v>132</v>
      </c>
      <c r="P2128" s="36">
        <v>1.512826846E9</v>
      </c>
      <c r="Q2128" s="36" t="s">
        <v>7541</v>
      </c>
      <c r="R2128" s="6" t="s">
        <v>7542</v>
      </c>
    </row>
    <row r="2129">
      <c r="A2129" s="6" t="s">
        <v>7537</v>
      </c>
      <c r="B2129" s="6" t="s">
        <v>7537</v>
      </c>
      <c r="C2129" s="6">
        <v>520.0</v>
      </c>
      <c r="D2129" s="9" t="str">
        <f>HYPERLINK("https://www.linkedin.com/ad-library/detail/1512826856","Open Ad")</f>
        <v>Open Ad</v>
      </c>
      <c r="E2129" s="6" t="s">
        <v>91</v>
      </c>
      <c r="F2129" s="6" t="s">
        <v>53</v>
      </c>
      <c r="G2129" s="6" t="s">
        <v>7619</v>
      </c>
      <c r="H2129" s="6" t="s">
        <v>55</v>
      </c>
      <c r="I2129" s="6" t="s">
        <v>7566</v>
      </c>
      <c r="J2129" s="6" t="s">
        <v>91</v>
      </c>
      <c r="K2129" s="9" t="str">
        <f t="shared" si="53"/>
        <v>Open Creative</v>
      </c>
      <c r="L2129" s="6" t="s">
        <v>131</v>
      </c>
      <c r="M2129" s="6" t="s">
        <v>7537</v>
      </c>
      <c r="N2129" s="6" t="s">
        <v>132</v>
      </c>
      <c r="O2129" s="36" t="s">
        <v>132</v>
      </c>
      <c r="P2129" s="36">
        <v>1.512826856E9</v>
      </c>
      <c r="Q2129" s="36" t="s">
        <v>7541</v>
      </c>
      <c r="R2129" s="6" t="s">
        <v>7542</v>
      </c>
    </row>
    <row r="2130">
      <c r="A2130" s="6" t="s">
        <v>7537</v>
      </c>
      <c r="B2130" s="6" t="s">
        <v>7537</v>
      </c>
      <c r="C2130" s="6">
        <v>521.0</v>
      </c>
      <c r="D2130" s="9" t="str">
        <f>HYPERLINK("https://www.linkedin.com/ad-library/detail/1512759266","Open Ad")</f>
        <v>Open Ad</v>
      </c>
      <c r="E2130" s="6" t="s">
        <v>91</v>
      </c>
      <c r="F2130" s="6" t="s">
        <v>53</v>
      </c>
      <c r="G2130" s="6" t="s">
        <v>7622</v>
      </c>
      <c r="H2130" s="6" t="s">
        <v>55</v>
      </c>
      <c r="I2130" s="6" t="s">
        <v>7566</v>
      </c>
      <c r="J2130" s="6" t="s">
        <v>91</v>
      </c>
      <c r="K2130" s="9" t="str">
        <f t="shared" ref="K2130:K2135" si="54">HYPERLINK("https://media.licdn.com/dms/image/v2/D5610AQFQ9xMHhkIH-g/image-shrink_1280/B56Z9x3WnqKEAc-/0/1784321764097?e=2147483647&amp;v=beta&amp;t=DkMg95bRWP4EePXr-dRDD8dQjGJzZ-lRep0xf40Vv5k","Open Creative")</f>
        <v>Open Creative</v>
      </c>
      <c r="L2130" s="6" t="s">
        <v>131</v>
      </c>
      <c r="M2130" s="6" t="s">
        <v>7537</v>
      </c>
      <c r="N2130" s="6" t="s">
        <v>132</v>
      </c>
      <c r="O2130" s="36" t="s">
        <v>132</v>
      </c>
      <c r="P2130" s="36">
        <v>1.512759266E9</v>
      </c>
      <c r="Q2130" s="36" t="s">
        <v>7541</v>
      </c>
      <c r="R2130" s="6" t="s">
        <v>7542</v>
      </c>
    </row>
    <row r="2131">
      <c r="A2131" s="6" t="s">
        <v>7537</v>
      </c>
      <c r="B2131" s="6" t="s">
        <v>7537</v>
      </c>
      <c r="C2131" s="6">
        <v>522.0</v>
      </c>
      <c r="D2131" s="9" t="str">
        <f>HYPERLINK("https://www.linkedin.com/ad-library/detail/1512788956","Open Ad")</f>
        <v>Open Ad</v>
      </c>
      <c r="E2131" s="6" t="s">
        <v>91</v>
      </c>
      <c r="F2131" s="6" t="s">
        <v>53</v>
      </c>
      <c r="G2131" s="6" t="s">
        <v>7622</v>
      </c>
      <c r="H2131" s="6" t="s">
        <v>55</v>
      </c>
      <c r="I2131" s="6" t="s">
        <v>7566</v>
      </c>
      <c r="J2131" s="6" t="s">
        <v>91</v>
      </c>
      <c r="K2131" s="9" t="str">
        <f t="shared" si="54"/>
        <v>Open Creative</v>
      </c>
      <c r="L2131" s="6" t="s">
        <v>131</v>
      </c>
      <c r="M2131" s="6" t="s">
        <v>7537</v>
      </c>
      <c r="N2131" s="6" t="s">
        <v>132</v>
      </c>
      <c r="O2131" s="36" t="s">
        <v>132</v>
      </c>
      <c r="P2131" s="36">
        <v>1.512788956E9</v>
      </c>
      <c r="Q2131" s="36" t="s">
        <v>7541</v>
      </c>
      <c r="R2131" s="6" t="s">
        <v>7542</v>
      </c>
    </row>
    <row r="2132">
      <c r="A2132" s="6" t="s">
        <v>7537</v>
      </c>
      <c r="B2132" s="6" t="s">
        <v>7537</v>
      </c>
      <c r="C2132" s="6">
        <v>523.0</v>
      </c>
      <c r="D2132" s="9" t="str">
        <f>HYPERLINK("https://www.linkedin.com/ad-library/detail/1512893296","Open Ad")</f>
        <v>Open Ad</v>
      </c>
      <c r="E2132" s="6" t="s">
        <v>91</v>
      </c>
      <c r="F2132" s="6" t="s">
        <v>53</v>
      </c>
      <c r="G2132" s="6" t="s">
        <v>7622</v>
      </c>
      <c r="H2132" s="6" t="s">
        <v>55</v>
      </c>
      <c r="I2132" s="6" t="s">
        <v>7566</v>
      </c>
      <c r="J2132" s="6" t="s">
        <v>91</v>
      </c>
      <c r="K2132" s="9" t="str">
        <f t="shared" si="54"/>
        <v>Open Creative</v>
      </c>
      <c r="L2132" s="6" t="s">
        <v>131</v>
      </c>
      <c r="M2132" s="6" t="s">
        <v>7537</v>
      </c>
      <c r="N2132" s="6" t="s">
        <v>132</v>
      </c>
      <c r="O2132" s="36" t="s">
        <v>132</v>
      </c>
      <c r="P2132" s="36">
        <v>1.512893296E9</v>
      </c>
      <c r="Q2132" s="36" t="s">
        <v>7541</v>
      </c>
      <c r="R2132" s="6" t="s">
        <v>7542</v>
      </c>
    </row>
    <row r="2133">
      <c r="A2133" s="6" t="s">
        <v>7537</v>
      </c>
      <c r="B2133" s="6" t="s">
        <v>7537</v>
      </c>
      <c r="C2133" s="6">
        <v>524.0</v>
      </c>
      <c r="D2133" s="9" t="str">
        <f>HYPERLINK("https://www.linkedin.com/ad-library/detail/1512960106","Open Ad")</f>
        <v>Open Ad</v>
      </c>
      <c r="E2133" s="6" t="s">
        <v>91</v>
      </c>
      <c r="F2133" s="6" t="s">
        <v>53</v>
      </c>
      <c r="G2133" s="6" t="s">
        <v>7622</v>
      </c>
      <c r="H2133" s="6" t="s">
        <v>55</v>
      </c>
      <c r="I2133" s="6" t="s">
        <v>7566</v>
      </c>
      <c r="J2133" s="6" t="s">
        <v>91</v>
      </c>
      <c r="K2133" s="9" t="str">
        <f t="shared" si="54"/>
        <v>Open Creative</v>
      </c>
      <c r="L2133" s="6" t="s">
        <v>131</v>
      </c>
      <c r="M2133" s="6" t="s">
        <v>7537</v>
      </c>
      <c r="N2133" s="6" t="s">
        <v>132</v>
      </c>
      <c r="O2133" s="36" t="s">
        <v>132</v>
      </c>
      <c r="P2133" s="36">
        <v>1.512960106E9</v>
      </c>
      <c r="Q2133" s="36" t="s">
        <v>7541</v>
      </c>
      <c r="R2133" s="6" t="s">
        <v>7542</v>
      </c>
    </row>
    <row r="2134">
      <c r="A2134" s="6" t="s">
        <v>7537</v>
      </c>
      <c r="B2134" s="6" t="s">
        <v>7537</v>
      </c>
      <c r="C2134" s="6">
        <v>525.0</v>
      </c>
      <c r="D2134" s="9" t="str">
        <f>HYPERLINK("https://www.linkedin.com/ad-library/detail/1512902886","Open Ad")</f>
        <v>Open Ad</v>
      </c>
      <c r="E2134" s="6" t="s">
        <v>91</v>
      </c>
      <c r="F2134" s="6" t="s">
        <v>53</v>
      </c>
      <c r="G2134" s="6" t="s">
        <v>7622</v>
      </c>
      <c r="H2134" s="6" t="s">
        <v>55</v>
      </c>
      <c r="I2134" s="6" t="s">
        <v>7566</v>
      </c>
      <c r="J2134" s="6" t="s">
        <v>91</v>
      </c>
      <c r="K2134" s="9" t="str">
        <f t="shared" si="54"/>
        <v>Open Creative</v>
      </c>
      <c r="L2134" s="6" t="s">
        <v>131</v>
      </c>
      <c r="M2134" s="6" t="s">
        <v>7537</v>
      </c>
      <c r="N2134" s="6" t="s">
        <v>132</v>
      </c>
      <c r="O2134" s="36" t="s">
        <v>132</v>
      </c>
      <c r="P2134" s="36">
        <v>1.512902886E9</v>
      </c>
      <c r="Q2134" s="36" t="s">
        <v>7541</v>
      </c>
      <c r="R2134" s="6" t="s">
        <v>7542</v>
      </c>
    </row>
    <row r="2135">
      <c r="A2135" s="6" t="s">
        <v>7537</v>
      </c>
      <c r="B2135" s="6" t="s">
        <v>7537</v>
      </c>
      <c r="C2135" s="6">
        <v>526.0</v>
      </c>
      <c r="D2135" s="9" t="str">
        <f>HYPERLINK("https://www.linkedin.com/ad-library/detail/1512902896","Open Ad")</f>
        <v>Open Ad</v>
      </c>
      <c r="E2135" s="6" t="s">
        <v>91</v>
      </c>
      <c r="F2135" s="6" t="s">
        <v>53</v>
      </c>
      <c r="G2135" s="6" t="s">
        <v>7622</v>
      </c>
      <c r="H2135" s="6" t="s">
        <v>55</v>
      </c>
      <c r="I2135" s="6" t="s">
        <v>7566</v>
      </c>
      <c r="J2135" s="6" t="s">
        <v>91</v>
      </c>
      <c r="K2135" s="9" t="str">
        <f t="shared" si="54"/>
        <v>Open Creative</v>
      </c>
      <c r="L2135" s="6" t="s">
        <v>131</v>
      </c>
      <c r="M2135" s="6" t="s">
        <v>7537</v>
      </c>
      <c r="N2135" s="6" t="s">
        <v>132</v>
      </c>
      <c r="O2135" s="36" t="s">
        <v>132</v>
      </c>
      <c r="P2135" s="36">
        <v>1.512902896E9</v>
      </c>
      <c r="Q2135" s="36" t="s">
        <v>7541</v>
      </c>
      <c r="R2135" s="6" t="s">
        <v>7542</v>
      </c>
    </row>
    <row r="2136">
      <c r="A2136" s="6" t="s">
        <v>7537</v>
      </c>
      <c r="B2136" s="6" t="s">
        <v>7537</v>
      </c>
      <c r="C2136" s="6">
        <v>527.0</v>
      </c>
      <c r="D2136" s="9" t="str">
        <f>HYPERLINK("https://www.linkedin.com/ad-library/detail/1506413316","Open Ad")</f>
        <v>Open Ad</v>
      </c>
      <c r="E2136" s="6" t="s">
        <v>154</v>
      </c>
      <c r="F2136" s="6" t="s">
        <v>53</v>
      </c>
      <c r="G2136" s="6" t="s">
        <v>7574</v>
      </c>
      <c r="H2136" s="6" t="s">
        <v>55</v>
      </c>
      <c r="I2136" s="6" t="s">
        <v>7566</v>
      </c>
      <c r="J2136" s="6" t="s">
        <v>154</v>
      </c>
      <c r="K2136" s="9" t="str">
        <f>HYPERLINK("https://dms.licdn.com/playlist/vid/v2/D5610AQEYMxfT9huYsg/mp4-640p-30fp-crf28/B56Z9r5IasLABI-/0/1784221579230?e=2147483647&amp;v=beta&amp;t=wqawh6PBQUrCJZJ-XscUNS7gfMgItz12cEfcJuVzzWI","Open Creative")</f>
        <v>Open Creative</v>
      </c>
      <c r="L2136" s="6" t="s">
        <v>131</v>
      </c>
      <c r="M2136" s="6" t="s">
        <v>7537</v>
      </c>
      <c r="N2136" s="6" t="s">
        <v>132</v>
      </c>
      <c r="O2136" s="36" t="s">
        <v>132</v>
      </c>
      <c r="P2136" s="36">
        <v>1.506413316E9</v>
      </c>
      <c r="Q2136" s="36" t="s">
        <v>7541</v>
      </c>
      <c r="R2136" s="6" t="s">
        <v>7542</v>
      </c>
    </row>
    <row r="2137">
      <c r="A2137" s="6" t="s">
        <v>7537</v>
      </c>
      <c r="B2137" s="6" t="s">
        <v>7537</v>
      </c>
      <c r="C2137" s="6">
        <v>528.0</v>
      </c>
      <c r="D2137" s="9" t="str">
        <f>HYPERLINK("https://www.linkedin.com/ad-library/detail/1512769196","Open Ad")</f>
        <v>Open Ad</v>
      </c>
      <c r="E2137" s="6" t="s">
        <v>91</v>
      </c>
      <c r="F2137" s="6" t="s">
        <v>53</v>
      </c>
      <c r="G2137" s="6" t="s">
        <v>7619</v>
      </c>
      <c r="H2137" s="6" t="s">
        <v>55</v>
      </c>
      <c r="I2137" s="6" t="s">
        <v>7566</v>
      </c>
      <c r="J2137" s="6" t="s">
        <v>91</v>
      </c>
      <c r="K2137" s="9" t="str">
        <f>HYPERLINK("https://media.licdn.com/dms/image/v2/D5610AQFCx_YJc45xmQ/image-shrink_1280/B56Z9_1kn.GsAg-/0/1784556178150?e=2147483647&amp;v=beta&amp;t=f1YUvgvX1_1a1kJVoEtCFw4Vo-6pu3fvcM8OtM7KrGI","Open Creative")</f>
        <v>Open Creative</v>
      </c>
      <c r="L2137" s="6" t="s">
        <v>131</v>
      </c>
      <c r="M2137" s="6" t="s">
        <v>7537</v>
      </c>
      <c r="N2137" s="6" t="s">
        <v>132</v>
      </c>
      <c r="O2137" s="36" t="s">
        <v>132</v>
      </c>
      <c r="P2137" s="36">
        <v>1.512769196E9</v>
      </c>
      <c r="Q2137" s="36" t="s">
        <v>7541</v>
      </c>
      <c r="R2137" s="6" t="s">
        <v>7542</v>
      </c>
    </row>
    <row r="2138">
      <c r="A2138" s="6" t="s">
        <v>7537</v>
      </c>
      <c r="B2138" s="6" t="s">
        <v>7537</v>
      </c>
      <c r="C2138" s="6">
        <v>529.0</v>
      </c>
      <c r="D2138" s="9" t="str">
        <f>HYPERLINK("https://www.linkedin.com/ad-library/detail/1502706846","Open Ad")</f>
        <v>Open Ad</v>
      </c>
      <c r="E2138" s="6" t="s">
        <v>91</v>
      </c>
      <c r="F2138" s="6" t="s">
        <v>53</v>
      </c>
      <c r="G2138" s="6" t="s">
        <v>7576</v>
      </c>
      <c r="H2138" s="6" t="s">
        <v>55</v>
      </c>
      <c r="I2138" s="6" t="s">
        <v>7566</v>
      </c>
      <c r="J2138" s="6" t="s">
        <v>91</v>
      </c>
      <c r="K2138" s="6" t="s">
        <v>60</v>
      </c>
      <c r="L2138" s="6" t="s">
        <v>131</v>
      </c>
      <c r="M2138" s="6" t="s">
        <v>7537</v>
      </c>
      <c r="N2138" s="6" t="s">
        <v>132</v>
      </c>
      <c r="O2138" s="36" t="s">
        <v>132</v>
      </c>
      <c r="P2138" s="36">
        <v>1.502706846E9</v>
      </c>
      <c r="Q2138" s="36" t="s">
        <v>7541</v>
      </c>
      <c r="R2138" s="6" t="s">
        <v>7542</v>
      </c>
    </row>
    <row r="2139">
      <c r="A2139" s="6" t="s">
        <v>7537</v>
      </c>
      <c r="B2139" s="6" t="s">
        <v>7537</v>
      </c>
      <c r="C2139" s="6">
        <v>530.0</v>
      </c>
      <c r="D2139" s="9" t="str">
        <f>HYPERLINK("https://www.linkedin.com/ad-library/detail/1502775106","Open Ad")</f>
        <v>Open Ad</v>
      </c>
      <c r="E2139" s="6" t="s">
        <v>91</v>
      </c>
      <c r="F2139" s="6" t="s">
        <v>53</v>
      </c>
      <c r="G2139" s="6" t="s">
        <v>7575</v>
      </c>
      <c r="H2139" s="6" t="s">
        <v>55</v>
      </c>
      <c r="I2139" s="6" t="s">
        <v>7566</v>
      </c>
      <c r="J2139" s="6" t="s">
        <v>91</v>
      </c>
      <c r="K2139" s="6" t="s">
        <v>60</v>
      </c>
      <c r="L2139" s="6" t="s">
        <v>131</v>
      </c>
      <c r="M2139" s="6" t="s">
        <v>7537</v>
      </c>
      <c r="N2139" s="6" t="s">
        <v>132</v>
      </c>
      <c r="O2139" s="36" t="s">
        <v>132</v>
      </c>
      <c r="P2139" s="36">
        <v>1.502775106E9</v>
      </c>
      <c r="Q2139" s="36" t="s">
        <v>7541</v>
      </c>
      <c r="R2139" s="6" t="s">
        <v>7542</v>
      </c>
    </row>
    <row r="2140">
      <c r="A2140" s="6" t="s">
        <v>7537</v>
      </c>
      <c r="B2140" s="6" t="s">
        <v>7537</v>
      </c>
      <c r="C2140" s="6">
        <v>531.0</v>
      </c>
      <c r="D2140" s="9" t="str">
        <f>HYPERLINK("https://www.linkedin.com/ad-library/detail/1502706816","Open Ad")</f>
        <v>Open Ad</v>
      </c>
      <c r="E2140" s="6" t="s">
        <v>91</v>
      </c>
      <c r="F2140" s="6" t="s">
        <v>53</v>
      </c>
      <c r="G2140" s="6" t="s">
        <v>7604</v>
      </c>
      <c r="H2140" s="6" t="s">
        <v>55</v>
      </c>
      <c r="I2140" s="6" t="s">
        <v>7566</v>
      </c>
      <c r="J2140" s="6" t="s">
        <v>91</v>
      </c>
      <c r="K2140" s="6" t="s">
        <v>60</v>
      </c>
      <c r="L2140" s="6" t="s">
        <v>131</v>
      </c>
      <c r="M2140" s="6" t="s">
        <v>7537</v>
      </c>
      <c r="N2140" s="6" t="s">
        <v>132</v>
      </c>
      <c r="O2140" s="36" t="s">
        <v>132</v>
      </c>
      <c r="P2140" s="36">
        <v>1.502706816E9</v>
      </c>
      <c r="Q2140" s="36" t="s">
        <v>7541</v>
      </c>
      <c r="R2140" s="6" t="s">
        <v>7542</v>
      </c>
    </row>
    <row r="2141">
      <c r="A2141" s="6" t="s">
        <v>7537</v>
      </c>
      <c r="B2141" s="6" t="s">
        <v>7537</v>
      </c>
      <c r="C2141" s="6">
        <v>532.0</v>
      </c>
      <c r="D2141" s="9" t="str">
        <f>HYPERLINK("https://www.linkedin.com/ad-library/detail/1506491796","Open Ad")</f>
        <v>Open Ad</v>
      </c>
      <c r="E2141" s="6" t="s">
        <v>154</v>
      </c>
      <c r="F2141" s="6" t="s">
        <v>53</v>
      </c>
      <c r="G2141" s="6" t="s">
        <v>7574</v>
      </c>
      <c r="H2141" s="6" t="s">
        <v>55</v>
      </c>
      <c r="I2141" s="6" t="s">
        <v>7566</v>
      </c>
      <c r="J2141" s="6" t="s">
        <v>154</v>
      </c>
      <c r="K2141" s="9" t="str">
        <f>HYPERLINK("https://dms.licdn.com/playlist/vid/v2/D5610AQEYMxfT9huYsg/mp4-640p-30fp-crf28/B56Z9r5IasLABI-/0/1784221579230?e=2147483647&amp;v=beta&amp;t=wqawh6PBQUrCJZJ-XscUNS7gfMgItz12cEfcJuVzzWI","Open Creative")</f>
        <v>Open Creative</v>
      </c>
      <c r="L2141" s="6" t="s">
        <v>131</v>
      </c>
      <c r="M2141" s="6" t="s">
        <v>7537</v>
      </c>
      <c r="N2141" s="6" t="s">
        <v>132</v>
      </c>
      <c r="O2141" s="36" t="s">
        <v>132</v>
      </c>
      <c r="P2141" s="36">
        <v>1.506491796E9</v>
      </c>
      <c r="Q2141" s="36" t="s">
        <v>7541</v>
      </c>
      <c r="R2141" s="6" t="s">
        <v>7542</v>
      </c>
    </row>
    <row r="2142">
      <c r="A2142" s="6" t="s">
        <v>7537</v>
      </c>
      <c r="B2142" s="6" t="s">
        <v>7537</v>
      </c>
      <c r="C2142" s="6">
        <v>533.0</v>
      </c>
      <c r="D2142" s="9" t="str">
        <f>HYPERLINK("https://www.linkedin.com/ad-library/detail/1502677956","Open Ad")</f>
        <v>Open Ad</v>
      </c>
      <c r="E2142" s="6" t="s">
        <v>7543</v>
      </c>
      <c r="F2142" s="6" t="s">
        <v>53</v>
      </c>
      <c r="G2142" s="6" t="s">
        <v>7550</v>
      </c>
      <c r="H2142" s="6" t="s">
        <v>55</v>
      </c>
      <c r="I2142" s="6" t="s">
        <v>7566</v>
      </c>
      <c r="J2142" s="6" t="s">
        <v>7546</v>
      </c>
      <c r="K2142" s="6" t="s">
        <v>60</v>
      </c>
      <c r="L2142" s="6" t="s">
        <v>131</v>
      </c>
      <c r="M2142" s="6" t="s">
        <v>7537</v>
      </c>
      <c r="N2142" s="6" t="s">
        <v>132</v>
      </c>
      <c r="O2142" s="36" t="s">
        <v>132</v>
      </c>
      <c r="P2142" s="36">
        <v>1.502677956E9</v>
      </c>
      <c r="Q2142" s="36" t="s">
        <v>7541</v>
      </c>
      <c r="R2142" s="6" t="s">
        <v>7542</v>
      </c>
    </row>
    <row r="2143">
      <c r="A2143" s="6" t="s">
        <v>7537</v>
      </c>
      <c r="B2143" s="6" t="s">
        <v>7537</v>
      </c>
      <c r="C2143" s="6">
        <v>534.0</v>
      </c>
      <c r="D2143" s="9" t="str">
        <f>HYPERLINK("https://www.linkedin.com/ad-library/detail/1502775126","Open Ad")</f>
        <v>Open Ad</v>
      </c>
      <c r="E2143" s="6" t="s">
        <v>91</v>
      </c>
      <c r="F2143" s="6" t="s">
        <v>53</v>
      </c>
      <c r="G2143" s="6" t="s">
        <v>7604</v>
      </c>
      <c r="H2143" s="6" t="s">
        <v>55</v>
      </c>
      <c r="I2143" s="6" t="s">
        <v>7566</v>
      </c>
      <c r="J2143" s="6" t="s">
        <v>91</v>
      </c>
      <c r="K2143" s="6" t="s">
        <v>60</v>
      </c>
      <c r="L2143" s="6" t="s">
        <v>131</v>
      </c>
      <c r="M2143" s="6" t="s">
        <v>7537</v>
      </c>
      <c r="N2143" s="6" t="s">
        <v>132</v>
      </c>
      <c r="O2143" s="36" t="s">
        <v>132</v>
      </c>
      <c r="P2143" s="36">
        <v>1.502775126E9</v>
      </c>
      <c r="Q2143" s="36" t="s">
        <v>7541</v>
      </c>
      <c r="R2143" s="6" t="s">
        <v>7542</v>
      </c>
    </row>
    <row r="2144">
      <c r="A2144" s="6" t="s">
        <v>7537</v>
      </c>
      <c r="B2144" s="6" t="s">
        <v>7537</v>
      </c>
      <c r="C2144" s="6">
        <v>535.0</v>
      </c>
      <c r="D2144" s="9" t="str">
        <f>HYPERLINK("https://www.linkedin.com/ad-library/detail/1502775136","Open Ad")</f>
        <v>Open Ad</v>
      </c>
      <c r="E2144" s="6" t="s">
        <v>91</v>
      </c>
      <c r="F2144" s="6" t="s">
        <v>53</v>
      </c>
      <c r="G2144" s="6" t="s">
        <v>7578</v>
      </c>
      <c r="H2144" s="6" t="s">
        <v>55</v>
      </c>
      <c r="I2144" s="6" t="s">
        <v>7566</v>
      </c>
      <c r="J2144" s="6" t="s">
        <v>91</v>
      </c>
      <c r="K2144" s="6" t="s">
        <v>60</v>
      </c>
      <c r="L2144" s="6" t="s">
        <v>131</v>
      </c>
      <c r="M2144" s="6" t="s">
        <v>7537</v>
      </c>
      <c r="N2144" s="6" t="s">
        <v>132</v>
      </c>
      <c r="O2144" s="36" t="s">
        <v>132</v>
      </c>
      <c r="P2144" s="36">
        <v>1.502775136E9</v>
      </c>
      <c r="Q2144" s="36" t="s">
        <v>7541</v>
      </c>
      <c r="R2144" s="6" t="s">
        <v>7542</v>
      </c>
    </row>
    <row r="2145">
      <c r="A2145" s="6" t="s">
        <v>7537</v>
      </c>
      <c r="B2145" s="6" t="s">
        <v>7537</v>
      </c>
      <c r="C2145" s="6">
        <v>536.0</v>
      </c>
      <c r="D2145" s="9" t="str">
        <f>HYPERLINK("https://www.linkedin.com/ad-library/detail/1502852246","Open Ad")</f>
        <v>Open Ad</v>
      </c>
      <c r="E2145" s="6" t="s">
        <v>91</v>
      </c>
      <c r="F2145" s="6" t="s">
        <v>53</v>
      </c>
      <c r="G2145" s="6" t="s">
        <v>7575</v>
      </c>
      <c r="H2145" s="6" t="s">
        <v>55</v>
      </c>
      <c r="I2145" s="6" t="s">
        <v>7566</v>
      </c>
      <c r="J2145" s="6" t="s">
        <v>91</v>
      </c>
      <c r="K2145" s="6" t="s">
        <v>60</v>
      </c>
      <c r="L2145" s="6" t="s">
        <v>131</v>
      </c>
      <c r="M2145" s="6" t="s">
        <v>7537</v>
      </c>
      <c r="N2145" s="6" t="s">
        <v>132</v>
      </c>
      <c r="O2145" s="36" t="s">
        <v>132</v>
      </c>
      <c r="P2145" s="36">
        <v>1.502852246E9</v>
      </c>
      <c r="Q2145" s="36" t="s">
        <v>7541</v>
      </c>
      <c r="R2145" s="6" t="s">
        <v>7542</v>
      </c>
    </row>
    <row r="2146">
      <c r="A2146" s="6" t="s">
        <v>7537</v>
      </c>
      <c r="B2146" s="6" t="s">
        <v>7537</v>
      </c>
      <c r="C2146" s="6">
        <v>537.0</v>
      </c>
      <c r="D2146" s="9" t="str">
        <f>HYPERLINK("https://www.linkedin.com/ad-library/detail/1506367076","Open Ad")</f>
        <v>Open Ad</v>
      </c>
      <c r="E2146" s="6" t="s">
        <v>154</v>
      </c>
      <c r="F2146" s="6" t="s">
        <v>53</v>
      </c>
      <c r="G2146" s="6" t="s">
        <v>7574</v>
      </c>
      <c r="H2146" s="6" t="s">
        <v>55</v>
      </c>
      <c r="I2146" s="6" t="s">
        <v>7566</v>
      </c>
      <c r="J2146" s="6" t="s">
        <v>154</v>
      </c>
      <c r="K2146" s="9" t="str">
        <f>HYPERLINK("https://dms.licdn.com/playlist/vid/v2/D5610AQEYMxfT9huYsg/mp4-640p-30fp-crf28/B56Z9r5IasLABI-/0/1784221579230?e=2147483647&amp;v=beta&amp;t=wqawh6PBQUrCJZJ-XscUNS7gfMgItz12cEfcJuVzzWI","Open Creative")</f>
        <v>Open Creative</v>
      </c>
      <c r="L2146" s="6" t="s">
        <v>131</v>
      </c>
      <c r="M2146" s="6" t="s">
        <v>7537</v>
      </c>
      <c r="N2146" s="6" t="s">
        <v>132</v>
      </c>
      <c r="O2146" s="36" t="s">
        <v>132</v>
      </c>
      <c r="P2146" s="36">
        <v>1.506367076E9</v>
      </c>
      <c r="Q2146" s="36" t="s">
        <v>7541</v>
      </c>
      <c r="R2146" s="6" t="s">
        <v>7542</v>
      </c>
    </row>
    <row r="2147">
      <c r="A2147" s="6" t="s">
        <v>7537</v>
      </c>
      <c r="B2147" s="6" t="s">
        <v>7537</v>
      </c>
      <c r="C2147" s="6">
        <v>538.0</v>
      </c>
      <c r="D2147" s="9" t="str">
        <f>HYPERLINK("https://www.linkedin.com/ad-library/detail/1502716586","Open Ad")</f>
        <v>Open Ad</v>
      </c>
      <c r="E2147" s="6" t="s">
        <v>7543</v>
      </c>
      <c r="F2147" s="6" t="s">
        <v>53</v>
      </c>
      <c r="G2147" s="6" t="s">
        <v>7550</v>
      </c>
      <c r="H2147" s="6" t="s">
        <v>55</v>
      </c>
      <c r="I2147" s="6" t="s">
        <v>7566</v>
      </c>
      <c r="J2147" s="6" t="s">
        <v>7546</v>
      </c>
      <c r="K2147" s="6" t="s">
        <v>60</v>
      </c>
      <c r="L2147" s="6" t="s">
        <v>131</v>
      </c>
      <c r="M2147" s="6" t="s">
        <v>7537</v>
      </c>
      <c r="N2147" s="6" t="s">
        <v>132</v>
      </c>
      <c r="O2147" s="36" t="s">
        <v>132</v>
      </c>
      <c r="P2147" s="36">
        <v>1.502716586E9</v>
      </c>
      <c r="Q2147" s="36" t="s">
        <v>7541</v>
      </c>
      <c r="R2147" s="6" t="s">
        <v>7542</v>
      </c>
    </row>
    <row r="2148">
      <c r="A2148" s="6" t="s">
        <v>7537</v>
      </c>
      <c r="B2148" s="6" t="s">
        <v>7537</v>
      </c>
      <c r="C2148" s="6">
        <v>539.0</v>
      </c>
      <c r="D2148" s="9" t="str">
        <f>HYPERLINK("https://www.linkedin.com/ad-library/detail/1506511946","Open Ad")</f>
        <v>Open Ad</v>
      </c>
      <c r="E2148" s="6" t="s">
        <v>154</v>
      </c>
      <c r="F2148" s="6" t="s">
        <v>53</v>
      </c>
      <c r="G2148" s="6" t="s">
        <v>7574</v>
      </c>
      <c r="H2148" s="6" t="s">
        <v>55</v>
      </c>
      <c r="I2148" s="6" t="s">
        <v>7566</v>
      </c>
      <c r="J2148" s="6" t="s">
        <v>154</v>
      </c>
      <c r="K2148" s="9" t="str">
        <f>HYPERLINK("https://dms.licdn.com/playlist/vid/v2/D5610AQEYMxfT9huYsg/mp4-640p-30fp-crf28/B56Z9r5IasLABI-/0/1784221579230?e=2147483647&amp;v=beta&amp;t=wqawh6PBQUrCJZJ-XscUNS7gfMgItz12cEfcJuVzzWI","Open Creative")</f>
        <v>Open Creative</v>
      </c>
      <c r="L2148" s="6" t="s">
        <v>131</v>
      </c>
      <c r="M2148" s="6" t="s">
        <v>7537</v>
      </c>
      <c r="N2148" s="6" t="s">
        <v>132</v>
      </c>
      <c r="O2148" s="36" t="s">
        <v>132</v>
      </c>
      <c r="P2148" s="36">
        <v>1.506511946E9</v>
      </c>
      <c r="Q2148" s="36" t="s">
        <v>7541</v>
      </c>
      <c r="R2148" s="6" t="s">
        <v>7542</v>
      </c>
    </row>
    <row r="2149">
      <c r="A2149" s="6" t="s">
        <v>7537</v>
      </c>
      <c r="B2149" s="6" t="s">
        <v>7537</v>
      </c>
      <c r="C2149" s="6">
        <v>540.0</v>
      </c>
      <c r="D2149" s="9" t="str">
        <f>HYPERLINK("https://www.linkedin.com/ad-library/detail/1503035556","Open Ad")</f>
        <v>Open Ad</v>
      </c>
      <c r="E2149" s="6" t="s">
        <v>91</v>
      </c>
      <c r="F2149" s="6" t="s">
        <v>53</v>
      </c>
      <c r="G2149" s="6" t="s">
        <v>7634</v>
      </c>
      <c r="H2149" s="6" t="s">
        <v>55</v>
      </c>
      <c r="I2149" s="6" t="s">
        <v>7566</v>
      </c>
      <c r="J2149" s="6" t="s">
        <v>91</v>
      </c>
      <c r="K2149" s="9" t="str">
        <f>HYPERLINK("https://media.licdn.com/dms/image/v2/D5610AQFMuD6uHJJwJw/image-shrink_1080_1080/B56Z9rTxx5GQAk-/0/1784211774882?e=1789473600&amp;v=beta&amp;t=CKk7a6Yy6hyhx3FGX1hbyEHL8RPXNWYFnLiruDNAutI","Open Creative")</f>
        <v>Open Creative</v>
      </c>
      <c r="L2149" s="6" t="s">
        <v>131</v>
      </c>
      <c r="M2149" s="6" t="s">
        <v>7537</v>
      </c>
      <c r="N2149" s="6" t="s">
        <v>132</v>
      </c>
      <c r="O2149" s="36" t="s">
        <v>132</v>
      </c>
      <c r="P2149" s="36">
        <v>1.503035556E9</v>
      </c>
      <c r="Q2149" s="36" t="s">
        <v>7541</v>
      </c>
      <c r="R2149" s="6" t="s">
        <v>7542</v>
      </c>
    </row>
    <row r="2150">
      <c r="A2150" s="6" t="s">
        <v>7537</v>
      </c>
      <c r="B2150" s="6" t="s">
        <v>7537</v>
      </c>
      <c r="C2150" s="6">
        <v>541.0</v>
      </c>
      <c r="D2150" s="9" t="str">
        <f>HYPERLINK("https://www.linkedin.com/ad-library/detail/1506339326","Open Ad")</f>
        <v>Open Ad</v>
      </c>
      <c r="E2150" s="6" t="s">
        <v>154</v>
      </c>
      <c r="F2150" s="6" t="s">
        <v>53</v>
      </c>
      <c r="G2150" s="6" t="s">
        <v>7574</v>
      </c>
      <c r="H2150" s="6" t="s">
        <v>55</v>
      </c>
      <c r="I2150" s="6" t="s">
        <v>7566</v>
      </c>
      <c r="J2150" s="6" t="s">
        <v>154</v>
      </c>
      <c r="K2150" s="9" t="str">
        <f t="shared" ref="K2150:K2151" si="55">HYPERLINK("https://dms.licdn.com/playlist/vid/v2/D5610AQEYMxfT9huYsg/mp4-640p-30fp-crf28/B56Z9r5IasLABI-/0/1784221579230?e=2147483647&amp;v=beta&amp;t=wqawh6PBQUrCJZJ-XscUNS7gfMgItz12cEfcJuVzzWI","Open Creative")</f>
        <v>Open Creative</v>
      </c>
      <c r="L2150" s="6" t="s">
        <v>131</v>
      </c>
      <c r="M2150" s="6" t="s">
        <v>7537</v>
      </c>
      <c r="N2150" s="6" t="s">
        <v>132</v>
      </c>
      <c r="O2150" s="36" t="s">
        <v>132</v>
      </c>
      <c r="P2150" s="36">
        <v>1.506339326E9</v>
      </c>
      <c r="Q2150" s="36" t="s">
        <v>7541</v>
      </c>
      <c r="R2150" s="6" t="s">
        <v>7542</v>
      </c>
    </row>
    <row r="2151">
      <c r="A2151" s="6" t="s">
        <v>7537</v>
      </c>
      <c r="B2151" s="6" t="s">
        <v>7537</v>
      </c>
      <c r="C2151" s="6">
        <v>542.0</v>
      </c>
      <c r="D2151" s="9" t="str">
        <f>HYPERLINK("https://www.linkedin.com/ad-library/detail/1506348866","Open Ad")</f>
        <v>Open Ad</v>
      </c>
      <c r="E2151" s="6" t="s">
        <v>154</v>
      </c>
      <c r="F2151" s="6" t="s">
        <v>53</v>
      </c>
      <c r="G2151" s="6" t="s">
        <v>7574</v>
      </c>
      <c r="H2151" s="6" t="s">
        <v>55</v>
      </c>
      <c r="I2151" s="6" t="s">
        <v>7566</v>
      </c>
      <c r="J2151" s="6" t="s">
        <v>154</v>
      </c>
      <c r="K2151" s="9" t="str">
        <f t="shared" si="55"/>
        <v>Open Creative</v>
      </c>
      <c r="L2151" s="6" t="s">
        <v>131</v>
      </c>
      <c r="M2151" s="6" t="s">
        <v>7537</v>
      </c>
      <c r="N2151" s="6" t="s">
        <v>132</v>
      </c>
      <c r="O2151" s="36" t="s">
        <v>132</v>
      </c>
      <c r="P2151" s="36">
        <v>1.506348866E9</v>
      </c>
      <c r="Q2151" s="36" t="s">
        <v>7541</v>
      </c>
      <c r="R2151" s="6" t="s">
        <v>7542</v>
      </c>
    </row>
    <row r="2152">
      <c r="A2152" s="6" t="s">
        <v>7537</v>
      </c>
      <c r="B2152" s="6" t="s">
        <v>7537</v>
      </c>
      <c r="C2152" s="6">
        <v>543.0</v>
      </c>
      <c r="D2152" s="9" t="str">
        <f>HYPERLINK("https://www.linkedin.com/ad-library/detail/1502736266","Open Ad")</f>
        <v>Open Ad</v>
      </c>
      <c r="E2152" s="6" t="s">
        <v>91</v>
      </c>
      <c r="F2152" s="6" t="s">
        <v>53</v>
      </c>
      <c r="G2152" s="6" t="s">
        <v>7604</v>
      </c>
      <c r="H2152" s="6" t="s">
        <v>55</v>
      </c>
      <c r="I2152" s="6" t="s">
        <v>7566</v>
      </c>
      <c r="J2152" s="6" t="s">
        <v>91</v>
      </c>
      <c r="K2152" s="6" t="s">
        <v>60</v>
      </c>
      <c r="L2152" s="6" t="s">
        <v>131</v>
      </c>
      <c r="M2152" s="6" t="s">
        <v>7537</v>
      </c>
      <c r="N2152" s="6" t="s">
        <v>132</v>
      </c>
      <c r="O2152" s="36" t="s">
        <v>132</v>
      </c>
      <c r="P2152" s="36">
        <v>1.502736266E9</v>
      </c>
      <c r="Q2152" s="36" t="s">
        <v>7541</v>
      </c>
      <c r="R2152" s="6" t="s">
        <v>7542</v>
      </c>
    </row>
    <row r="2153">
      <c r="A2153" s="6" t="s">
        <v>7537</v>
      </c>
      <c r="B2153" s="6" t="s">
        <v>7537</v>
      </c>
      <c r="C2153" s="6">
        <v>544.0</v>
      </c>
      <c r="D2153" s="9" t="str">
        <f>HYPERLINK("https://www.linkedin.com/ad-library/detail/1502686966","Open Ad")</f>
        <v>Open Ad</v>
      </c>
      <c r="E2153" s="6" t="s">
        <v>91</v>
      </c>
      <c r="F2153" s="6" t="s">
        <v>53</v>
      </c>
      <c r="G2153" s="6" t="s">
        <v>7578</v>
      </c>
      <c r="H2153" s="6" t="s">
        <v>55</v>
      </c>
      <c r="I2153" s="6" t="s">
        <v>7566</v>
      </c>
      <c r="J2153" s="6" t="s">
        <v>91</v>
      </c>
      <c r="K2153" s="6" t="s">
        <v>60</v>
      </c>
      <c r="L2153" s="6" t="s">
        <v>131</v>
      </c>
      <c r="M2153" s="6" t="s">
        <v>7537</v>
      </c>
      <c r="N2153" s="6" t="s">
        <v>132</v>
      </c>
      <c r="O2153" s="36" t="s">
        <v>132</v>
      </c>
      <c r="P2153" s="36">
        <v>1.502686966E9</v>
      </c>
      <c r="Q2153" s="36" t="s">
        <v>7541</v>
      </c>
      <c r="R2153" s="6" t="s">
        <v>7542</v>
      </c>
    </row>
    <row r="2154">
      <c r="A2154" s="6" t="s">
        <v>7537</v>
      </c>
      <c r="B2154" s="6" t="s">
        <v>7537</v>
      </c>
      <c r="C2154" s="6">
        <v>545.0</v>
      </c>
      <c r="D2154" s="9" t="str">
        <f>HYPERLINK("https://www.linkedin.com/ad-library/detail/1502794666","Open Ad")</f>
        <v>Open Ad</v>
      </c>
      <c r="E2154" s="6" t="s">
        <v>91</v>
      </c>
      <c r="F2154" s="6" t="s">
        <v>53</v>
      </c>
      <c r="G2154" s="6" t="s">
        <v>7576</v>
      </c>
      <c r="H2154" s="6" t="s">
        <v>55</v>
      </c>
      <c r="I2154" s="6" t="s">
        <v>7566</v>
      </c>
      <c r="J2154" s="6" t="s">
        <v>91</v>
      </c>
      <c r="K2154" s="6" t="s">
        <v>60</v>
      </c>
      <c r="L2154" s="6" t="s">
        <v>131</v>
      </c>
      <c r="M2154" s="6" t="s">
        <v>7537</v>
      </c>
      <c r="N2154" s="6" t="s">
        <v>132</v>
      </c>
      <c r="O2154" s="36" t="s">
        <v>132</v>
      </c>
      <c r="P2154" s="36">
        <v>1.502794666E9</v>
      </c>
      <c r="Q2154" s="36" t="s">
        <v>7541</v>
      </c>
      <c r="R2154" s="6" t="s">
        <v>7542</v>
      </c>
    </row>
    <row r="2155">
      <c r="A2155" s="6" t="s">
        <v>7537</v>
      </c>
      <c r="B2155" s="6" t="s">
        <v>7537</v>
      </c>
      <c r="C2155" s="6">
        <v>546.0</v>
      </c>
      <c r="D2155" s="9" t="str">
        <f>HYPERLINK("https://www.linkedin.com/ad-library/detail/1506328616","Open Ad")</f>
        <v>Open Ad</v>
      </c>
      <c r="E2155" s="6" t="s">
        <v>154</v>
      </c>
      <c r="F2155" s="6" t="s">
        <v>53</v>
      </c>
      <c r="G2155" s="6" t="s">
        <v>7574</v>
      </c>
      <c r="H2155" s="6" t="s">
        <v>55</v>
      </c>
      <c r="I2155" s="6" t="s">
        <v>7566</v>
      </c>
      <c r="J2155" s="6" t="s">
        <v>154</v>
      </c>
      <c r="K2155" s="9" t="str">
        <f>HYPERLINK("https://dms.licdn.com/playlist/vid/v2/D5610AQEYMxfT9huYsg/mp4-640p-30fp-crf28/B56Z9r5IasLABI-/0/1784221579230?e=2147483647&amp;v=beta&amp;t=wqawh6PBQUrCJZJ-XscUNS7gfMgItz12cEfcJuVzzWI","Open Creative")</f>
        <v>Open Creative</v>
      </c>
      <c r="L2155" s="6" t="s">
        <v>131</v>
      </c>
      <c r="M2155" s="6" t="s">
        <v>7537</v>
      </c>
      <c r="N2155" s="6" t="s">
        <v>132</v>
      </c>
      <c r="O2155" s="36" t="s">
        <v>132</v>
      </c>
      <c r="P2155" s="36">
        <v>1.506328616E9</v>
      </c>
      <c r="Q2155" s="36" t="s">
        <v>7541</v>
      </c>
      <c r="R2155" s="6" t="s">
        <v>7542</v>
      </c>
    </row>
    <row r="2156">
      <c r="A2156" s="6" t="s">
        <v>7537</v>
      </c>
      <c r="B2156" s="6" t="s">
        <v>7537</v>
      </c>
      <c r="C2156" s="6">
        <v>547.0</v>
      </c>
      <c r="D2156" s="9" t="str">
        <f>HYPERLINK("https://www.linkedin.com/ad-library/detail/1502843116","Open Ad")</f>
        <v>Open Ad</v>
      </c>
      <c r="E2156" s="6" t="s">
        <v>91</v>
      </c>
      <c r="F2156" s="6" t="s">
        <v>53</v>
      </c>
      <c r="G2156" s="6" t="s">
        <v>7575</v>
      </c>
      <c r="H2156" s="6" t="s">
        <v>55</v>
      </c>
      <c r="I2156" s="6" t="s">
        <v>7566</v>
      </c>
      <c r="J2156" s="6" t="s">
        <v>91</v>
      </c>
      <c r="K2156" s="6" t="s">
        <v>60</v>
      </c>
      <c r="L2156" s="6" t="s">
        <v>131</v>
      </c>
      <c r="M2156" s="6" t="s">
        <v>7537</v>
      </c>
      <c r="N2156" s="6" t="s">
        <v>132</v>
      </c>
      <c r="O2156" s="36" t="s">
        <v>132</v>
      </c>
      <c r="P2156" s="36">
        <v>1.502843116E9</v>
      </c>
      <c r="Q2156" s="36" t="s">
        <v>7541</v>
      </c>
      <c r="R2156" s="6" t="s">
        <v>7542</v>
      </c>
    </row>
    <row r="2157">
      <c r="A2157" s="6" t="s">
        <v>7537</v>
      </c>
      <c r="B2157" s="6" t="s">
        <v>7537</v>
      </c>
      <c r="C2157" s="6">
        <v>548.0</v>
      </c>
      <c r="D2157" s="9" t="str">
        <f>HYPERLINK("https://www.linkedin.com/ad-library/detail/1502766066","Open Ad")</f>
        <v>Open Ad</v>
      </c>
      <c r="E2157" s="6" t="s">
        <v>7543</v>
      </c>
      <c r="F2157" s="6" t="s">
        <v>53</v>
      </c>
      <c r="G2157" s="6" t="s">
        <v>7569</v>
      </c>
      <c r="H2157" s="6" t="s">
        <v>55</v>
      </c>
      <c r="I2157" s="6" t="s">
        <v>7566</v>
      </c>
      <c r="J2157" s="6" t="s">
        <v>7546</v>
      </c>
      <c r="K2157" s="6" t="s">
        <v>60</v>
      </c>
      <c r="L2157" s="6" t="s">
        <v>131</v>
      </c>
      <c r="M2157" s="6" t="s">
        <v>7537</v>
      </c>
      <c r="N2157" s="6" t="s">
        <v>132</v>
      </c>
      <c r="O2157" s="36" t="s">
        <v>132</v>
      </c>
      <c r="P2157" s="36">
        <v>1.502766066E9</v>
      </c>
      <c r="Q2157" s="36" t="s">
        <v>7541</v>
      </c>
      <c r="R2157" s="6" t="s">
        <v>7542</v>
      </c>
    </row>
    <row r="2158">
      <c r="A2158" s="6" t="s">
        <v>7537</v>
      </c>
      <c r="B2158" s="6" t="s">
        <v>7537</v>
      </c>
      <c r="C2158" s="6">
        <v>549.0</v>
      </c>
      <c r="D2158" s="9" t="str">
        <f>HYPERLINK("https://www.linkedin.com/ad-library/detail/1503120976","Open Ad")</f>
        <v>Open Ad</v>
      </c>
      <c r="E2158" s="6" t="s">
        <v>91</v>
      </c>
      <c r="F2158" s="6" t="s">
        <v>53</v>
      </c>
      <c r="G2158" s="6" t="s">
        <v>7635</v>
      </c>
      <c r="H2158" s="6" t="s">
        <v>55</v>
      </c>
      <c r="I2158" s="6" t="s">
        <v>7566</v>
      </c>
      <c r="J2158" s="6" t="s">
        <v>91</v>
      </c>
      <c r="K2158" s="9" t="str">
        <f>HYPERLINK("https://media.licdn.com/dms/image/v2/D5610AQF4moV-mpkdDg/image-shrink_1080_1080/B56Z89.4.EIoAk-/0/1783451324580?e=1789473600&amp;v=beta&amp;t=e3l6rPeExnsQya1vJ5CgS3NArYFATmVPvvijFtKvBPA","Open Creative")</f>
        <v>Open Creative</v>
      </c>
      <c r="L2158" s="6" t="s">
        <v>131</v>
      </c>
      <c r="M2158" s="6" t="s">
        <v>7537</v>
      </c>
      <c r="N2158" s="6" t="s">
        <v>132</v>
      </c>
      <c r="O2158" s="36" t="s">
        <v>132</v>
      </c>
      <c r="P2158" s="36">
        <v>1.503120976E9</v>
      </c>
      <c r="Q2158" s="36" t="s">
        <v>7541</v>
      </c>
      <c r="R2158" s="6" t="s">
        <v>7542</v>
      </c>
    </row>
    <row r="2159">
      <c r="A2159" s="6" t="s">
        <v>7537</v>
      </c>
      <c r="B2159" s="6" t="s">
        <v>7537</v>
      </c>
      <c r="C2159" s="6">
        <v>550.0</v>
      </c>
      <c r="D2159" s="9" t="str">
        <f>HYPERLINK("https://www.linkedin.com/ad-library/detail/1502843146","Open Ad")</f>
        <v>Open Ad</v>
      </c>
      <c r="E2159" s="6" t="s">
        <v>7543</v>
      </c>
      <c r="F2159" s="6" t="s">
        <v>53</v>
      </c>
      <c r="G2159" s="6" t="s">
        <v>7569</v>
      </c>
      <c r="H2159" s="6" t="s">
        <v>55</v>
      </c>
      <c r="I2159" s="6" t="s">
        <v>7566</v>
      </c>
      <c r="J2159" s="6" t="s">
        <v>7546</v>
      </c>
      <c r="K2159" s="6" t="s">
        <v>60</v>
      </c>
      <c r="L2159" s="6" t="s">
        <v>131</v>
      </c>
      <c r="M2159" s="6" t="s">
        <v>7537</v>
      </c>
      <c r="N2159" s="6" t="s">
        <v>132</v>
      </c>
      <c r="O2159" s="36" t="s">
        <v>132</v>
      </c>
      <c r="P2159" s="36">
        <v>1.502843146E9</v>
      </c>
      <c r="Q2159" s="36" t="s">
        <v>7541</v>
      </c>
      <c r="R2159" s="6" t="s">
        <v>7542</v>
      </c>
    </row>
    <row r="2160">
      <c r="A2160" s="6" t="s">
        <v>7537</v>
      </c>
      <c r="B2160" s="6" t="s">
        <v>7537</v>
      </c>
      <c r="C2160" s="6">
        <v>551.0</v>
      </c>
      <c r="D2160" s="9" t="str">
        <f>HYPERLINK("https://www.linkedin.com/ad-library/detail/1506377056","Open Ad")</f>
        <v>Open Ad</v>
      </c>
      <c r="E2160" s="6" t="s">
        <v>154</v>
      </c>
      <c r="F2160" s="6" t="s">
        <v>53</v>
      </c>
      <c r="G2160" s="6" t="s">
        <v>7574</v>
      </c>
      <c r="H2160" s="6" t="s">
        <v>55</v>
      </c>
      <c r="I2160" s="6" t="s">
        <v>7566</v>
      </c>
      <c r="J2160" s="6" t="s">
        <v>154</v>
      </c>
      <c r="K2160" s="9" t="str">
        <f>HYPERLINK("https://dms.licdn.com/playlist/vid/v2/D5610AQEYMxfT9huYsg/mp4-640p-30fp-crf28/B56Z9r5IasLABI-/0/1784221579230?e=2147483647&amp;v=beta&amp;t=wqawh6PBQUrCJZJ-XscUNS7gfMgItz12cEfcJuVzzWI","Open Creative")</f>
        <v>Open Creative</v>
      </c>
      <c r="L2160" s="6" t="s">
        <v>131</v>
      </c>
      <c r="M2160" s="6" t="s">
        <v>7537</v>
      </c>
      <c r="N2160" s="6" t="s">
        <v>132</v>
      </c>
      <c r="O2160" s="36" t="s">
        <v>132</v>
      </c>
      <c r="P2160" s="36">
        <v>1.506377056E9</v>
      </c>
      <c r="Q2160" s="36" t="s">
        <v>7541</v>
      </c>
      <c r="R2160" s="6" t="s">
        <v>7542</v>
      </c>
    </row>
    <row r="2161">
      <c r="A2161" s="6" t="s">
        <v>7537</v>
      </c>
      <c r="B2161" s="6" t="s">
        <v>7537</v>
      </c>
      <c r="C2161" s="6">
        <v>552.0</v>
      </c>
      <c r="D2161" s="9" t="str">
        <f>HYPERLINK("https://www.linkedin.com/ad-library/detail/1502716536","Open Ad")</f>
        <v>Open Ad</v>
      </c>
      <c r="E2161" s="6" t="s">
        <v>91</v>
      </c>
      <c r="F2161" s="6" t="s">
        <v>53</v>
      </c>
      <c r="G2161" s="6" t="s">
        <v>7578</v>
      </c>
      <c r="H2161" s="6" t="s">
        <v>55</v>
      </c>
      <c r="I2161" s="6" t="s">
        <v>7566</v>
      </c>
      <c r="J2161" s="6" t="s">
        <v>91</v>
      </c>
      <c r="K2161" s="6" t="s">
        <v>60</v>
      </c>
      <c r="L2161" s="6" t="s">
        <v>131</v>
      </c>
      <c r="M2161" s="6" t="s">
        <v>7537</v>
      </c>
      <c r="N2161" s="6" t="s">
        <v>132</v>
      </c>
      <c r="O2161" s="36" t="s">
        <v>132</v>
      </c>
      <c r="P2161" s="36">
        <v>1.502716536E9</v>
      </c>
      <c r="Q2161" s="36" t="s">
        <v>7541</v>
      </c>
      <c r="R2161" s="6" t="s">
        <v>7542</v>
      </c>
    </row>
    <row r="2162">
      <c r="A2162" s="6" t="s">
        <v>7537</v>
      </c>
      <c r="B2162" s="6" t="s">
        <v>7537</v>
      </c>
      <c r="C2162" s="6">
        <v>553.0</v>
      </c>
      <c r="D2162" s="9" t="str">
        <f>HYPERLINK("https://www.linkedin.com/ad-library/detail/1502726696","Open Ad")</f>
        <v>Open Ad</v>
      </c>
      <c r="E2162" s="6" t="s">
        <v>91</v>
      </c>
      <c r="F2162" s="6" t="s">
        <v>53</v>
      </c>
      <c r="G2162" s="6" t="s">
        <v>7636</v>
      </c>
      <c r="H2162" s="6" t="s">
        <v>55</v>
      </c>
      <c r="I2162" s="6" t="s">
        <v>7566</v>
      </c>
      <c r="J2162" s="6" t="s">
        <v>91</v>
      </c>
      <c r="K2162" s="9" t="str">
        <f>HYPERLINK("https://media.licdn.com/dms/image/v2/D5610AQFoFyqJ3g7Log/image-shrink_1280/B56Z9h_Mo.HUAc-/0/1784055385012?e=2147483647&amp;v=beta&amp;t=ahLhwf3XzHon78cEKdnNDmivIzsNgm82MjqmREwyCIw","Open Creative")</f>
        <v>Open Creative</v>
      </c>
      <c r="L2162" s="6" t="s">
        <v>131</v>
      </c>
      <c r="M2162" s="6" t="s">
        <v>7537</v>
      </c>
      <c r="N2162" s="6" t="s">
        <v>132</v>
      </c>
      <c r="O2162" s="36" t="s">
        <v>132</v>
      </c>
      <c r="P2162" s="36">
        <v>1.502726696E9</v>
      </c>
      <c r="Q2162" s="36" t="s">
        <v>7541</v>
      </c>
      <c r="R2162" s="6" t="s">
        <v>7542</v>
      </c>
    </row>
    <row r="2163">
      <c r="A2163" s="6" t="s">
        <v>7537</v>
      </c>
      <c r="B2163" s="6" t="s">
        <v>7537</v>
      </c>
      <c r="C2163" s="6">
        <v>554.0</v>
      </c>
      <c r="D2163" s="9" t="str">
        <f>HYPERLINK("https://www.linkedin.com/ad-library/detail/1502668026","Open Ad")</f>
        <v>Open Ad</v>
      </c>
      <c r="E2163" s="6" t="s">
        <v>91</v>
      </c>
      <c r="F2163" s="6" t="s">
        <v>53</v>
      </c>
      <c r="G2163" s="6" t="s">
        <v>7624</v>
      </c>
      <c r="H2163" s="6" t="s">
        <v>55</v>
      </c>
      <c r="I2163" s="6" t="s">
        <v>7566</v>
      </c>
      <c r="J2163" s="6" t="s">
        <v>91</v>
      </c>
      <c r="K2163" s="9" t="str">
        <f>HYPERLINK("https://media.licdn.com/dms/image/v2/D5610AQHWN3cBgpsrZA/image-shrink_1280/B56Z8ThVnqLAAc-/0/1782738934569?e=2147483647&amp;v=beta&amp;t=A-Y9kI8t-vvKXU86I3eo4Ke7-nBQGOwNbp_-WJGBzdU","Open Creative")</f>
        <v>Open Creative</v>
      </c>
      <c r="L2163" s="6" t="s">
        <v>131</v>
      </c>
      <c r="M2163" s="6" t="s">
        <v>7537</v>
      </c>
      <c r="N2163" s="6" t="s">
        <v>132</v>
      </c>
      <c r="O2163" s="36" t="s">
        <v>132</v>
      </c>
      <c r="P2163" s="36">
        <v>1.502668026E9</v>
      </c>
      <c r="Q2163" s="36" t="s">
        <v>7541</v>
      </c>
      <c r="R2163" s="6" t="s">
        <v>7542</v>
      </c>
    </row>
    <row r="2164">
      <c r="A2164" s="6" t="s">
        <v>7537</v>
      </c>
      <c r="B2164" s="6" t="s">
        <v>7537</v>
      </c>
      <c r="C2164" s="6">
        <v>555.0</v>
      </c>
      <c r="D2164" s="9" t="str">
        <f>HYPERLINK("https://www.linkedin.com/ad-library/detail/1502823936","Open Ad")</f>
        <v>Open Ad</v>
      </c>
      <c r="E2164" s="6" t="s">
        <v>154</v>
      </c>
      <c r="F2164" s="6" t="s">
        <v>53</v>
      </c>
      <c r="G2164" s="6" t="s">
        <v>7637</v>
      </c>
      <c r="H2164" s="6" t="s">
        <v>55</v>
      </c>
      <c r="I2164" s="6" t="s">
        <v>7566</v>
      </c>
      <c r="J2164" s="6" t="s">
        <v>154</v>
      </c>
      <c r="K2164" s="9" t="str">
        <f>HYPERLINK("https://dms.licdn.com/playlist/vid/v2/D5610AQGPpIHkVJhCaA/mp4-640p-30fp-crf28/B56Z83aF5UG4BI-/0/1783341024306?e=2147483647&amp;v=beta&amp;t=6aPscOhwfZC6LVqbrnkx1wzDAaGeDks-p4lXPr_L8Fs","Open Creative")</f>
        <v>Open Creative</v>
      </c>
      <c r="L2164" s="6" t="s">
        <v>131</v>
      </c>
      <c r="M2164" s="6" t="s">
        <v>7537</v>
      </c>
      <c r="N2164" s="6" t="s">
        <v>132</v>
      </c>
      <c r="O2164" s="36" t="s">
        <v>132</v>
      </c>
      <c r="P2164" s="36">
        <v>1.502823936E9</v>
      </c>
      <c r="Q2164" s="36" t="s">
        <v>7541</v>
      </c>
      <c r="R2164" s="6" t="s">
        <v>7542</v>
      </c>
    </row>
    <row r="2165">
      <c r="A2165" s="6" t="s">
        <v>7537</v>
      </c>
      <c r="B2165" s="6" t="s">
        <v>7537</v>
      </c>
      <c r="C2165" s="6">
        <v>556.0</v>
      </c>
      <c r="D2165" s="9" t="str">
        <f>HYPERLINK("https://www.linkedin.com/ad-library/detail/1502870786","Open Ad")</f>
        <v>Open Ad</v>
      </c>
      <c r="E2165" s="6" t="s">
        <v>91</v>
      </c>
      <c r="F2165" s="6" t="s">
        <v>53</v>
      </c>
      <c r="G2165" s="6" t="s">
        <v>7591</v>
      </c>
      <c r="H2165" s="6" t="s">
        <v>55</v>
      </c>
      <c r="I2165" s="6" t="s">
        <v>7566</v>
      </c>
      <c r="J2165" s="6" t="s">
        <v>91</v>
      </c>
      <c r="K2165" s="9" t="str">
        <f>HYPERLINK("https://media.licdn.com/dms/image/v2/D5610AQFapQuTs5RyQg/image-shrink_1280/B56Z9h_6UCGcAg-/0/1784055572538?e=2147483647&amp;v=beta&amp;t=Kv2jNpyAeREV8VRiJojr6bkYk7Ofuq0wj6IaFzQHYEU","Open Creative")</f>
        <v>Open Creative</v>
      </c>
      <c r="L2165" s="6" t="s">
        <v>131</v>
      </c>
      <c r="M2165" s="6" t="s">
        <v>7537</v>
      </c>
      <c r="N2165" s="6" t="s">
        <v>132</v>
      </c>
      <c r="O2165" s="36" t="s">
        <v>132</v>
      </c>
      <c r="P2165" s="36">
        <v>1.502870786E9</v>
      </c>
      <c r="Q2165" s="36" t="s">
        <v>7541</v>
      </c>
      <c r="R2165" s="6" t="s">
        <v>7542</v>
      </c>
    </row>
    <row r="2166">
      <c r="A2166" s="6" t="s">
        <v>7537</v>
      </c>
      <c r="B2166" s="6" t="s">
        <v>7537</v>
      </c>
      <c r="C2166" s="6">
        <v>557.0</v>
      </c>
      <c r="D2166" s="9" t="str">
        <f>HYPERLINK("https://www.linkedin.com/ad-library/detail/1502746536","Open Ad")</f>
        <v>Open Ad</v>
      </c>
      <c r="E2166" s="6" t="s">
        <v>154</v>
      </c>
      <c r="F2166" s="6" t="s">
        <v>53</v>
      </c>
      <c r="G2166" s="6" t="s">
        <v>7582</v>
      </c>
      <c r="H2166" s="6" t="s">
        <v>55</v>
      </c>
      <c r="I2166" s="6" t="s">
        <v>7566</v>
      </c>
      <c r="J2166" s="6" t="s">
        <v>154</v>
      </c>
      <c r="K2166" s="9" t="str">
        <f>HYPERLINK("https://dms.licdn.com/playlist/vid/v2/D5610AQHCJpD_4X3r0w/mp4-360p-30fp-crf28/B56Z8jGxPuG0Bg-/0/1783000416146?e=2147483647&amp;v=beta&amp;t=buNqytXIKQbDSPmN-gF0MjkJ-TiOGUHb02s8kF2cYZo","Open Creative")</f>
        <v>Open Creative</v>
      </c>
      <c r="L2166" s="6" t="s">
        <v>131</v>
      </c>
      <c r="M2166" s="6" t="s">
        <v>7537</v>
      </c>
      <c r="N2166" s="6" t="s">
        <v>132</v>
      </c>
      <c r="O2166" s="36" t="s">
        <v>132</v>
      </c>
      <c r="P2166" s="36">
        <v>1.502746536E9</v>
      </c>
      <c r="Q2166" s="36" t="s">
        <v>7541</v>
      </c>
      <c r="R2166" s="6" t="s">
        <v>7542</v>
      </c>
    </row>
    <row r="2167">
      <c r="A2167" s="6" t="s">
        <v>7537</v>
      </c>
      <c r="B2167" s="6" t="s">
        <v>7537</v>
      </c>
      <c r="C2167" s="6">
        <v>558.0</v>
      </c>
      <c r="D2167" s="9" t="str">
        <f>HYPERLINK("https://www.linkedin.com/ad-library/detail/1502706786","Open Ad")</f>
        <v>Open Ad</v>
      </c>
      <c r="E2167" s="6" t="s">
        <v>154</v>
      </c>
      <c r="F2167" s="6" t="s">
        <v>53</v>
      </c>
      <c r="G2167" s="6" t="s">
        <v>7581</v>
      </c>
      <c r="H2167" s="6" t="s">
        <v>55</v>
      </c>
      <c r="I2167" s="6" t="s">
        <v>7566</v>
      </c>
      <c r="J2167" s="6" t="s">
        <v>154</v>
      </c>
      <c r="K2167" s="9" t="str">
        <f>HYPERLINK("https://dms.licdn.com/playlist/vid/v2/D4E10AQFbU42CgG1Z7g/mp4-720p-30fp-crf28/B4EZ6E1cjuIkBk-/0/1780345071320?e=2147483647&amp;v=beta&amp;t=lm4Raasi9Hn2k_Jca5TAGdFZZmL4wlksoW4hHU6e3XU","Open Creative")</f>
        <v>Open Creative</v>
      </c>
      <c r="L2167" s="6" t="s">
        <v>131</v>
      </c>
      <c r="M2167" s="6" t="s">
        <v>7537</v>
      </c>
      <c r="N2167" s="6" t="s">
        <v>132</v>
      </c>
      <c r="O2167" s="36" t="s">
        <v>132</v>
      </c>
      <c r="P2167" s="36">
        <v>1.502706786E9</v>
      </c>
      <c r="Q2167" s="36" t="s">
        <v>7541</v>
      </c>
      <c r="R2167" s="6" t="s">
        <v>7542</v>
      </c>
    </row>
    <row r="2168">
      <c r="A2168" s="6" t="s">
        <v>7537</v>
      </c>
      <c r="B2168" s="6" t="s">
        <v>7537</v>
      </c>
      <c r="C2168" s="6">
        <v>559.0</v>
      </c>
      <c r="D2168" s="9" t="str">
        <f>HYPERLINK("https://www.linkedin.com/ad-library/detail/1502765936","Open Ad")</f>
        <v>Open Ad</v>
      </c>
      <c r="E2168" s="6" t="s">
        <v>91</v>
      </c>
      <c r="F2168" s="6" t="s">
        <v>53</v>
      </c>
      <c r="G2168" s="6" t="s">
        <v>7636</v>
      </c>
      <c r="H2168" s="6" t="s">
        <v>55</v>
      </c>
      <c r="I2168" s="6" t="s">
        <v>7566</v>
      </c>
      <c r="J2168" s="6" t="s">
        <v>91</v>
      </c>
      <c r="K2168" s="9" t="str">
        <f>HYPERLINK("https://media.licdn.com/dms/image/v2/D5610AQFoFyqJ3g7Log/image-shrink_1280/B56Z9h_Mo.HUAc-/0/1784055385012?e=2147483647&amp;v=beta&amp;t=ahLhwf3XzHon78cEKdnNDmivIzsNgm82MjqmREwyCIw","Open Creative")</f>
        <v>Open Creative</v>
      </c>
      <c r="L2168" s="6" t="s">
        <v>131</v>
      </c>
      <c r="M2168" s="6" t="s">
        <v>7537</v>
      </c>
      <c r="N2168" s="6" t="s">
        <v>132</v>
      </c>
      <c r="O2168" s="36" t="s">
        <v>132</v>
      </c>
      <c r="P2168" s="36">
        <v>1.502765936E9</v>
      </c>
      <c r="Q2168" s="36" t="s">
        <v>7541</v>
      </c>
      <c r="R2168" s="6" t="s">
        <v>7542</v>
      </c>
    </row>
    <row r="2169">
      <c r="A2169" s="6" t="s">
        <v>7537</v>
      </c>
      <c r="B2169" s="6" t="s">
        <v>7537</v>
      </c>
      <c r="C2169" s="6">
        <v>560.0</v>
      </c>
      <c r="D2169" s="9" t="str">
        <f>HYPERLINK("https://www.linkedin.com/ad-library/detail/1502870776","Open Ad")</f>
        <v>Open Ad</v>
      </c>
      <c r="E2169" s="6" t="s">
        <v>154</v>
      </c>
      <c r="F2169" s="6" t="s">
        <v>53</v>
      </c>
      <c r="G2169" s="6" t="s">
        <v>7638</v>
      </c>
      <c r="H2169" s="6" t="s">
        <v>55</v>
      </c>
      <c r="I2169" s="6" t="s">
        <v>7566</v>
      </c>
      <c r="J2169" s="6" t="s">
        <v>154</v>
      </c>
      <c r="K2169" s="9" t="str">
        <f>HYPERLINK("https://dms.licdn.com/playlist/vid/v2/D4E10AQHnB83vIjfNvw/mp4-720p-30fp-crf28/B4EZ2Mv_NUIwCA-/0/1776182899083?e=2147483647&amp;v=beta&amp;t=nwcHAIB3FZdkl9NAtwlYsm_4VdxfPzV34i_gMRpBVio","Open Creative")</f>
        <v>Open Creative</v>
      </c>
      <c r="L2169" s="6" t="s">
        <v>131</v>
      </c>
      <c r="M2169" s="6" t="s">
        <v>7537</v>
      </c>
      <c r="N2169" s="6" t="s">
        <v>132</v>
      </c>
      <c r="O2169" s="36" t="s">
        <v>132</v>
      </c>
      <c r="P2169" s="36">
        <v>1.502870776E9</v>
      </c>
      <c r="Q2169" s="36" t="s">
        <v>7541</v>
      </c>
      <c r="R2169" s="6" t="s">
        <v>7542</v>
      </c>
    </row>
    <row r="2170">
      <c r="A2170" s="6" t="s">
        <v>7537</v>
      </c>
      <c r="B2170" s="6" t="s">
        <v>7537</v>
      </c>
      <c r="C2170" s="6">
        <v>561.0</v>
      </c>
      <c r="D2170" s="9" t="str">
        <f>HYPERLINK("https://www.linkedin.com/ad-library/detail/1502765946","Open Ad")</f>
        <v>Open Ad</v>
      </c>
      <c r="E2170" s="6" t="s">
        <v>91</v>
      </c>
      <c r="F2170" s="6" t="s">
        <v>53</v>
      </c>
      <c r="G2170" s="6" t="s">
        <v>7639</v>
      </c>
      <c r="H2170" s="6" t="s">
        <v>55</v>
      </c>
      <c r="I2170" s="6" t="s">
        <v>7566</v>
      </c>
      <c r="J2170" s="6" t="s">
        <v>91</v>
      </c>
      <c r="K2170" s="9" t="str">
        <f>HYPERLINK("https://media.licdn.com/dms/image/v2/D5610AQH3M2r-dN7_nA/image-shrink_1280/B56Z9MoPl0KEAg-/0/1783697046612?e=2147483647&amp;v=beta&amp;t=GCdSRI774vIlwuKc0JleptYCxEUXt22sxid6mhQ-ZRs","Open Creative")</f>
        <v>Open Creative</v>
      </c>
      <c r="L2170" s="6" t="s">
        <v>131</v>
      </c>
      <c r="M2170" s="6" t="s">
        <v>7537</v>
      </c>
      <c r="N2170" s="6" t="s">
        <v>132</v>
      </c>
      <c r="O2170" s="36" t="s">
        <v>132</v>
      </c>
      <c r="P2170" s="36">
        <v>1.502765946E9</v>
      </c>
      <c r="Q2170" s="36" t="s">
        <v>7541</v>
      </c>
      <c r="R2170" s="6" t="s">
        <v>7542</v>
      </c>
    </row>
    <row r="2171">
      <c r="A2171" s="6" t="s">
        <v>7537</v>
      </c>
      <c r="B2171" s="6" t="s">
        <v>7537</v>
      </c>
      <c r="C2171" s="6">
        <v>562.0</v>
      </c>
      <c r="D2171" s="9" t="str">
        <f>HYPERLINK("https://www.linkedin.com/ad-library/detail/1502843086","Open Ad")</f>
        <v>Open Ad</v>
      </c>
      <c r="E2171" s="6" t="s">
        <v>154</v>
      </c>
      <c r="F2171" s="6" t="s">
        <v>53</v>
      </c>
      <c r="G2171" s="6" t="s">
        <v>7640</v>
      </c>
      <c r="H2171" s="6" t="s">
        <v>55</v>
      </c>
      <c r="I2171" s="6" t="s">
        <v>7566</v>
      </c>
      <c r="J2171" s="6" t="s">
        <v>154</v>
      </c>
      <c r="K2171" s="9" t="str">
        <f>HYPERLINK("https://dms.licdn.com/playlist/vid/v2/D4E05AQEZIBMQ5dvMiw/mp4-640p-30fp-crf28/B4EZq7fWtpGcB0-/0/1764082160741?e=2147483647&amp;v=beta&amp;t=XFL1jBqfg-_iulKKPx99xtiUuPTR1oKXosCHSzSTLSs","Open Creative")</f>
        <v>Open Creative</v>
      </c>
      <c r="L2171" s="6" t="s">
        <v>131</v>
      </c>
      <c r="M2171" s="6" t="s">
        <v>7537</v>
      </c>
      <c r="N2171" s="6" t="s">
        <v>132</v>
      </c>
      <c r="O2171" s="36" t="s">
        <v>132</v>
      </c>
      <c r="P2171" s="36">
        <v>1.502843086E9</v>
      </c>
      <c r="Q2171" s="36" t="s">
        <v>7541</v>
      </c>
      <c r="R2171" s="6" t="s">
        <v>7542</v>
      </c>
    </row>
    <row r="2172">
      <c r="A2172" s="6" t="s">
        <v>7537</v>
      </c>
      <c r="B2172" s="6" t="s">
        <v>7537</v>
      </c>
      <c r="C2172" s="6">
        <v>563.0</v>
      </c>
      <c r="D2172" s="9" t="str">
        <f>HYPERLINK("https://www.linkedin.com/ad-library/detail/1502686936","Open Ad")</f>
        <v>Open Ad</v>
      </c>
      <c r="E2172" s="6" t="s">
        <v>91</v>
      </c>
      <c r="F2172" s="6" t="s">
        <v>53</v>
      </c>
      <c r="G2172" s="6" t="s">
        <v>7624</v>
      </c>
      <c r="H2172" s="6" t="s">
        <v>55</v>
      </c>
      <c r="I2172" s="6" t="s">
        <v>7566</v>
      </c>
      <c r="J2172" s="6" t="s">
        <v>91</v>
      </c>
      <c r="K2172" s="9" t="str">
        <f>HYPERLINK("https://media.licdn.com/dms/image/v2/D5610AQHWN3cBgpsrZA/image-shrink_1280/B56Z8ThVnqLAAc-/0/1782738934569?e=2147483647&amp;v=beta&amp;t=A-Y9kI8t-vvKXU86I3eo4Ke7-nBQGOwNbp_-WJGBzdU","Open Creative")</f>
        <v>Open Creative</v>
      </c>
      <c r="L2172" s="6" t="s">
        <v>131</v>
      </c>
      <c r="M2172" s="6" t="s">
        <v>7537</v>
      </c>
      <c r="N2172" s="6" t="s">
        <v>132</v>
      </c>
      <c r="O2172" s="36" t="s">
        <v>132</v>
      </c>
      <c r="P2172" s="36">
        <v>1.502686936E9</v>
      </c>
      <c r="Q2172" s="36" t="s">
        <v>7541</v>
      </c>
      <c r="R2172" s="6" t="s">
        <v>7542</v>
      </c>
    </row>
    <row r="2173">
      <c r="A2173" s="6" t="s">
        <v>7537</v>
      </c>
      <c r="B2173" s="6" t="s">
        <v>7537</v>
      </c>
      <c r="C2173" s="6">
        <v>564.0</v>
      </c>
      <c r="D2173" s="9" t="str">
        <f>HYPERLINK("https://www.linkedin.com/ad-library/detail/1502843066","Open Ad")</f>
        <v>Open Ad</v>
      </c>
      <c r="E2173" s="6" t="s">
        <v>91</v>
      </c>
      <c r="F2173" s="6" t="s">
        <v>53</v>
      </c>
      <c r="G2173" s="6" t="s">
        <v>7588</v>
      </c>
      <c r="H2173" s="6" t="s">
        <v>55</v>
      </c>
      <c r="I2173" s="6" t="s">
        <v>7566</v>
      </c>
      <c r="J2173" s="6" t="s">
        <v>91</v>
      </c>
      <c r="K2173" s="9" t="str">
        <f>HYPERLINK("https://media.licdn.com/dms/image/v2/D4E10AQEqECWLz8eLfg/image-shrink_1280/B4EZ3UsZ.CGkAc-/0/1777389904287?e=2147483647&amp;v=beta&amp;t=0Mbfqk_hLfichGIBXrMjoO2DeoHez5SeK866pI13xWU","Open Creative")</f>
        <v>Open Creative</v>
      </c>
      <c r="L2173" s="6" t="s">
        <v>131</v>
      </c>
      <c r="M2173" s="6" t="s">
        <v>7537</v>
      </c>
      <c r="N2173" s="6" t="s">
        <v>132</v>
      </c>
      <c r="O2173" s="36" t="s">
        <v>132</v>
      </c>
      <c r="P2173" s="36">
        <v>1.502843066E9</v>
      </c>
      <c r="Q2173" s="36" t="s">
        <v>7541</v>
      </c>
      <c r="R2173" s="6" t="s">
        <v>7542</v>
      </c>
    </row>
    <row r="2174">
      <c r="A2174" s="6" t="s">
        <v>7537</v>
      </c>
      <c r="B2174" s="6" t="s">
        <v>7537</v>
      </c>
      <c r="C2174" s="6">
        <v>565.0</v>
      </c>
      <c r="D2174" s="9" t="str">
        <f>HYPERLINK("https://www.linkedin.com/ad-library/detail/1502716476","Open Ad")</f>
        <v>Open Ad</v>
      </c>
      <c r="E2174" s="6" t="s">
        <v>91</v>
      </c>
      <c r="F2174" s="6" t="s">
        <v>53</v>
      </c>
      <c r="G2174" s="6" t="s">
        <v>7591</v>
      </c>
      <c r="H2174" s="6" t="s">
        <v>55</v>
      </c>
      <c r="I2174" s="6" t="s">
        <v>7566</v>
      </c>
      <c r="J2174" s="6" t="s">
        <v>91</v>
      </c>
      <c r="K2174" s="9" t="str">
        <f>HYPERLINK("https://media.licdn.com/dms/image/v2/D5610AQFapQuTs5RyQg/image-shrink_1280/B56Z9h_6UCGcAg-/0/1784055572538?e=2147483647&amp;v=beta&amp;t=Kv2jNpyAeREV8VRiJojr6bkYk7Ofuq0wj6IaFzQHYEU","Open Creative")</f>
        <v>Open Creative</v>
      </c>
      <c r="L2174" s="6" t="s">
        <v>131</v>
      </c>
      <c r="M2174" s="6" t="s">
        <v>7537</v>
      </c>
      <c r="N2174" s="6" t="s">
        <v>132</v>
      </c>
      <c r="O2174" s="36" t="s">
        <v>132</v>
      </c>
      <c r="P2174" s="36">
        <v>1.502716476E9</v>
      </c>
      <c r="Q2174" s="36" t="s">
        <v>7541</v>
      </c>
      <c r="R2174" s="6" t="s">
        <v>7542</v>
      </c>
    </row>
    <row r="2175">
      <c r="A2175" s="6" t="s">
        <v>7537</v>
      </c>
      <c r="B2175" s="6" t="s">
        <v>7537</v>
      </c>
      <c r="C2175" s="6">
        <v>566.0</v>
      </c>
      <c r="D2175" s="9" t="str">
        <f>HYPERLINK("https://www.linkedin.com/ad-library/detail/1502716466","Open Ad")</f>
        <v>Open Ad</v>
      </c>
      <c r="E2175" s="6" t="s">
        <v>91</v>
      </c>
      <c r="F2175" s="6" t="s">
        <v>53</v>
      </c>
      <c r="G2175" s="6" t="s">
        <v>7595</v>
      </c>
      <c r="H2175" s="6" t="s">
        <v>55</v>
      </c>
      <c r="I2175" s="6" t="s">
        <v>7566</v>
      </c>
      <c r="J2175" s="6" t="s">
        <v>91</v>
      </c>
      <c r="K2175" s="9" t="str">
        <f>HYPERLINK("https://media.licdn.com/dms/image/v2/D5610AQF5ONUziLB90Q/image-shrink_1280/B56Z8YuROrGcAc-/0/1782826211326?e=2147483647&amp;v=beta&amp;t=P2Cz2Aul20qMidWME_WS_vAnPWT-iq7vaBsEHckvets","Open Creative")</f>
        <v>Open Creative</v>
      </c>
      <c r="L2175" s="6" t="s">
        <v>131</v>
      </c>
      <c r="M2175" s="6" t="s">
        <v>7537</v>
      </c>
      <c r="N2175" s="6" t="s">
        <v>132</v>
      </c>
      <c r="O2175" s="36" t="s">
        <v>132</v>
      </c>
      <c r="P2175" s="36">
        <v>1.502716466E9</v>
      </c>
      <c r="Q2175" s="36" t="s">
        <v>7541</v>
      </c>
      <c r="R2175" s="6" t="s">
        <v>7542</v>
      </c>
    </row>
    <row r="2176">
      <c r="A2176" s="6" t="s">
        <v>7537</v>
      </c>
      <c r="B2176" s="6" t="s">
        <v>7537</v>
      </c>
      <c r="C2176" s="6">
        <v>567.0</v>
      </c>
      <c r="D2176" s="9" t="str">
        <f>HYPERLINK("https://www.linkedin.com/ad-library/detail/1502843056","Open Ad")</f>
        <v>Open Ad</v>
      </c>
      <c r="E2176" s="6" t="s">
        <v>154</v>
      </c>
      <c r="F2176" s="6" t="s">
        <v>53</v>
      </c>
      <c r="G2176" s="6" t="s">
        <v>7637</v>
      </c>
      <c r="H2176" s="6" t="s">
        <v>55</v>
      </c>
      <c r="I2176" s="6" t="s">
        <v>7566</v>
      </c>
      <c r="J2176" s="6" t="s">
        <v>154</v>
      </c>
      <c r="K2176" s="9" t="str">
        <f>HYPERLINK("https://dms.licdn.com/playlist/vid/v2/D5610AQGPpIHkVJhCaA/mp4-640p-30fp-crf28/B56Z83aF5UG4BI-/0/1783341024306?e=2147483647&amp;v=beta&amp;t=6aPscOhwfZC6LVqbrnkx1wzDAaGeDks-p4lXPr_L8Fs","Open Creative")</f>
        <v>Open Creative</v>
      </c>
      <c r="L2176" s="6" t="s">
        <v>131</v>
      </c>
      <c r="M2176" s="6" t="s">
        <v>7537</v>
      </c>
      <c r="N2176" s="6" t="s">
        <v>132</v>
      </c>
      <c r="O2176" s="36" t="s">
        <v>132</v>
      </c>
      <c r="P2176" s="36">
        <v>1.502843056E9</v>
      </c>
      <c r="Q2176" s="36" t="s">
        <v>7541</v>
      </c>
      <c r="R2176" s="6" t="s">
        <v>7542</v>
      </c>
    </row>
    <row r="2177">
      <c r="A2177" s="6" t="s">
        <v>7537</v>
      </c>
      <c r="B2177" s="6" t="s">
        <v>7537</v>
      </c>
      <c r="C2177" s="6">
        <v>568.0</v>
      </c>
      <c r="D2177" s="9" t="str">
        <f>HYPERLINK("https://www.linkedin.com/ad-library/detail/1502815086","Open Ad")</f>
        <v>Open Ad</v>
      </c>
      <c r="E2177" s="6" t="s">
        <v>91</v>
      </c>
      <c r="F2177" s="6" t="s">
        <v>53</v>
      </c>
      <c r="G2177" s="6" t="s">
        <v>7592</v>
      </c>
      <c r="H2177" s="6" t="s">
        <v>55</v>
      </c>
      <c r="I2177" s="6" t="s">
        <v>7641</v>
      </c>
      <c r="J2177" s="6" t="s">
        <v>91</v>
      </c>
      <c r="K2177" s="9" t="str">
        <f>HYPERLINK("https://media.licdn.com/dms/image/v2/D5610AQG6ROzWPETGmA/image-shrink_1280/B56Z9dR6t1KEAg-/0/1783976406842?e=2147483647&amp;v=beta&amp;t=ubEWJ1uNOIKQkdyOqmhR2qOxm2aAjGOzZhSszx4lxv4","Open Creative")</f>
        <v>Open Creative</v>
      </c>
      <c r="L2177" s="6" t="s">
        <v>62</v>
      </c>
      <c r="M2177" s="6" t="s">
        <v>7537</v>
      </c>
      <c r="N2177" s="6" t="s">
        <v>7642</v>
      </c>
      <c r="O2177" s="36" t="s">
        <v>132</v>
      </c>
      <c r="P2177" s="36">
        <v>1.502815086E9</v>
      </c>
      <c r="Q2177" s="36" t="s">
        <v>68</v>
      </c>
      <c r="R2177" s="6" t="s">
        <v>7643</v>
      </c>
    </row>
    <row r="2178">
      <c r="A2178" s="6" t="s">
        <v>7537</v>
      </c>
      <c r="B2178" s="6" t="s">
        <v>7537</v>
      </c>
      <c r="C2178" s="6">
        <v>569.0</v>
      </c>
      <c r="D2178" s="9" t="str">
        <f>HYPERLINK("https://www.linkedin.com/ad-library/detail/1502716496","Open Ad")</f>
        <v>Open Ad</v>
      </c>
      <c r="E2178" s="6" t="s">
        <v>154</v>
      </c>
      <c r="F2178" s="6" t="s">
        <v>53</v>
      </c>
      <c r="G2178" s="6" t="s">
        <v>7644</v>
      </c>
      <c r="H2178" s="6" t="s">
        <v>55</v>
      </c>
      <c r="I2178" s="6" t="s">
        <v>7566</v>
      </c>
      <c r="J2178" s="6" t="s">
        <v>154</v>
      </c>
      <c r="K2178" s="9" t="str">
        <f>HYPERLINK("https://dms.licdn.com/playlist/vid/v2/D4E10AQFvAgWztv-5Uw/mp4-640p-30fp-crf28/B4EZ5LQGtKJ0BI-/0/1779378998766?e=2147483647&amp;v=beta&amp;t=_8bKLKhlOLLcnEfsCY9wk5B2yEE3QM48LsyZd6MkCAQ","Open Creative")</f>
        <v>Open Creative</v>
      </c>
      <c r="L2178" s="6" t="s">
        <v>131</v>
      </c>
      <c r="M2178" s="6" t="s">
        <v>7537</v>
      </c>
      <c r="N2178" s="6" t="s">
        <v>132</v>
      </c>
      <c r="O2178" s="36" t="s">
        <v>132</v>
      </c>
      <c r="P2178" s="36">
        <v>1.502716496E9</v>
      </c>
      <c r="Q2178" s="36" t="s">
        <v>7541</v>
      </c>
      <c r="R2178" s="6" t="s">
        <v>7542</v>
      </c>
    </row>
    <row r="2179">
      <c r="A2179" s="6" t="s">
        <v>7537</v>
      </c>
      <c r="B2179" s="6" t="s">
        <v>7537</v>
      </c>
      <c r="C2179" s="6">
        <v>570.0</v>
      </c>
      <c r="D2179" s="9" t="str">
        <f>HYPERLINK("https://www.linkedin.com/ad-library/detail/1502794646","Open Ad")</f>
        <v>Open Ad</v>
      </c>
      <c r="E2179" s="6" t="s">
        <v>91</v>
      </c>
      <c r="F2179" s="6" t="s">
        <v>53</v>
      </c>
      <c r="G2179" s="6" t="s">
        <v>7588</v>
      </c>
      <c r="H2179" s="6" t="s">
        <v>55</v>
      </c>
      <c r="I2179" s="6" t="s">
        <v>7566</v>
      </c>
      <c r="J2179" s="6" t="s">
        <v>91</v>
      </c>
      <c r="K2179" s="9" t="str">
        <f>HYPERLINK("https://media.licdn.com/dms/image/v2/D4E10AQEqECWLz8eLfg/image-shrink_1280/B4EZ3UsZ.CGkAc-/0/1777389904287?e=2147483647&amp;v=beta&amp;t=0Mbfqk_hLfichGIBXrMjoO2DeoHez5SeK866pI13xWU","Open Creative")</f>
        <v>Open Creative</v>
      </c>
      <c r="L2179" s="6" t="s">
        <v>131</v>
      </c>
      <c r="M2179" s="6" t="s">
        <v>7537</v>
      </c>
      <c r="N2179" s="6" t="s">
        <v>132</v>
      </c>
      <c r="O2179" s="36" t="s">
        <v>132</v>
      </c>
      <c r="P2179" s="36">
        <v>1.502794646E9</v>
      </c>
      <c r="Q2179" s="36" t="s">
        <v>7541</v>
      </c>
      <c r="R2179" s="6" t="s">
        <v>7542</v>
      </c>
    </row>
    <row r="2180">
      <c r="A2180" s="6" t="s">
        <v>7537</v>
      </c>
      <c r="B2180" s="6" t="s">
        <v>7537</v>
      </c>
      <c r="C2180" s="6">
        <v>571.0</v>
      </c>
      <c r="D2180" s="9" t="str">
        <f>HYPERLINK("https://www.linkedin.com/ad-library/detail/1502804316","Open Ad")</f>
        <v>Open Ad</v>
      </c>
      <c r="E2180" s="6" t="s">
        <v>91</v>
      </c>
      <c r="F2180" s="6" t="s">
        <v>53</v>
      </c>
      <c r="G2180" s="6" t="s">
        <v>7639</v>
      </c>
      <c r="H2180" s="6" t="s">
        <v>55</v>
      </c>
      <c r="I2180" s="6" t="s">
        <v>7566</v>
      </c>
      <c r="J2180" s="6" t="s">
        <v>91</v>
      </c>
      <c r="K2180" s="9" t="str">
        <f>HYPERLINK("https://media.licdn.com/dms/image/v2/D5610AQH3M2r-dN7_nA/image-shrink_1280/B56Z9MoPl0KEAg-/0/1783697046612?e=2147483647&amp;v=beta&amp;t=GCdSRI774vIlwuKc0JleptYCxEUXt22sxid6mhQ-ZRs","Open Creative")</f>
        <v>Open Creative</v>
      </c>
      <c r="L2180" s="6" t="s">
        <v>131</v>
      </c>
      <c r="M2180" s="6" t="s">
        <v>7537</v>
      </c>
      <c r="N2180" s="6" t="s">
        <v>132</v>
      </c>
      <c r="O2180" s="36" t="s">
        <v>132</v>
      </c>
      <c r="P2180" s="36">
        <v>1.502804316E9</v>
      </c>
      <c r="Q2180" s="36" t="s">
        <v>7541</v>
      </c>
      <c r="R2180" s="6" t="s">
        <v>7542</v>
      </c>
    </row>
    <row r="2181">
      <c r="A2181" s="6" t="s">
        <v>7537</v>
      </c>
      <c r="B2181" s="6" t="s">
        <v>7537</v>
      </c>
      <c r="C2181" s="6">
        <v>572.0</v>
      </c>
      <c r="D2181" s="9" t="str">
        <f>HYPERLINK("https://www.linkedin.com/ad-library/detail/1502843096","Open Ad")</f>
        <v>Open Ad</v>
      </c>
      <c r="E2181" s="6" t="s">
        <v>91</v>
      </c>
      <c r="F2181" s="6" t="s">
        <v>53</v>
      </c>
      <c r="G2181" s="6" t="s">
        <v>7595</v>
      </c>
      <c r="H2181" s="6" t="s">
        <v>55</v>
      </c>
      <c r="I2181" s="6" t="s">
        <v>7566</v>
      </c>
      <c r="J2181" s="6" t="s">
        <v>91</v>
      </c>
      <c r="K2181" s="9" t="str">
        <f>HYPERLINK("https://media.licdn.com/dms/image/v2/D5610AQF5ONUziLB90Q/image-shrink_1280/B56Z8YuROrGcAc-/0/1782826211326?e=2147483647&amp;v=beta&amp;t=P2Cz2Aul20qMidWME_WS_vAnPWT-iq7vaBsEHckvets","Open Creative")</f>
        <v>Open Creative</v>
      </c>
      <c r="L2181" s="6" t="s">
        <v>131</v>
      </c>
      <c r="M2181" s="6" t="s">
        <v>7537</v>
      </c>
      <c r="N2181" s="6" t="s">
        <v>132</v>
      </c>
      <c r="O2181" s="36" t="s">
        <v>132</v>
      </c>
      <c r="P2181" s="36">
        <v>1.502843096E9</v>
      </c>
      <c r="Q2181" s="36" t="s">
        <v>7541</v>
      </c>
      <c r="R2181" s="6" t="s">
        <v>7542</v>
      </c>
    </row>
    <row r="2182">
      <c r="A2182" s="6" t="s">
        <v>7537</v>
      </c>
      <c r="B2182" s="6" t="s">
        <v>7537</v>
      </c>
      <c r="C2182" s="6">
        <v>573.0</v>
      </c>
      <c r="D2182" s="9" t="str">
        <f>HYPERLINK("https://www.linkedin.com/ad-library/detail/1502658186","Open Ad")</f>
        <v>Open Ad</v>
      </c>
      <c r="E2182" s="6" t="s">
        <v>91</v>
      </c>
      <c r="F2182" s="6" t="s">
        <v>53</v>
      </c>
      <c r="G2182" s="6" t="s">
        <v>7576</v>
      </c>
      <c r="H2182" s="6" t="s">
        <v>55</v>
      </c>
      <c r="I2182" s="6" t="s">
        <v>7566</v>
      </c>
      <c r="J2182" s="6" t="s">
        <v>91</v>
      </c>
      <c r="K2182" s="6" t="s">
        <v>60</v>
      </c>
      <c r="L2182" s="6" t="s">
        <v>131</v>
      </c>
      <c r="M2182" s="6" t="s">
        <v>7537</v>
      </c>
      <c r="N2182" s="6" t="s">
        <v>132</v>
      </c>
      <c r="O2182" s="36" t="s">
        <v>132</v>
      </c>
      <c r="P2182" s="36">
        <v>1.502658186E9</v>
      </c>
      <c r="Q2182" s="36" t="s">
        <v>7541</v>
      </c>
      <c r="R2182" s="6" t="s">
        <v>7542</v>
      </c>
    </row>
    <row r="2183">
      <c r="A2183" s="6" t="s">
        <v>7537</v>
      </c>
      <c r="B2183" s="6" t="s">
        <v>7537</v>
      </c>
      <c r="C2183" s="6">
        <v>574.0</v>
      </c>
      <c r="D2183" s="9" t="str">
        <f>HYPERLINK("https://www.linkedin.com/ad-library/detail/1502677896","Open Ad")</f>
        <v>Open Ad</v>
      </c>
      <c r="E2183" s="6" t="s">
        <v>154</v>
      </c>
      <c r="F2183" s="6" t="s">
        <v>53</v>
      </c>
      <c r="G2183" s="6" t="s">
        <v>7581</v>
      </c>
      <c r="H2183" s="6" t="s">
        <v>55</v>
      </c>
      <c r="I2183" s="6" t="s">
        <v>7566</v>
      </c>
      <c r="J2183" s="6" t="s">
        <v>154</v>
      </c>
      <c r="K2183" s="9" t="str">
        <f>HYPERLINK("https://dms.licdn.com/playlist/vid/v2/D4E10AQFbU42CgG1Z7g/mp4-720p-30fp-crf28/B4EZ6E1cjuIkBk-/0/1780345071320?e=2147483647&amp;v=beta&amp;t=lm4Raasi9Hn2k_Jca5TAGdFZZmL4wlksoW4hHU6e3XU","Open Creative")</f>
        <v>Open Creative</v>
      </c>
      <c r="L2183" s="6" t="s">
        <v>131</v>
      </c>
      <c r="M2183" s="6" t="s">
        <v>7537</v>
      </c>
      <c r="N2183" s="6" t="s">
        <v>132</v>
      </c>
      <c r="O2183" s="36" t="s">
        <v>132</v>
      </c>
      <c r="P2183" s="36">
        <v>1.502677896E9</v>
      </c>
      <c r="Q2183" s="36" t="s">
        <v>7541</v>
      </c>
      <c r="R2183" s="6" t="s">
        <v>7542</v>
      </c>
    </row>
    <row r="2184">
      <c r="A2184" s="6" t="s">
        <v>7537</v>
      </c>
      <c r="B2184" s="6" t="s">
        <v>7537</v>
      </c>
      <c r="C2184" s="6">
        <v>575.0</v>
      </c>
      <c r="D2184" s="9" t="str">
        <f>HYPERLINK("https://www.linkedin.com/ad-library/detail/1502804296","Open Ad")</f>
        <v>Open Ad</v>
      </c>
      <c r="E2184" s="6" t="s">
        <v>91</v>
      </c>
      <c r="F2184" s="6" t="s">
        <v>53</v>
      </c>
      <c r="G2184" s="6" t="s">
        <v>7592</v>
      </c>
      <c r="H2184" s="6" t="s">
        <v>55</v>
      </c>
      <c r="I2184" s="6" t="s">
        <v>7566</v>
      </c>
      <c r="J2184" s="6" t="s">
        <v>91</v>
      </c>
      <c r="K2184" s="9" t="str">
        <f>HYPERLINK("https://media.licdn.com/dms/image/v2/D5610AQG6ROzWPETGmA/image-shrink_1280/B56Z9dR6t1KEAg-/0/1783976406842?e=2147483647&amp;v=beta&amp;t=ubEWJ1uNOIKQkdyOqmhR2qOxm2aAjGOzZhSszx4lxv4","Open Creative")</f>
        <v>Open Creative</v>
      </c>
      <c r="L2184" s="6" t="s">
        <v>131</v>
      </c>
      <c r="M2184" s="6" t="s">
        <v>7537</v>
      </c>
      <c r="N2184" s="6" t="s">
        <v>132</v>
      </c>
      <c r="O2184" s="36" t="s">
        <v>132</v>
      </c>
      <c r="P2184" s="36">
        <v>1.502804296E9</v>
      </c>
      <c r="Q2184" s="36" t="s">
        <v>7541</v>
      </c>
      <c r="R2184" s="6" t="s">
        <v>7542</v>
      </c>
    </row>
    <row r="2185">
      <c r="A2185" s="6" t="s">
        <v>7537</v>
      </c>
      <c r="B2185" s="6" t="s">
        <v>7537</v>
      </c>
      <c r="C2185" s="6">
        <v>576.0</v>
      </c>
      <c r="D2185" s="9" t="str">
        <f>HYPERLINK("https://www.linkedin.com/ad-library/detail/1502804276","Open Ad")</f>
        <v>Open Ad</v>
      </c>
      <c r="E2185" s="6" t="s">
        <v>154</v>
      </c>
      <c r="F2185" s="6" t="s">
        <v>53</v>
      </c>
      <c r="G2185" s="6" t="s">
        <v>7638</v>
      </c>
      <c r="H2185" s="6" t="s">
        <v>55</v>
      </c>
      <c r="I2185" s="6" t="s">
        <v>7566</v>
      </c>
      <c r="J2185" s="6" t="s">
        <v>154</v>
      </c>
      <c r="K2185" s="9" t="str">
        <f t="shared" ref="K2185:K2186" si="56">HYPERLINK("https://dms.licdn.com/playlist/vid/v2/D4E10AQHnB83vIjfNvw/mp4-720p-30fp-crf28/B4EZ2Mv_NUIwCA-/0/1776182899083?e=2147483647&amp;v=beta&amp;t=nwcHAIB3FZdkl9NAtwlYsm_4VdxfPzV34i_gMRpBVio","Open Creative")</f>
        <v>Open Creative</v>
      </c>
      <c r="L2185" s="6" t="s">
        <v>131</v>
      </c>
      <c r="M2185" s="6" t="s">
        <v>7537</v>
      </c>
      <c r="N2185" s="6" t="s">
        <v>132</v>
      </c>
      <c r="O2185" s="36" t="s">
        <v>132</v>
      </c>
      <c r="P2185" s="36">
        <v>1.502804276E9</v>
      </c>
      <c r="Q2185" s="36" t="s">
        <v>7541</v>
      </c>
      <c r="R2185" s="6" t="s">
        <v>7542</v>
      </c>
    </row>
    <row r="2186">
      <c r="A2186" s="6" t="s">
        <v>7537</v>
      </c>
      <c r="B2186" s="6" t="s">
        <v>7537</v>
      </c>
      <c r="C2186" s="6">
        <v>577.0</v>
      </c>
      <c r="D2186" s="9" t="str">
        <f>HYPERLINK("https://www.linkedin.com/ad-library/detail/1502670026","Open Ad")</f>
        <v>Open Ad</v>
      </c>
      <c r="E2186" s="6" t="s">
        <v>154</v>
      </c>
      <c r="F2186" s="6" t="s">
        <v>53</v>
      </c>
      <c r="G2186" s="6" t="s">
        <v>7638</v>
      </c>
      <c r="H2186" s="6" t="s">
        <v>55</v>
      </c>
      <c r="I2186" s="6" t="s">
        <v>7566</v>
      </c>
      <c r="J2186" s="6" t="s">
        <v>154</v>
      </c>
      <c r="K2186" s="9" t="str">
        <f t="shared" si="56"/>
        <v>Open Creative</v>
      </c>
      <c r="L2186" s="6" t="s">
        <v>131</v>
      </c>
      <c r="M2186" s="6" t="s">
        <v>7537</v>
      </c>
      <c r="N2186" s="6" t="s">
        <v>132</v>
      </c>
      <c r="O2186" s="36" t="s">
        <v>132</v>
      </c>
      <c r="P2186" s="36">
        <v>1.502670026E9</v>
      </c>
      <c r="Q2186" s="36" t="s">
        <v>7541</v>
      </c>
      <c r="R2186" s="6" t="s">
        <v>7542</v>
      </c>
    </row>
    <row r="2187">
      <c r="A2187" s="6" t="s">
        <v>7537</v>
      </c>
      <c r="B2187" s="6" t="s">
        <v>7537</v>
      </c>
      <c r="C2187" s="6">
        <v>578.0</v>
      </c>
      <c r="D2187" s="9" t="str">
        <f>HYPERLINK("https://www.linkedin.com/ad-library/detail/1499873716","Open Ad")</f>
        <v>Open Ad</v>
      </c>
      <c r="E2187" s="6" t="s">
        <v>91</v>
      </c>
      <c r="F2187" s="6" t="s">
        <v>53</v>
      </c>
      <c r="G2187" s="6" t="s">
        <v>7591</v>
      </c>
      <c r="H2187" s="6" t="s">
        <v>55</v>
      </c>
      <c r="I2187" s="6" t="s">
        <v>7566</v>
      </c>
      <c r="J2187" s="6" t="s">
        <v>91</v>
      </c>
      <c r="K2187" s="9" t="str">
        <f>HYPERLINK("https://media.licdn.com/dms/image/v2/D5610AQFapQuTs5RyQg/image-shrink_1280/B56Z9h_6UCGcAg-/0/1784055572538?e=2147483647&amp;v=beta&amp;t=Kv2jNpyAeREV8VRiJojr6bkYk7Ofuq0wj6IaFzQHYEU","Open Creative")</f>
        <v>Open Creative</v>
      </c>
      <c r="L2187" s="6" t="s">
        <v>131</v>
      </c>
      <c r="M2187" s="6" t="s">
        <v>7537</v>
      </c>
      <c r="N2187" s="6" t="s">
        <v>132</v>
      </c>
      <c r="O2187" s="36" t="s">
        <v>132</v>
      </c>
      <c r="P2187" s="36">
        <v>1.499873716E9</v>
      </c>
      <c r="Q2187" s="36" t="s">
        <v>7541</v>
      </c>
      <c r="R2187" s="6" t="s">
        <v>7542</v>
      </c>
    </row>
    <row r="2188">
      <c r="A2188" s="6" t="s">
        <v>7537</v>
      </c>
      <c r="B2188" s="6" t="s">
        <v>7537</v>
      </c>
      <c r="C2188" s="6">
        <v>579.0</v>
      </c>
      <c r="D2188" s="9" t="str">
        <f>HYPERLINK("https://www.linkedin.com/ad-library/detail/1499767616","Open Ad")</f>
        <v>Open Ad</v>
      </c>
      <c r="E2188" s="6" t="s">
        <v>91</v>
      </c>
      <c r="F2188" s="6" t="s">
        <v>53</v>
      </c>
      <c r="G2188" s="6" t="s">
        <v>7639</v>
      </c>
      <c r="H2188" s="6" t="s">
        <v>55</v>
      </c>
      <c r="I2188" s="6" t="s">
        <v>7566</v>
      </c>
      <c r="J2188" s="6" t="s">
        <v>91</v>
      </c>
      <c r="K2188" s="9" t="str">
        <f>HYPERLINK("https://media.licdn.com/dms/image/v2/D5610AQH3M2r-dN7_nA/image-shrink_1280/B56Z9MoPl0KEAg-/0/1783697046612?e=2147483647&amp;v=beta&amp;t=GCdSRI774vIlwuKc0JleptYCxEUXt22sxid6mhQ-ZRs","Open Creative")</f>
        <v>Open Creative</v>
      </c>
      <c r="L2188" s="6" t="s">
        <v>131</v>
      </c>
      <c r="M2188" s="6" t="s">
        <v>7537</v>
      </c>
      <c r="N2188" s="6" t="s">
        <v>132</v>
      </c>
      <c r="O2188" s="36" t="s">
        <v>132</v>
      </c>
      <c r="P2188" s="36">
        <v>1.499767616E9</v>
      </c>
      <c r="Q2188" s="36" t="s">
        <v>7541</v>
      </c>
      <c r="R2188" s="6" t="s">
        <v>7542</v>
      </c>
    </row>
    <row r="2189">
      <c r="A2189" s="6" t="s">
        <v>7537</v>
      </c>
      <c r="B2189" s="6" t="s">
        <v>7537</v>
      </c>
      <c r="C2189" s="6">
        <v>580.0</v>
      </c>
      <c r="D2189" s="9" t="str">
        <f>HYPERLINK("https://www.linkedin.com/ad-library/detail/1499699376","Open Ad")</f>
        <v>Open Ad</v>
      </c>
      <c r="E2189" s="6" t="s">
        <v>91</v>
      </c>
      <c r="F2189" s="6" t="s">
        <v>53</v>
      </c>
      <c r="G2189" s="6" t="s">
        <v>7591</v>
      </c>
      <c r="H2189" s="6" t="s">
        <v>55</v>
      </c>
      <c r="I2189" s="6" t="s">
        <v>7566</v>
      </c>
      <c r="J2189" s="6" t="s">
        <v>91</v>
      </c>
      <c r="K2189" s="9" t="str">
        <f>HYPERLINK("https://media.licdn.com/dms/image/v2/D5610AQFapQuTs5RyQg/image-shrink_1280/B56Z9h_6UCGcAg-/0/1784055572538?e=2147483647&amp;v=beta&amp;t=Kv2jNpyAeREV8VRiJojr6bkYk7Ofuq0wj6IaFzQHYEU","Open Creative")</f>
        <v>Open Creative</v>
      </c>
      <c r="L2189" s="6" t="s">
        <v>131</v>
      </c>
      <c r="M2189" s="6" t="s">
        <v>7537</v>
      </c>
      <c r="N2189" s="6" t="s">
        <v>132</v>
      </c>
      <c r="O2189" s="36" t="s">
        <v>132</v>
      </c>
      <c r="P2189" s="36">
        <v>1.499699376E9</v>
      </c>
      <c r="Q2189" s="36" t="s">
        <v>7541</v>
      </c>
      <c r="R2189" s="6" t="s">
        <v>7542</v>
      </c>
    </row>
    <row r="2190">
      <c r="A2190" s="6" t="s">
        <v>7537</v>
      </c>
      <c r="B2190" s="6" t="s">
        <v>7537</v>
      </c>
      <c r="C2190" s="6">
        <v>581.0</v>
      </c>
      <c r="D2190" s="9" t="str">
        <f>HYPERLINK("https://www.linkedin.com/ad-library/detail/1502438826","Open Ad")</f>
        <v>Open Ad</v>
      </c>
      <c r="E2190" s="6" t="s">
        <v>154</v>
      </c>
      <c r="F2190" s="6" t="s">
        <v>53</v>
      </c>
      <c r="G2190" s="6" t="s">
        <v>7582</v>
      </c>
      <c r="H2190" s="6" t="s">
        <v>55</v>
      </c>
      <c r="I2190" s="6" t="s">
        <v>7566</v>
      </c>
      <c r="J2190" s="6" t="s">
        <v>154</v>
      </c>
      <c r="K2190" s="9" t="str">
        <f>HYPERLINK("https://dms.licdn.com/playlist/vid/v2/D5610AQHCJpD_4X3r0w/mp4-360p-30fp-crf28/B56Z8jGxPuG0Bg-/0/1783000416146?e=2147483647&amp;v=beta&amp;t=buNqytXIKQbDSPmN-gF0MjkJ-TiOGUHb02s8kF2cYZo","Open Creative")</f>
        <v>Open Creative</v>
      </c>
      <c r="L2190" s="6" t="s">
        <v>131</v>
      </c>
      <c r="M2190" s="6" t="s">
        <v>7537</v>
      </c>
      <c r="N2190" s="6" t="s">
        <v>132</v>
      </c>
      <c r="O2190" s="36" t="s">
        <v>132</v>
      </c>
      <c r="P2190" s="36">
        <v>1.502438826E9</v>
      </c>
      <c r="Q2190" s="36" t="s">
        <v>7541</v>
      </c>
      <c r="R2190" s="6" t="s">
        <v>7542</v>
      </c>
    </row>
    <row r="2191">
      <c r="A2191" s="6" t="s">
        <v>7537</v>
      </c>
      <c r="B2191" s="6" t="s">
        <v>7537</v>
      </c>
      <c r="C2191" s="6">
        <v>582.0</v>
      </c>
      <c r="D2191" s="9" t="str">
        <f>HYPERLINK("https://www.linkedin.com/ad-library/detail/1502648866","Open Ad")</f>
        <v>Open Ad</v>
      </c>
      <c r="E2191" s="6" t="s">
        <v>91</v>
      </c>
      <c r="F2191" s="6" t="s">
        <v>53</v>
      </c>
      <c r="G2191" s="6" t="s">
        <v>7595</v>
      </c>
      <c r="H2191" s="6" t="s">
        <v>55</v>
      </c>
      <c r="I2191" s="6" t="s">
        <v>7566</v>
      </c>
      <c r="J2191" s="6" t="s">
        <v>91</v>
      </c>
      <c r="K2191" s="9" t="str">
        <f>HYPERLINK("https://media.licdn.com/dms/image/v2/D5610AQF5ONUziLB90Q/image-shrink_1280/B56Z8YuROrGcAc-/0/1782826211326?e=2147483647&amp;v=beta&amp;t=P2Cz2Aul20qMidWME_WS_vAnPWT-iq7vaBsEHckvets","Open Creative")</f>
        <v>Open Creative</v>
      </c>
      <c r="L2191" s="6" t="s">
        <v>131</v>
      </c>
      <c r="M2191" s="6" t="s">
        <v>7537</v>
      </c>
      <c r="N2191" s="6" t="s">
        <v>132</v>
      </c>
      <c r="O2191" s="36" t="s">
        <v>132</v>
      </c>
      <c r="P2191" s="36">
        <v>1.502648866E9</v>
      </c>
      <c r="Q2191" s="36" t="s">
        <v>7541</v>
      </c>
      <c r="R2191" s="6" t="s">
        <v>7542</v>
      </c>
    </row>
    <row r="2192">
      <c r="A2192" s="6" t="s">
        <v>7537</v>
      </c>
      <c r="B2192" s="6" t="s">
        <v>7537</v>
      </c>
      <c r="C2192" s="6">
        <v>583.0</v>
      </c>
      <c r="D2192" s="9" t="str">
        <f>HYPERLINK("https://www.linkedin.com/ad-library/detail/1499738466","Open Ad")</f>
        <v>Open Ad</v>
      </c>
      <c r="E2192" s="6" t="s">
        <v>91</v>
      </c>
      <c r="F2192" s="6" t="s">
        <v>53</v>
      </c>
      <c r="G2192" s="6" t="s">
        <v>7639</v>
      </c>
      <c r="H2192" s="6" t="s">
        <v>55</v>
      </c>
      <c r="I2192" s="6" t="s">
        <v>7566</v>
      </c>
      <c r="J2192" s="6" t="s">
        <v>91</v>
      </c>
      <c r="K2192" s="9" t="str">
        <f t="shared" ref="K2192:K2193" si="57">HYPERLINK("https://media.licdn.com/dms/image/v2/D5610AQH3M2r-dN7_nA/image-shrink_1280/B56Z9MoPl0KEAg-/0/1783697046612?e=2147483647&amp;v=beta&amp;t=GCdSRI774vIlwuKc0JleptYCxEUXt22sxid6mhQ-ZRs","Open Creative")</f>
        <v>Open Creative</v>
      </c>
      <c r="L2192" s="6" t="s">
        <v>131</v>
      </c>
      <c r="M2192" s="6" t="s">
        <v>7537</v>
      </c>
      <c r="N2192" s="6" t="s">
        <v>132</v>
      </c>
      <c r="O2192" s="36" t="s">
        <v>132</v>
      </c>
      <c r="P2192" s="36">
        <v>1.499738466E9</v>
      </c>
      <c r="Q2192" s="36" t="s">
        <v>7541</v>
      </c>
      <c r="R2192" s="6" t="s">
        <v>7542</v>
      </c>
    </row>
    <row r="2193">
      <c r="A2193" s="6" t="s">
        <v>7537</v>
      </c>
      <c r="B2193" s="6" t="s">
        <v>7537</v>
      </c>
      <c r="C2193" s="6">
        <v>584.0</v>
      </c>
      <c r="D2193" s="9" t="str">
        <f>HYPERLINK("https://www.linkedin.com/ad-library/detail/1499679606","Open Ad")</f>
        <v>Open Ad</v>
      </c>
      <c r="E2193" s="6" t="s">
        <v>91</v>
      </c>
      <c r="F2193" s="6" t="s">
        <v>53</v>
      </c>
      <c r="G2193" s="6" t="s">
        <v>7639</v>
      </c>
      <c r="H2193" s="6" t="s">
        <v>55</v>
      </c>
      <c r="I2193" s="6" t="s">
        <v>7566</v>
      </c>
      <c r="J2193" s="6" t="s">
        <v>91</v>
      </c>
      <c r="K2193" s="9" t="str">
        <f t="shared" si="57"/>
        <v>Open Creative</v>
      </c>
      <c r="L2193" s="6" t="s">
        <v>131</v>
      </c>
      <c r="M2193" s="6" t="s">
        <v>7537</v>
      </c>
      <c r="N2193" s="6" t="s">
        <v>132</v>
      </c>
      <c r="O2193" s="36" t="s">
        <v>132</v>
      </c>
      <c r="P2193" s="36">
        <v>1.499679606E9</v>
      </c>
      <c r="Q2193" s="36" t="s">
        <v>7541</v>
      </c>
      <c r="R2193" s="6" t="s">
        <v>7542</v>
      </c>
    </row>
    <row r="2194">
      <c r="A2194" s="6" t="s">
        <v>7537</v>
      </c>
      <c r="B2194" s="6" t="s">
        <v>7537</v>
      </c>
      <c r="C2194" s="6">
        <v>585.0</v>
      </c>
      <c r="D2194" s="9" t="str">
        <f>HYPERLINK("https://www.linkedin.com/ad-library/detail/1502794576","Open Ad")</f>
        <v>Open Ad</v>
      </c>
      <c r="E2194" s="6" t="s">
        <v>154</v>
      </c>
      <c r="F2194" s="6" t="s">
        <v>53</v>
      </c>
      <c r="G2194" s="6" t="s">
        <v>7582</v>
      </c>
      <c r="H2194" s="6" t="s">
        <v>55</v>
      </c>
      <c r="I2194" s="6" t="s">
        <v>7566</v>
      </c>
      <c r="J2194" s="6" t="s">
        <v>154</v>
      </c>
      <c r="K2194" s="9" t="str">
        <f>HYPERLINK("https://dms.licdn.com/playlist/vid/v2/D5610AQHCJpD_4X3r0w/mp4-360p-30fp-crf28/B56Z8jGxPuG0Bg-/0/1783000416146?e=2147483647&amp;v=beta&amp;t=buNqytXIKQbDSPmN-gF0MjkJ-TiOGUHb02s8kF2cYZo","Open Creative")</f>
        <v>Open Creative</v>
      </c>
      <c r="L2194" s="6" t="s">
        <v>131</v>
      </c>
      <c r="M2194" s="6" t="s">
        <v>7537</v>
      </c>
      <c r="N2194" s="6" t="s">
        <v>132</v>
      </c>
      <c r="O2194" s="36" t="s">
        <v>132</v>
      </c>
      <c r="P2194" s="36">
        <v>1.502794576E9</v>
      </c>
      <c r="Q2194" s="36" t="s">
        <v>7541</v>
      </c>
      <c r="R2194" s="6" t="s">
        <v>7542</v>
      </c>
    </row>
    <row r="2195">
      <c r="A2195" s="6" t="s">
        <v>7537</v>
      </c>
      <c r="B2195" s="6" t="s">
        <v>7537</v>
      </c>
      <c r="C2195" s="6">
        <v>586.0</v>
      </c>
      <c r="D2195" s="9" t="str">
        <f>HYPERLINK("https://www.linkedin.com/ad-library/detail/1502686886","Open Ad")</f>
        <v>Open Ad</v>
      </c>
      <c r="E2195" s="6" t="s">
        <v>91</v>
      </c>
      <c r="F2195" s="6" t="s">
        <v>53</v>
      </c>
      <c r="G2195" s="6" t="s">
        <v>7636</v>
      </c>
      <c r="H2195" s="6" t="s">
        <v>55</v>
      </c>
      <c r="I2195" s="6" t="s">
        <v>7566</v>
      </c>
      <c r="J2195" s="6" t="s">
        <v>91</v>
      </c>
      <c r="K2195" s="9" t="str">
        <f>HYPERLINK("https://media.licdn.com/dms/image/v2/D5610AQFoFyqJ3g7Log/image-shrink_1280/B56Z9h_Mo.HUAc-/0/1784055385012?e=2147483647&amp;v=beta&amp;t=ahLhwf3XzHon78cEKdnNDmivIzsNgm82MjqmREwyCIw","Open Creative")</f>
        <v>Open Creative</v>
      </c>
      <c r="L2195" s="6" t="s">
        <v>131</v>
      </c>
      <c r="M2195" s="6" t="s">
        <v>7537</v>
      </c>
      <c r="N2195" s="6" t="s">
        <v>132</v>
      </c>
      <c r="O2195" s="36" t="s">
        <v>132</v>
      </c>
      <c r="P2195" s="36">
        <v>1.502686886E9</v>
      </c>
      <c r="Q2195" s="36" t="s">
        <v>7541</v>
      </c>
      <c r="R2195" s="6" t="s">
        <v>7542</v>
      </c>
    </row>
    <row r="2196">
      <c r="A2196" s="6" t="s">
        <v>7537</v>
      </c>
      <c r="B2196" s="6" t="s">
        <v>7537</v>
      </c>
      <c r="C2196" s="6">
        <v>587.0</v>
      </c>
      <c r="D2196" s="9" t="str">
        <f>HYPERLINK("https://www.linkedin.com/ad-library/detail/1502612996","Open Ad")</f>
        <v>Open Ad</v>
      </c>
      <c r="E2196" s="6" t="s">
        <v>154</v>
      </c>
      <c r="F2196" s="6" t="s">
        <v>53</v>
      </c>
      <c r="G2196" s="6" t="s">
        <v>7637</v>
      </c>
      <c r="H2196" s="6" t="s">
        <v>55</v>
      </c>
      <c r="I2196" s="6" t="s">
        <v>7566</v>
      </c>
      <c r="J2196" s="6" t="s">
        <v>154</v>
      </c>
      <c r="K2196" s="9" t="str">
        <f>HYPERLINK("https://dms.licdn.com/playlist/vid/v2/D5610AQGPpIHkVJhCaA/mp4-640p-30fp-crf28/B56Z83aF5UG4BI-/0/1783341024306?e=2147483647&amp;v=beta&amp;t=6aPscOhwfZC6LVqbrnkx1wzDAaGeDks-p4lXPr_L8Fs","Open Creative")</f>
        <v>Open Creative</v>
      </c>
      <c r="L2196" s="6" t="s">
        <v>131</v>
      </c>
      <c r="M2196" s="6" t="s">
        <v>7537</v>
      </c>
      <c r="N2196" s="6" t="s">
        <v>132</v>
      </c>
      <c r="O2196" s="36" t="s">
        <v>132</v>
      </c>
      <c r="P2196" s="36">
        <v>1.502612996E9</v>
      </c>
      <c r="Q2196" s="36" t="s">
        <v>7541</v>
      </c>
      <c r="R2196" s="6" t="s">
        <v>7542</v>
      </c>
    </row>
    <row r="2197">
      <c r="A2197" s="6" t="s">
        <v>7537</v>
      </c>
      <c r="B2197" s="6" t="s">
        <v>7537</v>
      </c>
      <c r="C2197" s="6">
        <v>588.0</v>
      </c>
      <c r="D2197" s="9" t="str">
        <f>HYPERLINK("https://www.linkedin.com/ad-library/detail/1499806666","Open Ad")</f>
        <v>Open Ad</v>
      </c>
      <c r="E2197" s="6" t="s">
        <v>91</v>
      </c>
      <c r="F2197" s="6" t="s">
        <v>53</v>
      </c>
      <c r="G2197" s="6" t="s">
        <v>7591</v>
      </c>
      <c r="H2197" s="6" t="s">
        <v>55</v>
      </c>
      <c r="I2197" s="6" t="s">
        <v>7566</v>
      </c>
      <c r="J2197" s="6" t="s">
        <v>91</v>
      </c>
      <c r="K2197" s="9" t="str">
        <f>HYPERLINK("https://media.licdn.com/dms/image/v2/D5610AQFapQuTs5RyQg/image-shrink_1280/B56Z9h_6UCGcAg-/0/1784055572538?e=2147483647&amp;v=beta&amp;t=Kv2jNpyAeREV8VRiJojr6bkYk7Ofuq0wj6IaFzQHYEU","Open Creative")</f>
        <v>Open Creative</v>
      </c>
      <c r="L2197" s="6" t="s">
        <v>131</v>
      </c>
      <c r="M2197" s="6" t="s">
        <v>7537</v>
      </c>
      <c r="N2197" s="6" t="s">
        <v>132</v>
      </c>
      <c r="O2197" s="36" t="s">
        <v>132</v>
      </c>
      <c r="P2197" s="36">
        <v>1.499806666E9</v>
      </c>
      <c r="Q2197" s="36" t="s">
        <v>7541</v>
      </c>
      <c r="R2197" s="6" t="s">
        <v>7542</v>
      </c>
    </row>
    <row r="2198">
      <c r="A2198" s="6" t="s">
        <v>7537</v>
      </c>
      <c r="B2198" s="6" t="s">
        <v>7537</v>
      </c>
      <c r="C2198" s="6">
        <v>589.0</v>
      </c>
      <c r="D2198" s="9" t="str">
        <f>HYPERLINK("https://www.linkedin.com/ad-library/detail/1502706776","Open Ad")</f>
        <v>Open Ad</v>
      </c>
      <c r="E2198" s="6" t="s">
        <v>154</v>
      </c>
      <c r="F2198" s="6" t="s">
        <v>53</v>
      </c>
      <c r="G2198" s="6" t="s">
        <v>7644</v>
      </c>
      <c r="H2198" s="6" t="s">
        <v>55</v>
      </c>
      <c r="I2198" s="6" t="s">
        <v>7566</v>
      </c>
      <c r="J2198" s="6" t="s">
        <v>154</v>
      </c>
      <c r="K2198" s="9" t="str">
        <f>HYPERLINK("https://dms.licdn.com/playlist/vid/v2/D4E10AQFvAgWztv-5Uw/mp4-640p-30fp-crf28/B4EZ5LQGtKJ0BI-/0/1779378998766?e=2147483647&amp;v=beta&amp;t=_8bKLKhlOLLcnEfsCY9wk5B2yEE3QM48LsyZd6MkCAQ","Open Creative")</f>
        <v>Open Creative</v>
      </c>
      <c r="L2198" s="6" t="s">
        <v>131</v>
      </c>
      <c r="M2198" s="6" t="s">
        <v>7537</v>
      </c>
      <c r="N2198" s="6" t="s">
        <v>132</v>
      </c>
      <c r="O2198" s="36" t="s">
        <v>132</v>
      </c>
      <c r="P2198" s="36">
        <v>1.502706776E9</v>
      </c>
      <c r="Q2198" s="36" t="s">
        <v>7541</v>
      </c>
      <c r="R2198" s="6" t="s">
        <v>7542</v>
      </c>
    </row>
    <row r="2199">
      <c r="A2199" s="6" t="s">
        <v>7537</v>
      </c>
      <c r="B2199" s="6" t="s">
        <v>7537</v>
      </c>
      <c r="C2199" s="6">
        <v>590.0</v>
      </c>
      <c r="D2199" s="9" t="str">
        <f>HYPERLINK("https://www.linkedin.com/ad-library/detail/1502815026","Open Ad")</f>
        <v>Open Ad</v>
      </c>
      <c r="E2199" s="6" t="s">
        <v>91</v>
      </c>
      <c r="F2199" s="6" t="s">
        <v>53</v>
      </c>
      <c r="G2199" s="6" t="s">
        <v>7588</v>
      </c>
      <c r="H2199" s="6" t="s">
        <v>55</v>
      </c>
      <c r="I2199" s="6" t="s">
        <v>7566</v>
      </c>
      <c r="J2199" s="6" t="s">
        <v>91</v>
      </c>
      <c r="K2199" s="9" t="str">
        <f>HYPERLINK("https://media.licdn.com/dms/image/v2/D4E10AQEqECWLz8eLfg/image-shrink_1280/B4EZ3UsZ.CGkAc-/0/1777389904287?e=2147483647&amp;v=beta&amp;t=0Mbfqk_hLfichGIBXrMjoO2DeoHez5SeK866pI13xWU","Open Creative")</f>
        <v>Open Creative</v>
      </c>
      <c r="L2199" s="6" t="s">
        <v>131</v>
      </c>
      <c r="M2199" s="6" t="s">
        <v>7537</v>
      </c>
      <c r="N2199" s="6" t="s">
        <v>132</v>
      </c>
      <c r="O2199" s="36" t="s">
        <v>132</v>
      </c>
      <c r="P2199" s="36">
        <v>1.502815026E9</v>
      </c>
      <c r="Q2199" s="36" t="s">
        <v>7541</v>
      </c>
      <c r="R2199" s="6" t="s">
        <v>7542</v>
      </c>
    </row>
    <row r="2200">
      <c r="A2200" s="6" t="s">
        <v>7537</v>
      </c>
      <c r="B2200" s="6" t="s">
        <v>7537</v>
      </c>
      <c r="C2200" s="6">
        <v>591.0</v>
      </c>
      <c r="D2200" s="9" t="str">
        <f>HYPERLINK("https://www.linkedin.com/ad-library/detail/1502556246","Open Ad")</f>
        <v>Open Ad</v>
      </c>
      <c r="E2200" s="6" t="s">
        <v>154</v>
      </c>
      <c r="F2200" s="6" t="s">
        <v>53</v>
      </c>
      <c r="G2200" s="6" t="s">
        <v>7644</v>
      </c>
      <c r="H2200" s="6" t="s">
        <v>55</v>
      </c>
      <c r="I2200" s="6" t="s">
        <v>7566</v>
      </c>
      <c r="J2200" s="6" t="s">
        <v>154</v>
      </c>
      <c r="K2200" s="9" t="str">
        <f>HYPERLINK("https://dms.licdn.com/playlist/vid/v2/D4E10AQFvAgWztv-5Uw/mp4-640p-30fp-crf28/B4EZ5LQGtKJ0BI-/0/1779378998766?e=2147483647&amp;v=beta&amp;t=_8bKLKhlOLLcnEfsCY9wk5B2yEE3QM48LsyZd6MkCAQ","Open Creative")</f>
        <v>Open Creative</v>
      </c>
      <c r="L2200" s="6" t="s">
        <v>131</v>
      </c>
      <c r="M2200" s="6" t="s">
        <v>7537</v>
      </c>
      <c r="N2200" s="6" t="s">
        <v>132</v>
      </c>
      <c r="O2200" s="36" t="s">
        <v>132</v>
      </c>
      <c r="P2200" s="36">
        <v>1.502556246E9</v>
      </c>
      <c r="Q2200" s="36" t="s">
        <v>7541</v>
      </c>
      <c r="R2200" s="6" t="s">
        <v>7542</v>
      </c>
    </row>
    <row r="2201">
      <c r="A2201" s="6" t="s">
        <v>7537</v>
      </c>
      <c r="B2201" s="6" t="s">
        <v>7537</v>
      </c>
      <c r="C2201" s="6">
        <v>592.0</v>
      </c>
      <c r="D2201" s="9" t="str">
        <f>HYPERLINK("https://www.linkedin.com/ad-library/detail/1502605016","Open Ad")</f>
        <v>Open Ad</v>
      </c>
      <c r="E2201" s="6" t="s">
        <v>154</v>
      </c>
      <c r="F2201" s="6" t="s">
        <v>53</v>
      </c>
      <c r="G2201" s="6" t="s">
        <v>7581</v>
      </c>
      <c r="H2201" s="6" t="s">
        <v>55</v>
      </c>
      <c r="I2201" s="6" t="s">
        <v>7566</v>
      </c>
      <c r="J2201" s="6" t="s">
        <v>154</v>
      </c>
      <c r="K2201" s="9" t="str">
        <f>HYPERLINK("https://dms.licdn.com/playlist/vid/v2/D4E10AQFbU42CgG1Z7g/mp4-720p-30fp-crf28/B4EZ6E1cjuIkBk-/0/1780345071320?e=2147483647&amp;v=beta&amp;t=lm4Raasi9Hn2k_Jca5TAGdFZZmL4wlksoW4hHU6e3XU","Open Creative")</f>
        <v>Open Creative</v>
      </c>
      <c r="L2201" s="6" t="s">
        <v>131</v>
      </c>
      <c r="M2201" s="6" t="s">
        <v>7537</v>
      </c>
      <c r="N2201" s="6" t="s">
        <v>132</v>
      </c>
      <c r="O2201" s="36" t="s">
        <v>132</v>
      </c>
      <c r="P2201" s="36">
        <v>1.502605016E9</v>
      </c>
      <c r="Q2201" s="36" t="s">
        <v>7541</v>
      </c>
      <c r="R2201" s="6" t="s">
        <v>7542</v>
      </c>
    </row>
    <row r="2202">
      <c r="A2202" s="6" t="s">
        <v>7537</v>
      </c>
      <c r="B2202" s="6" t="s">
        <v>7537</v>
      </c>
      <c r="C2202" s="6">
        <v>593.0</v>
      </c>
      <c r="D2202" s="9" t="str">
        <f>HYPERLINK("https://www.linkedin.com/ad-library/detail/1499748976","Open Ad")</f>
        <v>Open Ad</v>
      </c>
      <c r="E2202" s="6" t="s">
        <v>91</v>
      </c>
      <c r="F2202" s="6" t="s">
        <v>53</v>
      </c>
      <c r="G2202" s="6" t="s">
        <v>7591</v>
      </c>
      <c r="H2202" s="6" t="s">
        <v>55</v>
      </c>
      <c r="I2202" s="6" t="s">
        <v>7566</v>
      </c>
      <c r="J2202" s="6" t="s">
        <v>91</v>
      </c>
      <c r="K2202" s="9" t="str">
        <f t="shared" ref="K2202:K2203" si="58">HYPERLINK("https://media.licdn.com/dms/image/v2/D5610AQFapQuTs5RyQg/image-shrink_1280/B56Z9h_6UCGcAg-/0/1784055572538?e=2147483647&amp;v=beta&amp;t=Kv2jNpyAeREV8VRiJojr6bkYk7Ofuq0wj6IaFzQHYEU","Open Creative")</f>
        <v>Open Creative</v>
      </c>
      <c r="L2202" s="6" t="s">
        <v>131</v>
      </c>
      <c r="M2202" s="6" t="s">
        <v>7537</v>
      </c>
      <c r="N2202" s="6" t="s">
        <v>132</v>
      </c>
      <c r="O2202" s="36" t="s">
        <v>132</v>
      </c>
      <c r="P2202" s="36">
        <v>1.499748976E9</v>
      </c>
      <c r="Q2202" s="36" t="s">
        <v>7541</v>
      </c>
      <c r="R2202" s="6" t="s">
        <v>7542</v>
      </c>
    </row>
    <row r="2203">
      <c r="A2203" s="6" t="s">
        <v>7537</v>
      </c>
      <c r="B2203" s="6" t="s">
        <v>7537</v>
      </c>
      <c r="C2203" s="6">
        <v>594.0</v>
      </c>
      <c r="D2203" s="9" t="str">
        <f>HYPERLINK("https://www.linkedin.com/ad-library/detail/1502794566","Open Ad")</f>
        <v>Open Ad</v>
      </c>
      <c r="E2203" s="6" t="s">
        <v>91</v>
      </c>
      <c r="F2203" s="6" t="s">
        <v>53</v>
      </c>
      <c r="G2203" s="6" t="s">
        <v>7591</v>
      </c>
      <c r="H2203" s="6" t="s">
        <v>55</v>
      </c>
      <c r="I2203" s="6" t="s">
        <v>7566</v>
      </c>
      <c r="J2203" s="6" t="s">
        <v>91</v>
      </c>
      <c r="K2203" s="9" t="str">
        <f t="shared" si="58"/>
        <v>Open Creative</v>
      </c>
      <c r="L2203" s="6" t="s">
        <v>131</v>
      </c>
      <c r="M2203" s="6" t="s">
        <v>7537</v>
      </c>
      <c r="N2203" s="6" t="s">
        <v>132</v>
      </c>
      <c r="O2203" s="36" t="s">
        <v>132</v>
      </c>
      <c r="P2203" s="36">
        <v>1.502794566E9</v>
      </c>
      <c r="Q2203" s="36" t="s">
        <v>7541</v>
      </c>
      <c r="R2203" s="6" t="s">
        <v>7542</v>
      </c>
    </row>
    <row r="2204">
      <c r="A2204" s="6" t="s">
        <v>7537</v>
      </c>
      <c r="B2204" s="6" t="s">
        <v>7537</v>
      </c>
      <c r="C2204" s="6">
        <v>595.0</v>
      </c>
      <c r="D2204" s="9" t="str">
        <f>HYPERLINK("https://www.linkedin.com/ad-library/detail/1502804256","Open Ad")</f>
        <v>Open Ad</v>
      </c>
      <c r="E2204" s="6" t="s">
        <v>91</v>
      </c>
      <c r="F2204" s="6" t="s">
        <v>53</v>
      </c>
      <c r="G2204" s="6" t="s">
        <v>7639</v>
      </c>
      <c r="H2204" s="6" t="s">
        <v>55</v>
      </c>
      <c r="I2204" s="6" t="s">
        <v>7566</v>
      </c>
      <c r="J2204" s="6" t="s">
        <v>91</v>
      </c>
      <c r="K2204" s="9" t="str">
        <f>HYPERLINK("https://media.licdn.com/dms/image/v2/D5610AQH3M2r-dN7_nA/image-shrink_1280/B56Z9MoPl0KEAg-/0/1783697046612?e=2147483647&amp;v=beta&amp;t=GCdSRI774vIlwuKc0JleptYCxEUXt22sxid6mhQ-ZRs","Open Creative")</f>
        <v>Open Creative</v>
      </c>
      <c r="L2204" s="6" t="s">
        <v>131</v>
      </c>
      <c r="M2204" s="6" t="s">
        <v>7537</v>
      </c>
      <c r="N2204" s="6" t="s">
        <v>132</v>
      </c>
      <c r="O2204" s="36" t="s">
        <v>132</v>
      </c>
      <c r="P2204" s="36">
        <v>1.502804256E9</v>
      </c>
      <c r="Q2204" s="36" t="s">
        <v>7541</v>
      </c>
      <c r="R2204" s="6" t="s">
        <v>7542</v>
      </c>
    </row>
    <row r="2205">
      <c r="A2205" s="6" t="s">
        <v>7537</v>
      </c>
      <c r="B2205" s="6" t="s">
        <v>7537</v>
      </c>
      <c r="C2205" s="6">
        <v>596.0</v>
      </c>
      <c r="D2205" s="9" t="str">
        <f>HYPERLINK("https://www.linkedin.com/ad-library/detail/1502860506","Open Ad")</f>
        <v>Open Ad</v>
      </c>
      <c r="E2205" s="6" t="s">
        <v>91</v>
      </c>
      <c r="F2205" s="6" t="s">
        <v>53</v>
      </c>
      <c r="G2205" s="6" t="s">
        <v>7592</v>
      </c>
      <c r="H2205" s="6" t="s">
        <v>55</v>
      </c>
      <c r="I2205" s="6" t="s">
        <v>7566</v>
      </c>
      <c r="J2205" s="6" t="s">
        <v>91</v>
      </c>
      <c r="K2205" s="9" t="str">
        <f>HYPERLINK("https://media.licdn.com/dms/image/v2/D5610AQG6ROzWPETGmA/image-shrink_1280/B56Z9dR6t1KEAg-/0/1783976406842?e=2147483647&amp;v=beta&amp;t=ubEWJ1uNOIKQkdyOqmhR2qOxm2aAjGOzZhSszx4lxv4","Open Creative")</f>
        <v>Open Creative</v>
      </c>
      <c r="L2205" s="6" t="s">
        <v>131</v>
      </c>
      <c r="M2205" s="6" t="s">
        <v>7537</v>
      </c>
      <c r="N2205" s="6" t="s">
        <v>132</v>
      </c>
      <c r="O2205" s="36" t="s">
        <v>132</v>
      </c>
      <c r="P2205" s="36">
        <v>1.502860506E9</v>
      </c>
      <c r="Q2205" s="36" t="s">
        <v>7541</v>
      </c>
      <c r="R2205" s="6" t="s">
        <v>7542</v>
      </c>
    </row>
    <row r="2206">
      <c r="A2206" s="6" t="s">
        <v>7537</v>
      </c>
      <c r="B2206" s="6" t="s">
        <v>7537</v>
      </c>
      <c r="C2206" s="6">
        <v>597.0</v>
      </c>
      <c r="D2206" s="9" t="str">
        <f>HYPERLINK("https://www.linkedin.com/ad-library/detail/1499797066","Open Ad")</f>
        <v>Open Ad</v>
      </c>
      <c r="E2206" s="6" t="s">
        <v>91</v>
      </c>
      <c r="F2206" s="6" t="s">
        <v>53</v>
      </c>
      <c r="G2206" s="6" t="s">
        <v>7639</v>
      </c>
      <c r="H2206" s="6" t="s">
        <v>55</v>
      </c>
      <c r="I2206" s="6" t="s">
        <v>7566</v>
      </c>
      <c r="J2206" s="6" t="s">
        <v>91</v>
      </c>
      <c r="K2206" s="9" t="str">
        <f>HYPERLINK("https://media.licdn.com/dms/image/v2/D5610AQH3M2r-dN7_nA/image-shrink_1280/B56Z9MoPl0KEAg-/0/1783697046612?e=2147483647&amp;v=beta&amp;t=GCdSRI774vIlwuKc0JleptYCxEUXt22sxid6mhQ-ZRs","Open Creative")</f>
        <v>Open Creative</v>
      </c>
      <c r="L2206" s="6" t="s">
        <v>131</v>
      </c>
      <c r="M2206" s="6" t="s">
        <v>7537</v>
      </c>
      <c r="N2206" s="6" t="s">
        <v>132</v>
      </c>
      <c r="O2206" s="36" t="s">
        <v>132</v>
      </c>
      <c r="P2206" s="36">
        <v>1.499797066E9</v>
      </c>
      <c r="Q2206" s="36" t="s">
        <v>7541</v>
      </c>
      <c r="R2206" s="6" t="s">
        <v>7542</v>
      </c>
    </row>
    <row r="2207">
      <c r="A2207" s="6" t="s">
        <v>7537</v>
      </c>
      <c r="B2207" s="6" t="s">
        <v>7537</v>
      </c>
      <c r="C2207" s="6">
        <v>598.0</v>
      </c>
      <c r="D2207" s="9" t="str">
        <f>HYPERLINK("https://www.linkedin.com/ad-library/detail/1502547456","Open Ad")</f>
        <v>Open Ad</v>
      </c>
      <c r="E2207" s="6" t="s">
        <v>154</v>
      </c>
      <c r="F2207" s="6" t="s">
        <v>53</v>
      </c>
      <c r="G2207" s="6" t="s">
        <v>7640</v>
      </c>
      <c r="H2207" s="6" t="s">
        <v>55</v>
      </c>
      <c r="I2207" s="6" t="s">
        <v>7566</v>
      </c>
      <c r="J2207" s="6" t="s">
        <v>154</v>
      </c>
      <c r="K2207" s="9" t="str">
        <f t="shared" ref="K2207:K2208" si="59">HYPERLINK("https://dms.licdn.com/playlist/vid/v2/D4E05AQEZIBMQ5dvMiw/mp4-640p-30fp-crf28/B4EZq7fWtpGcB0-/0/1764082160741?e=2147483647&amp;v=beta&amp;t=XFL1jBqfg-_iulKKPx99xtiUuPTR1oKXosCHSzSTLSs","Open Creative")</f>
        <v>Open Creative</v>
      </c>
      <c r="L2207" s="6" t="s">
        <v>131</v>
      </c>
      <c r="M2207" s="6" t="s">
        <v>7537</v>
      </c>
      <c r="N2207" s="6" t="s">
        <v>132</v>
      </c>
      <c r="O2207" s="36" t="s">
        <v>132</v>
      </c>
      <c r="P2207" s="36">
        <v>1.502547456E9</v>
      </c>
      <c r="Q2207" s="36" t="s">
        <v>7541</v>
      </c>
      <c r="R2207" s="6" t="s">
        <v>7542</v>
      </c>
    </row>
    <row r="2208">
      <c r="A2208" s="6" t="s">
        <v>7537</v>
      </c>
      <c r="B2208" s="6" t="s">
        <v>7537</v>
      </c>
      <c r="C2208" s="6">
        <v>599.0</v>
      </c>
      <c r="D2208" s="9" t="str">
        <f>HYPERLINK("https://www.linkedin.com/ad-library/detail/1502804266","Open Ad")</f>
        <v>Open Ad</v>
      </c>
      <c r="E2208" s="6" t="s">
        <v>154</v>
      </c>
      <c r="F2208" s="6" t="s">
        <v>53</v>
      </c>
      <c r="G2208" s="6" t="s">
        <v>7640</v>
      </c>
      <c r="H2208" s="6" t="s">
        <v>55</v>
      </c>
      <c r="I2208" s="6" t="s">
        <v>7566</v>
      </c>
      <c r="J2208" s="6" t="s">
        <v>154</v>
      </c>
      <c r="K2208" s="9" t="str">
        <f t="shared" si="59"/>
        <v>Open Creative</v>
      </c>
      <c r="L2208" s="6" t="s">
        <v>131</v>
      </c>
      <c r="M2208" s="6" t="s">
        <v>7537</v>
      </c>
      <c r="N2208" s="6" t="s">
        <v>132</v>
      </c>
      <c r="O2208" s="36" t="s">
        <v>132</v>
      </c>
      <c r="P2208" s="36">
        <v>1.502804266E9</v>
      </c>
      <c r="Q2208" s="36" t="s">
        <v>7541</v>
      </c>
      <c r="R2208" s="6" t="s">
        <v>7542</v>
      </c>
    </row>
    <row r="2209">
      <c r="A2209" s="6" t="s">
        <v>7537</v>
      </c>
      <c r="B2209" s="6" t="s">
        <v>7537</v>
      </c>
      <c r="C2209" s="6">
        <v>600.0</v>
      </c>
      <c r="D2209" s="9" t="str">
        <f>HYPERLINK("https://www.linkedin.com/ad-library/detail/1502756506","Open Ad")</f>
        <v>Open Ad</v>
      </c>
      <c r="E2209" s="6" t="s">
        <v>91</v>
      </c>
      <c r="F2209" s="6" t="s">
        <v>53</v>
      </c>
      <c r="G2209" s="6" t="s">
        <v>7624</v>
      </c>
      <c r="H2209" s="6" t="s">
        <v>55</v>
      </c>
      <c r="I2209" s="6" t="s">
        <v>7566</v>
      </c>
      <c r="J2209" s="6" t="s">
        <v>91</v>
      </c>
      <c r="K2209" s="9" t="str">
        <f>HYPERLINK("https://media.licdn.com/dms/image/v2/D5610AQHWN3cBgpsrZA/image-shrink_1280/B56Z8ThVnqLAAc-/0/1782738934569?e=2147483647&amp;v=beta&amp;t=A-Y9kI8t-vvKXU86I3eo4Ke7-nBQGOwNbp_-WJGBzdU","Open Creative")</f>
        <v>Open Creative</v>
      </c>
      <c r="L2209" s="6" t="s">
        <v>131</v>
      </c>
      <c r="M2209" s="6" t="s">
        <v>7537</v>
      </c>
      <c r="N2209" s="6" t="s">
        <v>132</v>
      </c>
      <c r="O2209" s="36" t="s">
        <v>132</v>
      </c>
      <c r="P2209" s="36">
        <v>1.502756506E9</v>
      </c>
      <c r="Q2209" s="36" t="s">
        <v>7541</v>
      </c>
      <c r="R2209" s="6" t="s">
        <v>7542</v>
      </c>
    </row>
    <row r="2210">
      <c r="A2210" s="6" t="s">
        <v>7537</v>
      </c>
      <c r="B2210" s="6" t="s">
        <v>7537</v>
      </c>
      <c r="C2210" s="6">
        <v>601.0</v>
      </c>
      <c r="D2210" s="9" t="str">
        <f>HYPERLINK("https://www.linkedin.com/ad-library/detail/1499738436","Open Ad")</f>
        <v>Open Ad</v>
      </c>
      <c r="E2210" s="6" t="s">
        <v>91</v>
      </c>
      <c r="F2210" s="6" t="s">
        <v>53</v>
      </c>
      <c r="G2210" s="6" t="s">
        <v>7592</v>
      </c>
      <c r="H2210" s="6" t="s">
        <v>55</v>
      </c>
      <c r="I2210" s="6" t="s">
        <v>7566</v>
      </c>
      <c r="J2210" s="6" t="s">
        <v>91</v>
      </c>
      <c r="K2210" s="9" t="str">
        <f>HYPERLINK("https://media.licdn.com/dms/image/v2/D5610AQG6ROzWPETGmA/image-shrink_1280/B56Z9dR6t1KEAg-/0/1783976406842?e=2147483647&amp;v=beta&amp;t=ubEWJ1uNOIKQkdyOqmhR2qOxm2aAjGOzZhSszx4lxv4","Open Creative")</f>
        <v>Open Creative</v>
      </c>
      <c r="L2210" s="6" t="s">
        <v>131</v>
      </c>
      <c r="M2210" s="6" t="s">
        <v>7537</v>
      </c>
      <c r="N2210" s="6" t="s">
        <v>132</v>
      </c>
      <c r="O2210" s="36" t="s">
        <v>132</v>
      </c>
      <c r="P2210" s="36">
        <v>1.499738436E9</v>
      </c>
      <c r="Q2210" s="36" t="s">
        <v>7541</v>
      </c>
      <c r="R2210" s="6" t="s">
        <v>7542</v>
      </c>
    </row>
    <row r="2211">
      <c r="A2211" s="6" t="s">
        <v>7537</v>
      </c>
      <c r="B2211" s="6" t="s">
        <v>7537</v>
      </c>
      <c r="C2211" s="6">
        <v>602.0</v>
      </c>
      <c r="D2211" s="9" t="str">
        <f>HYPERLINK("https://www.linkedin.com/ad-library/detail/1499767606","Open Ad")</f>
        <v>Open Ad</v>
      </c>
      <c r="E2211" s="6" t="s">
        <v>91</v>
      </c>
      <c r="F2211" s="6" t="s">
        <v>53</v>
      </c>
      <c r="G2211" s="6" t="s">
        <v>7639</v>
      </c>
      <c r="H2211" s="6" t="s">
        <v>55</v>
      </c>
      <c r="I2211" s="6" t="s">
        <v>7566</v>
      </c>
      <c r="J2211" s="6" t="s">
        <v>91</v>
      </c>
      <c r="K2211" s="9" t="str">
        <f>HYPERLINK("https://media.licdn.com/dms/image/v2/D5610AQH3M2r-dN7_nA/image-shrink_1280/B56Z9MoPl0KEAg-/0/1783697046612?e=2147483647&amp;v=beta&amp;t=GCdSRI774vIlwuKc0JleptYCxEUXt22sxid6mhQ-ZRs","Open Creative")</f>
        <v>Open Creative</v>
      </c>
      <c r="L2211" s="6" t="s">
        <v>131</v>
      </c>
      <c r="M2211" s="6" t="s">
        <v>7537</v>
      </c>
      <c r="N2211" s="6" t="s">
        <v>132</v>
      </c>
      <c r="O2211" s="36" t="s">
        <v>132</v>
      </c>
      <c r="P2211" s="36">
        <v>1.499767606E9</v>
      </c>
      <c r="Q2211" s="36" t="s">
        <v>7541</v>
      </c>
      <c r="R2211" s="6" t="s">
        <v>7542</v>
      </c>
    </row>
    <row r="2212">
      <c r="A2212" s="6" t="s">
        <v>7537</v>
      </c>
      <c r="B2212" s="6" t="s">
        <v>7537</v>
      </c>
      <c r="C2212" s="6">
        <v>603.0</v>
      </c>
      <c r="D2212" s="9" t="str">
        <f>HYPERLINK("https://www.linkedin.com/ad-library/detail/1499891176","Open Ad")</f>
        <v>Open Ad</v>
      </c>
      <c r="E2212" s="6" t="s">
        <v>91</v>
      </c>
      <c r="F2212" s="6" t="s">
        <v>53</v>
      </c>
      <c r="G2212" s="6" t="s">
        <v>7636</v>
      </c>
      <c r="H2212" s="6" t="s">
        <v>55</v>
      </c>
      <c r="I2212" s="6" t="s">
        <v>7566</v>
      </c>
      <c r="J2212" s="6" t="s">
        <v>91</v>
      </c>
      <c r="K2212" s="9" t="str">
        <f t="shared" ref="K2212:K2213" si="60">HYPERLINK("https://media.licdn.com/dms/image/v2/D5610AQFoFyqJ3g7Log/image-shrink_1280/B56Z9h_Mo.HUAc-/0/1784055385012?e=2147483647&amp;v=beta&amp;t=ahLhwf3XzHon78cEKdnNDmivIzsNgm82MjqmREwyCIw","Open Creative")</f>
        <v>Open Creative</v>
      </c>
      <c r="L2212" s="6" t="s">
        <v>131</v>
      </c>
      <c r="M2212" s="6" t="s">
        <v>7537</v>
      </c>
      <c r="N2212" s="6" t="s">
        <v>132</v>
      </c>
      <c r="O2212" s="36" t="s">
        <v>132</v>
      </c>
      <c r="P2212" s="36">
        <v>1.499891176E9</v>
      </c>
      <c r="Q2212" s="36" t="s">
        <v>7541</v>
      </c>
      <c r="R2212" s="6" t="s">
        <v>7542</v>
      </c>
    </row>
    <row r="2213">
      <c r="A2213" s="6" t="s">
        <v>7537</v>
      </c>
      <c r="B2213" s="6" t="s">
        <v>7537</v>
      </c>
      <c r="C2213" s="6">
        <v>604.0</v>
      </c>
      <c r="D2213" s="9" t="str">
        <f>HYPERLINK("https://www.linkedin.com/ad-library/detail/1499709286","Open Ad")</f>
        <v>Open Ad</v>
      </c>
      <c r="E2213" s="6" t="s">
        <v>91</v>
      </c>
      <c r="F2213" s="6" t="s">
        <v>53</v>
      </c>
      <c r="G2213" s="6" t="s">
        <v>7636</v>
      </c>
      <c r="H2213" s="6" t="s">
        <v>55</v>
      </c>
      <c r="I2213" s="6" t="s">
        <v>7566</v>
      </c>
      <c r="J2213" s="6" t="s">
        <v>91</v>
      </c>
      <c r="K2213" s="9" t="str">
        <f t="shared" si="60"/>
        <v>Open Creative</v>
      </c>
      <c r="L2213" s="6" t="s">
        <v>131</v>
      </c>
      <c r="M2213" s="6" t="s">
        <v>7537</v>
      </c>
      <c r="N2213" s="6" t="s">
        <v>132</v>
      </c>
      <c r="O2213" s="36" t="s">
        <v>132</v>
      </c>
      <c r="P2213" s="36">
        <v>1.499709286E9</v>
      </c>
      <c r="Q2213" s="36" t="s">
        <v>7541</v>
      </c>
      <c r="R2213" s="6" t="s">
        <v>7542</v>
      </c>
    </row>
    <row r="2214">
      <c r="A2214" s="6" t="s">
        <v>7537</v>
      </c>
      <c r="B2214" s="6" t="s">
        <v>7537</v>
      </c>
      <c r="C2214" s="6">
        <v>605.0</v>
      </c>
      <c r="D2214" s="9" t="str">
        <f>HYPERLINK("https://www.linkedin.com/ad-library/detail/1499709346","Open Ad")</f>
        <v>Open Ad</v>
      </c>
      <c r="E2214" s="6" t="s">
        <v>91</v>
      </c>
      <c r="F2214" s="6" t="s">
        <v>53</v>
      </c>
      <c r="G2214" s="6" t="s">
        <v>7592</v>
      </c>
      <c r="H2214" s="6" t="s">
        <v>55</v>
      </c>
      <c r="I2214" s="6" t="s">
        <v>7566</v>
      </c>
      <c r="J2214" s="6" t="s">
        <v>91</v>
      </c>
      <c r="K2214" s="9" t="str">
        <f>HYPERLINK("https://media.licdn.com/dms/image/v2/D5610AQG6ROzWPETGmA/image-shrink_1280/B56Z9dR6t1KEAg-/0/1783976406842?e=2147483647&amp;v=beta&amp;t=ubEWJ1uNOIKQkdyOqmhR2qOxm2aAjGOzZhSszx4lxv4","Open Creative")</f>
        <v>Open Creative</v>
      </c>
      <c r="L2214" s="6" t="s">
        <v>131</v>
      </c>
      <c r="M2214" s="6" t="s">
        <v>7537</v>
      </c>
      <c r="N2214" s="6" t="s">
        <v>132</v>
      </c>
      <c r="O2214" s="36" t="s">
        <v>132</v>
      </c>
      <c r="P2214" s="36">
        <v>1.499709346E9</v>
      </c>
      <c r="Q2214" s="36" t="s">
        <v>7541</v>
      </c>
      <c r="R2214" s="6" t="s">
        <v>7542</v>
      </c>
    </row>
    <row r="2215">
      <c r="A2215" s="6" t="s">
        <v>7537</v>
      </c>
      <c r="B2215" s="6" t="s">
        <v>7537</v>
      </c>
      <c r="C2215" s="6">
        <v>606.0</v>
      </c>
      <c r="D2215" s="9" t="str">
        <f>HYPERLINK("https://www.linkedin.com/ad-library/detail/1499709356","Open Ad")</f>
        <v>Open Ad</v>
      </c>
      <c r="E2215" s="6" t="s">
        <v>91</v>
      </c>
      <c r="F2215" s="6" t="s">
        <v>53</v>
      </c>
      <c r="G2215" s="6" t="s">
        <v>7591</v>
      </c>
      <c r="H2215" s="6" t="s">
        <v>55</v>
      </c>
      <c r="I2215" s="6" t="s">
        <v>7566</v>
      </c>
      <c r="J2215" s="6" t="s">
        <v>91</v>
      </c>
      <c r="K2215" s="9" t="str">
        <f>HYPERLINK("https://media.licdn.com/dms/image/v2/D5610AQFapQuTs5RyQg/image-shrink_1280/B56Z9h_6UCGcAg-/0/1784055572538?e=2147483647&amp;v=beta&amp;t=Kv2jNpyAeREV8VRiJojr6bkYk7Ofuq0wj6IaFzQHYEU","Open Creative")</f>
        <v>Open Creative</v>
      </c>
      <c r="L2215" s="6" t="s">
        <v>131</v>
      </c>
      <c r="M2215" s="6" t="s">
        <v>7537</v>
      </c>
      <c r="N2215" s="6" t="s">
        <v>132</v>
      </c>
      <c r="O2215" s="36" t="s">
        <v>132</v>
      </c>
      <c r="P2215" s="36">
        <v>1.499709356E9</v>
      </c>
      <c r="Q2215" s="36" t="s">
        <v>7541</v>
      </c>
      <c r="R2215" s="6" t="s">
        <v>7542</v>
      </c>
    </row>
    <row r="2216">
      <c r="A2216" s="6" t="s">
        <v>7537</v>
      </c>
      <c r="B2216" s="6" t="s">
        <v>7537</v>
      </c>
      <c r="C2216" s="6">
        <v>607.0</v>
      </c>
      <c r="D2216" s="9" t="str">
        <f>HYPERLINK("https://www.linkedin.com/ad-library/detail/1499699316","Open Ad")</f>
        <v>Open Ad</v>
      </c>
      <c r="E2216" s="6" t="s">
        <v>91</v>
      </c>
      <c r="F2216" s="6" t="s">
        <v>53</v>
      </c>
      <c r="G2216" s="6" t="s">
        <v>7592</v>
      </c>
      <c r="H2216" s="6" t="s">
        <v>55</v>
      </c>
      <c r="I2216" s="6" t="s">
        <v>7566</v>
      </c>
      <c r="J2216" s="6" t="s">
        <v>91</v>
      </c>
      <c r="K2216" s="9" t="str">
        <f>HYPERLINK("https://media.licdn.com/dms/image/v2/D5610AQG6ROzWPETGmA/image-shrink_1280/B56Z9dR6t1KEAg-/0/1783976406842?e=2147483647&amp;v=beta&amp;t=ubEWJ1uNOIKQkdyOqmhR2qOxm2aAjGOzZhSszx4lxv4","Open Creative")</f>
        <v>Open Creative</v>
      </c>
      <c r="L2216" s="6" t="s">
        <v>131</v>
      </c>
      <c r="M2216" s="6" t="s">
        <v>7537</v>
      </c>
      <c r="N2216" s="6" t="s">
        <v>132</v>
      </c>
      <c r="O2216" s="36" t="s">
        <v>132</v>
      </c>
      <c r="P2216" s="36">
        <v>1.499699316E9</v>
      </c>
      <c r="Q2216" s="36" t="s">
        <v>7541</v>
      </c>
      <c r="R2216" s="6" t="s">
        <v>7542</v>
      </c>
    </row>
    <row r="2217">
      <c r="A2217" s="6" t="s">
        <v>7537</v>
      </c>
      <c r="B2217" s="6" t="s">
        <v>7537</v>
      </c>
      <c r="C2217" s="6">
        <v>608.0</v>
      </c>
      <c r="D2217" s="9" t="str">
        <f>HYPERLINK("https://www.linkedin.com/ad-library/detail/1499699346","Open Ad")</f>
        <v>Open Ad</v>
      </c>
      <c r="E2217" s="6" t="s">
        <v>91</v>
      </c>
      <c r="F2217" s="6" t="s">
        <v>53</v>
      </c>
      <c r="G2217" s="6" t="s">
        <v>7591</v>
      </c>
      <c r="H2217" s="6" t="s">
        <v>55</v>
      </c>
      <c r="I2217" s="6" t="s">
        <v>7566</v>
      </c>
      <c r="J2217" s="6" t="s">
        <v>91</v>
      </c>
      <c r="K2217" s="9" t="str">
        <f>HYPERLINK("https://media.licdn.com/dms/image/v2/D5610AQFapQuTs5RyQg/image-shrink_1280/B56Z9h_6UCGcAg-/0/1784055572538?e=2147483647&amp;v=beta&amp;t=Kv2jNpyAeREV8VRiJojr6bkYk7Ofuq0wj6IaFzQHYEU","Open Creative")</f>
        <v>Open Creative</v>
      </c>
      <c r="L2217" s="6" t="s">
        <v>131</v>
      </c>
      <c r="M2217" s="6" t="s">
        <v>7537</v>
      </c>
      <c r="N2217" s="6" t="s">
        <v>132</v>
      </c>
      <c r="O2217" s="36" t="s">
        <v>132</v>
      </c>
      <c r="P2217" s="36">
        <v>1.499699346E9</v>
      </c>
      <c r="Q2217" s="36" t="s">
        <v>7541</v>
      </c>
      <c r="R2217" s="6" t="s">
        <v>7542</v>
      </c>
    </row>
    <row r="2218">
      <c r="A2218" s="6" t="s">
        <v>7537</v>
      </c>
      <c r="B2218" s="6" t="s">
        <v>7537</v>
      </c>
      <c r="C2218" s="6">
        <v>609.0</v>
      </c>
      <c r="D2218" s="9" t="str">
        <f>HYPERLINK("https://www.linkedin.com/ad-library/detail/1499699356","Open Ad")</f>
        <v>Open Ad</v>
      </c>
      <c r="E2218" s="6" t="s">
        <v>91</v>
      </c>
      <c r="F2218" s="6" t="s">
        <v>53</v>
      </c>
      <c r="G2218" s="6" t="s">
        <v>7639</v>
      </c>
      <c r="H2218" s="6" t="s">
        <v>55</v>
      </c>
      <c r="I2218" s="6" t="s">
        <v>7566</v>
      </c>
      <c r="J2218" s="6" t="s">
        <v>91</v>
      </c>
      <c r="K2218" s="9" t="str">
        <f>HYPERLINK("https://media.licdn.com/dms/image/v2/D5610AQH3M2r-dN7_nA/image-shrink_1280/B56Z9MoPl0KEAg-/0/1783697046612?e=2147483647&amp;v=beta&amp;t=GCdSRI774vIlwuKc0JleptYCxEUXt22sxid6mhQ-ZRs","Open Creative")</f>
        <v>Open Creative</v>
      </c>
      <c r="L2218" s="6" t="s">
        <v>131</v>
      </c>
      <c r="M2218" s="6" t="s">
        <v>7537</v>
      </c>
      <c r="N2218" s="6" t="s">
        <v>132</v>
      </c>
      <c r="O2218" s="36" t="s">
        <v>132</v>
      </c>
      <c r="P2218" s="36">
        <v>1.499699356E9</v>
      </c>
      <c r="Q2218" s="36" t="s">
        <v>7541</v>
      </c>
      <c r="R2218" s="6" t="s">
        <v>7542</v>
      </c>
    </row>
    <row r="2219">
      <c r="A2219" s="6" t="s">
        <v>7537</v>
      </c>
      <c r="B2219" s="6" t="s">
        <v>7537</v>
      </c>
      <c r="C2219" s="6">
        <v>610.0</v>
      </c>
      <c r="D2219" s="9" t="str">
        <f>HYPERLINK("https://www.linkedin.com/ad-library/detail/1499679566","Open Ad")</f>
        <v>Open Ad</v>
      </c>
      <c r="E2219" s="6" t="s">
        <v>91</v>
      </c>
      <c r="F2219" s="6" t="s">
        <v>53</v>
      </c>
      <c r="G2219" s="6" t="s">
        <v>7636</v>
      </c>
      <c r="H2219" s="6" t="s">
        <v>55</v>
      </c>
      <c r="I2219" s="6" t="s">
        <v>7566</v>
      </c>
      <c r="J2219" s="6" t="s">
        <v>91</v>
      </c>
      <c r="K2219" s="9" t="str">
        <f>HYPERLINK("https://media.licdn.com/dms/image/v2/D5610AQFoFyqJ3g7Log/image-shrink_1280/B56Z9h_Mo.HUAc-/0/1784055385012?e=2147483647&amp;v=beta&amp;t=ahLhwf3XzHon78cEKdnNDmivIzsNgm82MjqmREwyCIw","Open Creative")</f>
        <v>Open Creative</v>
      </c>
      <c r="L2219" s="6" t="s">
        <v>131</v>
      </c>
      <c r="M2219" s="6" t="s">
        <v>7537</v>
      </c>
      <c r="N2219" s="6" t="s">
        <v>132</v>
      </c>
      <c r="O2219" s="36" t="s">
        <v>132</v>
      </c>
      <c r="P2219" s="36">
        <v>1.499679566E9</v>
      </c>
      <c r="Q2219" s="36" t="s">
        <v>7541</v>
      </c>
      <c r="R2219" s="6" t="s">
        <v>7542</v>
      </c>
    </row>
    <row r="2220">
      <c r="A2220" s="6" t="s">
        <v>7537</v>
      </c>
      <c r="B2220" s="6" t="s">
        <v>7537</v>
      </c>
      <c r="C2220" s="6">
        <v>611.0</v>
      </c>
      <c r="D2220" s="9" t="str">
        <f>HYPERLINK("https://www.linkedin.com/ad-library/detail/1499778716","Open Ad")</f>
        <v>Open Ad</v>
      </c>
      <c r="E2220" s="6" t="s">
        <v>91</v>
      </c>
      <c r="F2220" s="6" t="s">
        <v>53</v>
      </c>
      <c r="G2220" s="6" t="s">
        <v>7591</v>
      </c>
      <c r="H2220" s="6" t="s">
        <v>55</v>
      </c>
      <c r="I2220" s="6" t="s">
        <v>7566</v>
      </c>
      <c r="J2220" s="6" t="s">
        <v>91</v>
      </c>
      <c r="K2220" s="9" t="str">
        <f>HYPERLINK("https://media.licdn.com/dms/image/v2/D5610AQFapQuTs5RyQg/image-shrink_1280/B56Z9h_6UCGcAg-/0/1784055572538?e=2147483647&amp;v=beta&amp;t=Kv2jNpyAeREV8VRiJojr6bkYk7Ofuq0wj6IaFzQHYEU","Open Creative")</f>
        <v>Open Creative</v>
      </c>
      <c r="L2220" s="6" t="s">
        <v>131</v>
      </c>
      <c r="M2220" s="6" t="s">
        <v>7537</v>
      </c>
      <c r="N2220" s="6" t="s">
        <v>132</v>
      </c>
      <c r="O2220" s="36" t="s">
        <v>132</v>
      </c>
      <c r="P2220" s="36">
        <v>1.499778716E9</v>
      </c>
      <c r="Q2220" s="36" t="s">
        <v>7541</v>
      </c>
      <c r="R2220" s="6" t="s">
        <v>7542</v>
      </c>
    </row>
    <row r="2221">
      <c r="A2221" s="6" t="s">
        <v>7537</v>
      </c>
      <c r="B2221" s="6" t="s">
        <v>7537</v>
      </c>
      <c r="C2221" s="6">
        <v>612.0</v>
      </c>
      <c r="D2221" s="9" t="str">
        <f>HYPERLINK("https://www.linkedin.com/ad-library/detail/1499797026","Open Ad")</f>
        <v>Open Ad</v>
      </c>
      <c r="E2221" s="6" t="s">
        <v>91</v>
      </c>
      <c r="F2221" s="6" t="s">
        <v>53</v>
      </c>
      <c r="G2221" s="6" t="s">
        <v>7592</v>
      </c>
      <c r="H2221" s="6" t="s">
        <v>55</v>
      </c>
      <c r="I2221" s="6" t="s">
        <v>7566</v>
      </c>
      <c r="J2221" s="6" t="s">
        <v>91</v>
      </c>
      <c r="K2221" s="9" t="str">
        <f>HYPERLINK("https://media.licdn.com/dms/image/v2/D5610AQG6ROzWPETGmA/image-shrink_1280/B56Z9dR6t1KEAg-/0/1783976406842?e=2147483647&amp;v=beta&amp;t=ubEWJ1uNOIKQkdyOqmhR2qOxm2aAjGOzZhSszx4lxv4","Open Creative")</f>
        <v>Open Creative</v>
      </c>
      <c r="L2221" s="6" t="s">
        <v>131</v>
      </c>
      <c r="M2221" s="6" t="s">
        <v>7537</v>
      </c>
      <c r="N2221" s="6" t="s">
        <v>132</v>
      </c>
      <c r="O2221" s="36" t="s">
        <v>132</v>
      </c>
      <c r="P2221" s="36">
        <v>1.499797026E9</v>
      </c>
      <c r="Q2221" s="36" t="s">
        <v>7541</v>
      </c>
      <c r="R2221" s="6" t="s">
        <v>7542</v>
      </c>
    </row>
    <row r="2222">
      <c r="A2222" s="6" t="s">
        <v>7537</v>
      </c>
      <c r="B2222" s="6" t="s">
        <v>7537</v>
      </c>
      <c r="C2222" s="6">
        <v>613.0</v>
      </c>
      <c r="D2222" s="9" t="str">
        <f>HYPERLINK("https://www.linkedin.com/ad-library/detail/1499669856","Open Ad")</f>
        <v>Open Ad</v>
      </c>
      <c r="E2222" s="6" t="s">
        <v>91</v>
      </c>
      <c r="F2222" s="6" t="s">
        <v>53</v>
      </c>
      <c r="G2222" s="6" t="s">
        <v>7639</v>
      </c>
      <c r="H2222" s="6" t="s">
        <v>55</v>
      </c>
      <c r="I2222" s="6" t="s">
        <v>7566</v>
      </c>
      <c r="J2222" s="6" t="s">
        <v>91</v>
      </c>
      <c r="K2222" s="9" t="str">
        <f>HYPERLINK("https://media.licdn.com/dms/image/v2/D5610AQH3M2r-dN7_nA/image-shrink_1280/B56Z9MoPl0KEAg-/0/1783697046612?e=2147483647&amp;v=beta&amp;t=GCdSRI774vIlwuKc0JleptYCxEUXt22sxid6mhQ-ZRs","Open Creative")</f>
        <v>Open Creative</v>
      </c>
      <c r="L2222" s="6" t="s">
        <v>131</v>
      </c>
      <c r="M2222" s="6" t="s">
        <v>7537</v>
      </c>
      <c r="N2222" s="6" t="s">
        <v>132</v>
      </c>
      <c r="O2222" s="36" t="s">
        <v>132</v>
      </c>
      <c r="P2222" s="36">
        <v>1.499669856E9</v>
      </c>
      <c r="Q2222" s="36" t="s">
        <v>7541</v>
      </c>
      <c r="R2222" s="6" t="s">
        <v>7542</v>
      </c>
    </row>
    <row r="2223">
      <c r="A2223" s="6" t="s">
        <v>7537</v>
      </c>
      <c r="B2223" s="6" t="s">
        <v>7537</v>
      </c>
      <c r="C2223" s="6">
        <v>614.0</v>
      </c>
      <c r="D2223" s="9" t="str">
        <f>HYPERLINK("https://www.linkedin.com/ad-library/detail/1499797036","Open Ad")</f>
        <v>Open Ad</v>
      </c>
      <c r="E2223" s="6" t="s">
        <v>91</v>
      </c>
      <c r="F2223" s="6" t="s">
        <v>53</v>
      </c>
      <c r="G2223" s="6" t="s">
        <v>7592</v>
      </c>
      <c r="H2223" s="6" t="s">
        <v>55</v>
      </c>
      <c r="I2223" s="6" t="s">
        <v>7566</v>
      </c>
      <c r="J2223" s="6" t="s">
        <v>91</v>
      </c>
      <c r="K2223" s="9" t="str">
        <f>HYPERLINK("https://media.licdn.com/dms/image/v2/D5610AQG6ROzWPETGmA/image-shrink_1280/B56Z9dR6t1KEAg-/0/1783976406842?e=2147483647&amp;v=beta&amp;t=ubEWJ1uNOIKQkdyOqmhR2qOxm2aAjGOzZhSszx4lxv4","Open Creative")</f>
        <v>Open Creative</v>
      </c>
      <c r="L2223" s="6" t="s">
        <v>131</v>
      </c>
      <c r="M2223" s="6" t="s">
        <v>7537</v>
      </c>
      <c r="N2223" s="6" t="s">
        <v>132</v>
      </c>
      <c r="O2223" s="36" t="s">
        <v>132</v>
      </c>
      <c r="P2223" s="36">
        <v>1.499797036E9</v>
      </c>
      <c r="Q2223" s="36" t="s">
        <v>7541</v>
      </c>
      <c r="R2223" s="6" t="s">
        <v>7542</v>
      </c>
    </row>
    <row r="2224">
      <c r="A2224" s="6" t="s">
        <v>7537</v>
      </c>
      <c r="B2224" s="6" t="s">
        <v>7537</v>
      </c>
      <c r="C2224" s="6">
        <v>615.0</v>
      </c>
      <c r="D2224" s="9" t="str">
        <f>HYPERLINK("https://www.linkedin.com/ad-library/detail/1499835846","Open Ad")</f>
        <v>Open Ad</v>
      </c>
      <c r="E2224" s="6" t="s">
        <v>91</v>
      </c>
      <c r="F2224" s="6" t="s">
        <v>53</v>
      </c>
      <c r="G2224" s="6" t="s">
        <v>7591</v>
      </c>
      <c r="H2224" s="6" t="s">
        <v>55</v>
      </c>
      <c r="I2224" s="6" t="s">
        <v>7566</v>
      </c>
      <c r="J2224" s="6" t="s">
        <v>91</v>
      </c>
      <c r="K2224" s="9" t="str">
        <f>HYPERLINK("https://media.licdn.com/dms/image/v2/D5610AQFapQuTs5RyQg/image-shrink_1280/B56Z9h_6UCGcAg-/0/1784055572538?e=2147483647&amp;v=beta&amp;t=Kv2jNpyAeREV8VRiJojr6bkYk7Ofuq0wj6IaFzQHYEU","Open Creative")</f>
        <v>Open Creative</v>
      </c>
      <c r="L2224" s="6" t="s">
        <v>131</v>
      </c>
      <c r="M2224" s="6" t="s">
        <v>7537</v>
      </c>
      <c r="N2224" s="6" t="s">
        <v>132</v>
      </c>
      <c r="O2224" s="36" t="s">
        <v>132</v>
      </c>
      <c r="P2224" s="36">
        <v>1.499835846E9</v>
      </c>
      <c r="Q2224" s="36" t="s">
        <v>7541</v>
      </c>
      <c r="R2224" s="6" t="s">
        <v>7542</v>
      </c>
    </row>
    <row r="2225">
      <c r="A2225" s="6" t="s">
        <v>7537</v>
      </c>
      <c r="B2225" s="6" t="s">
        <v>7537</v>
      </c>
      <c r="C2225" s="6">
        <v>616.0</v>
      </c>
      <c r="D2225" s="9" t="str">
        <f>HYPERLINK("https://www.linkedin.com/ad-library/detail/1499669826","Open Ad")</f>
        <v>Open Ad</v>
      </c>
      <c r="E2225" s="6" t="s">
        <v>91</v>
      </c>
      <c r="F2225" s="6" t="s">
        <v>53</v>
      </c>
      <c r="G2225" s="6" t="s">
        <v>7592</v>
      </c>
      <c r="H2225" s="6" t="s">
        <v>55</v>
      </c>
      <c r="I2225" s="6" t="s">
        <v>7566</v>
      </c>
      <c r="J2225" s="6" t="s">
        <v>91</v>
      </c>
      <c r="K2225" s="9" t="str">
        <f t="shared" ref="K2225:K2226" si="61">HYPERLINK("https://media.licdn.com/dms/image/v2/D5610AQG6ROzWPETGmA/image-shrink_1280/B56Z9dR6t1KEAg-/0/1783976406842?e=2147483647&amp;v=beta&amp;t=ubEWJ1uNOIKQkdyOqmhR2qOxm2aAjGOzZhSszx4lxv4","Open Creative")</f>
        <v>Open Creative</v>
      </c>
      <c r="L2225" s="6" t="s">
        <v>131</v>
      </c>
      <c r="M2225" s="6" t="s">
        <v>7537</v>
      </c>
      <c r="N2225" s="6" t="s">
        <v>132</v>
      </c>
      <c r="O2225" s="36" t="s">
        <v>132</v>
      </c>
      <c r="P2225" s="36">
        <v>1.499669826E9</v>
      </c>
      <c r="Q2225" s="36" t="s">
        <v>7541</v>
      </c>
      <c r="R2225" s="6" t="s">
        <v>7542</v>
      </c>
    </row>
    <row r="2226">
      <c r="A2226" s="6" t="s">
        <v>7537</v>
      </c>
      <c r="B2226" s="6" t="s">
        <v>7537</v>
      </c>
      <c r="C2226" s="6">
        <v>617.0</v>
      </c>
      <c r="D2226" s="9" t="str">
        <f>HYPERLINK("https://www.linkedin.com/ad-library/detail/1499778686","Open Ad")</f>
        <v>Open Ad</v>
      </c>
      <c r="E2226" s="6" t="s">
        <v>91</v>
      </c>
      <c r="F2226" s="6" t="s">
        <v>53</v>
      </c>
      <c r="G2226" s="6" t="s">
        <v>7592</v>
      </c>
      <c r="H2226" s="6" t="s">
        <v>55</v>
      </c>
      <c r="I2226" s="6" t="s">
        <v>7566</v>
      </c>
      <c r="J2226" s="6" t="s">
        <v>91</v>
      </c>
      <c r="K2226" s="9" t="str">
        <f t="shared" si="61"/>
        <v>Open Creative</v>
      </c>
      <c r="L2226" s="6" t="s">
        <v>131</v>
      </c>
      <c r="M2226" s="6" t="s">
        <v>7537</v>
      </c>
      <c r="N2226" s="6" t="s">
        <v>132</v>
      </c>
      <c r="O2226" s="36" t="s">
        <v>132</v>
      </c>
      <c r="P2226" s="36">
        <v>1.499778686E9</v>
      </c>
      <c r="Q2226" s="36" t="s">
        <v>7541</v>
      </c>
      <c r="R2226" s="6" t="s">
        <v>7542</v>
      </c>
    </row>
    <row r="2227">
      <c r="A2227" s="6" t="s">
        <v>7537</v>
      </c>
      <c r="B2227" s="6" t="s">
        <v>7537</v>
      </c>
      <c r="C2227" s="6">
        <v>618.0</v>
      </c>
      <c r="D2227" s="9" t="str">
        <f>HYPERLINK("https://www.linkedin.com/ad-library/detail/1499891206","Open Ad")</f>
        <v>Open Ad</v>
      </c>
      <c r="E2227" s="6" t="s">
        <v>91</v>
      </c>
      <c r="F2227" s="6" t="s">
        <v>53</v>
      </c>
      <c r="G2227" s="6" t="s">
        <v>7591</v>
      </c>
      <c r="H2227" s="6" t="s">
        <v>55</v>
      </c>
      <c r="I2227" s="6" t="s">
        <v>7566</v>
      </c>
      <c r="J2227" s="6" t="s">
        <v>91</v>
      </c>
      <c r="K2227" s="9" t="str">
        <f>HYPERLINK("https://media.licdn.com/dms/image/v2/D5610AQFapQuTs5RyQg/image-shrink_1280/B56Z9h_6UCGcAg-/0/1784055572538?e=2147483647&amp;v=beta&amp;t=Kv2jNpyAeREV8VRiJojr6bkYk7Ofuq0wj6IaFzQHYEU","Open Creative")</f>
        <v>Open Creative</v>
      </c>
      <c r="L2227" s="6" t="s">
        <v>131</v>
      </c>
      <c r="M2227" s="6" t="s">
        <v>7537</v>
      </c>
      <c r="N2227" s="6" t="s">
        <v>132</v>
      </c>
      <c r="O2227" s="36" t="s">
        <v>132</v>
      </c>
      <c r="P2227" s="36">
        <v>1.499891206E9</v>
      </c>
      <c r="Q2227" s="36" t="s">
        <v>7541</v>
      </c>
      <c r="R2227" s="6" t="s">
        <v>7542</v>
      </c>
    </row>
    <row r="2228">
      <c r="A2228" s="6" t="s">
        <v>7537</v>
      </c>
      <c r="B2228" s="6" t="s">
        <v>7537</v>
      </c>
      <c r="C2228" s="6">
        <v>619.0</v>
      </c>
      <c r="D2228" s="9" t="str">
        <f>HYPERLINK("https://www.linkedin.com/ad-library/detail/1499688856","Open Ad")</f>
        <v>Open Ad</v>
      </c>
      <c r="E2228" s="6" t="s">
        <v>91</v>
      </c>
      <c r="F2228" s="6" t="s">
        <v>53</v>
      </c>
      <c r="G2228" s="6" t="s">
        <v>7639</v>
      </c>
      <c r="H2228" s="6" t="s">
        <v>55</v>
      </c>
      <c r="I2228" s="6" t="s">
        <v>7566</v>
      </c>
      <c r="J2228" s="6" t="s">
        <v>91</v>
      </c>
      <c r="K2228" s="9" t="str">
        <f>HYPERLINK("https://media.licdn.com/dms/image/v2/D5610AQH3M2r-dN7_nA/image-shrink_1280/B56Z9MoPl0KEAg-/0/1783697046612?e=2147483647&amp;v=beta&amp;t=GCdSRI774vIlwuKc0JleptYCxEUXt22sxid6mhQ-ZRs","Open Creative")</f>
        <v>Open Creative</v>
      </c>
      <c r="L2228" s="6" t="s">
        <v>131</v>
      </c>
      <c r="M2228" s="6" t="s">
        <v>7537</v>
      </c>
      <c r="N2228" s="6" t="s">
        <v>132</v>
      </c>
      <c r="O2228" s="36" t="s">
        <v>132</v>
      </c>
      <c r="P2228" s="36">
        <v>1.499688856E9</v>
      </c>
      <c r="Q2228" s="36" t="s">
        <v>7541</v>
      </c>
      <c r="R2228" s="6" t="s">
        <v>7542</v>
      </c>
    </row>
    <row r="2229">
      <c r="A2229" s="6" t="s">
        <v>7537</v>
      </c>
      <c r="B2229" s="6" t="s">
        <v>7537</v>
      </c>
      <c r="C2229" s="6">
        <v>620.0</v>
      </c>
      <c r="D2229" s="9" t="str">
        <f>HYPERLINK("https://www.linkedin.com/ad-library/detail/1499748956","Open Ad")</f>
        <v>Open Ad</v>
      </c>
      <c r="E2229" s="6" t="s">
        <v>91</v>
      </c>
      <c r="F2229" s="6" t="s">
        <v>53</v>
      </c>
      <c r="G2229" s="6" t="s">
        <v>7592</v>
      </c>
      <c r="H2229" s="6" t="s">
        <v>55</v>
      </c>
      <c r="I2229" s="6" t="s">
        <v>7566</v>
      </c>
      <c r="J2229" s="6" t="s">
        <v>91</v>
      </c>
      <c r="K2229" s="9" t="str">
        <f>HYPERLINK("https://media.licdn.com/dms/image/v2/D5610AQG6ROzWPETGmA/image-shrink_1280/B56Z9dR6t1KEAg-/0/1783976406842?e=2147483647&amp;v=beta&amp;t=ubEWJ1uNOIKQkdyOqmhR2qOxm2aAjGOzZhSszx4lxv4","Open Creative")</f>
        <v>Open Creative</v>
      </c>
      <c r="L2229" s="6" t="s">
        <v>131</v>
      </c>
      <c r="M2229" s="6" t="s">
        <v>7537</v>
      </c>
      <c r="N2229" s="6" t="s">
        <v>132</v>
      </c>
      <c r="O2229" s="36" t="s">
        <v>132</v>
      </c>
      <c r="P2229" s="36">
        <v>1.499748956E9</v>
      </c>
      <c r="Q2229" s="36" t="s">
        <v>7541</v>
      </c>
      <c r="R2229" s="6" t="s">
        <v>7542</v>
      </c>
    </row>
    <row r="2230">
      <c r="A2230" s="6" t="s">
        <v>7537</v>
      </c>
      <c r="B2230" s="6" t="s">
        <v>7537</v>
      </c>
      <c r="C2230" s="6">
        <v>621.0</v>
      </c>
      <c r="D2230" s="9" t="str">
        <f>HYPERLINK("https://www.linkedin.com/ad-library/detail/1499854826","Open Ad")</f>
        <v>Open Ad</v>
      </c>
      <c r="E2230" s="6" t="s">
        <v>91</v>
      </c>
      <c r="F2230" s="6" t="s">
        <v>53</v>
      </c>
      <c r="G2230" s="6" t="s">
        <v>7636</v>
      </c>
      <c r="H2230" s="6" t="s">
        <v>55</v>
      </c>
      <c r="I2230" s="6" t="s">
        <v>7566</v>
      </c>
      <c r="J2230" s="6" t="s">
        <v>91</v>
      </c>
      <c r="K2230" s="9" t="str">
        <f>HYPERLINK("https://media.licdn.com/dms/image/v2/D5610AQFoFyqJ3g7Log/image-shrink_1280/B56Z9h_Mo.HUAc-/0/1784055385012?e=2147483647&amp;v=beta&amp;t=ahLhwf3XzHon78cEKdnNDmivIzsNgm82MjqmREwyCIw","Open Creative")</f>
        <v>Open Creative</v>
      </c>
      <c r="L2230" s="6" t="s">
        <v>131</v>
      </c>
      <c r="M2230" s="6" t="s">
        <v>7537</v>
      </c>
      <c r="N2230" s="6" t="s">
        <v>132</v>
      </c>
      <c r="O2230" s="36" t="s">
        <v>132</v>
      </c>
      <c r="P2230" s="36">
        <v>1.499854826E9</v>
      </c>
      <c r="Q2230" s="36" t="s">
        <v>7541</v>
      </c>
      <c r="R2230" s="6" t="s">
        <v>7542</v>
      </c>
    </row>
    <row r="2231">
      <c r="A2231" s="6" t="s">
        <v>7537</v>
      </c>
      <c r="B2231" s="6" t="s">
        <v>7537</v>
      </c>
      <c r="C2231" s="6">
        <v>622.0</v>
      </c>
      <c r="D2231" s="9" t="str">
        <f>HYPERLINK("https://www.linkedin.com/ad-library/detail/1499748966","Open Ad")</f>
        <v>Open Ad</v>
      </c>
      <c r="E2231" s="6" t="s">
        <v>91</v>
      </c>
      <c r="F2231" s="6" t="s">
        <v>53</v>
      </c>
      <c r="G2231" s="6" t="s">
        <v>7639</v>
      </c>
      <c r="H2231" s="6" t="s">
        <v>55</v>
      </c>
      <c r="I2231" s="6" t="s">
        <v>7566</v>
      </c>
      <c r="J2231" s="6" t="s">
        <v>91</v>
      </c>
      <c r="K2231" s="9" t="str">
        <f>HYPERLINK("https://media.licdn.com/dms/image/v2/D5610AQH3M2r-dN7_nA/image-shrink_1280/B56Z9MoPl0KEAg-/0/1783697046612?e=2147483647&amp;v=beta&amp;t=GCdSRI774vIlwuKc0JleptYCxEUXt22sxid6mhQ-ZRs","Open Creative")</f>
        <v>Open Creative</v>
      </c>
      <c r="L2231" s="6" t="s">
        <v>131</v>
      </c>
      <c r="M2231" s="6" t="s">
        <v>7537</v>
      </c>
      <c r="N2231" s="6" t="s">
        <v>132</v>
      </c>
      <c r="O2231" s="36" t="s">
        <v>132</v>
      </c>
      <c r="P2231" s="36">
        <v>1.499748966E9</v>
      </c>
      <c r="Q2231" s="36" t="s">
        <v>7541</v>
      </c>
      <c r="R2231" s="6" t="s">
        <v>7542</v>
      </c>
    </row>
    <row r="2232">
      <c r="A2232" s="6" t="s">
        <v>7537</v>
      </c>
      <c r="B2232" s="6" t="s">
        <v>7537</v>
      </c>
      <c r="C2232" s="6">
        <v>623.0</v>
      </c>
      <c r="D2232" s="9" t="str">
        <f>HYPERLINK("https://www.linkedin.com/ad-library/detail/1499816856","Open Ad")</f>
        <v>Open Ad</v>
      </c>
      <c r="E2232" s="6" t="s">
        <v>91</v>
      </c>
      <c r="F2232" s="6" t="s">
        <v>53</v>
      </c>
      <c r="G2232" s="6" t="s">
        <v>7592</v>
      </c>
      <c r="H2232" s="6" t="s">
        <v>55</v>
      </c>
      <c r="I2232" s="6" t="s">
        <v>7566</v>
      </c>
      <c r="J2232" s="6" t="s">
        <v>91</v>
      </c>
      <c r="K2232" s="9" t="str">
        <f>HYPERLINK("https://media.licdn.com/dms/image/v2/D5610AQG6ROzWPETGmA/image-shrink_1280/B56Z9dR6t1KEAg-/0/1783976406842?e=2147483647&amp;v=beta&amp;t=ubEWJ1uNOIKQkdyOqmhR2qOxm2aAjGOzZhSszx4lxv4","Open Creative")</f>
        <v>Open Creative</v>
      </c>
      <c r="L2232" s="6" t="s">
        <v>131</v>
      </c>
      <c r="M2232" s="6" t="s">
        <v>7537</v>
      </c>
      <c r="N2232" s="6" t="s">
        <v>132</v>
      </c>
      <c r="O2232" s="36" t="s">
        <v>132</v>
      </c>
      <c r="P2232" s="36">
        <v>1.499816856E9</v>
      </c>
      <c r="Q2232" s="36" t="s">
        <v>7541</v>
      </c>
      <c r="R2232" s="6" t="s">
        <v>7542</v>
      </c>
    </row>
    <row r="2233">
      <c r="A2233" s="6" t="s">
        <v>7537</v>
      </c>
      <c r="B2233" s="6" t="s">
        <v>7537</v>
      </c>
      <c r="C2233" s="6">
        <v>624.0</v>
      </c>
      <c r="D2233" s="9" t="str">
        <f>HYPERLINK("https://www.linkedin.com/ad-library/detail/1499748916","Open Ad")</f>
        <v>Open Ad</v>
      </c>
      <c r="E2233" s="6" t="s">
        <v>91</v>
      </c>
      <c r="F2233" s="6" t="s">
        <v>53</v>
      </c>
      <c r="G2233" s="6" t="s">
        <v>7636</v>
      </c>
      <c r="H2233" s="6" t="s">
        <v>55</v>
      </c>
      <c r="I2233" s="6" t="s">
        <v>7566</v>
      </c>
      <c r="J2233" s="6" t="s">
        <v>91</v>
      </c>
      <c r="K2233" s="9" t="str">
        <f>HYPERLINK("https://media.licdn.com/dms/image/v2/D5610AQFoFyqJ3g7Log/image-shrink_1280/B56Z9h_Mo.HUAc-/0/1784055385012?e=2147483647&amp;v=beta&amp;t=ahLhwf3XzHon78cEKdnNDmivIzsNgm82MjqmREwyCIw","Open Creative")</f>
        <v>Open Creative</v>
      </c>
      <c r="L2233" s="6" t="s">
        <v>131</v>
      </c>
      <c r="M2233" s="6" t="s">
        <v>7537</v>
      </c>
      <c r="N2233" s="6" t="s">
        <v>132</v>
      </c>
      <c r="O2233" s="36" t="s">
        <v>132</v>
      </c>
      <c r="P2233" s="36">
        <v>1.499748916E9</v>
      </c>
      <c r="Q2233" s="36" t="s">
        <v>7541</v>
      </c>
      <c r="R2233" s="6" t="s">
        <v>7542</v>
      </c>
    </row>
    <row r="2234">
      <c r="A2234" s="6" t="s">
        <v>7537</v>
      </c>
      <c r="B2234" s="6" t="s">
        <v>7537</v>
      </c>
      <c r="C2234" s="6">
        <v>625.0</v>
      </c>
      <c r="D2234" s="9" t="str">
        <f>HYPERLINK("https://www.linkedin.com/ad-library/detail/1498850226","Open Ad")</f>
        <v>Open Ad</v>
      </c>
      <c r="E2234" s="6" t="s">
        <v>91</v>
      </c>
      <c r="F2234" s="6" t="s">
        <v>53</v>
      </c>
      <c r="G2234" s="6" t="s">
        <v>7624</v>
      </c>
      <c r="H2234" s="6" t="s">
        <v>55</v>
      </c>
      <c r="I2234" s="6" t="s">
        <v>7566</v>
      </c>
      <c r="J2234" s="6" t="s">
        <v>91</v>
      </c>
      <c r="K2234" s="9" t="str">
        <f>HYPERLINK("https://media.licdn.com/dms/image/v2/D5610AQHWN3cBgpsrZA/image-shrink_1280/B56Z8ThVnqLAAc-/0/1782738934569?e=2147483647&amp;v=beta&amp;t=A-Y9kI8t-vvKXU86I3eo4Ke7-nBQGOwNbp_-WJGBzdU","Open Creative")</f>
        <v>Open Creative</v>
      </c>
      <c r="L2234" s="6" t="s">
        <v>131</v>
      </c>
      <c r="M2234" s="6" t="s">
        <v>7537</v>
      </c>
      <c r="N2234" s="6" t="s">
        <v>132</v>
      </c>
      <c r="O2234" s="36" t="s">
        <v>132</v>
      </c>
      <c r="P2234" s="36">
        <v>1.498850226E9</v>
      </c>
      <c r="Q2234" s="36" t="s">
        <v>7541</v>
      </c>
      <c r="R2234" s="6" t="s">
        <v>7542</v>
      </c>
    </row>
    <row r="2235">
      <c r="A2235" s="6" t="s">
        <v>7537</v>
      </c>
      <c r="B2235" s="6" t="s">
        <v>7537</v>
      </c>
      <c r="C2235" s="6">
        <v>626.0</v>
      </c>
      <c r="D2235" s="9" t="str">
        <f>HYPERLINK("https://www.linkedin.com/ad-library/detail/1499716506","Open Ad")</f>
        <v>Open Ad</v>
      </c>
      <c r="E2235" s="6" t="s">
        <v>154</v>
      </c>
      <c r="F2235" s="6" t="s">
        <v>53</v>
      </c>
      <c r="G2235" s="6" t="s">
        <v>7603</v>
      </c>
      <c r="H2235" s="6" t="s">
        <v>55</v>
      </c>
      <c r="I2235" s="6" t="s">
        <v>7566</v>
      </c>
      <c r="J2235" s="6" t="s">
        <v>154</v>
      </c>
      <c r="K2235" s="9" t="str">
        <f>HYPERLINK("https://dms.licdn.com/playlist/vid/v2/D5610AQGkgKeLU74ILQ/progressive-servable-video/B56Z9hvf3JKgAY-/0/1784051270316?e=2147483647&amp;v=beta&amp;t=V4d6Gtg2Tm_7eNkIGNTfwXZNbFVZhf2lkGahZpMiJ60","Open Creative")</f>
        <v>Open Creative</v>
      </c>
      <c r="L2235" s="6" t="s">
        <v>131</v>
      </c>
      <c r="M2235" s="6" t="s">
        <v>7537</v>
      </c>
      <c r="N2235" s="6" t="s">
        <v>132</v>
      </c>
      <c r="O2235" s="36" t="s">
        <v>132</v>
      </c>
      <c r="P2235" s="36">
        <v>1.499716506E9</v>
      </c>
      <c r="Q2235" s="36" t="s">
        <v>7541</v>
      </c>
      <c r="R2235" s="6" t="s">
        <v>7542</v>
      </c>
    </row>
    <row r="2236">
      <c r="A2236" s="6" t="s">
        <v>7537</v>
      </c>
      <c r="B2236" s="6" t="s">
        <v>7537</v>
      </c>
      <c r="C2236" s="6">
        <v>627.0</v>
      </c>
      <c r="D2236" s="9" t="str">
        <f>HYPERLINK("https://www.linkedin.com/ad-library/detail/1499718906","Open Ad")</f>
        <v>Open Ad</v>
      </c>
      <c r="E2236" s="6" t="s">
        <v>91</v>
      </c>
      <c r="F2236" s="6" t="s">
        <v>53</v>
      </c>
      <c r="G2236" s="6" t="s">
        <v>7636</v>
      </c>
      <c r="H2236" s="6" t="s">
        <v>55</v>
      </c>
      <c r="I2236" s="6" t="s">
        <v>7566</v>
      </c>
      <c r="J2236" s="6" t="s">
        <v>91</v>
      </c>
      <c r="K2236" s="9" t="str">
        <f t="shared" ref="K2236:K2237" si="62">HYPERLINK("https://media.licdn.com/dms/image/v2/D5610AQFoFyqJ3g7Log/image-shrink_1280/B56Z9h_Mo.HUAc-/0/1784055385012?e=2147483647&amp;v=beta&amp;t=ahLhwf3XzHon78cEKdnNDmivIzsNgm82MjqmREwyCIw","Open Creative")</f>
        <v>Open Creative</v>
      </c>
      <c r="L2236" s="6" t="s">
        <v>131</v>
      </c>
      <c r="M2236" s="6" t="s">
        <v>7537</v>
      </c>
      <c r="N2236" s="6" t="s">
        <v>132</v>
      </c>
      <c r="O2236" s="36" t="s">
        <v>132</v>
      </c>
      <c r="P2236" s="36">
        <v>1.499718906E9</v>
      </c>
      <c r="Q2236" s="36" t="s">
        <v>7541</v>
      </c>
      <c r="R2236" s="6" t="s">
        <v>7542</v>
      </c>
    </row>
    <row r="2237">
      <c r="A2237" s="6" t="s">
        <v>7537</v>
      </c>
      <c r="B2237" s="6" t="s">
        <v>7537</v>
      </c>
      <c r="C2237" s="6">
        <v>628.0</v>
      </c>
      <c r="D2237" s="9" t="str">
        <f>HYPERLINK("https://www.linkedin.com/ad-library/detail/1499738376","Open Ad")</f>
        <v>Open Ad</v>
      </c>
      <c r="E2237" s="6" t="s">
        <v>91</v>
      </c>
      <c r="F2237" s="6" t="s">
        <v>53</v>
      </c>
      <c r="G2237" s="6" t="s">
        <v>7636</v>
      </c>
      <c r="H2237" s="6" t="s">
        <v>55</v>
      </c>
      <c r="I2237" s="6" t="s">
        <v>7566</v>
      </c>
      <c r="J2237" s="6" t="s">
        <v>91</v>
      </c>
      <c r="K2237" s="9" t="str">
        <f t="shared" si="62"/>
        <v>Open Creative</v>
      </c>
      <c r="L2237" s="6" t="s">
        <v>131</v>
      </c>
      <c r="M2237" s="6" t="s">
        <v>7537</v>
      </c>
      <c r="N2237" s="6" t="s">
        <v>132</v>
      </c>
      <c r="O2237" s="36" t="s">
        <v>132</v>
      </c>
      <c r="P2237" s="36">
        <v>1.499738376E9</v>
      </c>
      <c r="Q2237" s="36" t="s">
        <v>7541</v>
      </c>
      <c r="R2237" s="6" t="s">
        <v>7542</v>
      </c>
    </row>
    <row r="2238">
      <c r="A2238" s="6" t="s">
        <v>7537</v>
      </c>
      <c r="B2238" s="6" t="s">
        <v>7537</v>
      </c>
      <c r="C2238" s="6">
        <v>629.0</v>
      </c>
      <c r="D2238" s="9" t="str">
        <f>HYPERLINK("https://www.linkedin.com/ad-library/detail/1499804406","Open Ad")</f>
        <v>Open Ad</v>
      </c>
      <c r="E2238" s="6" t="s">
        <v>154</v>
      </c>
      <c r="F2238" s="6" t="s">
        <v>53</v>
      </c>
      <c r="G2238" s="6" t="s">
        <v>7602</v>
      </c>
      <c r="H2238" s="6" t="s">
        <v>55</v>
      </c>
      <c r="I2238" s="6" t="s">
        <v>7566</v>
      </c>
      <c r="J2238" s="6" t="s">
        <v>154</v>
      </c>
      <c r="K2238" s="9" t="str">
        <f>HYPERLINK("https://dms.licdn.com/playlist/vid/v2/D5610AQGkgKeLU74ILQ/progressive-servable-video/B56Z9hvf3JKgAY-/0/1784051270316?e=2147483647&amp;v=beta&amp;t=V4d6Gtg2Tm_7eNkIGNTfwXZNbFVZhf2lkGahZpMiJ60","Open Creative")</f>
        <v>Open Creative</v>
      </c>
      <c r="L2238" s="6" t="s">
        <v>131</v>
      </c>
      <c r="M2238" s="6" t="s">
        <v>7537</v>
      </c>
      <c r="N2238" s="6" t="s">
        <v>132</v>
      </c>
      <c r="O2238" s="36" t="s">
        <v>132</v>
      </c>
      <c r="P2238" s="36">
        <v>1.499804406E9</v>
      </c>
      <c r="Q2238" s="36" t="s">
        <v>7541</v>
      </c>
      <c r="R2238" s="6" t="s">
        <v>7542</v>
      </c>
    </row>
    <row r="2239">
      <c r="A2239" s="6" t="s">
        <v>7537</v>
      </c>
      <c r="B2239" s="6" t="s">
        <v>7537</v>
      </c>
      <c r="C2239" s="6">
        <v>630.0</v>
      </c>
      <c r="D2239" s="9" t="str">
        <f>HYPERLINK("https://www.linkedin.com/ad-library/detail/1498675596","Open Ad")</f>
        <v>Open Ad</v>
      </c>
      <c r="E2239" s="6" t="s">
        <v>91</v>
      </c>
      <c r="F2239" s="6" t="s">
        <v>53</v>
      </c>
      <c r="G2239" s="6" t="s">
        <v>7595</v>
      </c>
      <c r="H2239" s="6" t="s">
        <v>55</v>
      </c>
      <c r="I2239" s="6" t="s">
        <v>7645</v>
      </c>
      <c r="J2239" s="6" t="s">
        <v>91</v>
      </c>
      <c r="K2239" s="9" t="str">
        <f>HYPERLINK("https://media.licdn.com/dms/image/v2/D5610AQF5ONUziLB90Q/image-shrink_1280/B56Z8YuROrGcAc-/0/1782826211326?e=2147483647&amp;v=beta&amp;t=P2Cz2Aul20qMidWME_WS_vAnPWT-iq7vaBsEHckvets","Open Creative")</f>
        <v>Open Creative</v>
      </c>
      <c r="L2239" s="6" t="s">
        <v>62</v>
      </c>
      <c r="M2239" s="6" t="s">
        <v>7537</v>
      </c>
      <c r="N2239" s="6" t="s">
        <v>7646</v>
      </c>
      <c r="O2239" s="36" t="s">
        <v>132</v>
      </c>
      <c r="P2239" s="36">
        <v>1.498675596E9</v>
      </c>
      <c r="Q2239" s="36" t="s">
        <v>68</v>
      </c>
      <c r="R2239" s="6" t="s">
        <v>7647</v>
      </c>
    </row>
    <row r="2240">
      <c r="A2240" s="6" t="s">
        <v>7537</v>
      </c>
      <c r="B2240" s="6" t="s">
        <v>7537</v>
      </c>
      <c r="C2240" s="6">
        <v>631.0</v>
      </c>
      <c r="D2240" s="9" t="str">
        <f>HYPERLINK("https://www.linkedin.com/ad-library/detail/1498647186","Open Ad")</f>
        <v>Open Ad</v>
      </c>
      <c r="E2240" s="6" t="s">
        <v>91</v>
      </c>
      <c r="F2240" s="6" t="s">
        <v>53</v>
      </c>
      <c r="G2240" s="6" t="s">
        <v>7588</v>
      </c>
      <c r="H2240" s="6" t="s">
        <v>55</v>
      </c>
      <c r="I2240" s="6" t="s">
        <v>7566</v>
      </c>
      <c r="J2240" s="6" t="s">
        <v>91</v>
      </c>
      <c r="K2240" s="9" t="str">
        <f>HYPERLINK("https://media.licdn.com/dms/image/v2/D4E10AQEqECWLz8eLfg/image-shrink_1280/B4EZ3UsZ.CGkAc-/0/1777389904287?e=2147483647&amp;v=beta&amp;t=0Mbfqk_hLfichGIBXrMjoO2DeoHez5SeK866pI13xWU","Open Creative")</f>
        <v>Open Creative</v>
      </c>
      <c r="L2240" s="6" t="s">
        <v>131</v>
      </c>
      <c r="M2240" s="6" t="s">
        <v>7537</v>
      </c>
      <c r="N2240" s="6" t="s">
        <v>132</v>
      </c>
      <c r="O2240" s="36" t="s">
        <v>132</v>
      </c>
      <c r="P2240" s="36">
        <v>1.498647186E9</v>
      </c>
      <c r="Q2240" s="36" t="s">
        <v>7541</v>
      </c>
      <c r="R2240" s="6" t="s">
        <v>7542</v>
      </c>
    </row>
    <row r="2241">
      <c r="A2241" s="6" t="s">
        <v>7537</v>
      </c>
      <c r="B2241" s="6" t="s">
        <v>7537</v>
      </c>
      <c r="C2241" s="6">
        <v>632.0</v>
      </c>
      <c r="D2241" s="9" t="str">
        <f>HYPERLINK("https://www.linkedin.com/ad-library/detail/1498762326","Open Ad")</f>
        <v>Open Ad</v>
      </c>
      <c r="E2241" s="6" t="s">
        <v>91</v>
      </c>
      <c r="F2241" s="6" t="s">
        <v>53</v>
      </c>
      <c r="G2241" s="6" t="s">
        <v>7624</v>
      </c>
      <c r="H2241" s="6" t="s">
        <v>55</v>
      </c>
      <c r="I2241" s="6" t="s">
        <v>7566</v>
      </c>
      <c r="J2241" s="6" t="s">
        <v>91</v>
      </c>
      <c r="K2241" s="9" t="str">
        <f>HYPERLINK("https://media.licdn.com/dms/image/v2/D5610AQHWN3cBgpsrZA/image-shrink_1280/B56Z8ThVnqLAAc-/0/1782738934569?e=2147483647&amp;v=beta&amp;t=A-Y9kI8t-vvKXU86I3eo4Ke7-nBQGOwNbp_-WJGBzdU","Open Creative")</f>
        <v>Open Creative</v>
      </c>
      <c r="L2241" s="6" t="s">
        <v>131</v>
      </c>
      <c r="M2241" s="6" t="s">
        <v>7537</v>
      </c>
      <c r="N2241" s="6" t="s">
        <v>132</v>
      </c>
      <c r="O2241" s="36" t="s">
        <v>132</v>
      </c>
      <c r="P2241" s="36">
        <v>1.498762326E9</v>
      </c>
      <c r="Q2241" s="36" t="s">
        <v>7541</v>
      </c>
      <c r="R2241" s="6" t="s">
        <v>7542</v>
      </c>
    </row>
    <row r="2242">
      <c r="A2242" s="6" t="s">
        <v>7537</v>
      </c>
      <c r="B2242" s="6" t="s">
        <v>7537</v>
      </c>
      <c r="C2242" s="6">
        <v>633.0</v>
      </c>
      <c r="D2242" s="9" t="str">
        <f>HYPERLINK("https://www.linkedin.com/ad-library/detail/1498821006","Open Ad")</f>
        <v>Open Ad</v>
      </c>
      <c r="E2242" s="6" t="s">
        <v>91</v>
      </c>
      <c r="F2242" s="6" t="s">
        <v>53</v>
      </c>
      <c r="G2242" s="6" t="s">
        <v>7595</v>
      </c>
      <c r="H2242" s="6" t="s">
        <v>55</v>
      </c>
      <c r="I2242" s="6" t="s">
        <v>7566</v>
      </c>
      <c r="J2242" s="6" t="s">
        <v>91</v>
      </c>
      <c r="K2242" s="9" t="str">
        <f>HYPERLINK("https://media.licdn.com/dms/image/v2/D5610AQF5ONUziLB90Q/image-shrink_1280/B56Z8YuROrGcAc-/0/1782826211326?e=2147483647&amp;v=beta&amp;t=P2Cz2Aul20qMidWME_WS_vAnPWT-iq7vaBsEHckvets","Open Creative")</f>
        <v>Open Creative</v>
      </c>
      <c r="L2242" s="6" t="s">
        <v>131</v>
      </c>
      <c r="M2242" s="6" t="s">
        <v>7537</v>
      </c>
      <c r="N2242" s="6" t="s">
        <v>132</v>
      </c>
      <c r="O2242" s="36" t="s">
        <v>132</v>
      </c>
      <c r="P2242" s="36">
        <v>1.498821006E9</v>
      </c>
      <c r="Q2242" s="36" t="s">
        <v>7541</v>
      </c>
      <c r="R2242" s="6" t="s">
        <v>7542</v>
      </c>
    </row>
    <row r="2243">
      <c r="A2243" s="6" t="s">
        <v>7537</v>
      </c>
      <c r="B2243" s="6" t="s">
        <v>7537</v>
      </c>
      <c r="C2243" s="6">
        <v>634.0</v>
      </c>
      <c r="D2243" s="9" t="str">
        <f>HYPERLINK("https://www.linkedin.com/ad-library/detail/1498723266","Open Ad")</f>
        <v>Open Ad</v>
      </c>
      <c r="E2243" s="6" t="s">
        <v>91</v>
      </c>
      <c r="F2243" s="6" t="s">
        <v>53</v>
      </c>
      <c r="G2243" s="6" t="s">
        <v>7588</v>
      </c>
      <c r="H2243" s="6" t="s">
        <v>55</v>
      </c>
      <c r="I2243" s="6" t="s">
        <v>7566</v>
      </c>
      <c r="J2243" s="6" t="s">
        <v>91</v>
      </c>
      <c r="K2243" s="9" t="str">
        <f>HYPERLINK("https://media.licdn.com/dms/image/v2/D4E10AQEqECWLz8eLfg/image-shrink_1280/B4EZ3UsZ.CGkAc-/0/1777389904287?e=2147483647&amp;v=beta&amp;t=0Mbfqk_hLfichGIBXrMjoO2DeoHez5SeK866pI13xWU","Open Creative")</f>
        <v>Open Creative</v>
      </c>
      <c r="L2243" s="6" t="s">
        <v>131</v>
      </c>
      <c r="M2243" s="6" t="s">
        <v>7537</v>
      </c>
      <c r="N2243" s="6" t="s">
        <v>132</v>
      </c>
      <c r="O2243" s="36" t="s">
        <v>132</v>
      </c>
      <c r="P2243" s="36">
        <v>1.498723266E9</v>
      </c>
      <c r="Q2243" s="36" t="s">
        <v>7541</v>
      </c>
      <c r="R2243" s="6" t="s">
        <v>7542</v>
      </c>
    </row>
    <row r="2244">
      <c r="A2244" s="6" t="s">
        <v>7537</v>
      </c>
      <c r="B2244" s="6" t="s">
        <v>7537</v>
      </c>
      <c r="C2244" s="6">
        <v>635.0</v>
      </c>
      <c r="D2244" s="9" t="str">
        <f>HYPERLINK("https://www.linkedin.com/ad-library/detail/1499785276","Open Ad")</f>
        <v>Open Ad</v>
      </c>
      <c r="E2244" s="6" t="s">
        <v>154</v>
      </c>
      <c r="F2244" s="6" t="s">
        <v>53</v>
      </c>
      <c r="G2244" s="6" t="s">
        <v>7602</v>
      </c>
      <c r="H2244" s="6" t="s">
        <v>55</v>
      </c>
      <c r="I2244" s="6" t="s">
        <v>7566</v>
      </c>
      <c r="J2244" s="6" t="s">
        <v>154</v>
      </c>
      <c r="K2244" s="9" t="str">
        <f t="shared" ref="K2244:K2245" si="63">HYPERLINK("https://dms.licdn.com/playlist/vid/v2/D5610AQElQnh6MPL7gQ/mp4-640p-30fp-crf28/B56Z9hwEeDGgBo-/0/1784051422101?e=2147483647&amp;v=beta&amp;t=n6O9PrgSfT0hVQ4c2w4atkiCaX9_sTRGRbzi62OVpFs","Open Creative")</f>
        <v>Open Creative</v>
      </c>
      <c r="L2244" s="6" t="s">
        <v>131</v>
      </c>
      <c r="M2244" s="6" t="s">
        <v>7537</v>
      </c>
      <c r="N2244" s="6" t="s">
        <v>132</v>
      </c>
      <c r="O2244" s="36" t="s">
        <v>132</v>
      </c>
      <c r="P2244" s="36">
        <v>1.499785276E9</v>
      </c>
      <c r="Q2244" s="36" t="s">
        <v>7541</v>
      </c>
      <c r="R2244" s="6" t="s">
        <v>7542</v>
      </c>
    </row>
    <row r="2245">
      <c r="A2245" s="6" t="s">
        <v>7537</v>
      </c>
      <c r="B2245" s="6" t="s">
        <v>7537</v>
      </c>
      <c r="C2245" s="6">
        <v>636.0</v>
      </c>
      <c r="D2245" s="9" t="str">
        <f>HYPERLINK("https://www.linkedin.com/ad-library/detail/1499696596","Open Ad")</f>
        <v>Open Ad</v>
      </c>
      <c r="E2245" s="6" t="s">
        <v>154</v>
      </c>
      <c r="F2245" s="6" t="s">
        <v>53</v>
      </c>
      <c r="G2245" s="6" t="s">
        <v>7602</v>
      </c>
      <c r="H2245" s="6" t="s">
        <v>55</v>
      </c>
      <c r="I2245" s="6" t="s">
        <v>7566</v>
      </c>
      <c r="J2245" s="6" t="s">
        <v>154</v>
      </c>
      <c r="K2245" s="9" t="str">
        <f t="shared" si="63"/>
        <v>Open Creative</v>
      </c>
      <c r="L2245" s="6" t="s">
        <v>131</v>
      </c>
      <c r="M2245" s="6" t="s">
        <v>7537</v>
      </c>
      <c r="N2245" s="6" t="s">
        <v>132</v>
      </c>
      <c r="O2245" s="36" t="s">
        <v>132</v>
      </c>
      <c r="P2245" s="36">
        <v>1.499696596E9</v>
      </c>
      <c r="Q2245" s="36" t="s">
        <v>7541</v>
      </c>
      <c r="R2245" s="6" t="s">
        <v>7542</v>
      </c>
    </row>
    <row r="2246">
      <c r="A2246" s="6" t="s">
        <v>7537</v>
      </c>
      <c r="B2246" s="6" t="s">
        <v>7537</v>
      </c>
      <c r="C2246" s="6">
        <v>637.0</v>
      </c>
      <c r="D2246" s="9" t="str">
        <f>HYPERLINK("https://www.linkedin.com/ad-library/detail/1499804386","Open Ad")</f>
        <v>Open Ad</v>
      </c>
      <c r="E2246" s="6" t="s">
        <v>154</v>
      </c>
      <c r="F2246" s="6" t="s">
        <v>53</v>
      </c>
      <c r="G2246" s="6" t="s">
        <v>7602</v>
      </c>
      <c r="H2246" s="6" t="s">
        <v>55</v>
      </c>
      <c r="I2246" s="6" t="s">
        <v>7566</v>
      </c>
      <c r="J2246" s="6" t="s">
        <v>154</v>
      </c>
      <c r="K2246" s="9" t="str">
        <f t="shared" ref="K2246:K2247" si="64">HYPERLINK("https://dms.licdn.com/playlist/vid/v2/D5610AQGkgKeLU74ILQ/progressive-servable-video/B56Z9hvf3JKgAY-/0/1784051270316?e=2147483647&amp;v=beta&amp;t=V4d6Gtg2Tm_7eNkIGNTfwXZNbFVZhf2lkGahZpMiJ60","Open Creative")</f>
        <v>Open Creative</v>
      </c>
      <c r="L2246" s="6" t="s">
        <v>131</v>
      </c>
      <c r="M2246" s="6" t="s">
        <v>7537</v>
      </c>
      <c r="N2246" s="6" t="s">
        <v>132</v>
      </c>
      <c r="O2246" s="36" t="s">
        <v>132</v>
      </c>
      <c r="P2246" s="36">
        <v>1.499804386E9</v>
      </c>
      <c r="Q2246" s="36" t="s">
        <v>7541</v>
      </c>
      <c r="R2246" s="6" t="s">
        <v>7542</v>
      </c>
    </row>
    <row r="2247">
      <c r="A2247" s="6" t="s">
        <v>7537</v>
      </c>
      <c r="B2247" s="6" t="s">
        <v>7537</v>
      </c>
      <c r="C2247" s="6">
        <v>638.0</v>
      </c>
      <c r="D2247" s="9" t="str">
        <f>HYPERLINK("https://www.linkedin.com/ad-library/detail/1499880676","Open Ad")</f>
        <v>Open Ad</v>
      </c>
      <c r="E2247" s="6" t="s">
        <v>154</v>
      </c>
      <c r="F2247" s="6" t="s">
        <v>53</v>
      </c>
      <c r="G2247" s="6" t="s">
        <v>7602</v>
      </c>
      <c r="H2247" s="6" t="s">
        <v>55</v>
      </c>
      <c r="I2247" s="6" t="s">
        <v>7566</v>
      </c>
      <c r="J2247" s="6" t="s">
        <v>154</v>
      </c>
      <c r="K2247" s="9" t="str">
        <f t="shared" si="64"/>
        <v>Open Creative</v>
      </c>
      <c r="L2247" s="6" t="s">
        <v>131</v>
      </c>
      <c r="M2247" s="6" t="s">
        <v>7537</v>
      </c>
      <c r="N2247" s="6" t="s">
        <v>132</v>
      </c>
      <c r="O2247" s="36" t="s">
        <v>132</v>
      </c>
      <c r="P2247" s="36">
        <v>1.499880676E9</v>
      </c>
      <c r="Q2247" s="36" t="s">
        <v>7541</v>
      </c>
      <c r="R2247" s="6" t="s">
        <v>7542</v>
      </c>
    </row>
    <row r="2248">
      <c r="A2248" s="6" t="s">
        <v>7537</v>
      </c>
      <c r="B2248" s="6" t="s">
        <v>7537</v>
      </c>
      <c r="C2248" s="6">
        <v>639.0</v>
      </c>
      <c r="D2248" s="9" t="str">
        <f>HYPERLINK("https://www.linkedin.com/ad-library/detail/1499746236","Open Ad")</f>
        <v>Open Ad</v>
      </c>
      <c r="E2248" s="6" t="s">
        <v>154</v>
      </c>
      <c r="F2248" s="6" t="s">
        <v>53</v>
      </c>
      <c r="G2248" s="6" t="s">
        <v>7603</v>
      </c>
      <c r="H2248" s="6" t="s">
        <v>55</v>
      </c>
      <c r="I2248" s="6" t="s">
        <v>7566</v>
      </c>
      <c r="J2248" s="6" t="s">
        <v>154</v>
      </c>
      <c r="K2248" s="9" t="str">
        <f>HYPERLINK("https://dms.licdn.com/playlist/vid/v2/D5610AQElQnh6MPL7gQ/mp4-640p-30fp-crf28/B56Z9hwEeDGgBo-/0/1784051422101?e=2147483647&amp;v=beta&amp;t=n6O9PrgSfT0hVQ4c2w4atkiCaX9_sTRGRbzi62OVpFs","Open Creative")</f>
        <v>Open Creative</v>
      </c>
      <c r="L2248" s="6" t="s">
        <v>131</v>
      </c>
      <c r="M2248" s="6" t="s">
        <v>7537</v>
      </c>
      <c r="N2248" s="6" t="s">
        <v>132</v>
      </c>
      <c r="O2248" s="36" t="s">
        <v>132</v>
      </c>
      <c r="P2248" s="36">
        <v>1.499746236E9</v>
      </c>
      <c r="Q2248" s="36" t="s">
        <v>7541</v>
      </c>
      <c r="R2248" s="6" t="s">
        <v>7542</v>
      </c>
    </row>
    <row r="2249">
      <c r="A2249" s="6" t="s">
        <v>7537</v>
      </c>
      <c r="B2249" s="6" t="s">
        <v>7537</v>
      </c>
      <c r="C2249" s="6">
        <v>640.0</v>
      </c>
      <c r="D2249" s="9" t="str">
        <f>HYPERLINK("https://www.linkedin.com/ad-library/detail/1499696626","Open Ad")</f>
        <v>Open Ad</v>
      </c>
      <c r="E2249" s="6" t="s">
        <v>154</v>
      </c>
      <c r="F2249" s="6" t="s">
        <v>53</v>
      </c>
      <c r="G2249" s="6" t="s">
        <v>7603</v>
      </c>
      <c r="H2249" s="6" t="s">
        <v>55</v>
      </c>
      <c r="I2249" s="6" t="s">
        <v>7566</v>
      </c>
      <c r="J2249" s="6" t="s">
        <v>154</v>
      </c>
      <c r="K2249" s="9" t="str">
        <f>HYPERLINK("https://dms.licdn.com/playlist/vid/v2/D5610AQGkgKeLU74ILQ/progressive-servable-video/B56Z9hvf3JKgAY-/0/1784051270316?e=2147483647&amp;v=beta&amp;t=V4d6Gtg2Tm_7eNkIGNTfwXZNbFVZhf2lkGahZpMiJ60","Open Creative")</f>
        <v>Open Creative</v>
      </c>
      <c r="L2249" s="6" t="s">
        <v>131</v>
      </c>
      <c r="M2249" s="6" t="s">
        <v>7537</v>
      </c>
      <c r="N2249" s="6" t="s">
        <v>132</v>
      </c>
      <c r="O2249" s="36" t="s">
        <v>132</v>
      </c>
      <c r="P2249" s="36">
        <v>1.499696626E9</v>
      </c>
      <c r="Q2249" s="36" t="s">
        <v>7541</v>
      </c>
      <c r="R2249" s="6" t="s">
        <v>7542</v>
      </c>
    </row>
    <row r="2250">
      <c r="A2250" s="6" t="s">
        <v>7537</v>
      </c>
      <c r="B2250" s="6" t="s">
        <v>7537</v>
      </c>
      <c r="C2250" s="6">
        <v>641.0</v>
      </c>
      <c r="D2250" s="9" t="str">
        <f>HYPERLINK("https://www.linkedin.com/ad-library/detail/1499816806","Open Ad")</f>
        <v>Open Ad</v>
      </c>
      <c r="E2250" s="6" t="s">
        <v>91</v>
      </c>
      <c r="F2250" s="6" t="s">
        <v>53</v>
      </c>
      <c r="G2250" s="6" t="s">
        <v>7636</v>
      </c>
      <c r="H2250" s="6" t="s">
        <v>55</v>
      </c>
      <c r="I2250" s="6" t="s">
        <v>7566</v>
      </c>
      <c r="J2250" s="6" t="s">
        <v>91</v>
      </c>
      <c r="K2250" s="9" t="str">
        <f>HYPERLINK("https://media.licdn.com/dms/image/v2/D5610AQFoFyqJ3g7Log/image-shrink_1280/B56Z9h_Mo.HUAc-/0/1784055385012?e=2147483647&amp;v=beta&amp;t=ahLhwf3XzHon78cEKdnNDmivIzsNgm82MjqmREwyCIw","Open Creative")</f>
        <v>Open Creative</v>
      </c>
      <c r="L2250" s="6" t="s">
        <v>131</v>
      </c>
      <c r="M2250" s="6" t="s">
        <v>7537</v>
      </c>
      <c r="N2250" s="6" t="s">
        <v>132</v>
      </c>
      <c r="O2250" s="36" t="s">
        <v>132</v>
      </c>
      <c r="P2250" s="36">
        <v>1.499816806E9</v>
      </c>
      <c r="Q2250" s="36" t="s">
        <v>7541</v>
      </c>
      <c r="R2250" s="6" t="s">
        <v>7542</v>
      </c>
    </row>
    <row r="2251">
      <c r="A2251" s="6" t="s">
        <v>7537</v>
      </c>
      <c r="B2251" s="6" t="s">
        <v>7537</v>
      </c>
      <c r="C2251" s="6">
        <v>642.0</v>
      </c>
      <c r="D2251" s="9" t="str">
        <f>HYPERLINK("https://www.linkedin.com/ad-library/detail/1499686536","Open Ad")</f>
        <v>Open Ad</v>
      </c>
      <c r="E2251" s="6" t="s">
        <v>154</v>
      </c>
      <c r="F2251" s="6" t="s">
        <v>53</v>
      </c>
      <c r="G2251" s="6" t="s">
        <v>7603</v>
      </c>
      <c r="H2251" s="6" t="s">
        <v>55</v>
      </c>
      <c r="I2251" s="6" t="s">
        <v>7566</v>
      </c>
      <c r="J2251" s="6" t="s">
        <v>154</v>
      </c>
      <c r="K2251" s="9" t="str">
        <f>HYPERLINK("https://dms.licdn.com/playlist/vid/v2/D5610AQElQnh6MPL7gQ/mp4-640p-30fp-crf28/B56Z9hwEeDGgBo-/0/1784051422101?e=2147483647&amp;v=beta&amp;t=n6O9PrgSfT0hVQ4c2w4atkiCaX9_sTRGRbzi62OVpFs","Open Creative")</f>
        <v>Open Creative</v>
      </c>
      <c r="L2251" s="6" t="s">
        <v>131</v>
      </c>
      <c r="M2251" s="6" t="s">
        <v>7537</v>
      </c>
      <c r="N2251" s="6" t="s">
        <v>132</v>
      </c>
      <c r="O2251" s="36" t="s">
        <v>132</v>
      </c>
      <c r="P2251" s="36">
        <v>1.499686536E9</v>
      </c>
      <c r="Q2251" s="36" t="s">
        <v>7541</v>
      </c>
      <c r="R2251" s="6" t="s">
        <v>7542</v>
      </c>
    </row>
    <row r="2252">
      <c r="A2252" s="6" t="s">
        <v>7537</v>
      </c>
      <c r="B2252" s="6" t="s">
        <v>7537</v>
      </c>
      <c r="C2252" s="6">
        <v>643.0</v>
      </c>
      <c r="D2252" s="9" t="str">
        <f>HYPERLINK("https://www.linkedin.com/ad-library/detail/1498772436","Open Ad")</f>
        <v>Open Ad</v>
      </c>
      <c r="E2252" s="6" t="s">
        <v>91</v>
      </c>
      <c r="F2252" s="6" t="s">
        <v>53</v>
      </c>
      <c r="G2252" s="6" t="s">
        <v>7595</v>
      </c>
      <c r="H2252" s="6" t="s">
        <v>55</v>
      </c>
      <c r="I2252" s="6" t="s">
        <v>7566</v>
      </c>
      <c r="J2252" s="6" t="s">
        <v>91</v>
      </c>
      <c r="K2252" s="9" t="str">
        <f>HYPERLINK("https://media.licdn.com/dms/image/v2/D5610AQF5ONUziLB90Q/image-shrink_1280/B56Z8YuROrGcAc-/0/1782826211326?e=2147483647&amp;v=beta&amp;t=P2Cz2Aul20qMidWME_WS_vAnPWT-iq7vaBsEHckvets","Open Creative")</f>
        <v>Open Creative</v>
      </c>
      <c r="L2252" s="6" t="s">
        <v>131</v>
      </c>
      <c r="M2252" s="6" t="s">
        <v>7537</v>
      </c>
      <c r="N2252" s="6" t="s">
        <v>132</v>
      </c>
      <c r="O2252" s="36" t="s">
        <v>132</v>
      </c>
      <c r="P2252" s="36">
        <v>1.498772436E9</v>
      </c>
      <c r="Q2252" s="36" t="s">
        <v>7541</v>
      </c>
      <c r="R2252" s="6" t="s">
        <v>7542</v>
      </c>
    </row>
    <row r="2253">
      <c r="A2253" s="6" t="s">
        <v>7537</v>
      </c>
      <c r="B2253" s="6" t="s">
        <v>7537</v>
      </c>
      <c r="C2253" s="6">
        <v>644.0</v>
      </c>
      <c r="D2253" s="9" t="str">
        <f>HYPERLINK("https://www.linkedin.com/ad-library/detail/1499676906","Open Ad")</f>
        <v>Open Ad</v>
      </c>
      <c r="E2253" s="6" t="s">
        <v>154</v>
      </c>
      <c r="F2253" s="6" t="s">
        <v>53</v>
      </c>
      <c r="G2253" s="6" t="s">
        <v>7602</v>
      </c>
      <c r="H2253" s="6" t="s">
        <v>55</v>
      </c>
      <c r="I2253" s="6" t="s">
        <v>7566</v>
      </c>
      <c r="J2253" s="6" t="s">
        <v>154</v>
      </c>
      <c r="K2253" s="9" t="str">
        <f>HYPERLINK("https://dms.licdn.com/playlist/vid/v2/D5610AQElQnh6MPL7gQ/mp4-640p-30fp-crf28/B56Z9hwEeDGgBo-/0/1784051422101?e=2147483647&amp;v=beta&amp;t=n6O9PrgSfT0hVQ4c2w4atkiCaX9_sTRGRbzi62OVpFs","Open Creative")</f>
        <v>Open Creative</v>
      </c>
      <c r="L2253" s="6" t="s">
        <v>131</v>
      </c>
      <c r="M2253" s="6" t="s">
        <v>7537</v>
      </c>
      <c r="N2253" s="6" t="s">
        <v>132</v>
      </c>
      <c r="O2253" s="36" t="s">
        <v>132</v>
      </c>
      <c r="P2253" s="36">
        <v>1.499676906E9</v>
      </c>
      <c r="Q2253" s="36" t="s">
        <v>7541</v>
      </c>
      <c r="R2253" s="6" t="s">
        <v>7542</v>
      </c>
    </row>
    <row r="2254">
      <c r="A2254" s="6" t="s">
        <v>7537</v>
      </c>
      <c r="B2254" s="6" t="s">
        <v>7537</v>
      </c>
      <c r="C2254" s="6">
        <v>645.0</v>
      </c>
      <c r="D2254" s="9" t="str">
        <f>HYPERLINK("https://www.linkedin.com/ad-library/detail/1499759176","Open Ad")</f>
        <v>Open Ad</v>
      </c>
      <c r="E2254" s="6" t="s">
        <v>91</v>
      </c>
      <c r="F2254" s="6" t="s">
        <v>53</v>
      </c>
      <c r="G2254" s="6" t="s">
        <v>7636</v>
      </c>
      <c r="H2254" s="6" t="s">
        <v>55</v>
      </c>
      <c r="I2254" s="6" t="s">
        <v>7566</v>
      </c>
      <c r="J2254" s="6" t="s">
        <v>91</v>
      </c>
      <c r="K2254" s="9" t="str">
        <f>HYPERLINK("https://media.licdn.com/dms/image/v2/D5610AQFoFyqJ3g7Log/image-shrink_1280/B56Z9h_Mo.HUAc-/0/1784055385012?e=2147483647&amp;v=beta&amp;t=ahLhwf3XzHon78cEKdnNDmivIzsNgm82MjqmREwyCIw","Open Creative")</f>
        <v>Open Creative</v>
      </c>
      <c r="L2254" s="6" t="s">
        <v>131</v>
      </c>
      <c r="M2254" s="6" t="s">
        <v>7537</v>
      </c>
      <c r="N2254" s="6" t="s">
        <v>132</v>
      </c>
      <c r="O2254" s="36" t="s">
        <v>132</v>
      </c>
      <c r="P2254" s="36">
        <v>1.499759176E9</v>
      </c>
      <c r="Q2254" s="36" t="s">
        <v>7541</v>
      </c>
      <c r="R2254" s="6" t="s">
        <v>7542</v>
      </c>
    </row>
    <row r="2255">
      <c r="A2255" s="6" t="s">
        <v>7537</v>
      </c>
      <c r="B2255" s="6" t="s">
        <v>7537</v>
      </c>
      <c r="C2255" s="6">
        <v>646.0</v>
      </c>
      <c r="D2255" s="9" t="str">
        <f>HYPERLINK("https://www.linkedin.com/ad-library/detail/1498792446","Open Ad")</f>
        <v>Open Ad</v>
      </c>
      <c r="E2255" s="6" t="s">
        <v>91</v>
      </c>
      <c r="F2255" s="6" t="s">
        <v>53</v>
      </c>
      <c r="G2255" s="6" t="s">
        <v>7624</v>
      </c>
      <c r="H2255" s="6" t="s">
        <v>55</v>
      </c>
      <c r="I2255" s="6" t="s">
        <v>7566</v>
      </c>
      <c r="J2255" s="6" t="s">
        <v>91</v>
      </c>
      <c r="K2255" s="9" t="str">
        <f>HYPERLINK("https://media.licdn.com/dms/image/v2/D5610AQHWN3cBgpsrZA/image-shrink_1280/B56Z8ThVnqLAAc-/0/1782738934569?e=2147483647&amp;v=beta&amp;t=A-Y9kI8t-vvKXU86I3eo4Ke7-nBQGOwNbp_-WJGBzdU","Open Creative")</f>
        <v>Open Creative</v>
      </c>
      <c r="L2255" s="6" t="s">
        <v>131</v>
      </c>
      <c r="M2255" s="6" t="s">
        <v>7537</v>
      </c>
      <c r="N2255" s="6" t="s">
        <v>132</v>
      </c>
      <c r="O2255" s="36" t="s">
        <v>132</v>
      </c>
      <c r="P2255" s="36">
        <v>1.498792446E9</v>
      </c>
      <c r="Q2255" s="36" t="s">
        <v>7541</v>
      </c>
      <c r="R2255" s="6" t="s">
        <v>7542</v>
      </c>
    </row>
    <row r="2256">
      <c r="A2256" s="6" t="s">
        <v>7537</v>
      </c>
      <c r="B2256" s="6" t="s">
        <v>7537</v>
      </c>
      <c r="C2256" s="6">
        <v>647.0</v>
      </c>
      <c r="D2256" s="9" t="str">
        <f>HYPERLINK("https://www.linkedin.com/ad-library/detail/1499852006","Open Ad")</f>
        <v>Open Ad</v>
      </c>
      <c r="E2256" s="6" t="s">
        <v>154</v>
      </c>
      <c r="F2256" s="6" t="s">
        <v>53</v>
      </c>
      <c r="G2256" s="6" t="s">
        <v>7603</v>
      </c>
      <c r="H2256" s="6" t="s">
        <v>55</v>
      </c>
      <c r="I2256" s="6" t="s">
        <v>7566</v>
      </c>
      <c r="J2256" s="6" t="s">
        <v>154</v>
      </c>
      <c r="K2256" s="9" t="str">
        <f>HYPERLINK("https://dms.licdn.com/playlist/vid/v2/D5610AQElQnh6MPL7gQ/mp4-640p-30fp-crf28/B56Z9hwEeDGgBo-/0/1784051422101?e=2147483647&amp;v=beta&amp;t=n6O9PrgSfT0hVQ4c2w4atkiCaX9_sTRGRbzi62OVpFs","Open Creative")</f>
        <v>Open Creative</v>
      </c>
      <c r="L2256" s="6" t="s">
        <v>131</v>
      </c>
      <c r="M2256" s="6" t="s">
        <v>7537</v>
      </c>
      <c r="N2256" s="6" t="s">
        <v>132</v>
      </c>
      <c r="O2256" s="36" t="s">
        <v>132</v>
      </c>
      <c r="P2256" s="36">
        <v>1.499852006E9</v>
      </c>
      <c r="Q2256" s="36" t="s">
        <v>7541</v>
      </c>
      <c r="R2256" s="6" t="s">
        <v>7542</v>
      </c>
    </row>
    <row r="2257">
      <c r="A2257" s="6" t="s">
        <v>7537</v>
      </c>
      <c r="B2257" s="6" t="s">
        <v>7537</v>
      </c>
      <c r="C2257" s="6">
        <v>648.0</v>
      </c>
      <c r="D2257" s="9" t="str">
        <f>HYPERLINK("https://www.linkedin.com/ad-library/detail/1499706646","Open Ad")</f>
        <v>Open Ad</v>
      </c>
      <c r="E2257" s="6" t="s">
        <v>154</v>
      </c>
      <c r="F2257" s="6" t="s">
        <v>53</v>
      </c>
      <c r="G2257" s="6" t="s">
        <v>7603</v>
      </c>
      <c r="H2257" s="6" t="s">
        <v>55</v>
      </c>
      <c r="I2257" s="6" t="s">
        <v>7566</v>
      </c>
      <c r="J2257" s="6" t="s">
        <v>154</v>
      </c>
      <c r="K2257" s="9" t="str">
        <f>HYPERLINK("https://dms.licdn.com/playlist/vid/v2/D5610AQGkgKeLU74ILQ/progressive-servable-video/B56Z9hvf3JKgAY-/0/1784051270316?e=2147483647&amp;v=beta&amp;t=V4d6Gtg2Tm_7eNkIGNTfwXZNbFVZhf2lkGahZpMiJ60","Open Creative")</f>
        <v>Open Creative</v>
      </c>
      <c r="L2257" s="6" t="s">
        <v>131</v>
      </c>
      <c r="M2257" s="6" t="s">
        <v>7537</v>
      </c>
      <c r="N2257" s="6" t="s">
        <v>132</v>
      </c>
      <c r="O2257" s="36" t="s">
        <v>132</v>
      </c>
      <c r="P2257" s="36">
        <v>1.499706646E9</v>
      </c>
      <c r="Q2257" s="36" t="s">
        <v>7541</v>
      </c>
      <c r="R2257" s="6" t="s">
        <v>7542</v>
      </c>
    </row>
    <row r="2258">
      <c r="A2258" s="6" t="s">
        <v>7537</v>
      </c>
      <c r="B2258" s="6" t="s">
        <v>7537</v>
      </c>
      <c r="C2258" s="6">
        <v>649.0</v>
      </c>
      <c r="D2258" s="9" t="str">
        <f>HYPERLINK("https://www.linkedin.com/ad-library/detail/1498800896","Open Ad")</f>
        <v>Open Ad</v>
      </c>
      <c r="E2258" s="6" t="s">
        <v>91</v>
      </c>
      <c r="F2258" s="6" t="s">
        <v>53</v>
      </c>
      <c r="G2258" s="6" t="s">
        <v>7604</v>
      </c>
      <c r="H2258" s="6" t="s">
        <v>55</v>
      </c>
      <c r="I2258" s="6" t="s">
        <v>7566</v>
      </c>
      <c r="J2258" s="6" t="s">
        <v>91</v>
      </c>
      <c r="K2258" s="6" t="s">
        <v>60</v>
      </c>
      <c r="L2258" s="6" t="s">
        <v>131</v>
      </c>
      <c r="M2258" s="6" t="s">
        <v>7537</v>
      </c>
      <c r="N2258" s="6" t="s">
        <v>132</v>
      </c>
      <c r="O2258" s="36" t="s">
        <v>132</v>
      </c>
      <c r="P2258" s="36">
        <v>1.498800896E9</v>
      </c>
      <c r="Q2258" s="36" t="s">
        <v>7541</v>
      </c>
      <c r="R2258" s="6" t="s">
        <v>7542</v>
      </c>
    </row>
    <row r="2259">
      <c r="A2259" s="6" t="s">
        <v>7537</v>
      </c>
      <c r="B2259" s="6" t="s">
        <v>7537</v>
      </c>
      <c r="C2259" s="6">
        <v>650.0</v>
      </c>
      <c r="D2259" s="9" t="str">
        <f>HYPERLINK("https://www.linkedin.com/ad-library/detail/1498617926","Open Ad")</f>
        <v>Open Ad</v>
      </c>
      <c r="E2259" s="6" t="s">
        <v>91</v>
      </c>
      <c r="F2259" s="6" t="s">
        <v>53</v>
      </c>
      <c r="G2259" s="6" t="s">
        <v>7576</v>
      </c>
      <c r="H2259" s="6" t="s">
        <v>55</v>
      </c>
      <c r="I2259" s="6" t="s">
        <v>7566</v>
      </c>
      <c r="J2259" s="6" t="s">
        <v>91</v>
      </c>
      <c r="K2259" s="6" t="s">
        <v>60</v>
      </c>
      <c r="L2259" s="6" t="s">
        <v>131</v>
      </c>
      <c r="M2259" s="6" t="s">
        <v>7537</v>
      </c>
      <c r="N2259" s="6" t="s">
        <v>132</v>
      </c>
      <c r="O2259" s="36" t="s">
        <v>132</v>
      </c>
      <c r="P2259" s="36">
        <v>1.498617926E9</v>
      </c>
      <c r="Q2259" s="36" t="s">
        <v>7541</v>
      </c>
      <c r="R2259" s="6" t="s">
        <v>7542</v>
      </c>
    </row>
    <row r="2260">
      <c r="A2260" s="6" t="s">
        <v>7537</v>
      </c>
      <c r="B2260" s="6" t="s">
        <v>7537</v>
      </c>
      <c r="C2260" s="6">
        <v>651.0</v>
      </c>
      <c r="D2260" s="9" t="str">
        <f>HYPERLINK("https://www.linkedin.com/ad-library/detail/1498721656","Open Ad")</f>
        <v>Open Ad</v>
      </c>
      <c r="E2260" s="6" t="s">
        <v>7543</v>
      </c>
      <c r="F2260" s="6" t="s">
        <v>53</v>
      </c>
      <c r="G2260" s="6" t="s">
        <v>7569</v>
      </c>
      <c r="H2260" s="6" t="s">
        <v>55</v>
      </c>
      <c r="I2260" s="6" t="s">
        <v>7566</v>
      </c>
      <c r="J2260" s="6" t="s">
        <v>7546</v>
      </c>
      <c r="K2260" s="6" t="s">
        <v>60</v>
      </c>
      <c r="L2260" s="6" t="s">
        <v>131</v>
      </c>
      <c r="M2260" s="6" t="s">
        <v>7537</v>
      </c>
      <c r="N2260" s="6" t="s">
        <v>132</v>
      </c>
      <c r="O2260" s="36" t="s">
        <v>132</v>
      </c>
      <c r="P2260" s="36">
        <v>1.498721656E9</v>
      </c>
      <c r="Q2260" s="36" t="s">
        <v>7541</v>
      </c>
      <c r="R2260" s="6" t="s">
        <v>7542</v>
      </c>
    </row>
    <row r="2261">
      <c r="A2261" s="6" t="s">
        <v>7537</v>
      </c>
      <c r="B2261" s="6" t="s">
        <v>7537</v>
      </c>
      <c r="C2261" s="6">
        <v>652.0</v>
      </c>
      <c r="D2261" s="9" t="str">
        <f>HYPERLINK("https://www.linkedin.com/ad-library/detail/1498791606","Open Ad")</f>
        <v>Open Ad</v>
      </c>
      <c r="E2261" s="6" t="s">
        <v>91</v>
      </c>
      <c r="F2261" s="6" t="s">
        <v>53</v>
      </c>
      <c r="G2261" s="6" t="s">
        <v>7578</v>
      </c>
      <c r="H2261" s="6" t="s">
        <v>55</v>
      </c>
      <c r="I2261" s="6" t="s">
        <v>7566</v>
      </c>
      <c r="J2261" s="6" t="s">
        <v>91</v>
      </c>
      <c r="K2261" s="6" t="s">
        <v>60</v>
      </c>
      <c r="L2261" s="6" t="s">
        <v>131</v>
      </c>
      <c r="M2261" s="6" t="s">
        <v>7537</v>
      </c>
      <c r="N2261" s="6" t="s">
        <v>132</v>
      </c>
      <c r="O2261" s="36" t="s">
        <v>132</v>
      </c>
      <c r="P2261" s="36">
        <v>1.498791606E9</v>
      </c>
      <c r="Q2261" s="36" t="s">
        <v>7541</v>
      </c>
      <c r="R2261" s="6" t="s">
        <v>7542</v>
      </c>
    </row>
    <row r="2262">
      <c r="A2262" s="6" t="s">
        <v>7537</v>
      </c>
      <c r="B2262" s="6" t="s">
        <v>7537</v>
      </c>
      <c r="C2262" s="6">
        <v>653.0</v>
      </c>
      <c r="D2262" s="9" t="str">
        <f>HYPERLINK("https://www.linkedin.com/ad-library/detail/1498568566","Open Ad")</f>
        <v>Open Ad</v>
      </c>
      <c r="E2262" s="6" t="s">
        <v>154</v>
      </c>
      <c r="F2262" s="6" t="s">
        <v>53</v>
      </c>
      <c r="G2262" s="6" t="s">
        <v>7637</v>
      </c>
      <c r="H2262" s="6" t="s">
        <v>55</v>
      </c>
      <c r="I2262" s="6" t="s">
        <v>7566</v>
      </c>
      <c r="J2262" s="6" t="s">
        <v>154</v>
      </c>
      <c r="K2262" s="9" t="str">
        <f>HYPERLINK("https://dms.licdn.com/playlist/vid/v2/D5610AQGPpIHkVJhCaA/mp4-640p-30fp-crf28/B56Z83aF5UG4BI-/0/1783341024306?e=2147483647&amp;v=beta&amp;t=6aPscOhwfZC6LVqbrnkx1wzDAaGeDks-p4lXPr_L8Fs","Open Creative")</f>
        <v>Open Creative</v>
      </c>
      <c r="L2262" s="6" t="s">
        <v>131</v>
      </c>
      <c r="M2262" s="6" t="s">
        <v>7537</v>
      </c>
      <c r="N2262" s="6" t="s">
        <v>132</v>
      </c>
      <c r="O2262" s="36" t="s">
        <v>132</v>
      </c>
      <c r="P2262" s="36">
        <v>1.498568566E9</v>
      </c>
      <c r="Q2262" s="36" t="s">
        <v>7541</v>
      </c>
      <c r="R2262" s="6" t="s">
        <v>7542</v>
      </c>
    </row>
    <row r="2263">
      <c r="A2263" s="6" t="s">
        <v>7537</v>
      </c>
      <c r="B2263" s="6" t="s">
        <v>7537</v>
      </c>
      <c r="C2263" s="6">
        <v>654.0</v>
      </c>
      <c r="D2263" s="9" t="str">
        <f>HYPERLINK("https://www.linkedin.com/ad-library/detail/1498617956","Open Ad")</f>
        <v>Open Ad</v>
      </c>
      <c r="E2263" s="6" t="s">
        <v>91</v>
      </c>
      <c r="F2263" s="6" t="s">
        <v>53</v>
      </c>
      <c r="G2263" s="6" t="s">
        <v>7576</v>
      </c>
      <c r="H2263" s="6" t="s">
        <v>55</v>
      </c>
      <c r="I2263" s="6" t="s">
        <v>7566</v>
      </c>
      <c r="J2263" s="6" t="s">
        <v>91</v>
      </c>
      <c r="K2263" s="6" t="s">
        <v>60</v>
      </c>
      <c r="L2263" s="6" t="s">
        <v>131</v>
      </c>
      <c r="M2263" s="6" t="s">
        <v>7537</v>
      </c>
      <c r="N2263" s="6" t="s">
        <v>132</v>
      </c>
      <c r="O2263" s="36" t="s">
        <v>132</v>
      </c>
      <c r="P2263" s="36">
        <v>1.498617956E9</v>
      </c>
      <c r="Q2263" s="36" t="s">
        <v>7541</v>
      </c>
      <c r="R2263" s="6" t="s">
        <v>7542</v>
      </c>
    </row>
    <row r="2264">
      <c r="A2264" s="6" t="s">
        <v>7537</v>
      </c>
      <c r="B2264" s="6" t="s">
        <v>7537</v>
      </c>
      <c r="C2264" s="6">
        <v>655.0</v>
      </c>
      <c r="D2264" s="9" t="str">
        <f>HYPERLINK("https://www.linkedin.com/ad-library/detail/1498761646","Open Ad")</f>
        <v>Open Ad</v>
      </c>
      <c r="E2264" s="6" t="s">
        <v>91</v>
      </c>
      <c r="F2264" s="6" t="s">
        <v>53</v>
      </c>
      <c r="G2264" s="6" t="s">
        <v>7604</v>
      </c>
      <c r="H2264" s="6" t="s">
        <v>55</v>
      </c>
      <c r="I2264" s="6" t="s">
        <v>7566</v>
      </c>
      <c r="J2264" s="6" t="s">
        <v>91</v>
      </c>
      <c r="K2264" s="6" t="s">
        <v>60</v>
      </c>
      <c r="L2264" s="6" t="s">
        <v>131</v>
      </c>
      <c r="M2264" s="6" t="s">
        <v>7537</v>
      </c>
      <c r="N2264" s="6" t="s">
        <v>132</v>
      </c>
      <c r="O2264" s="36" t="s">
        <v>132</v>
      </c>
      <c r="P2264" s="36">
        <v>1.498761646E9</v>
      </c>
      <c r="Q2264" s="36" t="s">
        <v>7541</v>
      </c>
      <c r="R2264" s="6" t="s">
        <v>7542</v>
      </c>
    </row>
    <row r="2265">
      <c r="A2265" s="6" t="s">
        <v>7537</v>
      </c>
      <c r="B2265" s="6" t="s">
        <v>7537</v>
      </c>
      <c r="C2265" s="6">
        <v>656.0</v>
      </c>
      <c r="D2265" s="9" t="str">
        <f>HYPERLINK("https://www.linkedin.com/ad-library/detail/1498653446","Open Ad")</f>
        <v>Open Ad</v>
      </c>
      <c r="E2265" s="6" t="s">
        <v>154</v>
      </c>
      <c r="F2265" s="6" t="s">
        <v>53</v>
      </c>
      <c r="G2265" s="6" t="s">
        <v>7582</v>
      </c>
      <c r="H2265" s="6" t="s">
        <v>55</v>
      </c>
      <c r="I2265" s="6" t="s">
        <v>7566</v>
      </c>
      <c r="J2265" s="6" t="s">
        <v>154</v>
      </c>
      <c r="K2265" s="9" t="str">
        <f>HYPERLINK("https://dms.licdn.com/playlist/vid/v2/D5610AQHCJpD_4X3r0w/mp4-360p-30fp-crf28/B56Z8jGxPuG0Bg-/0/1783000416146?e=2147483647&amp;v=beta&amp;t=buNqytXIKQbDSPmN-gF0MjkJ-TiOGUHb02s8kF2cYZo","Open Creative")</f>
        <v>Open Creative</v>
      </c>
      <c r="L2265" s="6" t="s">
        <v>131</v>
      </c>
      <c r="M2265" s="6" t="s">
        <v>7537</v>
      </c>
      <c r="N2265" s="6" t="s">
        <v>132</v>
      </c>
      <c r="O2265" s="36" t="s">
        <v>132</v>
      </c>
      <c r="P2265" s="36">
        <v>1.498653446E9</v>
      </c>
      <c r="Q2265" s="36" t="s">
        <v>7541</v>
      </c>
      <c r="R2265" s="6" t="s">
        <v>7542</v>
      </c>
    </row>
    <row r="2266">
      <c r="A2266" s="6" t="s">
        <v>7537</v>
      </c>
      <c r="B2266" s="6" t="s">
        <v>7537</v>
      </c>
      <c r="C2266" s="6">
        <v>657.0</v>
      </c>
      <c r="D2266" s="9" t="str">
        <f>HYPERLINK("https://www.linkedin.com/ad-library/detail/1498703356","Open Ad")</f>
        <v>Open Ad</v>
      </c>
      <c r="E2266" s="6" t="s">
        <v>91</v>
      </c>
      <c r="F2266" s="6" t="s">
        <v>53</v>
      </c>
      <c r="G2266" s="6" t="s">
        <v>7576</v>
      </c>
      <c r="H2266" s="6" t="s">
        <v>55</v>
      </c>
      <c r="I2266" s="6" t="s">
        <v>7566</v>
      </c>
      <c r="J2266" s="6" t="s">
        <v>91</v>
      </c>
      <c r="K2266" s="6" t="s">
        <v>60</v>
      </c>
      <c r="L2266" s="6" t="s">
        <v>131</v>
      </c>
      <c r="M2266" s="6" t="s">
        <v>7537</v>
      </c>
      <c r="N2266" s="6" t="s">
        <v>132</v>
      </c>
      <c r="O2266" s="36" t="s">
        <v>132</v>
      </c>
      <c r="P2266" s="36">
        <v>1.498703356E9</v>
      </c>
      <c r="Q2266" s="36" t="s">
        <v>7541</v>
      </c>
      <c r="R2266" s="6" t="s">
        <v>7542</v>
      </c>
    </row>
    <row r="2267">
      <c r="A2267" s="6" t="s">
        <v>7537</v>
      </c>
      <c r="B2267" s="6" t="s">
        <v>7537</v>
      </c>
      <c r="C2267" s="6">
        <v>658.0</v>
      </c>
      <c r="D2267" s="9" t="str">
        <f>HYPERLINK("https://www.linkedin.com/ad-library/detail/1498644576","Open Ad")</f>
        <v>Open Ad</v>
      </c>
      <c r="E2267" s="6" t="s">
        <v>7543</v>
      </c>
      <c r="F2267" s="6" t="s">
        <v>53</v>
      </c>
      <c r="G2267" s="6" t="s">
        <v>7550</v>
      </c>
      <c r="H2267" s="6" t="s">
        <v>55</v>
      </c>
      <c r="I2267" s="6" t="s">
        <v>7566</v>
      </c>
      <c r="J2267" s="6" t="s">
        <v>7546</v>
      </c>
      <c r="K2267" s="6" t="s">
        <v>60</v>
      </c>
      <c r="L2267" s="6" t="s">
        <v>131</v>
      </c>
      <c r="M2267" s="6" t="s">
        <v>7537</v>
      </c>
      <c r="N2267" s="6" t="s">
        <v>132</v>
      </c>
      <c r="O2267" s="36" t="s">
        <v>132</v>
      </c>
      <c r="P2267" s="36">
        <v>1.498644576E9</v>
      </c>
      <c r="Q2267" s="36" t="s">
        <v>7541</v>
      </c>
      <c r="R2267" s="6" t="s">
        <v>7542</v>
      </c>
    </row>
    <row r="2268">
      <c r="A2268" s="6" t="s">
        <v>7537</v>
      </c>
      <c r="B2268" s="6" t="s">
        <v>7537</v>
      </c>
      <c r="C2268" s="6">
        <v>659.0</v>
      </c>
      <c r="D2268" s="9" t="str">
        <f>HYPERLINK("https://www.linkedin.com/ad-library/detail/1498644466","Open Ad")</f>
        <v>Open Ad</v>
      </c>
      <c r="E2268" s="6" t="s">
        <v>154</v>
      </c>
      <c r="F2268" s="6" t="s">
        <v>53</v>
      </c>
      <c r="G2268" s="6" t="s">
        <v>7581</v>
      </c>
      <c r="H2268" s="6" t="s">
        <v>55</v>
      </c>
      <c r="I2268" s="6" t="s">
        <v>7566</v>
      </c>
      <c r="J2268" s="6" t="s">
        <v>154</v>
      </c>
      <c r="K2268" s="9" t="str">
        <f>HYPERLINK("https://dms.licdn.com/playlist/vid/v2/D4E10AQFbU42CgG1Z7g/mp4-720p-30fp-crf28/B4EZ6E1cjuIkBk-/0/1780345071320?e=2147483647&amp;v=beta&amp;t=lm4Raasi9Hn2k_Jca5TAGdFZZmL4wlksoW4hHU6e3XU","Open Creative")</f>
        <v>Open Creative</v>
      </c>
      <c r="L2268" s="6" t="s">
        <v>131</v>
      </c>
      <c r="M2268" s="6" t="s">
        <v>7537</v>
      </c>
      <c r="N2268" s="6" t="s">
        <v>132</v>
      </c>
      <c r="O2268" s="36" t="s">
        <v>132</v>
      </c>
      <c r="P2268" s="36">
        <v>1.498644466E9</v>
      </c>
      <c r="Q2268" s="36" t="s">
        <v>7541</v>
      </c>
      <c r="R2268" s="6" t="s">
        <v>7542</v>
      </c>
    </row>
    <row r="2269">
      <c r="A2269" s="6" t="s">
        <v>7537</v>
      </c>
      <c r="B2269" s="6" t="s">
        <v>7537</v>
      </c>
      <c r="C2269" s="6">
        <v>660.0</v>
      </c>
      <c r="D2269" s="9" t="str">
        <f>HYPERLINK("https://www.linkedin.com/ad-library/detail/1498830196","Open Ad")</f>
        <v>Open Ad</v>
      </c>
      <c r="E2269" s="6" t="s">
        <v>91</v>
      </c>
      <c r="F2269" s="6" t="s">
        <v>53</v>
      </c>
      <c r="G2269" s="6" t="s">
        <v>7604</v>
      </c>
      <c r="H2269" s="6" t="s">
        <v>55</v>
      </c>
      <c r="I2269" s="6" t="s">
        <v>7566</v>
      </c>
      <c r="J2269" s="6" t="s">
        <v>91</v>
      </c>
      <c r="K2269" s="6" t="s">
        <v>60</v>
      </c>
      <c r="L2269" s="6" t="s">
        <v>131</v>
      </c>
      <c r="M2269" s="6" t="s">
        <v>7537</v>
      </c>
      <c r="N2269" s="6" t="s">
        <v>132</v>
      </c>
      <c r="O2269" s="36" t="s">
        <v>132</v>
      </c>
      <c r="P2269" s="36">
        <v>1.498830196E9</v>
      </c>
      <c r="Q2269" s="36" t="s">
        <v>7541</v>
      </c>
      <c r="R2269" s="6" t="s">
        <v>7542</v>
      </c>
    </row>
    <row r="2270">
      <c r="A2270" s="6" t="s">
        <v>7537</v>
      </c>
      <c r="B2270" s="6" t="s">
        <v>7537</v>
      </c>
      <c r="C2270" s="6">
        <v>661.0</v>
      </c>
      <c r="D2270" s="9" t="str">
        <f>HYPERLINK("https://www.linkedin.com/ad-library/detail/1498693336","Open Ad")</f>
        <v>Open Ad</v>
      </c>
      <c r="E2270" s="6" t="s">
        <v>91</v>
      </c>
      <c r="F2270" s="6" t="s">
        <v>53</v>
      </c>
      <c r="G2270" s="6" t="s">
        <v>7578</v>
      </c>
      <c r="H2270" s="6" t="s">
        <v>55</v>
      </c>
      <c r="I2270" s="6" t="s">
        <v>7566</v>
      </c>
      <c r="J2270" s="6" t="s">
        <v>91</v>
      </c>
      <c r="K2270" s="6" t="s">
        <v>60</v>
      </c>
      <c r="L2270" s="6" t="s">
        <v>131</v>
      </c>
      <c r="M2270" s="6" t="s">
        <v>7537</v>
      </c>
      <c r="N2270" s="6" t="s">
        <v>132</v>
      </c>
      <c r="O2270" s="36" t="s">
        <v>132</v>
      </c>
      <c r="P2270" s="36">
        <v>1.498693336E9</v>
      </c>
      <c r="Q2270" s="36" t="s">
        <v>7541</v>
      </c>
      <c r="R2270" s="6" t="s">
        <v>7542</v>
      </c>
    </row>
    <row r="2271">
      <c r="A2271" s="6" t="s">
        <v>7537</v>
      </c>
      <c r="B2271" s="6" t="s">
        <v>7537</v>
      </c>
      <c r="C2271" s="6">
        <v>662.0</v>
      </c>
      <c r="D2271" s="9" t="str">
        <f>HYPERLINK("https://www.linkedin.com/ad-library/detail/1498770086","Open Ad")</f>
        <v>Open Ad</v>
      </c>
      <c r="E2271" s="6" t="s">
        <v>7543</v>
      </c>
      <c r="F2271" s="6" t="s">
        <v>53</v>
      </c>
      <c r="G2271" s="6" t="s">
        <v>7569</v>
      </c>
      <c r="H2271" s="6" t="s">
        <v>55</v>
      </c>
      <c r="I2271" s="6" t="s">
        <v>7566</v>
      </c>
      <c r="J2271" s="6" t="s">
        <v>7546</v>
      </c>
      <c r="K2271" s="6" t="s">
        <v>60</v>
      </c>
      <c r="L2271" s="6" t="s">
        <v>131</v>
      </c>
      <c r="M2271" s="6" t="s">
        <v>7537</v>
      </c>
      <c r="N2271" s="6" t="s">
        <v>132</v>
      </c>
      <c r="O2271" s="36" t="s">
        <v>132</v>
      </c>
      <c r="P2271" s="36">
        <v>1.498770086E9</v>
      </c>
      <c r="Q2271" s="36" t="s">
        <v>7541</v>
      </c>
      <c r="R2271" s="6" t="s">
        <v>7542</v>
      </c>
    </row>
    <row r="2272">
      <c r="A2272" s="6" t="s">
        <v>7537</v>
      </c>
      <c r="B2272" s="6" t="s">
        <v>7537</v>
      </c>
      <c r="C2272" s="6">
        <v>663.0</v>
      </c>
      <c r="D2272" s="9" t="str">
        <f>HYPERLINK("https://www.linkedin.com/ad-library/detail/1498627836","Open Ad")</f>
        <v>Open Ad</v>
      </c>
      <c r="E2272" s="6" t="s">
        <v>91</v>
      </c>
      <c r="F2272" s="6" t="s">
        <v>53</v>
      </c>
      <c r="G2272" s="6" t="s">
        <v>7575</v>
      </c>
      <c r="H2272" s="6" t="s">
        <v>55</v>
      </c>
      <c r="I2272" s="6" t="s">
        <v>7566</v>
      </c>
      <c r="J2272" s="6" t="s">
        <v>91</v>
      </c>
      <c r="K2272" s="6" t="s">
        <v>60</v>
      </c>
      <c r="L2272" s="6" t="s">
        <v>131</v>
      </c>
      <c r="M2272" s="6" t="s">
        <v>7537</v>
      </c>
      <c r="N2272" s="6" t="s">
        <v>132</v>
      </c>
      <c r="O2272" s="36" t="s">
        <v>132</v>
      </c>
      <c r="P2272" s="36">
        <v>1.498627836E9</v>
      </c>
      <c r="Q2272" s="36" t="s">
        <v>7541</v>
      </c>
      <c r="R2272" s="6" t="s">
        <v>7542</v>
      </c>
    </row>
    <row r="2273">
      <c r="A2273" s="6" t="s">
        <v>7537</v>
      </c>
      <c r="B2273" s="6" t="s">
        <v>7537</v>
      </c>
      <c r="C2273" s="6">
        <v>664.0</v>
      </c>
      <c r="D2273" s="9" t="str">
        <f>HYPERLINK("https://www.linkedin.com/ad-library/detail/1498740606","Open Ad")</f>
        <v>Open Ad</v>
      </c>
      <c r="E2273" s="6" t="s">
        <v>154</v>
      </c>
      <c r="F2273" s="6" t="s">
        <v>53</v>
      </c>
      <c r="G2273" s="6" t="s">
        <v>7644</v>
      </c>
      <c r="H2273" s="6" t="s">
        <v>55</v>
      </c>
      <c r="I2273" s="6" t="s">
        <v>7566</v>
      </c>
      <c r="J2273" s="6" t="s">
        <v>154</v>
      </c>
      <c r="K2273" s="9" t="str">
        <f>HYPERLINK("https://dms.licdn.com/playlist/vid/v2/D4E10AQFvAgWztv-5Uw/mp4-640p-30fp-crf28/B4EZ5LQGtKJ0BI-/0/1779378998766?e=2147483647&amp;v=beta&amp;t=_8bKLKhlOLLcnEfsCY9wk5B2yEE3QM48LsyZd6MkCAQ","Open Creative")</f>
        <v>Open Creative</v>
      </c>
      <c r="L2273" s="6" t="s">
        <v>131</v>
      </c>
      <c r="M2273" s="6" t="s">
        <v>7537</v>
      </c>
      <c r="N2273" s="6" t="s">
        <v>132</v>
      </c>
      <c r="O2273" s="36" t="s">
        <v>132</v>
      </c>
      <c r="P2273" s="36">
        <v>1.498740606E9</v>
      </c>
      <c r="Q2273" s="36" t="s">
        <v>7541</v>
      </c>
      <c r="R2273" s="6" t="s">
        <v>7542</v>
      </c>
    </row>
    <row r="2274">
      <c r="A2274" s="6" t="s">
        <v>7537</v>
      </c>
      <c r="B2274" s="6" t="s">
        <v>7537</v>
      </c>
      <c r="C2274" s="6">
        <v>665.0</v>
      </c>
      <c r="D2274" s="9" t="str">
        <f>HYPERLINK("https://www.linkedin.com/ad-library/detail/1498740626","Open Ad")</f>
        <v>Open Ad</v>
      </c>
      <c r="E2274" s="6" t="s">
        <v>7543</v>
      </c>
      <c r="F2274" s="6" t="s">
        <v>53</v>
      </c>
      <c r="G2274" s="6" t="s">
        <v>7550</v>
      </c>
      <c r="H2274" s="6" t="s">
        <v>55</v>
      </c>
      <c r="I2274" s="6" t="s">
        <v>7566</v>
      </c>
      <c r="J2274" s="6" t="s">
        <v>7546</v>
      </c>
      <c r="K2274" s="6" t="s">
        <v>60</v>
      </c>
      <c r="L2274" s="6" t="s">
        <v>131</v>
      </c>
      <c r="M2274" s="6" t="s">
        <v>7537</v>
      </c>
      <c r="N2274" s="6" t="s">
        <v>132</v>
      </c>
      <c r="O2274" s="36" t="s">
        <v>132</v>
      </c>
      <c r="P2274" s="36">
        <v>1.498740626E9</v>
      </c>
      <c r="Q2274" s="36" t="s">
        <v>7541</v>
      </c>
      <c r="R2274" s="6" t="s">
        <v>7542</v>
      </c>
    </row>
    <row r="2275">
      <c r="A2275" s="6" t="s">
        <v>7537</v>
      </c>
      <c r="B2275" s="6" t="s">
        <v>7537</v>
      </c>
      <c r="C2275" s="6">
        <v>666.0</v>
      </c>
      <c r="D2275" s="9" t="str">
        <f>HYPERLINK("https://www.linkedin.com/ad-library/detail/1498588486","Open Ad")</f>
        <v>Open Ad</v>
      </c>
      <c r="E2275" s="6" t="s">
        <v>154</v>
      </c>
      <c r="F2275" s="6" t="s">
        <v>53</v>
      </c>
      <c r="G2275" s="6" t="s">
        <v>7581</v>
      </c>
      <c r="H2275" s="6" t="s">
        <v>55</v>
      </c>
      <c r="I2275" s="6" t="s">
        <v>7566</v>
      </c>
      <c r="J2275" s="6" t="s">
        <v>154</v>
      </c>
      <c r="K2275" s="9" t="str">
        <f>HYPERLINK("https://dms.licdn.com/playlist/vid/v2/D4E10AQFbU42CgG1Z7g/mp4-720p-30fp-crf28/B4EZ6E1cjuIkBk-/0/1780345071320?e=2147483647&amp;v=beta&amp;t=lm4Raasi9Hn2k_Jca5TAGdFZZmL4wlksoW4hHU6e3XU","Open Creative")</f>
        <v>Open Creative</v>
      </c>
      <c r="L2275" s="6" t="s">
        <v>131</v>
      </c>
      <c r="M2275" s="6" t="s">
        <v>7537</v>
      </c>
      <c r="N2275" s="6" t="s">
        <v>132</v>
      </c>
      <c r="O2275" s="36" t="s">
        <v>132</v>
      </c>
      <c r="P2275" s="36">
        <v>1.498588486E9</v>
      </c>
      <c r="Q2275" s="36" t="s">
        <v>7541</v>
      </c>
      <c r="R2275" s="6" t="s">
        <v>7542</v>
      </c>
    </row>
    <row r="2276">
      <c r="A2276" s="6" t="s">
        <v>7537</v>
      </c>
      <c r="B2276" s="6" t="s">
        <v>7537</v>
      </c>
      <c r="C2276" s="6">
        <v>667.0</v>
      </c>
      <c r="D2276" s="9" t="str">
        <f>HYPERLINK("https://www.linkedin.com/ad-library/detail/1498701646","Open Ad")</f>
        <v>Open Ad</v>
      </c>
      <c r="E2276" s="6" t="s">
        <v>7543</v>
      </c>
      <c r="F2276" s="6" t="s">
        <v>53</v>
      </c>
      <c r="G2276" s="6" t="s">
        <v>7569</v>
      </c>
      <c r="H2276" s="6" t="s">
        <v>55</v>
      </c>
      <c r="I2276" s="6" t="s">
        <v>7566</v>
      </c>
      <c r="J2276" s="6" t="s">
        <v>7546</v>
      </c>
      <c r="K2276" s="6" t="s">
        <v>60</v>
      </c>
      <c r="L2276" s="6" t="s">
        <v>131</v>
      </c>
      <c r="M2276" s="6" t="s">
        <v>7537</v>
      </c>
      <c r="N2276" s="6" t="s">
        <v>132</v>
      </c>
      <c r="O2276" s="36" t="s">
        <v>132</v>
      </c>
      <c r="P2276" s="36">
        <v>1.498701646E9</v>
      </c>
      <c r="Q2276" s="36" t="s">
        <v>7541</v>
      </c>
      <c r="R2276" s="6" t="s">
        <v>7542</v>
      </c>
    </row>
    <row r="2277">
      <c r="A2277" s="6" t="s">
        <v>7537</v>
      </c>
      <c r="B2277" s="6" t="s">
        <v>7537</v>
      </c>
      <c r="C2277" s="6">
        <v>668.0</v>
      </c>
      <c r="D2277" s="9" t="str">
        <f>HYPERLINK("https://www.linkedin.com/ad-library/detail/1498830206","Open Ad")</f>
        <v>Open Ad</v>
      </c>
      <c r="E2277" s="6" t="s">
        <v>91</v>
      </c>
      <c r="F2277" s="6" t="s">
        <v>53</v>
      </c>
      <c r="G2277" s="6" t="s">
        <v>7575</v>
      </c>
      <c r="H2277" s="6" t="s">
        <v>55</v>
      </c>
      <c r="I2277" s="6" t="s">
        <v>7566</v>
      </c>
      <c r="J2277" s="6" t="s">
        <v>91</v>
      </c>
      <c r="K2277" s="6" t="s">
        <v>60</v>
      </c>
      <c r="L2277" s="6" t="s">
        <v>131</v>
      </c>
      <c r="M2277" s="6" t="s">
        <v>7537</v>
      </c>
      <c r="N2277" s="6" t="s">
        <v>132</v>
      </c>
      <c r="O2277" s="36" t="s">
        <v>132</v>
      </c>
      <c r="P2277" s="36">
        <v>1.498830206E9</v>
      </c>
      <c r="Q2277" s="36" t="s">
        <v>7541</v>
      </c>
      <c r="R2277" s="6" t="s">
        <v>7542</v>
      </c>
    </row>
    <row r="2278">
      <c r="A2278" s="6" t="s">
        <v>7537</v>
      </c>
      <c r="B2278" s="6" t="s">
        <v>7537</v>
      </c>
      <c r="C2278" s="6">
        <v>669.0</v>
      </c>
      <c r="D2278" s="9" t="str">
        <f>HYPERLINK("https://www.linkedin.com/ad-library/detail/1498839916","Open Ad")</f>
        <v>Open Ad</v>
      </c>
      <c r="E2278" s="6" t="s">
        <v>91</v>
      </c>
      <c r="F2278" s="6" t="s">
        <v>53</v>
      </c>
      <c r="G2278" s="6" t="s">
        <v>7578</v>
      </c>
      <c r="H2278" s="6" t="s">
        <v>55</v>
      </c>
      <c r="I2278" s="6" t="s">
        <v>7566</v>
      </c>
      <c r="J2278" s="6" t="s">
        <v>91</v>
      </c>
      <c r="K2278" s="6" t="s">
        <v>60</v>
      </c>
      <c r="L2278" s="6" t="s">
        <v>131</v>
      </c>
      <c r="M2278" s="6" t="s">
        <v>7537</v>
      </c>
      <c r="N2278" s="6" t="s">
        <v>132</v>
      </c>
      <c r="O2278" s="36" t="s">
        <v>132</v>
      </c>
      <c r="P2278" s="36">
        <v>1.498839916E9</v>
      </c>
      <c r="Q2278" s="36" t="s">
        <v>7541</v>
      </c>
      <c r="R2278" s="6" t="s">
        <v>7542</v>
      </c>
    </row>
    <row r="2279">
      <c r="A2279" s="6" t="s">
        <v>7537</v>
      </c>
      <c r="B2279" s="6" t="s">
        <v>7537</v>
      </c>
      <c r="C2279" s="6">
        <v>670.0</v>
      </c>
      <c r="D2279" s="9" t="str">
        <f>HYPERLINK("https://www.linkedin.com/ad-library/detail/1498664306","Open Ad")</f>
        <v>Open Ad</v>
      </c>
      <c r="E2279" s="6" t="s">
        <v>7543</v>
      </c>
      <c r="F2279" s="6" t="s">
        <v>53</v>
      </c>
      <c r="G2279" s="6" t="s">
        <v>7550</v>
      </c>
      <c r="H2279" s="6" t="s">
        <v>55</v>
      </c>
      <c r="I2279" s="6" t="s">
        <v>7566</v>
      </c>
      <c r="J2279" s="6" t="s">
        <v>7546</v>
      </c>
      <c r="K2279" s="6" t="s">
        <v>60</v>
      </c>
      <c r="L2279" s="6" t="s">
        <v>131</v>
      </c>
      <c r="M2279" s="6" t="s">
        <v>7537</v>
      </c>
      <c r="N2279" s="6" t="s">
        <v>132</v>
      </c>
      <c r="O2279" s="36" t="s">
        <v>132</v>
      </c>
      <c r="P2279" s="36">
        <v>1.498664306E9</v>
      </c>
      <c r="Q2279" s="36" t="s">
        <v>7541</v>
      </c>
      <c r="R2279" s="6" t="s">
        <v>7542</v>
      </c>
    </row>
    <row r="2280">
      <c r="A2280" s="6" t="s">
        <v>7537</v>
      </c>
      <c r="B2280" s="6" t="s">
        <v>7537</v>
      </c>
      <c r="C2280" s="6">
        <v>671.0</v>
      </c>
      <c r="D2280" s="9" t="str">
        <f>HYPERLINK("https://www.linkedin.com/ad-library/detail/1498713076","Open Ad")</f>
        <v>Open Ad</v>
      </c>
      <c r="E2280" s="6" t="s">
        <v>91</v>
      </c>
      <c r="F2280" s="6" t="s">
        <v>53</v>
      </c>
      <c r="G2280" s="6" t="s">
        <v>7588</v>
      </c>
      <c r="H2280" s="6" t="s">
        <v>55</v>
      </c>
      <c r="I2280" s="6" t="s">
        <v>7566</v>
      </c>
      <c r="J2280" s="6" t="s">
        <v>91</v>
      </c>
      <c r="K2280" s="9" t="str">
        <f>HYPERLINK("https://media.licdn.com/dms/image/v2/D4E10AQEqECWLz8eLfg/image-shrink_1280/B4EZ3UsZ.CGkAc-/0/1777389904287?e=2147483647&amp;v=beta&amp;t=0Mbfqk_hLfichGIBXrMjoO2DeoHez5SeK866pI13xWU","Open Creative")</f>
        <v>Open Creative</v>
      </c>
      <c r="L2280" s="6" t="s">
        <v>131</v>
      </c>
      <c r="M2280" s="6" t="s">
        <v>7537</v>
      </c>
      <c r="N2280" s="6" t="s">
        <v>132</v>
      </c>
      <c r="O2280" s="36" t="s">
        <v>132</v>
      </c>
      <c r="P2280" s="36">
        <v>1.498713076E9</v>
      </c>
      <c r="Q2280" s="36" t="s">
        <v>7541</v>
      </c>
      <c r="R2280" s="6" t="s">
        <v>7542</v>
      </c>
    </row>
    <row r="2281">
      <c r="A2281" s="6" t="s">
        <v>7537</v>
      </c>
      <c r="B2281" s="6" t="s">
        <v>7537</v>
      </c>
      <c r="C2281" s="6">
        <v>672.0</v>
      </c>
      <c r="D2281" s="9" t="str">
        <f>HYPERLINK("https://www.linkedin.com/ad-library/detail/1498646206","Open Ad")</f>
        <v>Open Ad</v>
      </c>
      <c r="E2281" s="6" t="s">
        <v>91</v>
      </c>
      <c r="F2281" s="6" t="s">
        <v>53</v>
      </c>
      <c r="G2281" s="6" t="s">
        <v>7575</v>
      </c>
      <c r="H2281" s="6" t="s">
        <v>55</v>
      </c>
      <c r="I2281" s="6" t="s">
        <v>7566</v>
      </c>
      <c r="J2281" s="6" t="s">
        <v>91</v>
      </c>
      <c r="K2281" s="6" t="s">
        <v>60</v>
      </c>
      <c r="L2281" s="6" t="s">
        <v>131</v>
      </c>
      <c r="M2281" s="6" t="s">
        <v>7537</v>
      </c>
      <c r="N2281" s="6" t="s">
        <v>132</v>
      </c>
      <c r="O2281" s="36" t="s">
        <v>132</v>
      </c>
      <c r="P2281" s="36">
        <v>1.498646206E9</v>
      </c>
      <c r="Q2281" s="36" t="s">
        <v>7541</v>
      </c>
      <c r="R2281" s="6" t="s">
        <v>7542</v>
      </c>
    </row>
    <row r="2282">
      <c r="A2282" s="6" t="s">
        <v>7537</v>
      </c>
      <c r="B2282" s="6" t="s">
        <v>7537</v>
      </c>
      <c r="C2282" s="6">
        <v>673.0</v>
      </c>
      <c r="D2282" s="9" t="str">
        <f>HYPERLINK("https://www.linkedin.com/ad-library/detail/1497723866","Open Ad")</f>
        <v>Open Ad</v>
      </c>
      <c r="E2282" s="6" t="s">
        <v>154</v>
      </c>
      <c r="F2282" s="6" t="s">
        <v>53</v>
      </c>
      <c r="G2282" s="6" t="s">
        <v>7605</v>
      </c>
      <c r="H2282" s="6" t="s">
        <v>55</v>
      </c>
      <c r="I2282" s="6" t="s">
        <v>7566</v>
      </c>
      <c r="J2282" s="6" t="s">
        <v>154</v>
      </c>
      <c r="K2282" s="9" t="str">
        <f>HYPERLINK("https://dms.licdn.com/playlist/vid/v2/D5610AQEtQfuXDVOiXg/progressive-servable-video/B56Z9Mz00yIUAg-/0/1783700082646?e=2147483647&amp;v=beta&amp;t=wyK6PvsqvmZIB_2t2o5kOQbhGwkPTdZDU9WzVACYGRY","Open Creative")</f>
        <v>Open Creative</v>
      </c>
      <c r="L2282" s="6" t="s">
        <v>131</v>
      </c>
      <c r="M2282" s="6" t="s">
        <v>7537</v>
      </c>
      <c r="N2282" s="6" t="s">
        <v>132</v>
      </c>
      <c r="O2282" s="36" t="s">
        <v>132</v>
      </c>
      <c r="P2282" s="36">
        <v>1.497723866E9</v>
      </c>
      <c r="Q2282" s="36" t="s">
        <v>7541</v>
      </c>
      <c r="R2282" s="6" t="s">
        <v>7542</v>
      </c>
    </row>
    <row r="2283">
      <c r="A2283" s="6" t="s">
        <v>7537</v>
      </c>
      <c r="B2283" s="6" t="s">
        <v>7537</v>
      </c>
      <c r="C2283" s="6">
        <v>674.0</v>
      </c>
      <c r="D2283" s="9" t="str">
        <f>HYPERLINK("https://www.linkedin.com/ad-library/detail/1497830756","Open Ad")</f>
        <v>Open Ad</v>
      </c>
      <c r="E2283" s="6" t="s">
        <v>154</v>
      </c>
      <c r="F2283" s="6" t="s">
        <v>53</v>
      </c>
      <c r="G2283" s="6" t="s">
        <v>7606</v>
      </c>
      <c r="H2283" s="6" t="s">
        <v>55</v>
      </c>
      <c r="I2283" s="6" t="s">
        <v>7566</v>
      </c>
      <c r="J2283" s="6" t="s">
        <v>154</v>
      </c>
      <c r="K2283" s="9" t="str">
        <f>HYPERLINK("https://dms.licdn.com/playlist/vid/v2/D5610AQHAC-6rkD2EcQ/mp4-720p-30fp-crf28/B56Z9M0IthG0CE-/0/1783700165654?e=2147483647&amp;v=beta&amp;t=IRp-d5Zc0ABShKpd1S3EP4MXYHD5JYVSGD17gLNqDe8","Open Creative")</f>
        <v>Open Creative</v>
      </c>
      <c r="L2283" s="6" t="s">
        <v>131</v>
      </c>
      <c r="M2283" s="6" t="s">
        <v>7537</v>
      </c>
      <c r="N2283" s="6" t="s">
        <v>132</v>
      </c>
      <c r="O2283" s="36" t="s">
        <v>132</v>
      </c>
      <c r="P2283" s="36">
        <v>1.497830756E9</v>
      </c>
      <c r="Q2283" s="36" t="s">
        <v>7541</v>
      </c>
      <c r="R2283" s="6" t="s">
        <v>7542</v>
      </c>
    </row>
    <row r="2284">
      <c r="A2284" s="6" t="s">
        <v>7537</v>
      </c>
      <c r="B2284" s="6" t="s">
        <v>7537</v>
      </c>
      <c r="C2284" s="6">
        <v>675.0</v>
      </c>
      <c r="D2284" s="9" t="str">
        <f>HYPERLINK("https://www.linkedin.com/ad-library/detail/1498634516","Open Ad")</f>
        <v>Open Ad</v>
      </c>
      <c r="E2284" s="6" t="s">
        <v>154</v>
      </c>
      <c r="F2284" s="6" t="s">
        <v>53</v>
      </c>
      <c r="G2284" s="6" t="s">
        <v>7637</v>
      </c>
      <c r="H2284" s="6" t="s">
        <v>55</v>
      </c>
      <c r="I2284" s="6" t="s">
        <v>7566</v>
      </c>
      <c r="J2284" s="6" t="s">
        <v>154</v>
      </c>
      <c r="K2284" s="9" t="str">
        <f>HYPERLINK("https://dms.licdn.com/playlist/vid/v2/D5610AQGPpIHkVJhCaA/mp4-640p-30fp-crf28/B56Z83aF5UG4BI-/0/1783341024306?e=2147483647&amp;v=beta&amp;t=6aPscOhwfZC6LVqbrnkx1wzDAaGeDks-p4lXPr_L8Fs","Open Creative")</f>
        <v>Open Creative</v>
      </c>
      <c r="L2284" s="6" t="s">
        <v>131</v>
      </c>
      <c r="M2284" s="6" t="s">
        <v>7537</v>
      </c>
      <c r="N2284" s="6" t="s">
        <v>132</v>
      </c>
      <c r="O2284" s="36" t="s">
        <v>132</v>
      </c>
      <c r="P2284" s="36">
        <v>1.498634516E9</v>
      </c>
      <c r="Q2284" s="36" t="s">
        <v>7541</v>
      </c>
      <c r="R2284" s="6" t="s">
        <v>7542</v>
      </c>
    </row>
    <row r="2285">
      <c r="A2285" s="6" t="s">
        <v>7537</v>
      </c>
      <c r="B2285" s="6" t="s">
        <v>7537</v>
      </c>
      <c r="C2285" s="6">
        <v>676.0</v>
      </c>
      <c r="D2285" s="9" t="str">
        <f>HYPERLINK("https://www.linkedin.com/ad-library/detail/1498578756","Open Ad")</f>
        <v>Open Ad</v>
      </c>
      <c r="E2285" s="6" t="s">
        <v>154</v>
      </c>
      <c r="F2285" s="6" t="s">
        <v>53</v>
      </c>
      <c r="G2285" s="6" t="s">
        <v>7582</v>
      </c>
      <c r="H2285" s="6" t="s">
        <v>55</v>
      </c>
      <c r="I2285" s="6" t="s">
        <v>7566</v>
      </c>
      <c r="J2285" s="6" t="s">
        <v>154</v>
      </c>
      <c r="K2285" s="9" t="str">
        <f>HYPERLINK("https://dms.licdn.com/playlist/vid/v2/D5610AQHCJpD_4X3r0w/mp4-360p-30fp-crf28/B56Z8jGxPuG0Bg-/0/1783000416146?e=2147483647&amp;v=beta&amp;t=buNqytXIKQbDSPmN-gF0MjkJ-TiOGUHb02s8kF2cYZo","Open Creative")</f>
        <v>Open Creative</v>
      </c>
      <c r="L2285" s="6" t="s">
        <v>131</v>
      </c>
      <c r="M2285" s="6" t="s">
        <v>7537</v>
      </c>
      <c r="N2285" s="6" t="s">
        <v>132</v>
      </c>
      <c r="O2285" s="36" t="s">
        <v>132</v>
      </c>
      <c r="P2285" s="36">
        <v>1.498578756E9</v>
      </c>
      <c r="Q2285" s="36" t="s">
        <v>7541</v>
      </c>
      <c r="R2285" s="6" t="s">
        <v>7542</v>
      </c>
    </row>
    <row r="2286">
      <c r="A2286" s="6" t="s">
        <v>7537</v>
      </c>
      <c r="B2286" s="6" t="s">
        <v>7537</v>
      </c>
      <c r="C2286" s="6">
        <v>677.0</v>
      </c>
      <c r="D2286" s="9" t="str">
        <f>HYPERLINK("https://www.linkedin.com/ad-library/detail/1498682156","Open Ad")</f>
        <v>Open Ad</v>
      </c>
      <c r="E2286" s="6" t="s">
        <v>154</v>
      </c>
      <c r="F2286" s="6" t="s">
        <v>53</v>
      </c>
      <c r="G2286" s="6" t="s">
        <v>7637</v>
      </c>
      <c r="H2286" s="6" t="s">
        <v>55</v>
      </c>
      <c r="I2286" s="6" t="s">
        <v>7566</v>
      </c>
      <c r="J2286" s="6" t="s">
        <v>154</v>
      </c>
      <c r="K2286" s="9" t="str">
        <f>HYPERLINK("https://dms.licdn.com/playlist/vid/v2/D5610AQGPpIHkVJhCaA/mp4-640p-30fp-crf28/B56Z83aF5UG4BI-/0/1783341024306?e=2147483647&amp;v=beta&amp;t=6aPscOhwfZC6LVqbrnkx1wzDAaGeDks-p4lXPr_L8Fs","Open Creative")</f>
        <v>Open Creative</v>
      </c>
      <c r="L2286" s="6" t="s">
        <v>131</v>
      </c>
      <c r="M2286" s="6" t="s">
        <v>7537</v>
      </c>
      <c r="N2286" s="6" t="s">
        <v>132</v>
      </c>
      <c r="O2286" s="36" t="s">
        <v>132</v>
      </c>
      <c r="P2286" s="36">
        <v>1.498682156E9</v>
      </c>
      <c r="Q2286" s="36" t="s">
        <v>7541</v>
      </c>
      <c r="R2286" s="6" t="s">
        <v>7542</v>
      </c>
    </row>
    <row r="2287">
      <c r="A2287" s="6" t="s">
        <v>7537</v>
      </c>
      <c r="B2287" s="6" t="s">
        <v>7537</v>
      </c>
      <c r="C2287" s="6">
        <v>678.0</v>
      </c>
      <c r="D2287" s="9" t="str">
        <f>HYPERLINK("https://www.linkedin.com/ad-library/detail/1497800896","Open Ad")</f>
        <v>Open Ad</v>
      </c>
      <c r="E2287" s="6" t="s">
        <v>91</v>
      </c>
      <c r="F2287" s="6" t="s">
        <v>53</v>
      </c>
      <c r="G2287" s="6" t="s">
        <v>7605</v>
      </c>
      <c r="H2287" s="6" t="s">
        <v>55</v>
      </c>
      <c r="I2287" s="6" t="s">
        <v>7566</v>
      </c>
      <c r="J2287" s="6" t="s">
        <v>91</v>
      </c>
      <c r="K2287" s="9" t="str">
        <f>HYPERLINK("https://media.licdn.com/dms/image/v2/D5610AQHEvvijYsI_tQ/image-shrink_1280/B56Z9Mvp9QHUAc-/0/1783698989137/StaticA_1_1png?e=2147483647&amp;v=beta&amp;t=MTZtkJ7l5gqylxrRaIdNRy7LYGh-h4daLFiI3M0fauw","Open Creative")</f>
        <v>Open Creative</v>
      </c>
      <c r="L2287" s="6" t="s">
        <v>131</v>
      </c>
      <c r="M2287" s="6" t="s">
        <v>7537</v>
      </c>
      <c r="N2287" s="6" t="s">
        <v>132</v>
      </c>
      <c r="O2287" s="36" t="s">
        <v>132</v>
      </c>
      <c r="P2287" s="36">
        <v>1.497800896E9</v>
      </c>
      <c r="Q2287" s="36" t="s">
        <v>7541</v>
      </c>
      <c r="R2287" s="6" t="s">
        <v>7542</v>
      </c>
    </row>
    <row r="2288">
      <c r="A2288" s="6" t="s">
        <v>7537</v>
      </c>
      <c r="B2288" s="6" t="s">
        <v>7537</v>
      </c>
      <c r="C2288" s="6">
        <v>679.0</v>
      </c>
      <c r="D2288" s="9" t="str">
        <f>HYPERLINK("https://www.linkedin.com/ad-library/detail/1497801866","Open Ad")</f>
        <v>Open Ad</v>
      </c>
      <c r="E2288" s="6" t="s">
        <v>154</v>
      </c>
      <c r="F2288" s="6" t="s">
        <v>53</v>
      </c>
      <c r="G2288" s="6" t="s">
        <v>7606</v>
      </c>
      <c r="H2288" s="6" t="s">
        <v>55</v>
      </c>
      <c r="I2288" s="6" t="s">
        <v>7566</v>
      </c>
      <c r="J2288" s="6" t="s">
        <v>154</v>
      </c>
      <c r="K2288" s="9" t="str">
        <f>HYPERLINK("https://dms.licdn.com/playlist/vid/v2/D5610AQEtQfuXDVOiXg/progressive-servable-video/B56Z9Mz00yIUAg-/0/1783700082646?e=2147483647&amp;v=beta&amp;t=wyK6PvsqvmZIB_2t2o5kOQbhGwkPTdZDU9WzVACYGRY","Open Creative")</f>
        <v>Open Creative</v>
      </c>
      <c r="L2288" s="6" t="s">
        <v>131</v>
      </c>
      <c r="M2288" s="6" t="s">
        <v>7537</v>
      </c>
      <c r="N2288" s="6" t="s">
        <v>132</v>
      </c>
      <c r="O2288" s="36" t="s">
        <v>132</v>
      </c>
      <c r="P2288" s="36">
        <v>1.497801866E9</v>
      </c>
      <c r="Q2288" s="36" t="s">
        <v>7541</v>
      </c>
      <c r="R2288" s="6" t="s">
        <v>7542</v>
      </c>
    </row>
    <row r="2289">
      <c r="A2289" s="6" t="s">
        <v>7537</v>
      </c>
      <c r="B2289" s="6" t="s">
        <v>7537</v>
      </c>
      <c r="C2289" s="6">
        <v>680.0</v>
      </c>
      <c r="D2289" s="9" t="str">
        <f>HYPERLINK("https://www.linkedin.com/ad-library/detail/1497800976","Open Ad")</f>
        <v>Open Ad</v>
      </c>
      <c r="E2289" s="6" t="s">
        <v>154</v>
      </c>
      <c r="F2289" s="6" t="s">
        <v>53</v>
      </c>
      <c r="G2289" s="6" t="s">
        <v>7606</v>
      </c>
      <c r="H2289" s="6" t="s">
        <v>55</v>
      </c>
      <c r="I2289" s="6" t="s">
        <v>7566</v>
      </c>
      <c r="J2289" s="6" t="s">
        <v>154</v>
      </c>
      <c r="K2289" s="9" t="str">
        <f>HYPERLINK("https://dms.licdn.com/playlist/vid/v2/D5610AQHAC-6rkD2EcQ/mp4-720p-30fp-crf28/B56Z9M0IthG0CE-/0/1783700165654?e=2147483647&amp;v=beta&amp;t=IRp-d5Zc0ABShKpd1S3EP4MXYHD5JYVSGD17gLNqDe8","Open Creative")</f>
        <v>Open Creative</v>
      </c>
      <c r="L2289" s="6" t="s">
        <v>131</v>
      </c>
      <c r="M2289" s="6" t="s">
        <v>7537</v>
      </c>
      <c r="N2289" s="6" t="s">
        <v>132</v>
      </c>
      <c r="O2289" s="36" t="s">
        <v>132</v>
      </c>
      <c r="P2289" s="36">
        <v>1.497800976E9</v>
      </c>
      <c r="Q2289" s="36" t="s">
        <v>7541</v>
      </c>
      <c r="R2289" s="6" t="s">
        <v>7542</v>
      </c>
    </row>
    <row r="2290">
      <c r="A2290" s="6" t="s">
        <v>7537</v>
      </c>
      <c r="B2290" s="6" t="s">
        <v>7537</v>
      </c>
      <c r="C2290" s="6">
        <v>681.0</v>
      </c>
      <c r="D2290" s="9" t="str">
        <f>HYPERLINK("https://www.linkedin.com/ad-library/detail/1498760026","Open Ad")</f>
        <v>Open Ad</v>
      </c>
      <c r="E2290" s="6" t="s">
        <v>154</v>
      </c>
      <c r="F2290" s="6" t="s">
        <v>53</v>
      </c>
      <c r="G2290" s="6" t="s">
        <v>7644</v>
      </c>
      <c r="H2290" s="6" t="s">
        <v>55</v>
      </c>
      <c r="I2290" s="6" t="s">
        <v>7566</v>
      </c>
      <c r="J2290" s="6" t="s">
        <v>154</v>
      </c>
      <c r="K2290" s="9" t="str">
        <f>HYPERLINK("https://dms.licdn.com/playlist/vid/v2/D4E10AQFvAgWztv-5Uw/mp4-640p-30fp-crf28/B4EZ5LQGtKJ0BI-/0/1779378998766?e=2147483647&amp;v=beta&amp;t=_8bKLKhlOLLcnEfsCY9wk5B2yEE3QM48LsyZd6MkCAQ","Open Creative")</f>
        <v>Open Creative</v>
      </c>
      <c r="L2290" s="6" t="s">
        <v>131</v>
      </c>
      <c r="M2290" s="6" t="s">
        <v>7537</v>
      </c>
      <c r="N2290" s="6" t="s">
        <v>132</v>
      </c>
      <c r="O2290" s="36" t="s">
        <v>132</v>
      </c>
      <c r="P2290" s="36">
        <v>1.498760026E9</v>
      </c>
      <c r="Q2290" s="36" t="s">
        <v>7541</v>
      </c>
      <c r="R2290" s="6" t="s">
        <v>7542</v>
      </c>
    </row>
    <row r="2291">
      <c r="A2291" s="6" t="s">
        <v>7537</v>
      </c>
      <c r="B2291" s="6" t="s">
        <v>7537</v>
      </c>
      <c r="C2291" s="6">
        <v>682.0</v>
      </c>
      <c r="D2291" s="9" t="str">
        <f>HYPERLINK("https://www.linkedin.com/ad-library/detail/1497800846","Open Ad")</f>
        <v>Open Ad</v>
      </c>
      <c r="E2291" s="6" t="s">
        <v>91</v>
      </c>
      <c r="F2291" s="6" t="s">
        <v>53</v>
      </c>
      <c r="G2291" s="6" t="s">
        <v>7605</v>
      </c>
      <c r="H2291" s="6" t="s">
        <v>55</v>
      </c>
      <c r="I2291" s="6" t="s">
        <v>7566</v>
      </c>
      <c r="J2291" s="6" t="s">
        <v>91</v>
      </c>
      <c r="K2291" s="9" t="str">
        <f>HYPERLINK("https://media.licdn.com/dms/image/v2/D5610AQHtT-BpHIdKlQ/image-shrink_1280/B56Z9Mv_AuGQAc-/0/1783699075522/StaticB_1_1png?e=2147483647&amp;v=beta&amp;t=VVED26XSFFiKyG6WnQSnhBql3EltELrjof_2fGTA4Ok","Open Creative")</f>
        <v>Open Creative</v>
      </c>
      <c r="L2291" s="6" t="s">
        <v>131</v>
      </c>
      <c r="M2291" s="6" t="s">
        <v>7537</v>
      </c>
      <c r="N2291" s="6" t="s">
        <v>132</v>
      </c>
      <c r="O2291" s="36" t="s">
        <v>132</v>
      </c>
      <c r="P2291" s="36">
        <v>1.497800846E9</v>
      </c>
      <c r="Q2291" s="36" t="s">
        <v>7541</v>
      </c>
      <c r="R2291" s="6" t="s">
        <v>7542</v>
      </c>
    </row>
    <row r="2292">
      <c r="A2292" s="6" t="s">
        <v>7537</v>
      </c>
      <c r="B2292" s="6" t="s">
        <v>7537</v>
      </c>
      <c r="C2292" s="6">
        <v>683.0</v>
      </c>
      <c r="D2292" s="9" t="str">
        <f>HYPERLINK("https://www.linkedin.com/ad-library/detail/1497762446","Open Ad")</f>
        <v>Open Ad</v>
      </c>
      <c r="E2292" s="6" t="s">
        <v>154</v>
      </c>
      <c r="F2292" s="6" t="s">
        <v>53</v>
      </c>
      <c r="G2292" s="6" t="s">
        <v>7605</v>
      </c>
      <c r="H2292" s="6" t="s">
        <v>55</v>
      </c>
      <c r="I2292" s="6" t="s">
        <v>7566</v>
      </c>
      <c r="J2292" s="6" t="s">
        <v>154</v>
      </c>
      <c r="K2292" s="9" t="str">
        <f>HYPERLINK("https://dms.licdn.com/playlist/vid/v2/D5610AQHAC-6rkD2EcQ/mp4-720p-30fp-crf28/B56Z9M0IthG0CE-/0/1783700165654?e=2147483647&amp;v=beta&amp;t=IRp-d5Zc0ABShKpd1S3EP4MXYHD5JYVSGD17gLNqDe8","Open Creative")</f>
        <v>Open Creative</v>
      </c>
      <c r="L2292" s="6" t="s">
        <v>131</v>
      </c>
      <c r="M2292" s="6" t="s">
        <v>7537</v>
      </c>
      <c r="N2292" s="6" t="s">
        <v>132</v>
      </c>
      <c r="O2292" s="36" t="s">
        <v>132</v>
      </c>
      <c r="P2292" s="36">
        <v>1.497762446E9</v>
      </c>
      <c r="Q2292" s="36" t="s">
        <v>7541</v>
      </c>
      <c r="R2292" s="6" t="s">
        <v>7542</v>
      </c>
    </row>
    <row r="2293">
      <c r="A2293" s="6" t="s">
        <v>7537</v>
      </c>
      <c r="B2293" s="6" t="s">
        <v>7537</v>
      </c>
      <c r="C2293" s="6">
        <v>684.0</v>
      </c>
      <c r="D2293" s="9" t="str">
        <f>HYPERLINK("https://www.linkedin.com/ad-library/detail/1498730926","Open Ad")</f>
        <v>Open Ad</v>
      </c>
      <c r="E2293" s="6" t="s">
        <v>154</v>
      </c>
      <c r="F2293" s="6" t="s">
        <v>53</v>
      </c>
      <c r="G2293" s="6" t="s">
        <v>7582</v>
      </c>
      <c r="H2293" s="6" t="s">
        <v>55</v>
      </c>
      <c r="I2293" s="6" t="s">
        <v>7566</v>
      </c>
      <c r="J2293" s="6" t="s">
        <v>154</v>
      </c>
      <c r="K2293" s="9" t="str">
        <f>HYPERLINK("https://dms.licdn.com/playlist/vid/v2/D5610AQHCJpD_4X3r0w/mp4-360p-30fp-crf28/B56Z8jGxPuG0Bg-/0/1783000416146?e=2147483647&amp;v=beta&amp;t=buNqytXIKQbDSPmN-gF0MjkJ-TiOGUHb02s8kF2cYZo","Open Creative")</f>
        <v>Open Creative</v>
      </c>
      <c r="L2293" s="6" t="s">
        <v>131</v>
      </c>
      <c r="M2293" s="6" t="s">
        <v>7537</v>
      </c>
      <c r="N2293" s="6" t="s">
        <v>132</v>
      </c>
      <c r="O2293" s="36" t="s">
        <v>132</v>
      </c>
      <c r="P2293" s="36">
        <v>1.498730926E9</v>
      </c>
      <c r="Q2293" s="36" t="s">
        <v>7541</v>
      </c>
      <c r="R2293" s="6" t="s">
        <v>7542</v>
      </c>
    </row>
    <row r="2294">
      <c r="A2294" s="6" t="s">
        <v>7537</v>
      </c>
      <c r="B2294" s="6" t="s">
        <v>7537</v>
      </c>
      <c r="C2294" s="6">
        <v>685.0</v>
      </c>
      <c r="D2294" s="9" t="str">
        <f>HYPERLINK("https://www.linkedin.com/ad-library/detail/1497732456","Open Ad")</f>
        <v>Open Ad</v>
      </c>
      <c r="E2294" s="6" t="s">
        <v>91</v>
      </c>
      <c r="F2294" s="6" t="s">
        <v>53</v>
      </c>
      <c r="G2294" s="6" t="s">
        <v>7606</v>
      </c>
      <c r="H2294" s="6" t="s">
        <v>55</v>
      </c>
      <c r="I2294" s="6" t="s">
        <v>7566</v>
      </c>
      <c r="J2294" s="6" t="s">
        <v>91</v>
      </c>
      <c r="K2294" s="9" t="str">
        <f>HYPERLINK("https://media.licdn.com/dms/image/v2/D5610AQHtT-BpHIdKlQ/image-shrink_1280/B56Z9Mv_AuGQAc-/0/1783699075522/StaticB_1_1png?e=2147483647&amp;v=beta&amp;t=VVED26XSFFiKyG6WnQSnhBql3EltELrjof_2fGTA4Ok","Open Creative")</f>
        <v>Open Creative</v>
      </c>
      <c r="L2294" s="6" t="s">
        <v>131</v>
      </c>
      <c r="M2294" s="6" t="s">
        <v>7537</v>
      </c>
      <c r="N2294" s="6" t="s">
        <v>132</v>
      </c>
      <c r="O2294" s="36" t="s">
        <v>132</v>
      </c>
      <c r="P2294" s="36">
        <v>1.497732456E9</v>
      </c>
      <c r="Q2294" s="36" t="s">
        <v>7541</v>
      </c>
      <c r="R2294" s="6" t="s">
        <v>7542</v>
      </c>
    </row>
    <row r="2295">
      <c r="A2295" s="6" t="s">
        <v>7537</v>
      </c>
      <c r="B2295" s="6" t="s">
        <v>7537</v>
      </c>
      <c r="C2295" s="6">
        <v>686.0</v>
      </c>
      <c r="D2295" s="9" t="str">
        <f>HYPERLINK("https://www.linkedin.com/ad-library/detail/1497674456","Open Ad")</f>
        <v>Open Ad</v>
      </c>
      <c r="E2295" s="6" t="s">
        <v>91</v>
      </c>
      <c r="F2295" s="6" t="s">
        <v>53</v>
      </c>
      <c r="G2295" s="6" t="s">
        <v>7606</v>
      </c>
      <c r="H2295" s="6" t="s">
        <v>55</v>
      </c>
      <c r="I2295" s="6" t="s">
        <v>7566</v>
      </c>
      <c r="J2295" s="6" t="s">
        <v>91</v>
      </c>
      <c r="K2295" s="9" t="str">
        <f>HYPERLINK("https://media.licdn.com/dms/image/v2/D5610AQHEvvijYsI_tQ/image-shrink_1280/B56Z9Mvp9QHUAc-/0/1783698989137/StaticA_1_1png?e=2147483647&amp;v=beta&amp;t=MTZtkJ7l5gqylxrRaIdNRy7LYGh-h4daLFiI3M0fauw","Open Creative")</f>
        <v>Open Creative</v>
      </c>
      <c r="L2295" s="6" t="s">
        <v>131</v>
      </c>
      <c r="M2295" s="6" t="s">
        <v>7537</v>
      </c>
      <c r="N2295" s="6" t="s">
        <v>132</v>
      </c>
      <c r="O2295" s="36" t="s">
        <v>132</v>
      </c>
      <c r="P2295" s="36">
        <v>1.497674456E9</v>
      </c>
      <c r="Q2295" s="36" t="s">
        <v>7541</v>
      </c>
      <c r="R2295" s="6" t="s">
        <v>7542</v>
      </c>
    </row>
    <row r="2296">
      <c r="A2296" s="6" t="s">
        <v>7537</v>
      </c>
      <c r="B2296" s="6" t="s">
        <v>7537</v>
      </c>
      <c r="C2296" s="6">
        <v>687.0</v>
      </c>
      <c r="D2296" s="9" t="str">
        <f>HYPERLINK("https://www.linkedin.com/ad-library/detail/1497840216","Open Ad")</f>
        <v>Open Ad</v>
      </c>
      <c r="E2296" s="6" t="s">
        <v>154</v>
      </c>
      <c r="F2296" s="6" t="s">
        <v>53</v>
      </c>
      <c r="G2296" s="6" t="s">
        <v>7606</v>
      </c>
      <c r="H2296" s="6" t="s">
        <v>55</v>
      </c>
      <c r="I2296" s="6" t="s">
        <v>7566</v>
      </c>
      <c r="J2296" s="6" t="s">
        <v>154</v>
      </c>
      <c r="K2296" s="9" t="str">
        <f>HYPERLINK("https://dms.licdn.com/playlist/vid/v2/D5610AQHAC-6rkD2EcQ/mp4-720p-30fp-crf28/B56Z9M0IthG0CE-/0/1783700165654?e=2147483647&amp;v=beta&amp;t=IRp-d5Zc0ABShKpd1S3EP4MXYHD5JYVSGD17gLNqDe8","Open Creative")</f>
        <v>Open Creative</v>
      </c>
      <c r="L2296" s="6" t="s">
        <v>131</v>
      </c>
      <c r="M2296" s="6" t="s">
        <v>7537</v>
      </c>
      <c r="N2296" s="6" t="s">
        <v>132</v>
      </c>
      <c r="O2296" s="36" t="s">
        <v>132</v>
      </c>
      <c r="P2296" s="36">
        <v>1.497840216E9</v>
      </c>
      <c r="Q2296" s="36" t="s">
        <v>7541</v>
      </c>
      <c r="R2296" s="6" t="s">
        <v>7542</v>
      </c>
    </row>
    <row r="2297">
      <c r="A2297" s="6" t="s">
        <v>7537</v>
      </c>
      <c r="B2297" s="6" t="s">
        <v>7537</v>
      </c>
      <c r="C2297" s="6">
        <v>688.0</v>
      </c>
      <c r="D2297" s="9" t="str">
        <f>HYPERLINK("https://www.linkedin.com/ad-library/detail/1498779936","Open Ad")</f>
        <v>Open Ad</v>
      </c>
      <c r="E2297" s="6" t="s">
        <v>154</v>
      </c>
      <c r="F2297" s="6" t="s">
        <v>53</v>
      </c>
      <c r="G2297" s="6" t="s">
        <v>7644</v>
      </c>
      <c r="H2297" s="6" t="s">
        <v>55</v>
      </c>
      <c r="I2297" s="6" t="s">
        <v>7566</v>
      </c>
      <c r="J2297" s="6" t="s">
        <v>154</v>
      </c>
      <c r="K2297" s="9" t="str">
        <f>HYPERLINK("https://dms.licdn.com/playlist/vid/v2/D4E10AQFvAgWztv-5Uw/mp4-640p-30fp-crf28/B4EZ5LQGtKJ0BI-/0/1779378998766?e=2147483647&amp;v=beta&amp;t=_8bKLKhlOLLcnEfsCY9wk5B2yEE3QM48LsyZd6MkCAQ","Open Creative")</f>
        <v>Open Creative</v>
      </c>
      <c r="L2297" s="6" t="s">
        <v>131</v>
      </c>
      <c r="M2297" s="6" t="s">
        <v>7537</v>
      </c>
      <c r="N2297" s="6" t="s">
        <v>132</v>
      </c>
      <c r="O2297" s="36" t="s">
        <v>132</v>
      </c>
      <c r="P2297" s="36">
        <v>1.498779936E9</v>
      </c>
      <c r="Q2297" s="36" t="s">
        <v>7541</v>
      </c>
      <c r="R2297" s="6" t="s">
        <v>7542</v>
      </c>
    </row>
    <row r="2298">
      <c r="A2298" s="6" t="s">
        <v>7537</v>
      </c>
      <c r="B2298" s="6" t="s">
        <v>7537</v>
      </c>
      <c r="C2298" s="6">
        <v>689.0</v>
      </c>
      <c r="D2298" s="9" t="str">
        <f>HYPERLINK("https://www.linkedin.com/ad-library/detail/1497733266","Open Ad")</f>
        <v>Open Ad</v>
      </c>
      <c r="E2298" s="6" t="s">
        <v>154</v>
      </c>
      <c r="F2298" s="6" t="s">
        <v>53</v>
      </c>
      <c r="G2298" s="6" t="s">
        <v>7606</v>
      </c>
      <c r="H2298" s="6" t="s">
        <v>55</v>
      </c>
      <c r="I2298" s="6" t="s">
        <v>7566</v>
      </c>
      <c r="J2298" s="6" t="s">
        <v>154</v>
      </c>
      <c r="K2298" s="9" t="str">
        <f t="shared" ref="K2298:K2299" si="65">HYPERLINK("https://dms.licdn.com/playlist/vid/v2/D5610AQEtQfuXDVOiXg/progressive-servable-video/B56Z9Mz00yIUAg-/0/1783700082646?e=2147483647&amp;v=beta&amp;t=wyK6PvsqvmZIB_2t2o5kOQbhGwkPTdZDU9WzVACYGRY","Open Creative")</f>
        <v>Open Creative</v>
      </c>
      <c r="L2298" s="6" t="s">
        <v>131</v>
      </c>
      <c r="M2298" s="6" t="s">
        <v>7537</v>
      </c>
      <c r="N2298" s="6" t="s">
        <v>132</v>
      </c>
      <c r="O2298" s="36" t="s">
        <v>132</v>
      </c>
      <c r="P2298" s="36">
        <v>1.497733266E9</v>
      </c>
      <c r="Q2298" s="36" t="s">
        <v>7541</v>
      </c>
      <c r="R2298" s="6" t="s">
        <v>7542</v>
      </c>
    </row>
    <row r="2299">
      <c r="A2299" s="6" t="s">
        <v>7537</v>
      </c>
      <c r="B2299" s="6" t="s">
        <v>7537</v>
      </c>
      <c r="C2299" s="6">
        <v>690.0</v>
      </c>
      <c r="D2299" s="9" t="str">
        <f>HYPERLINK("https://www.linkedin.com/ad-library/detail/1497618796","Open Ad")</f>
        <v>Open Ad</v>
      </c>
      <c r="E2299" s="6" t="s">
        <v>154</v>
      </c>
      <c r="F2299" s="6" t="s">
        <v>53</v>
      </c>
      <c r="G2299" s="6" t="s">
        <v>7606</v>
      </c>
      <c r="H2299" s="6" t="s">
        <v>55</v>
      </c>
      <c r="I2299" s="6" t="s">
        <v>7566</v>
      </c>
      <c r="J2299" s="6" t="s">
        <v>154</v>
      </c>
      <c r="K2299" s="9" t="str">
        <f t="shared" si="65"/>
        <v>Open Creative</v>
      </c>
      <c r="L2299" s="6" t="s">
        <v>131</v>
      </c>
      <c r="M2299" s="6" t="s">
        <v>7537</v>
      </c>
      <c r="N2299" s="6" t="s">
        <v>132</v>
      </c>
      <c r="O2299" s="36" t="s">
        <v>132</v>
      </c>
      <c r="P2299" s="36">
        <v>1.497618796E9</v>
      </c>
      <c r="Q2299" s="36" t="s">
        <v>7541</v>
      </c>
      <c r="R2299" s="6" t="s">
        <v>7542</v>
      </c>
    </row>
    <row r="2300">
      <c r="A2300" s="6" t="s">
        <v>7537</v>
      </c>
      <c r="B2300" s="6" t="s">
        <v>7537</v>
      </c>
      <c r="C2300" s="6">
        <v>691.0</v>
      </c>
      <c r="D2300" s="9" t="str">
        <f>HYPERLINK("https://www.linkedin.com/ad-library/detail/1498519576","Open Ad")</f>
        <v>Open Ad</v>
      </c>
      <c r="E2300" s="6" t="s">
        <v>154</v>
      </c>
      <c r="F2300" s="6" t="s">
        <v>53</v>
      </c>
      <c r="G2300" s="6" t="s">
        <v>7581</v>
      </c>
      <c r="H2300" s="6" t="s">
        <v>55</v>
      </c>
      <c r="I2300" s="6" t="s">
        <v>7566</v>
      </c>
      <c r="J2300" s="6" t="s">
        <v>154</v>
      </c>
      <c r="K2300" s="9" t="str">
        <f>HYPERLINK("https://dms.licdn.com/playlist/vid/v2/D4E10AQFbU42CgG1Z7g/mp4-720p-30fp-crf28/B4EZ6E1cjuIkBk-/0/1780345071320?e=2147483647&amp;v=beta&amp;t=lm4Raasi9Hn2k_Jca5TAGdFZZmL4wlksoW4hHU6e3XU","Open Creative")</f>
        <v>Open Creative</v>
      </c>
      <c r="L2300" s="6" t="s">
        <v>131</v>
      </c>
      <c r="M2300" s="6" t="s">
        <v>7537</v>
      </c>
      <c r="N2300" s="6" t="s">
        <v>132</v>
      </c>
      <c r="O2300" s="36" t="s">
        <v>132</v>
      </c>
      <c r="P2300" s="36">
        <v>1.498519576E9</v>
      </c>
      <c r="Q2300" s="36" t="s">
        <v>7541</v>
      </c>
      <c r="R2300" s="6" t="s">
        <v>7542</v>
      </c>
    </row>
    <row r="2301">
      <c r="A2301" s="6" t="s">
        <v>7537</v>
      </c>
      <c r="B2301" s="6" t="s">
        <v>7537</v>
      </c>
      <c r="C2301" s="6">
        <v>692.0</v>
      </c>
      <c r="D2301" s="9" t="str">
        <f>HYPERLINK("https://www.linkedin.com/ad-library/detail/1497664936","Open Ad")</f>
        <v>Open Ad</v>
      </c>
      <c r="E2301" s="6" t="s">
        <v>154</v>
      </c>
      <c r="F2301" s="6" t="s">
        <v>53</v>
      </c>
      <c r="G2301" s="6" t="s">
        <v>7605</v>
      </c>
      <c r="H2301" s="6" t="s">
        <v>55</v>
      </c>
      <c r="I2301" s="6" t="s">
        <v>7566</v>
      </c>
      <c r="J2301" s="6" t="s">
        <v>154</v>
      </c>
      <c r="K2301" s="9" t="str">
        <f>HYPERLINK("https://dms.licdn.com/playlist/vid/v2/D5610AQEtQfuXDVOiXg/progressive-servable-video/B56Z9Mz00yIUAg-/0/1783700082646?e=2147483647&amp;v=beta&amp;t=wyK6PvsqvmZIB_2t2o5kOQbhGwkPTdZDU9WzVACYGRY","Open Creative")</f>
        <v>Open Creative</v>
      </c>
      <c r="L2301" s="6" t="s">
        <v>131</v>
      </c>
      <c r="M2301" s="6" t="s">
        <v>7537</v>
      </c>
      <c r="N2301" s="6" t="s">
        <v>132</v>
      </c>
      <c r="O2301" s="36" t="s">
        <v>132</v>
      </c>
      <c r="P2301" s="36">
        <v>1.497664936E9</v>
      </c>
      <c r="Q2301" s="36" t="s">
        <v>7541</v>
      </c>
      <c r="R2301" s="6" t="s">
        <v>7542</v>
      </c>
    </row>
    <row r="2302">
      <c r="A2302" s="6" t="s">
        <v>7537</v>
      </c>
      <c r="B2302" s="6" t="s">
        <v>7537</v>
      </c>
      <c r="C2302" s="6">
        <v>693.0</v>
      </c>
      <c r="D2302" s="9" t="str">
        <f>HYPERLINK("https://www.linkedin.com/ad-library/detail/1497645616","Open Ad")</f>
        <v>Open Ad</v>
      </c>
      <c r="E2302" s="6" t="s">
        <v>91</v>
      </c>
      <c r="F2302" s="6" t="s">
        <v>53</v>
      </c>
      <c r="G2302" s="6" t="s">
        <v>7605</v>
      </c>
      <c r="H2302" s="6" t="s">
        <v>55</v>
      </c>
      <c r="I2302" s="6" t="s">
        <v>7566</v>
      </c>
      <c r="J2302" s="6" t="s">
        <v>91</v>
      </c>
      <c r="K2302" s="9" t="str">
        <f>HYPERLINK("https://media.licdn.com/dms/image/v2/D5610AQHtT-BpHIdKlQ/image-shrink_1280/B56Z9Mv_AuGQAc-/0/1783699075522/StaticB_1_1png?e=2147483647&amp;v=beta&amp;t=VVED26XSFFiKyG6WnQSnhBql3EltELrjof_2fGTA4Ok","Open Creative")</f>
        <v>Open Creative</v>
      </c>
      <c r="L2302" s="6" t="s">
        <v>131</v>
      </c>
      <c r="M2302" s="6" t="s">
        <v>7537</v>
      </c>
      <c r="N2302" s="6" t="s">
        <v>132</v>
      </c>
      <c r="O2302" s="36" t="s">
        <v>132</v>
      </c>
      <c r="P2302" s="36">
        <v>1.497645616E9</v>
      </c>
      <c r="Q2302" s="36" t="s">
        <v>7541</v>
      </c>
      <c r="R2302" s="6" t="s">
        <v>7542</v>
      </c>
    </row>
    <row r="2303">
      <c r="A2303" s="6" t="s">
        <v>7537</v>
      </c>
      <c r="B2303" s="6" t="s">
        <v>7537</v>
      </c>
      <c r="C2303" s="6">
        <v>694.0</v>
      </c>
      <c r="D2303" s="9" t="str">
        <f>HYPERLINK("https://www.linkedin.com/ad-library/detail/1497821056","Open Ad")</f>
        <v>Open Ad</v>
      </c>
      <c r="E2303" s="6" t="s">
        <v>154</v>
      </c>
      <c r="F2303" s="6" t="s">
        <v>53</v>
      </c>
      <c r="G2303" s="6" t="s">
        <v>7605</v>
      </c>
      <c r="H2303" s="6" t="s">
        <v>55</v>
      </c>
      <c r="I2303" s="6" t="s">
        <v>7566</v>
      </c>
      <c r="J2303" s="6" t="s">
        <v>154</v>
      </c>
      <c r="K2303" s="9" t="str">
        <f>HYPERLINK("https://dms.licdn.com/playlist/vid/v2/D5610AQHAC-6rkD2EcQ/mp4-720p-30fp-crf28/B56Z9M0IthG0CE-/0/1783700165654?e=2147483647&amp;v=beta&amp;t=IRp-d5Zc0ABShKpd1S3EP4MXYHD5JYVSGD17gLNqDe8","Open Creative")</f>
        <v>Open Creative</v>
      </c>
      <c r="L2303" s="6" t="s">
        <v>131</v>
      </c>
      <c r="M2303" s="6" t="s">
        <v>7537</v>
      </c>
      <c r="N2303" s="6" t="s">
        <v>132</v>
      </c>
      <c r="O2303" s="36" t="s">
        <v>132</v>
      </c>
      <c r="P2303" s="36">
        <v>1.497821056E9</v>
      </c>
      <c r="Q2303" s="36" t="s">
        <v>7541</v>
      </c>
      <c r="R2303" s="6" t="s">
        <v>7542</v>
      </c>
    </row>
    <row r="2304">
      <c r="A2304" s="6" t="s">
        <v>7537</v>
      </c>
      <c r="B2304" s="6" t="s">
        <v>7537</v>
      </c>
      <c r="C2304" s="6">
        <v>695.0</v>
      </c>
      <c r="D2304" s="9" t="str">
        <f>HYPERLINK("https://www.linkedin.com/ad-library/detail/1497791506","Open Ad")</f>
        <v>Open Ad</v>
      </c>
      <c r="E2304" s="6" t="s">
        <v>154</v>
      </c>
      <c r="F2304" s="6" t="s">
        <v>53</v>
      </c>
      <c r="G2304" s="6" t="s">
        <v>7605</v>
      </c>
      <c r="H2304" s="6" t="s">
        <v>55</v>
      </c>
      <c r="I2304" s="6" t="s">
        <v>7566</v>
      </c>
      <c r="J2304" s="6" t="s">
        <v>154</v>
      </c>
      <c r="K2304" s="9" t="str">
        <f>HYPERLINK("https://dms.licdn.com/playlist/vid/v2/D5610AQEtQfuXDVOiXg/progressive-servable-video/B56Z9Mz00yIUAg-/0/1783700082646?e=2147483647&amp;v=beta&amp;t=wyK6PvsqvmZIB_2t2o5kOQbhGwkPTdZDU9WzVACYGRY","Open Creative")</f>
        <v>Open Creative</v>
      </c>
      <c r="L2304" s="6" t="s">
        <v>131</v>
      </c>
      <c r="M2304" s="6" t="s">
        <v>7537</v>
      </c>
      <c r="N2304" s="6" t="s">
        <v>132</v>
      </c>
      <c r="O2304" s="36" t="s">
        <v>132</v>
      </c>
      <c r="P2304" s="36">
        <v>1.497791506E9</v>
      </c>
      <c r="Q2304" s="36" t="s">
        <v>7541</v>
      </c>
      <c r="R2304" s="6" t="s">
        <v>7542</v>
      </c>
    </row>
    <row r="2305">
      <c r="A2305" s="6" t="s">
        <v>7537</v>
      </c>
      <c r="B2305" s="6" t="s">
        <v>7537</v>
      </c>
      <c r="C2305" s="6">
        <v>696.0</v>
      </c>
      <c r="D2305" s="9" t="str">
        <f>HYPERLINK("https://www.linkedin.com/ad-library/detail/1497638196","Open Ad")</f>
        <v>Open Ad</v>
      </c>
      <c r="E2305" s="6" t="s">
        <v>154</v>
      </c>
      <c r="F2305" s="6" t="s">
        <v>53</v>
      </c>
      <c r="G2305" s="6" t="s">
        <v>7605</v>
      </c>
      <c r="H2305" s="6" t="s">
        <v>55</v>
      </c>
      <c r="I2305" s="6" t="s">
        <v>7566</v>
      </c>
      <c r="J2305" s="6" t="s">
        <v>154</v>
      </c>
      <c r="K2305" s="9" t="str">
        <f>HYPERLINK("https://dms.licdn.com/playlist/vid/v2/D5610AQHAC-6rkD2EcQ/mp4-720p-30fp-crf28/B56Z9M0IthG0CE-/0/1783700165654?e=2147483647&amp;v=beta&amp;t=IRp-d5Zc0ABShKpd1S3EP4MXYHD5JYVSGD17gLNqDe8","Open Creative")</f>
        <v>Open Creative</v>
      </c>
      <c r="L2305" s="6" t="s">
        <v>131</v>
      </c>
      <c r="M2305" s="6" t="s">
        <v>7537</v>
      </c>
      <c r="N2305" s="6" t="s">
        <v>132</v>
      </c>
      <c r="O2305" s="36" t="s">
        <v>132</v>
      </c>
      <c r="P2305" s="36">
        <v>1.497638196E9</v>
      </c>
      <c r="Q2305" s="36" t="s">
        <v>7541</v>
      </c>
      <c r="R2305" s="6" t="s">
        <v>7542</v>
      </c>
    </row>
    <row r="2306">
      <c r="A2306" s="6" t="s">
        <v>7537</v>
      </c>
      <c r="B2306" s="6" t="s">
        <v>7537</v>
      </c>
      <c r="C2306" s="6">
        <v>697.0</v>
      </c>
      <c r="D2306" s="9" t="str">
        <f>HYPERLINK("https://www.linkedin.com/ad-library/detail/1497468476","Open Ad")</f>
        <v>Open Ad</v>
      </c>
      <c r="E2306" s="6" t="s">
        <v>91</v>
      </c>
      <c r="F2306" s="6" t="s">
        <v>53</v>
      </c>
      <c r="G2306" s="6" t="s">
        <v>7603</v>
      </c>
      <c r="H2306" s="6" t="s">
        <v>55</v>
      </c>
      <c r="I2306" s="6" t="s">
        <v>7566</v>
      </c>
      <c r="J2306" s="6" t="s">
        <v>91</v>
      </c>
      <c r="K2306" s="9" t="str">
        <f>HYPERLINK("https://media.licdn.com/dms/image/v2/D5610AQGeqnWAUh7epw/image-shrink_1280/B56Z9JWXKUJoAc-/0/1783642026908/StaticA_1_1png?e=2147483647&amp;v=beta&amp;t=VtoLRIIvB_6SmNkFagK7x5k7ozf_O0g25FDHr-3O0Cg","Open Creative")</f>
        <v>Open Creative</v>
      </c>
      <c r="L2306" s="6" t="s">
        <v>131</v>
      </c>
      <c r="M2306" s="6" t="s">
        <v>7537</v>
      </c>
      <c r="N2306" s="6" t="s">
        <v>132</v>
      </c>
      <c r="O2306" s="36" t="s">
        <v>132</v>
      </c>
      <c r="P2306" s="36">
        <v>1.497468476E9</v>
      </c>
      <c r="Q2306" s="36" t="s">
        <v>7541</v>
      </c>
      <c r="R2306" s="6" t="s">
        <v>7542</v>
      </c>
    </row>
    <row r="2307">
      <c r="A2307" s="6" t="s">
        <v>7537</v>
      </c>
      <c r="B2307" s="6" t="s">
        <v>7537</v>
      </c>
      <c r="C2307" s="6">
        <v>698.0</v>
      </c>
      <c r="D2307" s="9" t="str">
        <f>HYPERLINK("https://www.linkedin.com/ad-library/detail/1497531426","Open Ad")</f>
        <v>Open Ad</v>
      </c>
      <c r="E2307" s="6" t="s">
        <v>91</v>
      </c>
      <c r="F2307" s="6" t="s">
        <v>53</v>
      </c>
      <c r="G2307" s="6" t="s">
        <v>7621</v>
      </c>
      <c r="H2307" s="6" t="s">
        <v>55</v>
      </c>
      <c r="I2307" s="6" t="s">
        <v>7566</v>
      </c>
      <c r="J2307" s="6" t="s">
        <v>91</v>
      </c>
      <c r="K2307" s="9" t="str">
        <f>HYPERLINK("https://media.licdn.com/dms/image/v2/D5622AQFPvdKJ2rZGuA/feedshare-shrink_1280/B56Z9DGJizKgAM-/0/1783537114110?e=2147483647&amp;v=beta&amp;t=ibPphT7d-IkefsLLj8zjUziebSWt3eeZJVoLfHU82Kg","Open Creative")</f>
        <v>Open Creative</v>
      </c>
      <c r="L2307" s="6" t="s">
        <v>131</v>
      </c>
      <c r="M2307" s="6" t="s">
        <v>7537</v>
      </c>
      <c r="N2307" s="6" t="s">
        <v>132</v>
      </c>
      <c r="O2307" s="36" t="s">
        <v>132</v>
      </c>
      <c r="P2307" s="36">
        <v>1.497531426E9</v>
      </c>
      <c r="Q2307" s="36" t="s">
        <v>7541</v>
      </c>
      <c r="R2307" s="6" t="s">
        <v>7542</v>
      </c>
    </row>
    <row r="2308">
      <c r="A2308" s="6" t="s">
        <v>7537</v>
      </c>
      <c r="B2308" s="6" t="s">
        <v>7537</v>
      </c>
      <c r="C2308" s="6">
        <v>699.0</v>
      </c>
      <c r="D2308" s="9" t="str">
        <f>HYPERLINK("https://www.linkedin.com/ad-library/detail/1493954416","Open Ad")</f>
        <v>Open Ad</v>
      </c>
      <c r="E2308" s="6" t="s">
        <v>91</v>
      </c>
      <c r="F2308" s="6" t="s">
        <v>53</v>
      </c>
      <c r="G2308" s="6" t="s">
        <v>7648</v>
      </c>
      <c r="H2308" s="6" t="s">
        <v>55</v>
      </c>
      <c r="I2308" s="6" t="s">
        <v>7566</v>
      </c>
      <c r="J2308" s="6" t="s">
        <v>91</v>
      </c>
      <c r="K2308" s="9" t="str">
        <f>HYPERLINK("https://media.licdn.com/dms/image/v2/D5622AQEyWmxDtBsI-A/feedshare-shrink_1280/B56Z84mCfvG4AM-/0/1783360925115?e=2147483647&amp;v=beta&amp;t=1c8ZwHdCiWcC3tPm0-oI1DcR9hvnGwRBtogB-swWYhQ","Open Creative")</f>
        <v>Open Creative</v>
      </c>
      <c r="L2308" s="6" t="s">
        <v>131</v>
      </c>
      <c r="M2308" s="6" t="s">
        <v>7537</v>
      </c>
      <c r="N2308" s="6" t="s">
        <v>132</v>
      </c>
      <c r="O2308" s="36" t="s">
        <v>132</v>
      </c>
      <c r="P2308" s="36">
        <v>1.493954416E9</v>
      </c>
      <c r="Q2308" s="36" t="s">
        <v>7541</v>
      </c>
      <c r="R2308" s="6" t="s">
        <v>7542</v>
      </c>
    </row>
    <row r="2309">
      <c r="A2309" s="6" t="s">
        <v>7537</v>
      </c>
      <c r="B2309" s="6" t="s">
        <v>7537</v>
      </c>
      <c r="C2309" s="6">
        <v>700.0</v>
      </c>
      <c r="D2309" s="9" t="str">
        <f>HYPERLINK("https://www.linkedin.com/ad-library/detail/1497526576","Open Ad")</f>
        <v>Open Ad</v>
      </c>
      <c r="E2309" s="6" t="s">
        <v>91</v>
      </c>
      <c r="F2309" s="6" t="s">
        <v>53</v>
      </c>
      <c r="G2309" s="6" t="s">
        <v>7603</v>
      </c>
      <c r="H2309" s="6" t="s">
        <v>55</v>
      </c>
      <c r="I2309" s="6" t="s">
        <v>7566</v>
      </c>
      <c r="J2309" s="6" t="s">
        <v>91</v>
      </c>
      <c r="K2309" s="9" t="str">
        <f>HYPERLINK("https://media.licdn.com/dms/image/v2/D5610AQGeqnWAUh7epw/image-shrink_1280/B56Z9JWXKUJoAc-/0/1783642026908/StaticA_1_1png?e=2147483647&amp;v=beta&amp;t=VtoLRIIvB_6SmNkFagK7x5k7ozf_O0g25FDHr-3O0Cg","Open Creative")</f>
        <v>Open Creative</v>
      </c>
      <c r="L2309" s="6" t="s">
        <v>131</v>
      </c>
      <c r="M2309" s="6" t="s">
        <v>7537</v>
      </c>
      <c r="N2309" s="6" t="s">
        <v>132</v>
      </c>
      <c r="O2309" s="36" t="s">
        <v>132</v>
      </c>
      <c r="P2309" s="36">
        <v>1.497526576E9</v>
      </c>
      <c r="Q2309" s="36" t="s">
        <v>7541</v>
      </c>
      <c r="R2309" s="6" t="s">
        <v>7542</v>
      </c>
    </row>
    <row r="2310">
      <c r="A2310" s="6" t="s">
        <v>7537</v>
      </c>
      <c r="B2310" s="6" t="s">
        <v>7537</v>
      </c>
      <c r="C2310" s="6">
        <v>701.0</v>
      </c>
      <c r="D2310" s="9" t="str">
        <f>HYPERLINK("https://www.linkedin.com/ad-library/detail/1494080456","Open Ad")</f>
        <v>Open Ad</v>
      </c>
      <c r="E2310" s="6" t="s">
        <v>91</v>
      </c>
      <c r="F2310" s="6" t="s">
        <v>53</v>
      </c>
      <c r="G2310" s="6" t="s">
        <v>7648</v>
      </c>
      <c r="H2310" s="6" t="s">
        <v>55</v>
      </c>
      <c r="I2310" s="6" t="s">
        <v>7566</v>
      </c>
      <c r="J2310" s="6" t="s">
        <v>91</v>
      </c>
      <c r="K2310" s="9" t="str">
        <f>HYPERLINK("https://media.licdn.com/dms/image/v2/D5622AQEyWmxDtBsI-A/feedshare-shrink_1280/B56Z84mCfvG4AM-/0/1783360925115?e=2147483647&amp;v=beta&amp;t=1c8ZwHdCiWcC3tPm0-oI1DcR9hvnGwRBtogB-swWYhQ","Open Creative")</f>
        <v>Open Creative</v>
      </c>
      <c r="L2310" s="6" t="s">
        <v>131</v>
      </c>
      <c r="M2310" s="6" t="s">
        <v>7537</v>
      </c>
      <c r="N2310" s="6" t="s">
        <v>132</v>
      </c>
      <c r="O2310" s="36" t="s">
        <v>132</v>
      </c>
      <c r="P2310" s="36">
        <v>1.494080456E9</v>
      </c>
      <c r="Q2310" s="36" t="s">
        <v>7541</v>
      </c>
      <c r="R2310" s="6" t="s">
        <v>7542</v>
      </c>
    </row>
    <row r="2311">
      <c r="A2311" s="6" t="s">
        <v>7537</v>
      </c>
      <c r="B2311" s="6" t="s">
        <v>7537</v>
      </c>
      <c r="C2311" s="6">
        <v>702.0</v>
      </c>
      <c r="D2311" s="9" t="str">
        <f>HYPERLINK("https://www.linkedin.com/ad-library/detail/1497604166","Open Ad")</f>
        <v>Open Ad</v>
      </c>
      <c r="E2311" s="6" t="s">
        <v>91</v>
      </c>
      <c r="F2311" s="6" t="s">
        <v>53</v>
      </c>
      <c r="G2311" s="6" t="s">
        <v>7602</v>
      </c>
      <c r="H2311" s="6" t="s">
        <v>55</v>
      </c>
      <c r="I2311" s="6" t="s">
        <v>7566</v>
      </c>
      <c r="J2311" s="6" t="s">
        <v>91</v>
      </c>
      <c r="K2311" s="9" t="str">
        <f>HYPERLINK("https://media.licdn.com/dms/image/v2/D5610AQGeqnWAUh7epw/image-shrink_1280/B56Z9JWXKUJoAc-/0/1783642026908/StaticA_1_1png?e=2147483647&amp;v=beta&amp;t=VtoLRIIvB_6SmNkFagK7x5k7ozf_O0g25FDHr-3O0Cg","Open Creative")</f>
        <v>Open Creative</v>
      </c>
      <c r="L2311" s="6" t="s">
        <v>131</v>
      </c>
      <c r="M2311" s="6" t="s">
        <v>7537</v>
      </c>
      <c r="N2311" s="6" t="s">
        <v>132</v>
      </c>
      <c r="O2311" s="36" t="s">
        <v>132</v>
      </c>
      <c r="P2311" s="36">
        <v>1.497604166E9</v>
      </c>
      <c r="Q2311" s="36" t="s">
        <v>7541</v>
      </c>
      <c r="R2311" s="6" t="s">
        <v>7542</v>
      </c>
    </row>
    <row r="2312">
      <c r="A2312" s="6" t="s">
        <v>7537</v>
      </c>
      <c r="B2312" s="6" t="s">
        <v>7537</v>
      </c>
      <c r="C2312" s="6">
        <v>703.0</v>
      </c>
      <c r="D2312" s="9" t="str">
        <f>HYPERLINK("https://www.linkedin.com/ad-library/detail/1497771396","Open Ad")</f>
        <v>Open Ad</v>
      </c>
      <c r="E2312" s="6" t="s">
        <v>91</v>
      </c>
      <c r="F2312" s="6" t="s">
        <v>53</v>
      </c>
      <c r="G2312" s="6" t="s">
        <v>7605</v>
      </c>
      <c r="H2312" s="6" t="s">
        <v>55</v>
      </c>
      <c r="I2312" s="6" t="s">
        <v>7566</v>
      </c>
      <c r="J2312" s="6" t="s">
        <v>91</v>
      </c>
      <c r="K2312" s="9" t="str">
        <f t="shared" ref="K2312:K2313" si="66">HYPERLINK("https://media.licdn.com/dms/image/v2/D5610AQHEvvijYsI_tQ/image-shrink_1280/B56Z9Mvp9QHUAc-/0/1783698989137/StaticA_1_1png?e=2147483647&amp;v=beta&amp;t=MTZtkJ7l5gqylxrRaIdNRy7LYGh-h4daLFiI3M0fauw","Open Creative")</f>
        <v>Open Creative</v>
      </c>
      <c r="L2312" s="6" t="s">
        <v>131</v>
      </c>
      <c r="M2312" s="6" t="s">
        <v>7537</v>
      </c>
      <c r="N2312" s="6" t="s">
        <v>132</v>
      </c>
      <c r="O2312" s="36" t="s">
        <v>132</v>
      </c>
      <c r="P2312" s="36">
        <v>1.497771396E9</v>
      </c>
      <c r="Q2312" s="36" t="s">
        <v>7541</v>
      </c>
      <c r="R2312" s="6" t="s">
        <v>7542</v>
      </c>
    </row>
    <row r="2313">
      <c r="A2313" s="6" t="s">
        <v>7537</v>
      </c>
      <c r="B2313" s="6" t="s">
        <v>7537</v>
      </c>
      <c r="C2313" s="6">
        <v>704.0</v>
      </c>
      <c r="D2313" s="9" t="str">
        <f>HYPERLINK("https://www.linkedin.com/ad-library/detail/1497800836","Open Ad")</f>
        <v>Open Ad</v>
      </c>
      <c r="E2313" s="6" t="s">
        <v>91</v>
      </c>
      <c r="F2313" s="6" t="s">
        <v>53</v>
      </c>
      <c r="G2313" s="6" t="s">
        <v>7606</v>
      </c>
      <c r="H2313" s="6" t="s">
        <v>55</v>
      </c>
      <c r="I2313" s="6" t="s">
        <v>7566</v>
      </c>
      <c r="J2313" s="6" t="s">
        <v>91</v>
      </c>
      <c r="K2313" s="9" t="str">
        <f t="shared" si="66"/>
        <v>Open Creative</v>
      </c>
      <c r="L2313" s="6" t="s">
        <v>131</v>
      </c>
      <c r="M2313" s="6" t="s">
        <v>7537</v>
      </c>
      <c r="N2313" s="6" t="s">
        <v>132</v>
      </c>
      <c r="O2313" s="36" t="s">
        <v>132</v>
      </c>
      <c r="P2313" s="36">
        <v>1.497800836E9</v>
      </c>
      <c r="Q2313" s="36" t="s">
        <v>7541</v>
      </c>
      <c r="R2313" s="6" t="s">
        <v>7542</v>
      </c>
    </row>
    <row r="2314">
      <c r="A2314" s="6" t="s">
        <v>7537</v>
      </c>
      <c r="B2314" s="6" t="s">
        <v>7537</v>
      </c>
      <c r="C2314" s="6">
        <v>705.0</v>
      </c>
      <c r="D2314" s="9" t="str">
        <f>HYPERLINK("https://www.linkedin.com/ad-library/detail/1497810026","Open Ad")</f>
        <v>Open Ad</v>
      </c>
      <c r="E2314" s="6" t="s">
        <v>91</v>
      </c>
      <c r="F2314" s="6" t="s">
        <v>53</v>
      </c>
      <c r="G2314" s="6" t="s">
        <v>7605</v>
      </c>
      <c r="H2314" s="6" t="s">
        <v>55</v>
      </c>
      <c r="I2314" s="6" t="s">
        <v>7566</v>
      </c>
      <c r="J2314" s="6" t="s">
        <v>91</v>
      </c>
      <c r="K2314" s="9" t="str">
        <f>HYPERLINK("https://media.licdn.com/dms/image/v2/D5610AQHtT-BpHIdKlQ/image-shrink_1280/B56Z9Mv_AuGQAc-/0/1783699075522/StaticB_1_1png?e=2147483647&amp;v=beta&amp;t=VVED26XSFFiKyG6WnQSnhBql3EltELrjof_2fGTA4Ok","Open Creative")</f>
        <v>Open Creative</v>
      </c>
      <c r="L2314" s="6" t="s">
        <v>131</v>
      </c>
      <c r="M2314" s="6" t="s">
        <v>7537</v>
      </c>
      <c r="N2314" s="6" t="s">
        <v>132</v>
      </c>
      <c r="O2314" s="36" t="s">
        <v>132</v>
      </c>
      <c r="P2314" s="36">
        <v>1.497810026E9</v>
      </c>
      <c r="Q2314" s="36" t="s">
        <v>7541</v>
      </c>
      <c r="R2314" s="6" t="s">
        <v>7542</v>
      </c>
    </row>
    <row r="2315">
      <c r="A2315" s="6" t="s">
        <v>7537</v>
      </c>
      <c r="B2315" s="6" t="s">
        <v>7537</v>
      </c>
      <c r="C2315" s="6">
        <v>706.0</v>
      </c>
      <c r="D2315" s="9" t="str">
        <f>HYPERLINK("https://www.linkedin.com/ad-library/detail/1497570566","Open Ad")</f>
        <v>Open Ad</v>
      </c>
      <c r="E2315" s="6" t="s">
        <v>91</v>
      </c>
      <c r="F2315" s="6" t="s">
        <v>53</v>
      </c>
      <c r="G2315" s="6" t="s">
        <v>7621</v>
      </c>
      <c r="H2315" s="6" t="s">
        <v>55</v>
      </c>
      <c r="I2315" s="6" t="s">
        <v>7566</v>
      </c>
      <c r="J2315" s="6" t="s">
        <v>91</v>
      </c>
      <c r="K2315" s="9" t="str">
        <f>HYPERLINK("https://media.licdn.com/dms/image/v2/D5622AQFPvdKJ2rZGuA/feedshare-shrink_1280/B56Z9DGJizKgAM-/0/1783537114110?e=2147483647&amp;v=beta&amp;t=ibPphT7d-IkefsLLj8zjUziebSWt3eeZJVoLfHU82Kg","Open Creative")</f>
        <v>Open Creative</v>
      </c>
      <c r="L2315" s="6" t="s">
        <v>131</v>
      </c>
      <c r="M2315" s="6" t="s">
        <v>7537</v>
      </c>
      <c r="N2315" s="6" t="s">
        <v>132</v>
      </c>
      <c r="O2315" s="36" t="s">
        <v>132</v>
      </c>
      <c r="P2315" s="36">
        <v>1.497570566E9</v>
      </c>
      <c r="Q2315" s="36" t="s">
        <v>7541</v>
      </c>
      <c r="R2315" s="6" t="s">
        <v>7542</v>
      </c>
    </row>
    <row r="2316">
      <c r="A2316" s="6" t="s">
        <v>7537</v>
      </c>
      <c r="B2316" s="6" t="s">
        <v>7537</v>
      </c>
      <c r="C2316" s="6">
        <v>707.0</v>
      </c>
      <c r="D2316" s="9" t="str">
        <f>HYPERLINK("https://www.linkedin.com/ad-library/detail/1493944266","Open Ad")</f>
        <v>Open Ad</v>
      </c>
      <c r="E2316" s="6" t="s">
        <v>91</v>
      </c>
      <c r="F2316" s="6" t="s">
        <v>53</v>
      </c>
      <c r="G2316" s="6" t="s">
        <v>7648</v>
      </c>
      <c r="H2316" s="6" t="s">
        <v>55</v>
      </c>
      <c r="I2316" s="6" t="s">
        <v>7566</v>
      </c>
      <c r="J2316" s="6" t="s">
        <v>91</v>
      </c>
      <c r="K2316" s="9" t="str">
        <f>HYPERLINK("https://media.licdn.com/dms/image/v2/D5622AQEyWmxDtBsI-A/feedshare-shrink_1280/B56Z84mCfvG4AM-/0/1783360925115?e=2147483647&amp;v=beta&amp;t=1c8ZwHdCiWcC3tPm0-oI1DcR9hvnGwRBtogB-swWYhQ","Open Creative")</f>
        <v>Open Creative</v>
      </c>
      <c r="L2316" s="6" t="s">
        <v>131</v>
      </c>
      <c r="M2316" s="6" t="s">
        <v>7537</v>
      </c>
      <c r="N2316" s="6" t="s">
        <v>132</v>
      </c>
      <c r="O2316" s="36" t="s">
        <v>132</v>
      </c>
      <c r="P2316" s="36">
        <v>1.493944266E9</v>
      </c>
      <c r="Q2316" s="36" t="s">
        <v>7541</v>
      </c>
      <c r="R2316" s="6" t="s">
        <v>7542</v>
      </c>
    </row>
    <row r="2317">
      <c r="A2317" s="6" t="s">
        <v>7537</v>
      </c>
      <c r="B2317" s="6" t="s">
        <v>7537</v>
      </c>
      <c r="C2317" s="6">
        <v>708.0</v>
      </c>
      <c r="D2317" s="9" t="str">
        <f>HYPERLINK("https://www.linkedin.com/ad-library/detail/1497448576","Open Ad")</f>
        <v>Open Ad</v>
      </c>
      <c r="E2317" s="6" t="s">
        <v>91</v>
      </c>
      <c r="F2317" s="6" t="s">
        <v>53</v>
      </c>
      <c r="G2317" s="6" t="s">
        <v>7602</v>
      </c>
      <c r="H2317" s="6" t="s">
        <v>55</v>
      </c>
      <c r="I2317" s="6" t="s">
        <v>7566</v>
      </c>
      <c r="J2317" s="6" t="s">
        <v>91</v>
      </c>
      <c r="K2317" s="9" t="str">
        <f>HYPERLINK("https://media.licdn.com/dms/image/v2/D5610AQGeqnWAUh7epw/image-shrink_1280/B56Z9JWXKUJoAc-/0/1783642026908/StaticA_1_1png?e=2147483647&amp;v=beta&amp;t=VtoLRIIvB_6SmNkFagK7x5k7ozf_O0g25FDHr-3O0Cg","Open Creative")</f>
        <v>Open Creative</v>
      </c>
      <c r="L2317" s="6" t="s">
        <v>131</v>
      </c>
      <c r="M2317" s="6" t="s">
        <v>7537</v>
      </c>
      <c r="N2317" s="6" t="s">
        <v>132</v>
      </c>
      <c r="O2317" s="36" t="s">
        <v>132</v>
      </c>
      <c r="P2317" s="36">
        <v>1.497448576E9</v>
      </c>
      <c r="Q2317" s="36" t="s">
        <v>7541</v>
      </c>
      <c r="R2317" s="6" t="s">
        <v>7542</v>
      </c>
    </row>
    <row r="2318">
      <c r="A2318" s="6" t="s">
        <v>7537</v>
      </c>
      <c r="B2318" s="6" t="s">
        <v>7537</v>
      </c>
      <c r="C2318" s="6">
        <v>709.0</v>
      </c>
      <c r="D2318" s="9" t="str">
        <f>HYPERLINK("https://www.linkedin.com/ad-library/detail/1497395936","Open Ad")</f>
        <v>Open Ad</v>
      </c>
      <c r="E2318" s="6" t="s">
        <v>91</v>
      </c>
      <c r="F2318" s="6" t="s">
        <v>53</v>
      </c>
      <c r="G2318" s="6" t="s">
        <v>7621</v>
      </c>
      <c r="H2318" s="6" t="s">
        <v>55</v>
      </c>
      <c r="I2318" s="6" t="s">
        <v>7566</v>
      </c>
      <c r="J2318" s="6" t="s">
        <v>91</v>
      </c>
      <c r="K2318" s="9" t="str">
        <f>HYPERLINK("https://media.licdn.com/dms/image/v2/D5622AQFPvdKJ2rZGuA/feedshare-shrink_1280/B56Z9DGJizKgAM-/0/1783537114110?e=2147483647&amp;v=beta&amp;t=ibPphT7d-IkefsLLj8zjUziebSWt3eeZJVoLfHU82Kg","Open Creative")</f>
        <v>Open Creative</v>
      </c>
      <c r="L2318" s="6" t="s">
        <v>131</v>
      </c>
      <c r="M2318" s="6" t="s">
        <v>7537</v>
      </c>
      <c r="N2318" s="6" t="s">
        <v>132</v>
      </c>
      <c r="O2318" s="36" t="s">
        <v>132</v>
      </c>
      <c r="P2318" s="36">
        <v>1.497395936E9</v>
      </c>
      <c r="Q2318" s="36" t="s">
        <v>7541</v>
      </c>
      <c r="R2318" s="6" t="s">
        <v>7542</v>
      </c>
    </row>
    <row r="2319">
      <c r="A2319" s="6" t="s">
        <v>7537</v>
      </c>
      <c r="B2319" s="6" t="s">
        <v>7537</v>
      </c>
      <c r="C2319" s="6">
        <v>710.0</v>
      </c>
      <c r="D2319" s="9" t="str">
        <f>HYPERLINK("https://www.linkedin.com/ad-library/detail/1497742116","Open Ad")</f>
        <v>Open Ad</v>
      </c>
      <c r="E2319" s="6" t="s">
        <v>91</v>
      </c>
      <c r="F2319" s="6" t="s">
        <v>53</v>
      </c>
      <c r="G2319" s="6" t="s">
        <v>7605</v>
      </c>
      <c r="H2319" s="6" t="s">
        <v>55</v>
      </c>
      <c r="I2319" s="6" t="s">
        <v>7566</v>
      </c>
      <c r="J2319" s="6" t="s">
        <v>91</v>
      </c>
      <c r="K2319" s="9" t="str">
        <f>HYPERLINK("https://media.licdn.com/dms/image/v2/D5610AQHEvvijYsI_tQ/image-shrink_1280/B56Z9Mvp9QHUAc-/0/1783698989137/StaticA_1_1png?e=2147483647&amp;v=beta&amp;t=MTZtkJ7l5gqylxrRaIdNRy7LYGh-h4daLFiI3M0fauw","Open Creative")</f>
        <v>Open Creative</v>
      </c>
      <c r="L2319" s="6" t="s">
        <v>131</v>
      </c>
      <c r="M2319" s="6" t="s">
        <v>7537</v>
      </c>
      <c r="N2319" s="6" t="s">
        <v>132</v>
      </c>
      <c r="O2319" s="36" t="s">
        <v>132</v>
      </c>
      <c r="P2319" s="36">
        <v>1.497742116E9</v>
      </c>
      <c r="Q2319" s="36" t="s">
        <v>7541</v>
      </c>
      <c r="R2319" s="6" t="s">
        <v>7542</v>
      </c>
    </row>
    <row r="2320">
      <c r="A2320" s="6" t="s">
        <v>7537</v>
      </c>
      <c r="B2320" s="6" t="s">
        <v>7537</v>
      </c>
      <c r="C2320" s="6">
        <v>711.0</v>
      </c>
      <c r="D2320" s="9" t="str">
        <f>HYPERLINK("https://www.linkedin.com/ad-library/detail/1497521716","Open Ad")</f>
        <v>Open Ad</v>
      </c>
      <c r="E2320" s="6" t="s">
        <v>91</v>
      </c>
      <c r="F2320" s="6" t="s">
        <v>53</v>
      </c>
      <c r="G2320" s="6" t="s">
        <v>7621</v>
      </c>
      <c r="H2320" s="6" t="s">
        <v>55</v>
      </c>
      <c r="I2320" s="6" t="s">
        <v>7566</v>
      </c>
      <c r="J2320" s="6" t="s">
        <v>91</v>
      </c>
      <c r="K2320" s="9" t="str">
        <f t="shared" ref="K2320:K2321" si="67">HYPERLINK("https://media.licdn.com/dms/image/v2/D5622AQFPvdKJ2rZGuA/feedshare-shrink_1280/B56Z9DGJizKgAM-/0/1783537114110?e=2147483647&amp;v=beta&amp;t=ibPphT7d-IkefsLLj8zjUziebSWt3eeZJVoLfHU82Kg","Open Creative")</f>
        <v>Open Creative</v>
      </c>
      <c r="L2320" s="6" t="s">
        <v>131</v>
      </c>
      <c r="M2320" s="6" t="s">
        <v>7537</v>
      </c>
      <c r="N2320" s="6" t="s">
        <v>132</v>
      </c>
      <c r="O2320" s="36" t="s">
        <v>132</v>
      </c>
      <c r="P2320" s="36">
        <v>1.497521716E9</v>
      </c>
      <c r="Q2320" s="36" t="s">
        <v>7541</v>
      </c>
      <c r="R2320" s="6" t="s">
        <v>7542</v>
      </c>
    </row>
    <row r="2321">
      <c r="A2321" s="6" t="s">
        <v>7537</v>
      </c>
      <c r="B2321" s="6" t="s">
        <v>7537</v>
      </c>
      <c r="C2321" s="6">
        <v>712.0</v>
      </c>
      <c r="D2321" s="9" t="str">
        <f>HYPERLINK("https://www.linkedin.com/ad-library/detail/1497444236","Open Ad")</f>
        <v>Open Ad</v>
      </c>
      <c r="E2321" s="6" t="s">
        <v>91</v>
      </c>
      <c r="F2321" s="6" t="s">
        <v>53</v>
      </c>
      <c r="G2321" s="6" t="s">
        <v>7621</v>
      </c>
      <c r="H2321" s="6" t="s">
        <v>55</v>
      </c>
      <c r="I2321" s="6" t="s">
        <v>7566</v>
      </c>
      <c r="J2321" s="6" t="s">
        <v>91</v>
      </c>
      <c r="K2321" s="9" t="str">
        <f t="shared" si="67"/>
        <v>Open Creative</v>
      </c>
      <c r="L2321" s="6" t="s">
        <v>131</v>
      </c>
      <c r="M2321" s="6" t="s">
        <v>7537</v>
      </c>
      <c r="N2321" s="6" t="s">
        <v>132</v>
      </c>
      <c r="O2321" s="36" t="s">
        <v>132</v>
      </c>
      <c r="P2321" s="36">
        <v>1.497444236E9</v>
      </c>
      <c r="Q2321" s="36" t="s">
        <v>7541</v>
      </c>
      <c r="R2321" s="6" t="s">
        <v>7542</v>
      </c>
    </row>
    <row r="2322">
      <c r="A2322" s="6" t="s">
        <v>7537</v>
      </c>
      <c r="B2322" s="6" t="s">
        <v>7537</v>
      </c>
      <c r="C2322" s="6">
        <v>713.0</v>
      </c>
      <c r="D2322" s="9" t="str">
        <f>HYPERLINK("https://www.linkedin.com/ad-library/detail/1497628206","Open Ad")</f>
        <v>Open Ad</v>
      </c>
      <c r="E2322" s="6" t="s">
        <v>91</v>
      </c>
      <c r="F2322" s="6" t="s">
        <v>53</v>
      </c>
      <c r="G2322" s="6" t="s">
        <v>7606</v>
      </c>
      <c r="H2322" s="6" t="s">
        <v>55</v>
      </c>
      <c r="I2322" s="6" t="s">
        <v>7566</v>
      </c>
      <c r="J2322" s="6" t="s">
        <v>91</v>
      </c>
      <c r="K2322" s="9" t="str">
        <f>HYPERLINK("https://media.licdn.com/dms/image/v2/D5610AQHEvvijYsI_tQ/image-shrink_1280/B56Z9Mvp9QHUAc-/0/1783698989137/StaticA_1_1png?e=2147483647&amp;v=beta&amp;t=MTZtkJ7l5gqylxrRaIdNRy7LYGh-h4daLFiI3M0fauw","Open Creative")</f>
        <v>Open Creative</v>
      </c>
      <c r="L2322" s="6" t="s">
        <v>131</v>
      </c>
      <c r="M2322" s="6" t="s">
        <v>7537</v>
      </c>
      <c r="N2322" s="6" t="s">
        <v>132</v>
      </c>
      <c r="O2322" s="36" t="s">
        <v>132</v>
      </c>
      <c r="P2322" s="36">
        <v>1.497628206E9</v>
      </c>
      <c r="Q2322" s="36" t="s">
        <v>7541</v>
      </c>
      <c r="R2322" s="6" t="s">
        <v>7542</v>
      </c>
    </row>
    <row r="2323">
      <c r="A2323" s="6" t="s">
        <v>7537</v>
      </c>
      <c r="B2323" s="6" t="s">
        <v>7537</v>
      </c>
      <c r="C2323" s="6">
        <v>714.0</v>
      </c>
      <c r="D2323" s="9" t="str">
        <f>HYPERLINK("https://www.linkedin.com/ad-library/detail/1493964036","Open Ad")</f>
        <v>Open Ad</v>
      </c>
      <c r="E2323" s="6" t="s">
        <v>91</v>
      </c>
      <c r="F2323" s="6" t="s">
        <v>53</v>
      </c>
      <c r="G2323" s="6" t="s">
        <v>7648</v>
      </c>
      <c r="H2323" s="6" t="s">
        <v>55</v>
      </c>
      <c r="I2323" s="6" t="s">
        <v>7566</v>
      </c>
      <c r="J2323" s="6" t="s">
        <v>91</v>
      </c>
      <c r="K2323" s="9" t="str">
        <f>HYPERLINK("https://media.licdn.com/dms/image/v2/D5622AQEyWmxDtBsI-A/feedshare-shrink_1280/B56Z84mCfvG4AM-/0/1783360925115?e=2147483647&amp;v=beta&amp;t=1c8ZwHdCiWcC3tPm0-oI1DcR9hvnGwRBtogB-swWYhQ","Open Creative")</f>
        <v>Open Creative</v>
      </c>
      <c r="L2323" s="6" t="s">
        <v>131</v>
      </c>
      <c r="M2323" s="6" t="s">
        <v>7537</v>
      </c>
      <c r="N2323" s="6" t="s">
        <v>132</v>
      </c>
      <c r="O2323" s="36" t="s">
        <v>132</v>
      </c>
      <c r="P2323" s="36">
        <v>1.493964036E9</v>
      </c>
      <c r="Q2323" s="36" t="s">
        <v>7541</v>
      </c>
      <c r="R2323" s="6" t="s">
        <v>7542</v>
      </c>
    </row>
    <row r="2324">
      <c r="A2324" s="6" t="s">
        <v>7537</v>
      </c>
      <c r="B2324" s="6" t="s">
        <v>7537</v>
      </c>
      <c r="C2324" s="6">
        <v>715.0</v>
      </c>
      <c r="D2324" s="9" t="str">
        <f>HYPERLINK("https://www.linkedin.com/ad-library/detail/1497628216","Open Ad")</f>
        <v>Open Ad</v>
      </c>
      <c r="E2324" s="6" t="s">
        <v>91</v>
      </c>
      <c r="F2324" s="6" t="s">
        <v>53</v>
      </c>
      <c r="G2324" s="6" t="s">
        <v>7606</v>
      </c>
      <c r="H2324" s="6" t="s">
        <v>55</v>
      </c>
      <c r="I2324" s="6" t="s">
        <v>7566</v>
      </c>
      <c r="J2324" s="6" t="s">
        <v>91</v>
      </c>
      <c r="K2324" s="9" t="str">
        <f>HYPERLINK("https://media.licdn.com/dms/image/v2/D5610AQHtT-BpHIdKlQ/image-shrink_1280/B56Z9Mv_AuGQAc-/0/1783699075522/StaticB_1_1png?e=2147483647&amp;v=beta&amp;t=VVED26XSFFiKyG6WnQSnhBql3EltELrjof_2fGTA4Ok","Open Creative")</f>
        <v>Open Creative</v>
      </c>
      <c r="L2324" s="6" t="s">
        <v>131</v>
      </c>
      <c r="M2324" s="6" t="s">
        <v>7537</v>
      </c>
      <c r="N2324" s="6" t="s">
        <v>132</v>
      </c>
      <c r="O2324" s="36" t="s">
        <v>132</v>
      </c>
      <c r="P2324" s="36">
        <v>1.497628216E9</v>
      </c>
      <c r="Q2324" s="36" t="s">
        <v>7541</v>
      </c>
      <c r="R2324" s="6" t="s">
        <v>7542</v>
      </c>
    </row>
    <row r="2325">
      <c r="A2325" s="6" t="s">
        <v>7537</v>
      </c>
      <c r="B2325" s="6" t="s">
        <v>7537</v>
      </c>
      <c r="C2325" s="6">
        <v>716.0</v>
      </c>
      <c r="D2325" s="9" t="str">
        <f>HYPERLINK("https://www.linkedin.com/ad-library/detail/1497565736","Open Ad")</f>
        <v>Open Ad</v>
      </c>
      <c r="E2325" s="6" t="s">
        <v>91</v>
      </c>
      <c r="F2325" s="6" t="s">
        <v>53</v>
      </c>
      <c r="G2325" s="6" t="s">
        <v>7602</v>
      </c>
      <c r="H2325" s="6" t="s">
        <v>55</v>
      </c>
      <c r="I2325" s="6" t="s">
        <v>7566</v>
      </c>
      <c r="J2325" s="6" t="s">
        <v>91</v>
      </c>
      <c r="K2325" s="9" t="str">
        <f>HYPERLINK("https://media.licdn.com/dms/image/v2/D5610AQGeqnWAUh7epw/image-shrink_1280/B56Z9JWXKUJoAc-/0/1783642026908/StaticA_1_1png?e=2147483647&amp;v=beta&amp;t=VtoLRIIvB_6SmNkFagK7x5k7ozf_O0g25FDHr-3O0Cg","Open Creative")</f>
        <v>Open Creative</v>
      </c>
      <c r="L2325" s="6" t="s">
        <v>131</v>
      </c>
      <c r="M2325" s="6" t="s">
        <v>7537</v>
      </c>
      <c r="N2325" s="6" t="s">
        <v>132</v>
      </c>
      <c r="O2325" s="36" t="s">
        <v>132</v>
      </c>
      <c r="P2325" s="36">
        <v>1.497565736E9</v>
      </c>
      <c r="Q2325" s="36" t="s">
        <v>7541</v>
      </c>
      <c r="R2325" s="6" t="s">
        <v>7542</v>
      </c>
    </row>
    <row r="2326">
      <c r="A2326" s="6" t="s">
        <v>7537</v>
      </c>
      <c r="B2326" s="6" t="s">
        <v>7537</v>
      </c>
      <c r="C2326" s="6">
        <v>717.0</v>
      </c>
      <c r="D2326" s="9" t="str">
        <f>HYPERLINK("https://www.linkedin.com/ad-library/detail/1497379016","Open Ad")</f>
        <v>Open Ad</v>
      </c>
      <c r="E2326" s="6" t="s">
        <v>91</v>
      </c>
      <c r="F2326" s="6" t="s">
        <v>53</v>
      </c>
      <c r="G2326" s="6" t="s">
        <v>7621</v>
      </c>
      <c r="H2326" s="6" t="s">
        <v>55</v>
      </c>
      <c r="I2326" s="6" t="s">
        <v>7649</v>
      </c>
      <c r="J2326" s="6" t="s">
        <v>91</v>
      </c>
      <c r="K2326" s="9" t="str">
        <f>HYPERLINK("https://media.licdn.com/dms/image/v2/D5622AQFPvdKJ2rZGuA/feedshare-shrink_1280/B56Z9DGJizKgAM-/0/1783537114110?e=2147483647&amp;v=beta&amp;t=ibPphT7d-IkefsLLj8zjUziebSWt3eeZJVoLfHU82Kg","Open Creative")</f>
        <v>Open Creative</v>
      </c>
      <c r="L2326" s="6" t="s">
        <v>131</v>
      </c>
      <c r="M2326" s="6" t="s">
        <v>7537</v>
      </c>
      <c r="N2326" s="6" t="s">
        <v>132</v>
      </c>
      <c r="O2326" s="36" t="s">
        <v>132</v>
      </c>
      <c r="P2326" s="36">
        <v>1.497379016E9</v>
      </c>
      <c r="Q2326" s="36" t="s">
        <v>68</v>
      </c>
      <c r="R2326" s="6" t="s">
        <v>7650</v>
      </c>
    </row>
    <row r="2327">
      <c r="A2327" s="6" t="s">
        <v>7537</v>
      </c>
      <c r="B2327" s="6" t="s">
        <v>7537</v>
      </c>
      <c r="C2327" s="6">
        <v>718.0</v>
      </c>
      <c r="D2327" s="9" t="str">
        <f>HYPERLINK("https://www.linkedin.com/ad-library/detail/1494050926","Open Ad")</f>
        <v>Open Ad</v>
      </c>
      <c r="E2327" s="6" t="s">
        <v>91</v>
      </c>
      <c r="F2327" s="6" t="s">
        <v>53</v>
      </c>
      <c r="G2327" s="6" t="s">
        <v>7648</v>
      </c>
      <c r="H2327" s="6" t="s">
        <v>55</v>
      </c>
      <c r="I2327" s="6" t="s">
        <v>7566</v>
      </c>
      <c r="J2327" s="6" t="s">
        <v>91</v>
      </c>
      <c r="K2327" s="9" t="str">
        <f>HYPERLINK("https://media.licdn.com/dms/image/v2/D5622AQEyWmxDtBsI-A/feedshare-shrink_1280/B56Z84mCfvG4AM-/0/1783360925115?e=2147483647&amp;v=beta&amp;t=1c8ZwHdCiWcC3tPm0-oI1DcR9hvnGwRBtogB-swWYhQ","Open Creative")</f>
        <v>Open Creative</v>
      </c>
      <c r="L2327" s="6" t="s">
        <v>131</v>
      </c>
      <c r="M2327" s="6" t="s">
        <v>7537</v>
      </c>
      <c r="N2327" s="6" t="s">
        <v>132</v>
      </c>
      <c r="O2327" s="36" t="s">
        <v>132</v>
      </c>
      <c r="P2327" s="36">
        <v>1.494050926E9</v>
      </c>
      <c r="Q2327" s="36" t="s">
        <v>7541</v>
      </c>
      <c r="R2327" s="6" t="s">
        <v>7542</v>
      </c>
    </row>
    <row r="2328">
      <c r="A2328" s="6" t="s">
        <v>7537</v>
      </c>
      <c r="B2328" s="6" t="s">
        <v>7537</v>
      </c>
      <c r="C2328" s="6">
        <v>719.0</v>
      </c>
      <c r="D2328" s="9" t="str">
        <f>HYPERLINK("https://www.linkedin.com/ad-library/detail/1497419666","Open Ad")</f>
        <v>Open Ad</v>
      </c>
      <c r="E2328" s="6" t="s">
        <v>91</v>
      </c>
      <c r="F2328" s="6" t="s">
        <v>53</v>
      </c>
      <c r="G2328" s="6" t="s">
        <v>7603</v>
      </c>
      <c r="H2328" s="6" t="s">
        <v>55</v>
      </c>
      <c r="I2328" s="6" t="s">
        <v>7566</v>
      </c>
      <c r="J2328" s="6" t="s">
        <v>91</v>
      </c>
      <c r="K2328" s="9" t="str">
        <f>HYPERLINK("https://media.licdn.com/dms/image/v2/D5610AQGeqnWAUh7epw/image-shrink_1280/B56Z9JWXKUJoAc-/0/1783642026908/StaticA_1_1png?e=2147483647&amp;v=beta&amp;t=VtoLRIIvB_6SmNkFagK7x5k7ozf_O0g25FDHr-3O0Cg","Open Creative")</f>
        <v>Open Creative</v>
      </c>
      <c r="L2328" s="6" t="s">
        <v>131</v>
      </c>
      <c r="M2328" s="6" t="s">
        <v>7537</v>
      </c>
      <c r="N2328" s="6" t="s">
        <v>132</v>
      </c>
      <c r="O2328" s="36" t="s">
        <v>132</v>
      </c>
      <c r="P2328" s="36">
        <v>1.497419666E9</v>
      </c>
      <c r="Q2328" s="36" t="s">
        <v>7541</v>
      </c>
      <c r="R2328" s="6" t="s">
        <v>7542</v>
      </c>
    </row>
    <row r="2329">
      <c r="A2329" s="6" t="s">
        <v>7537</v>
      </c>
      <c r="B2329" s="6" t="s">
        <v>7537</v>
      </c>
      <c r="C2329" s="6">
        <v>720.0</v>
      </c>
      <c r="D2329" s="9" t="str">
        <f>HYPERLINK("https://www.linkedin.com/ad-library/detail/1497477426","Open Ad")</f>
        <v>Open Ad</v>
      </c>
      <c r="E2329" s="6" t="s">
        <v>91</v>
      </c>
      <c r="F2329" s="6" t="s">
        <v>53</v>
      </c>
      <c r="G2329" s="6" t="s">
        <v>7651</v>
      </c>
      <c r="H2329" s="6" t="s">
        <v>55</v>
      </c>
      <c r="I2329" s="6" t="s">
        <v>7566</v>
      </c>
      <c r="J2329" s="6" t="s">
        <v>91</v>
      </c>
      <c r="K2329" s="9" t="str">
        <f>HYPERLINK("https://media.licdn.com/dms/image/v2/D5610AQHoviLs2rErVg/image-shrink_1280/B56Z9IeyIrKEAc-/0/1783627457914?e=2147483647&amp;v=beta&amp;t=DSWfNqLakyhxV811UgcnawsSMqm5pxAl3-NG_Duc3DM","Open Creative")</f>
        <v>Open Creative</v>
      </c>
      <c r="L2329" s="6" t="s">
        <v>131</v>
      </c>
      <c r="M2329" s="6" t="s">
        <v>7537</v>
      </c>
      <c r="N2329" s="6" t="s">
        <v>132</v>
      </c>
      <c r="O2329" s="36" t="s">
        <v>132</v>
      </c>
      <c r="P2329" s="36">
        <v>1.497477426E9</v>
      </c>
      <c r="Q2329" s="36" t="s">
        <v>7541</v>
      </c>
      <c r="R2329" s="6" t="s">
        <v>7542</v>
      </c>
    </row>
    <row r="2330">
      <c r="A2330" s="6" t="s">
        <v>7537</v>
      </c>
      <c r="B2330" s="6" t="s">
        <v>7537</v>
      </c>
      <c r="C2330" s="6">
        <v>721.0</v>
      </c>
      <c r="D2330" s="9" t="str">
        <f>HYPERLINK("https://www.linkedin.com/ad-library/detail/1493205906","Open Ad")</f>
        <v>Open Ad</v>
      </c>
      <c r="E2330" s="6" t="s">
        <v>91</v>
      </c>
      <c r="F2330" s="6" t="s">
        <v>53</v>
      </c>
      <c r="G2330" s="6" t="s">
        <v>7652</v>
      </c>
      <c r="H2330" s="6" t="s">
        <v>55</v>
      </c>
      <c r="I2330" s="6" t="s">
        <v>7566</v>
      </c>
      <c r="J2330" s="6" t="s">
        <v>91</v>
      </c>
      <c r="K2330" s="9" t="str">
        <f>HYPERLINK("https://media.licdn.com/dms/image/v2/D5610AQG-W0vfYlacXw/image-shrink_1280/B56Z85F8wlGQAc-/0/1783369288973/A_BW-1png?e=2147483647&amp;v=beta&amp;t=C8e2mjB9GcYKOdzzPPOGSMDzF2XyvmVPQN4iBzoWq_0","Open Creative")</f>
        <v>Open Creative</v>
      </c>
      <c r="L2330" s="6" t="s">
        <v>131</v>
      </c>
      <c r="M2330" s="6" t="s">
        <v>7537</v>
      </c>
      <c r="N2330" s="6" t="s">
        <v>132</v>
      </c>
      <c r="O2330" s="36" t="s">
        <v>132</v>
      </c>
      <c r="P2330" s="36">
        <v>1.493205906E9</v>
      </c>
      <c r="Q2330" s="36" t="s">
        <v>7541</v>
      </c>
      <c r="R2330" s="6" t="s">
        <v>7542</v>
      </c>
    </row>
    <row r="2331">
      <c r="A2331" s="6" t="s">
        <v>7537</v>
      </c>
      <c r="B2331" s="6" t="s">
        <v>7537</v>
      </c>
      <c r="C2331" s="6">
        <v>722.0</v>
      </c>
      <c r="D2331" s="9" t="str">
        <f>HYPERLINK("https://www.linkedin.com/ad-library/detail/1493954406","Open Ad")</f>
        <v>Open Ad</v>
      </c>
      <c r="E2331" s="6" t="s">
        <v>91</v>
      </c>
      <c r="F2331" s="6" t="s">
        <v>53</v>
      </c>
      <c r="G2331" s="6" t="s">
        <v>7653</v>
      </c>
      <c r="H2331" s="6" t="s">
        <v>55</v>
      </c>
      <c r="I2331" s="6" t="s">
        <v>7566</v>
      </c>
      <c r="J2331" s="6" t="s">
        <v>91</v>
      </c>
      <c r="K2331" s="9" t="str">
        <f>HYPERLINK("https://media.licdn.com/dms/image/v2/D5610AQHnyqxk84j6Mg/image-shrink_1280/B56Z85LWF3G4Ac-/0/1783370704095?e=2147483647&amp;v=beta&amp;t=A_1Yy4MBJCEF4FZeXy8kgoYqe2AGlkNH7pDc8Sdm3-s","Open Creative")</f>
        <v>Open Creative</v>
      </c>
      <c r="L2331" s="6" t="s">
        <v>131</v>
      </c>
      <c r="M2331" s="6" t="s">
        <v>7537</v>
      </c>
      <c r="N2331" s="6" t="s">
        <v>132</v>
      </c>
      <c r="O2331" s="36" t="s">
        <v>132</v>
      </c>
      <c r="P2331" s="36">
        <v>1.493954406E9</v>
      </c>
      <c r="Q2331" s="36" t="s">
        <v>7541</v>
      </c>
      <c r="R2331" s="6" t="s">
        <v>7542</v>
      </c>
    </row>
    <row r="2332">
      <c r="A2332" s="6" t="s">
        <v>7537</v>
      </c>
      <c r="B2332" s="6" t="s">
        <v>7537</v>
      </c>
      <c r="C2332" s="6">
        <v>723.0</v>
      </c>
      <c r="D2332" s="9" t="str">
        <f>HYPERLINK("https://www.linkedin.com/ad-library/detail/1493331866","Open Ad")</f>
        <v>Open Ad</v>
      </c>
      <c r="E2332" s="6" t="s">
        <v>91</v>
      </c>
      <c r="F2332" s="6" t="s">
        <v>53</v>
      </c>
      <c r="G2332" s="6" t="s">
        <v>7654</v>
      </c>
      <c r="H2332" s="6" t="s">
        <v>55</v>
      </c>
      <c r="I2332" s="6" t="s">
        <v>7566</v>
      </c>
      <c r="J2332" s="6" t="s">
        <v>91</v>
      </c>
      <c r="K2332" s="9" t="str">
        <f>HYPERLINK("https://media.licdn.com/dms/image/v2/D5610AQHCYdBxt7VRwA/image-shrink_1280/B56Z85GUc9IMAc-/0/1783369386053/B_colorpng?e=2147483647&amp;v=beta&amp;t=i9aat7HuIK6ApjhGLZw1eNfyrFSLgDXwpNird8uNkNE","Open Creative")</f>
        <v>Open Creative</v>
      </c>
      <c r="L2332" s="6" t="s">
        <v>131</v>
      </c>
      <c r="M2332" s="6" t="s">
        <v>7537</v>
      </c>
      <c r="N2332" s="6" t="s">
        <v>132</v>
      </c>
      <c r="O2332" s="36" t="s">
        <v>132</v>
      </c>
      <c r="P2332" s="36">
        <v>1.493331866E9</v>
      </c>
      <c r="Q2332" s="36" t="s">
        <v>7541</v>
      </c>
      <c r="R2332" s="6" t="s">
        <v>7542</v>
      </c>
    </row>
    <row r="2333">
      <c r="A2333" s="6" t="s">
        <v>7537</v>
      </c>
      <c r="B2333" s="6" t="s">
        <v>7537</v>
      </c>
      <c r="C2333" s="6">
        <v>724.0</v>
      </c>
      <c r="D2333" s="9" t="str">
        <f>HYPERLINK("https://www.linkedin.com/ad-library/detail/1489334226","Open Ad")</f>
        <v>Open Ad</v>
      </c>
      <c r="E2333" s="6" t="s">
        <v>91</v>
      </c>
      <c r="F2333" s="6" t="s">
        <v>53</v>
      </c>
      <c r="G2333" s="6" t="s">
        <v>7575</v>
      </c>
      <c r="H2333" s="6" t="s">
        <v>55</v>
      </c>
      <c r="I2333" s="6" t="s">
        <v>7566</v>
      </c>
      <c r="J2333" s="6" t="s">
        <v>91</v>
      </c>
      <c r="K2333" s="6" t="s">
        <v>60</v>
      </c>
      <c r="L2333" s="6" t="s">
        <v>131</v>
      </c>
      <c r="M2333" s="6" t="s">
        <v>7537</v>
      </c>
      <c r="N2333" s="6" t="s">
        <v>132</v>
      </c>
      <c r="O2333" s="36" t="s">
        <v>132</v>
      </c>
      <c r="P2333" s="36">
        <v>1.489334226E9</v>
      </c>
      <c r="Q2333" s="36" t="s">
        <v>7541</v>
      </c>
      <c r="R2333" s="6" t="s">
        <v>7542</v>
      </c>
    </row>
    <row r="2334">
      <c r="A2334" s="6" t="s">
        <v>7537</v>
      </c>
      <c r="B2334" s="6" t="s">
        <v>7537</v>
      </c>
      <c r="C2334" s="6">
        <v>725.0</v>
      </c>
      <c r="D2334" s="9" t="str">
        <f>HYPERLINK("https://www.linkedin.com/ad-library/detail/1494080446","Open Ad")</f>
        <v>Open Ad</v>
      </c>
      <c r="E2334" s="6" t="s">
        <v>91</v>
      </c>
      <c r="F2334" s="6" t="s">
        <v>53</v>
      </c>
      <c r="G2334" s="6" t="s">
        <v>7648</v>
      </c>
      <c r="H2334" s="6" t="s">
        <v>55</v>
      </c>
      <c r="I2334" s="6" t="s">
        <v>7566</v>
      </c>
      <c r="J2334" s="6" t="s">
        <v>91</v>
      </c>
      <c r="K2334" s="9" t="str">
        <f>HYPERLINK("https://media.licdn.com/dms/image/v2/D5622AQEyWmxDtBsI-A/feedshare-shrink_1280/B56Z84mCfvG4AM-/0/1783360925115?e=2147483647&amp;v=beta&amp;t=1c8ZwHdCiWcC3tPm0-oI1DcR9hvnGwRBtogB-swWYhQ","Open Creative")</f>
        <v>Open Creative</v>
      </c>
      <c r="L2334" s="6" t="s">
        <v>131</v>
      </c>
      <c r="M2334" s="6" t="s">
        <v>7537</v>
      </c>
      <c r="N2334" s="6" t="s">
        <v>132</v>
      </c>
      <c r="O2334" s="36" t="s">
        <v>132</v>
      </c>
      <c r="P2334" s="36">
        <v>1.494080446E9</v>
      </c>
      <c r="Q2334" s="36" t="s">
        <v>7541</v>
      </c>
      <c r="R2334" s="6" t="s">
        <v>7542</v>
      </c>
    </row>
    <row r="2335">
      <c r="A2335" s="6" t="s">
        <v>7537</v>
      </c>
      <c r="B2335" s="6" t="s">
        <v>7537</v>
      </c>
      <c r="C2335" s="6">
        <v>726.0</v>
      </c>
      <c r="D2335" s="9" t="str">
        <f>HYPERLINK("https://www.linkedin.com/ad-library/detail/1493380176","Open Ad")</f>
        <v>Open Ad</v>
      </c>
      <c r="E2335" s="6" t="s">
        <v>91</v>
      </c>
      <c r="F2335" s="6" t="s">
        <v>53</v>
      </c>
      <c r="G2335" s="6" t="s">
        <v>7652</v>
      </c>
      <c r="H2335" s="6" t="s">
        <v>55</v>
      </c>
      <c r="I2335" s="6" t="s">
        <v>7566</v>
      </c>
      <c r="J2335" s="6" t="s">
        <v>91</v>
      </c>
      <c r="K2335" s="9" t="str">
        <f t="shared" ref="K2335:K2336" si="68">HYPERLINK("https://media.licdn.com/dms/image/v2/D5610AQG-W0vfYlacXw/image-shrink_1280/B56Z85F8wlGQAc-/0/1783369288973/A_BW-1png?e=2147483647&amp;v=beta&amp;t=C8e2mjB9GcYKOdzzPPOGSMDzF2XyvmVPQN4iBzoWq_0","Open Creative")</f>
        <v>Open Creative</v>
      </c>
      <c r="L2335" s="6" t="s">
        <v>131</v>
      </c>
      <c r="M2335" s="6" t="s">
        <v>7537</v>
      </c>
      <c r="N2335" s="6" t="s">
        <v>132</v>
      </c>
      <c r="O2335" s="36" t="s">
        <v>132</v>
      </c>
      <c r="P2335" s="36">
        <v>1.493380176E9</v>
      </c>
      <c r="Q2335" s="36" t="s">
        <v>7541</v>
      </c>
      <c r="R2335" s="6" t="s">
        <v>7542</v>
      </c>
    </row>
    <row r="2336">
      <c r="A2336" s="6" t="s">
        <v>7537</v>
      </c>
      <c r="B2336" s="6" t="s">
        <v>7537</v>
      </c>
      <c r="C2336" s="6">
        <v>727.0</v>
      </c>
      <c r="D2336" s="9" t="str">
        <f>HYPERLINK("https://www.linkedin.com/ad-library/detail/1493185426","Open Ad")</f>
        <v>Open Ad</v>
      </c>
      <c r="E2336" s="6" t="s">
        <v>91</v>
      </c>
      <c r="F2336" s="6" t="s">
        <v>53</v>
      </c>
      <c r="G2336" s="6" t="s">
        <v>7652</v>
      </c>
      <c r="H2336" s="6" t="s">
        <v>55</v>
      </c>
      <c r="I2336" s="6" t="s">
        <v>7566</v>
      </c>
      <c r="J2336" s="6" t="s">
        <v>91</v>
      </c>
      <c r="K2336" s="9" t="str">
        <f t="shared" si="68"/>
        <v>Open Creative</v>
      </c>
      <c r="L2336" s="6" t="s">
        <v>131</v>
      </c>
      <c r="M2336" s="6" t="s">
        <v>7537</v>
      </c>
      <c r="N2336" s="6" t="s">
        <v>132</v>
      </c>
      <c r="O2336" s="36" t="s">
        <v>132</v>
      </c>
      <c r="P2336" s="36">
        <v>1.493185426E9</v>
      </c>
      <c r="Q2336" s="36" t="s">
        <v>7541</v>
      </c>
      <c r="R2336" s="6" t="s">
        <v>7542</v>
      </c>
    </row>
    <row r="2337">
      <c r="A2337" s="6" t="s">
        <v>7537</v>
      </c>
      <c r="B2337" s="6" t="s">
        <v>7537</v>
      </c>
      <c r="C2337" s="6">
        <v>728.0</v>
      </c>
      <c r="D2337" s="9" t="str">
        <f>HYPERLINK("https://www.linkedin.com/ad-library/detail/1489480296","Open Ad")</f>
        <v>Open Ad</v>
      </c>
      <c r="E2337" s="6" t="s">
        <v>154</v>
      </c>
      <c r="F2337" s="6" t="s">
        <v>53</v>
      </c>
      <c r="G2337" s="6" t="s">
        <v>7637</v>
      </c>
      <c r="H2337" s="6" t="s">
        <v>55</v>
      </c>
      <c r="I2337" s="6" t="s">
        <v>7566</v>
      </c>
      <c r="J2337" s="6" t="s">
        <v>154</v>
      </c>
      <c r="K2337" s="9" t="str">
        <f>HYPERLINK("https://dms.licdn.com/playlist/vid/v2/D5610AQGPpIHkVJhCaA/mp4-640p-30fp-crf28/B56Z83aF5UG4BI-/0/1783341024306?e=2147483647&amp;v=beta&amp;t=6aPscOhwfZC6LVqbrnkx1wzDAaGeDks-p4lXPr_L8Fs","Open Creative")</f>
        <v>Open Creative</v>
      </c>
      <c r="L2337" s="6" t="s">
        <v>131</v>
      </c>
      <c r="M2337" s="6" t="s">
        <v>7537</v>
      </c>
      <c r="N2337" s="6" t="s">
        <v>132</v>
      </c>
      <c r="O2337" s="36" t="s">
        <v>132</v>
      </c>
      <c r="P2337" s="36">
        <v>1.489480296E9</v>
      </c>
      <c r="Q2337" s="36" t="s">
        <v>7541</v>
      </c>
      <c r="R2337" s="6" t="s">
        <v>7542</v>
      </c>
    </row>
    <row r="2338">
      <c r="A2338" s="6" t="s">
        <v>7537</v>
      </c>
      <c r="B2338" s="6" t="s">
        <v>7537</v>
      </c>
      <c r="C2338" s="6">
        <v>729.0</v>
      </c>
      <c r="D2338" s="9" t="str">
        <f>HYPERLINK("https://www.linkedin.com/ad-library/detail/1493331466","Open Ad")</f>
        <v>Open Ad</v>
      </c>
      <c r="E2338" s="6" t="s">
        <v>91</v>
      </c>
      <c r="F2338" s="6" t="s">
        <v>53</v>
      </c>
      <c r="G2338" s="6" t="s">
        <v>7654</v>
      </c>
      <c r="H2338" s="6" t="s">
        <v>55</v>
      </c>
      <c r="I2338" s="6" t="s">
        <v>7566</v>
      </c>
      <c r="J2338" s="6" t="s">
        <v>91</v>
      </c>
      <c r="K2338" s="9" t="str">
        <f>HYPERLINK("https://media.licdn.com/dms/image/v2/D5610AQG-W0vfYlacXw/image-shrink_1280/B56Z85F8wlGQAc-/0/1783369288973/A_BW-1png?e=2147483647&amp;v=beta&amp;t=C8e2mjB9GcYKOdzzPPOGSMDzF2XyvmVPQN4iBzoWq_0","Open Creative")</f>
        <v>Open Creative</v>
      </c>
      <c r="L2338" s="6" t="s">
        <v>131</v>
      </c>
      <c r="M2338" s="6" t="s">
        <v>7537</v>
      </c>
      <c r="N2338" s="6" t="s">
        <v>132</v>
      </c>
      <c r="O2338" s="36" t="s">
        <v>132</v>
      </c>
      <c r="P2338" s="36">
        <v>1.493331466E9</v>
      </c>
      <c r="Q2338" s="36" t="s">
        <v>7541</v>
      </c>
      <c r="R2338" s="6" t="s">
        <v>7542</v>
      </c>
    </row>
    <row r="2339">
      <c r="A2339" s="6" t="s">
        <v>7537</v>
      </c>
      <c r="B2339" s="6" t="s">
        <v>7537</v>
      </c>
      <c r="C2339" s="6">
        <v>730.0</v>
      </c>
      <c r="D2339" s="9" t="str">
        <f>HYPERLINK("https://www.linkedin.com/ad-library/detail/1489324726","Open Ad")</f>
        <v>Open Ad</v>
      </c>
      <c r="E2339" s="6" t="s">
        <v>91</v>
      </c>
      <c r="F2339" s="6" t="s">
        <v>53</v>
      </c>
      <c r="G2339" s="6" t="s">
        <v>7604</v>
      </c>
      <c r="H2339" s="6" t="s">
        <v>55</v>
      </c>
      <c r="I2339" s="6" t="s">
        <v>7566</v>
      </c>
      <c r="J2339" s="6" t="s">
        <v>91</v>
      </c>
      <c r="K2339" s="6" t="s">
        <v>60</v>
      </c>
      <c r="L2339" s="6" t="s">
        <v>131</v>
      </c>
      <c r="M2339" s="6" t="s">
        <v>7537</v>
      </c>
      <c r="N2339" s="6" t="s">
        <v>7655</v>
      </c>
      <c r="O2339" s="36" t="s">
        <v>1713</v>
      </c>
      <c r="P2339" s="36">
        <v>1.489324726E9</v>
      </c>
      <c r="Q2339" s="36" t="s">
        <v>7541</v>
      </c>
      <c r="R2339" s="6" t="s">
        <v>7542</v>
      </c>
    </row>
    <row r="2340">
      <c r="A2340" s="6" t="s">
        <v>7537</v>
      </c>
      <c r="B2340" s="6" t="s">
        <v>7537</v>
      </c>
      <c r="C2340" s="6">
        <v>731.0</v>
      </c>
      <c r="D2340" s="9" t="str">
        <f>HYPERLINK("https://www.linkedin.com/ad-library/detail/1493301816","Open Ad")</f>
        <v>Open Ad</v>
      </c>
      <c r="E2340" s="6" t="s">
        <v>91</v>
      </c>
      <c r="F2340" s="6" t="s">
        <v>53</v>
      </c>
      <c r="G2340" s="6" t="s">
        <v>7654</v>
      </c>
      <c r="H2340" s="6" t="s">
        <v>55</v>
      </c>
      <c r="I2340" s="6" t="s">
        <v>7566</v>
      </c>
      <c r="J2340" s="6" t="s">
        <v>91</v>
      </c>
      <c r="K2340" s="9" t="str">
        <f>HYPERLINK("https://media.licdn.com/dms/image/v2/D5610AQHCYdBxt7VRwA/image-shrink_1280/B56Z85GUc9IMAc-/0/1783369386053/B_colorpng?e=2147483647&amp;v=beta&amp;t=i9aat7HuIK6ApjhGLZw1eNfyrFSLgDXwpNird8uNkNE","Open Creative")</f>
        <v>Open Creative</v>
      </c>
      <c r="L2340" s="6" t="s">
        <v>131</v>
      </c>
      <c r="M2340" s="6" t="s">
        <v>7537</v>
      </c>
      <c r="N2340" s="6" t="s">
        <v>132</v>
      </c>
      <c r="O2340" s="36" t="s">
        <v>132</v>
      </c>
      <c r="P2340" s="36">
        <v>1.493301816E9</v>
      </c>
      <c r="Q2340" s="36" t="s">
        <v>7541</v>
      </c>
      <c r="R2340" s="6" t="s">
        <v>7542</v>
      </c>
    </row>
    <row r="2341">
      <c r="A2341" s="6" t="s">
        <v>7537</v>
      </c>
      <c r="B2341" s="6" t="s">
        <v>7537</v>
      </c>
      <c r="C2341" s="6">
        <v>732.0</v>
      </c>
      <c r="D2341" s="9" t="str">
        <f>HYPERLINK("https://www.linkedin.com/ad-library/detail/1493935046","Open Ad")</f>
        <v>Open Ad</v>
      </c>
      <c r="E2341" s="6" t="s">
        <v>91</v>
      </c>
      <c r="F2341" s="6" t="s">
        <v>53</v>
      </c>
      <c r="G2341" s="6" t="s">
        <v>7656</v>
      </c>
      <c r="H2341" s="6" t="s">
        <v>55</v>
      </c>
      <c r="I2341" s="6" t="s">
        <v>7566</v>
      </c>
      <c r="J2341" s="6" t="s">
        <v>91</v>
      </c>
      <c r="K2341" s="9" t="str">
        <f>HYPERLINK("https://media.licdn.com/dms/image/v2/D5610AQEx-mE95uw1Hg/image-shrink_1280/B56Z8.U8B_G4Ac-/0/1783457104891?e=2147483647&amp;v=beta&amp;t=ecWGN5wupK7X85a0QZUrb0VvESlAxttNeRWRw_Vo2QQ","Open Creative")</f>
        <v>Open Creative</v>
      </c>
      <c r="L2341" s="6" t="s">
        <v>131</v>
      </c>
      <c r="M2341" s="6" t="s">
        <v>7537</v>
      </c>
      <c r="N2341" s="6" t="s">
        <v>132</v>
      </c>
      <c r="O2341" s="36" t="s">
        <v>132</v>
      </c>
      <c r="P2341" s="36">
        <v>1.493935046E9</v>
      </c>
      <c r="Q2341" s="36" t="s">
        <v>7541</v>
      </c>
      <c r="R2341" s="6" t="s">
        <v>7542</v>
      </c>
    </row>
    <row r="2342">
      <c r="A2342" s="6" t="s">
        <v>7537</v>
      </c>
      <c r="B2342" s="6" t="s">
        <v>7537</v>
      </c>
      <c r="C2342" s="6">
        <v>733.0</v>
      </c>
      <c r="D2342" s="9" t="str">
        <f>HYPERLINK("https://www.linkedin.com/ad-library/detail/1493214406","Open Ad")</f>
        <v>Open Ad</v>
      </c>
      <c r="E2342" s="6" t="s">
        <v>91</v>
      </c>
      <c r="F2342" s="6" t="s">
        <v>53</v>
      </c>
      <c r="G2342" s="6" t="s">
        <v>7652</v>
      </c>
      <c r="H2342" s="6" t="s">
        <v>55</v>
      </c>
      <c r="I2342" s="6" t="s">
        <v>7566</v>
      </c>
      <c r="J2342" s="6" t="s">
        <v>91</v>
      </c>
      <c r="K2342" s="9" t="str">
        <f>HYPERLINK("https://media.licdn.com/dms/image/v2/D5610AQHCYdBxt7VRwA/image-shrink_1280/B56Z85GUc9IMAc-/0/1783369386053/B_colorpng?e=2147483647&amp;v=beta&amp;t=i9aat7HuIK6ApjhGLZw1eNfyrFSLgDXwpNird8uNkNE","Open Creative")</f>
        <v>Open Creative</v>
      </c>
      <c r="L2342" s="6" t="s">
        <v>131</v>
      </c>
      <c r="M2342" s="6" t="s">
        <v>7537</v>
      </c>
      <c r="N2342" s="6" t="s">
        <v>132</v>
      </c>
      <c r="O2342" s="36" t="s">
        <v>132</v>
      </c>
      <c r="P2342" s="36">
        <v>1.493214406E9</v>
      </c>
      <c r="Q2342" s="36" t="s">
        <v>7541</v>
      </c>
      <c r="R2342" s="6" t="s">
        <v>7542</v>
      </c>
    </row>
    <row r="2343">
      <c r="A2343" s="6" t="s">
        <v>7537</v>
      </c>
      <c r="B2343" s="6" t="s">
        <v>7537</v>
      </c>
      <c r="C2343" s="6">
        <v>734.0</v>
      </c>
      <c r="D2343" s="9" t="str">
        <f>HYPERLINK("https://www.linkedin.com/ad-library/detail/1489215996","Open Ad")</f>
        <v>Open Ad</v>
      </c>
      <c r="E2343" s="6" t="s">
        <v>91</v>
      </c>
      <c r="F2343" s="6" t="s">
        <v>53</v>
      </c>
      <c r="G2343" s="6" t="s">
        <v>7578</v>
      </c>
      <c r="H2343" s="6" t="s">
        <v>55</v>
      </c>
      <c r="I2343" s="6" t="s">
        <v>7566</v>
      </c>
      <c r="J2343" s="6" t="s">
        <v>91</v>
      </c>
      <c r="K2343" s="6" t="s">
        <v>60</v>
      </c>
      <c r="L2343" s="6" t="s">
        <v>131</v>
      </c>
      <c r="M2343" s="6" t="s">
        <v>7537</v>
      </c>
      <c r="N2343" s="6" t="s">
        <v>132</v>
      </c>
      <c r="O2343" s="36" t="s">
        <v>132</v>
      </c>
      <c r="P2343" s="36">
        <v>1.489215996E9</v>
      </c>
      <c r="Q2343" s="36" t="s">
        <v>7541</v>
      </c>
      <c r="R2343" s="6" t="s">
        <v>7542</v>
      </c>
    </row>
    <row r="2344">
      <c r="A2344" s="6" t="s">
        <v>7537</v>
      </c>
      <c r="B2344" s="6" t="s">
        <v>7537</v>
      </c>
      <c r="C2344" s="6">
        <v>735.0</v>
      </c>
      <c r="D2344" s="9" t="str">
        <f>HYPERLINK("https://www.linkedin.com/ad-library/detail/1491157726","Open Ad")</f>
        <v>Open Ad</v>
      </c>
      <c r="E2344" s="6" t="s">
        <v>91</v>
      </c>
      <c r="F2344" s="6" t="s">
        <v>53</v>
      </c>
      <c r="G2344" s="6" t="s">
        <v>7654</v>
      </c>
      <c r="H2344" s="6" t="s">
        <v>55</v>
      </c>
      <c r="I2344" s="6" t="s">
        <v>7566</v>
      </c>
      <c r="J2344" s="6" t="s">
        <v>91</v>
      </c>
      <c r="K2344" s="9" t="str">
        <f>HYPERLINK("https://media.licdn.com/dms/image/v2/D5610AQG-W0vfYlacXw/image-shrink_1280/B56Z85F8wlGQAc-/0/1783369288973/A_BW-1png?e=2147483647&amp;v=beta&amp;t=C8e2mjB9GcYKOdzzPPOGSMDzF2XyvmVPQN4iBzoWq_0","Open Creative")</f>
        <v>Open Creative</v>
      </c>
      <c r="L2344" s="6" t="s">
        <v>131</v>
      </c>
      <c r="M2344" s="6" t="s">
        <v>7537</v>
      </c>
      <c r="N2344" s="6" t="s">
        <v>132</v>
      </c>
      <c r="O2344" s="36" t="s">
        <v>132</v>
      </c>
      <c r="P2344" s="36">
        <v>1.491157726E9</v>
      </c>
      <c r="Q2344" s="36" t="s">
        <v>7541</v>
      </c>
      <c r="R2344" s="6" t="s">
        <v>7542</v>
      </c>
    </row>
    <row r="2345">
      <c r="A2345" s="6" t="s">
        <v>7537</v>
      </c>
      <c r="B2345" s="6" t="s">
        <v>7537</v>
      </c>
      <c r="C2345" s="6">
        <v>736.0</v>
      </c>
      <c r="D2345" s="9" t="str">
        <f>HYPERLINK("https://www.linkedin.com/ad-library/detail/1489422446","Open Ad")</f>
        <v>Open Ad</v>
      </c>
      <c r="E2345" s="6" t="s">
        <v>154</v>
      </c>
      <c r="F2345" s="6" t="s">
        <v>53</v>
      </c>
      <c r="G2345" s="6" t="s">
        <v>7637</v>
      </c>
      <c r="H2345" s="6" t="s">
        <v>55</v>
      </c>
      <c r="I2345" s="6" t="s">
        <v>7566</v>
      </c>
      <c r="J2345" s="6" t="s">
        <v>154</v>
      </c>
      <c r="K2345" s="9" t="str">
        <f t="shared" ref="K2345:K2348" si="69">HYPERLINK("https://dms.licdn.com/playlist/vid/v2/D5610AQGPpIHkVJhCaA/mp4-640p-30fp-crf28/B56Z83aF5UG4BI-/0/1783341024306?e=2147483647&amp;v=beta&amp;t=6aPscOhwfZC6LVqbrnkx1wzDAaGeDks-p4lXPr_L8Fs","Open Creative")</f>
        <v>Open Creative</v>
      </c>
      <c r="L2345" s="6" t="s">
        <v>131</v>
      </c>
      <c r="M2345" s="6" t="s">
        <v>7537</v>
      </c>
      <c r="N2345" s="6" t="s">
        <v>132</v>
      </c>
      <c r="O2345" s="36" t="s">
        <v>132</v>
      </c>
      <c r="P2345" s="36">
        <v>1.489422446E9</v>
      </c>
      <c r="Q2345" s="36" t="s">
        <v>7541</v>
      </c>
      <c r="R2345" s="6" t="s">
        <v>7542</v>
      </c>
    </row>
    <row r="2346">
      <c r="A2346" s="6" t="s">
        <v>7537</v>
      </c>
      <c r="B2346" s="6" t="s">
        <v>7537</v>
      </c>
      <c r="C2346" s="6">
        <v>737.0</v>
      </c>
      <c r="D2346" s="9" t="str">
        <f>HYPERLINK("https://www.linkedin.com/ad-library/detail/1489279676","Open Ad")</f>
        <v>Open Ad</v>
      </c>
      <c r="E2346" s="6" t="s">
        <v>154</v>
      </c>
      <c r="F2346" s="6" t="s">
        <v>53</v>
      </c>
      <c r="G2346" s="6" t="s">
        <v>7637</v>
      </c>
      <c r="H2346" s="6" t="s">
        <v>55</v>
      </c>
      <c r="I2346" s="6" t="s">
        <v>7566</v>
      </c>
      <c r="J2346" s="6" t="s">
        <v>154</v>
      </c>
      <c r="K2346" s="9" t="str">
        <f t="shared" si="69"/>
        <v>Open Creative</v>
      </c>
      <c r="L2346" s="6" t="s">
        <v>131</v>
      </c>
      <c r="M2346" s="6" t="s">
        <v>7537</v>
      </c>
      <c r="N2346" s="6" t="s">
        <v>132</v>
      </c>
      <c r="O2346" s="36" t="s">
        <v>132</v>
      </c>
      <c r="P2346" s="36">
        <v>1.489279676E9</v>
      </c>
      <c r="Q2346" s="36" t="s">
        <v>7541</v>
      </c>
      <c r="R2346" s="6" t="s">
        <v>7542</v>
      </c>
    </row>
    <row r="2347">
      <c r="A2347" s="6" t="s">
        <v>7537</v>
      </c>
      <c r="B2347" s="6" t="s">
        <v>7537</v>
      </c>
      <c r="C2347" s="6">
        <v>738.0</v>
      </c>
      <c r="D2347" s="9" t="str">
        <f>HYPERLINK("https://www.linkedin.com/ad-library/detail/1489376746","Open Ad")</f>
        <v>Open Ad</v>
      </c>
      <c r="E2347" s="6" t="s">
        <v>154</v>
      </c>
      <c r="F2347" s="6" t="s">
        <v>53</v>
      </c>
      <c r="G2347" s="6" t="s">
        <v>7637</v>
      </c>
      <c r="H2347" s="6" t="s">
        <v>55</v>
      </c>
      <c r="I2347" s="6" t="s">
        <v>7566</v>
      </c>
      <c r="J2347" s="6" t="s">
        <v>154</v>
      </c>
      <c r="K2347" s="9" t="str">
        <f t="shared" si="69"/>
        <v>Open Creative</v>
      </c>
      <c r="L2347" s="6" t="s">
        <v>131</v>
      </c>
      <c r="M2347" s="6" t="s">
        <v>7537</v>
      </c>
      <c r="N2347" s="6" t="s">
        <v>132</v>
      </c>
      <c r="O2347" s="36" t="s">
        <v>132</v>
      </c>
      <c r="P2347" s="36">
        <v>1.489376746E9</v>
      </c>
      <c r="Q2347" s="36" t="s">
        <v>7541</v>
      </c>
      <c r="R2347" s="6" t="s">
        <v>7542</v>
      </c>
    </row>
    <row r="2348">
      <c r="A2348" s="6" t="s">
        <v>7537</v>
      </c>
      <c r="B2348" s="6" t="s">
        <v>7537</v>
      </c>
      <c r="C2348" s="6">
        <v>739.0</v>
      </c>
      <c r="D2348" s="9" t="str">
        <f>HYPERLINK("https://www.linkedin.com/ad-library/detail/1489422426","Open Ad")</f>
        <v>Open Ad</v>
      </c>
      <c r="E2348" s="6" t="s">
        <v>154</v>
      </c>
      <c r="F2348" s="6" t="s">
        <v>53</v>
      </c>
      <c r="G2348" s="6" t="s">
        <v>7637</v>
      </c>
      <c r="H2348" s="6" t="s">
        <v>55</v>
      </c>
      <c r="I2348" s="6" t="s">
        <v>7566</v>
      </c>
      <c r="J2348" s="6" t="s">
        <v>154</v>
      </c>
      <c r="K2348" s="9" t="str">
        <f t="shared" si="69"/>
        <v>Open Creative</v>
      </c>
      <c r="L2348" s="6" t="s">
        <v>131</v>
      </c>
      <c r="M2348" s="6" t="s">
        <v>7537</v>
      </c>
      <c r="N2348" s="6" t="s">
        <v>132</v>
      </c>
      <c r="O2348" s="36" t="s">
        <v>132</v>
      </c>
      <c r="P2348" s="36">
        <v>1.489422426E9</v>
      </c>
      <c r="Q2348" s="36" t="s">
        <v>7541</v>
      </c>
      <c r="R2348" s="6" t="s">
        <v>7542</v>
      </c>
    </row>
    <row r="2349">
      <c r="A2349" s="6" t="s">
        <v>7537</v>
      </c>
      <c r="B2349" s="6" t="s">
        <v>7537</v>
      </c>
      <c r="C2349" s="6">
        <v>740.0</v>
      </c>
      <c r="D2349" s="9" t="str">
        <f>HYPERLINK("https://www.linkedin.com/ad-library/detail/1493185816","Open Ad")</f>
        <v>Open Ad</v>
      </c>
      <c r="E2349" s="6" t="s">
        <v>91</v>
      </c>
      <c r="F2349" s="6" t="s">
        <v>53</v>
      </c>
      <c r="G2349" s="6" t="s">
        <v>7654</v>
      </c>
      <c r="H2349" s="6" t="s">
        <v>55</v>
      </c>
      <c r="I2349" s="6" t="s">
        <v>7566</v>
      </c>
      <c r="J2349" s="6" t="s">
        <v>91</v>
      </c>
      <c r="K2349" s="9" t="str">
        <f>HYPERLINK("https://media.licdn.com/dms/image/v2/D5610AQG-W0vfYlacXw/image-shrink_1280/B56Z85F8wlGQAc-/0/1783369288973/A_BW-1png?e=2147483647&amp;v=beta&amp;t=C8e2mjB9GcYKOdzzPPOGSMDzF2XyvmVPQN4iBzoWq_0","Open Creative")</f>
        <v>Open Creative</v>
      </c>
      <c r="L2349" s="6" t="s">
        <v>131</v>
      </c>
      <c r="M2349" s="6" t="s">
        <v>7537</v>
      </c>
      <c r="N2349" s="6" t="s">
        <v>132</v>
      </c>
      <c r="O2349" s="36" t="s">
        <v>132</v>
      </c>
      <c r="P2349" s="36">
        <v>1.493185816E9</v>
      </c>
      <c r="Q2349" s="36" t="s">
        <v>7541</v>
      </c>
      <c r="R2349" s="6" t="s">
        <v>7542</v>
      </c>
    </row>
    <row r="2350">
      <c r="A2350" s="6" t="s">
        <v>7537</v>
      </c>
      <c r="B2350" s="6" t="s">
        <v>7537</v>
      </c>
      <c r="C2350" s="6">
        <v>741.0</v>
      </c>
      <c r="D2350" s="9" t="str">
        <f>HYPERLINK("https://www.linkedin.com/ad-library/detail/1493321456","Open Ad")</f>
        <v>Open Ad</v>
      </c>
      <c r="E2350" s="6" t="s">
        <v>91</v>
      </c>
      <c r="F2350" s="6" t="s">
        <v>53</v>
      </c>
      <c r="G2350" s="6" t="s">
        <v>7652</v>
      </c>
      <c r="H2350" s="6" t="s">
        <v>55</v>
      </c>
      <c r="I2350" s="6" t="s">
        <v>7566</v>
      </c>
      <c r="J2350" s="6" t="s">
        <v>91</v>
      </c>
      <c r="K2350" s="9" t="str">
        <f>HYPERLINK("https://media.licdn.com/dms/image/v2/D5610AQHCYdBxt7VRwA/image-shrink_1280/B56Z85GUc9IMAc-/0/1783369386053/B_colorpng?e=2147483647&amp;v=beta&amp;t=i9aat7HuIK6ApjhGLZw1eNfyrFSLgDXwpNird8uNkNE","Open Creative")</f>
        <v>Open Creative</v>
      </c>
      <c r="L2350" s="6" t="s">
        <v>131</v>
      </c>
      <c r="M2350" s="6" t="s">
        <v>7537</v>
      </c>
      <c r="N2350" s="6" t="s">
        <v>132</v>
      </c>
      <c r="O2350" s="36" t="s">
        <v>132</v>
      </c>
      <c r="P2350" s="36">
        <v>1.493321456E9</v>
      </c>
      <c r="Q2350" s="36" t="s">
        <v>7541</v>
      </c>
      <c r="R2350" s="6" t="s">
        <v>7542</v>
      </c>
    </row>
    <row r="2351">
      <c r="A2351" s="6" t="s">
        <v>7537</v>
      </c>
      <c r="B2351" s="6" t="s">
        <v>7537</v>
      </c>
      <c r="C2351" s="6">
        <v>742.0</v>
      </c>
      <c r="D2351" s="9" t="str">
        <f>HYPERLINK("https://www.linkedin.com/ad-library/detail/1489386056","Open Ad")</f>
        <v>Open Ad</v>
      </c>
      <c r="E2351" s="6" t="s">
        <v>154</v>
      </c>
      <c r="F2351" s="6" t="s">
        <v>53</v>
      </c>
      <c r="G2351" s="6" t="s">
        <v>7637</v>
      </c>
      <c r="H2351" s="6" t="s">
        <v>55</v>
      </c>
      <c r="I2351" s="6" t="s">
        <v>7566</v>
      </c>
      <c r="J2351" s="6" t="s">
        <v>154</v>
      </c>
      <c r="K2351" s="9" t="str">
        <f>HYPERLINK("https://dms.licdn.com/playlist/vid/v2/D5610AQGPpIHkVJhCaA/mp4-640p-30fp-crf28/B56Z83aF5UG4BI-/0/1783341024306?e=2147483647&amp;v=beta&amp;t=6aPscOhwfZC6LVqbrnkx1wzDAaGeDks-p4lXPr_L8Fs","Open Creative")</f>
        <v>Open Creative</v>
      </c>
      <c r="L2351" s="6" t="s">
        <v>131</v>
      </c>
      <c r="M2351" s="6" t="s">
        <v>7537</v>
      </c>
      <c r="N2351" s="6" t="s">
        <v>132</v>
      </c>
      <c r="O2351" s="36" t="s">
        <v>132</v>
      </c>
      <c r="P2351" s="36">
        <v>1.489386056E9</v>
      </c>
      <c r="Q2351" s="36" t="s">
        <v>7541</v>
      </c>
      <c r="R2351" s="6" t="s">
        <v>7542</v>
      </c>
    </row>
    <row r="2352">
      <c r="A2352" s="6" t="s">
        <v>7537</v>
      </c>
      <c r="B2352" s="6" t="s">
        <v>7537</v>
      </c>
      <c r="C2352" s="6">
        <v>743.0</v>
      </c>
      <c r="D2352" s="9" t="str">
        <f>HYPERLINK("https://www.linkedin.com/ad-library/detail/1493214236","Open Ad")</f>
        <v>Open Ad</v>
      </c>
      <c r="E2352" s="6" t="s">
        <v>91</v>
      </c>
      <c r="F2352" s="6" t="s">
        <v>53</v>
      </c>
      <c r="G2352" s="6" t="s">
        <v>7652</v>
      </c>
      <c r="H2352" s="6" t="s">
        <v>55</v>
      </c>
      <c r="I2352" s="6" t="s">
        <v>7566</v>
      </c>
      <c r="J2352" s="6" t="s">
        <v>91</v>
      </c>
      <c r="K2352" s="9" t="str">
        <f t="shared" ref="K2352:K2353" si="70">HYPERLINK("https://media.licdn.com/dms/image/v2/D5610AQHCYdBxt7VRwA/image-shrink_1280/B56Z85GUc9IMAc-/0/1783369386053/B_colorpng?e=2147483647&amp;v=beta&amp;t=i9aat7HuIK6ApjhGLZw1eNfyrFSLgDXwpNird8uNkNE","Open Creative")</f>
        <v>Open Creative</v>
      </c>
      <c r="L2352" s="6" t="s">
        <v>131</v>
      </c>
      <c r="M2352" s="6" t="s">
        <v>7537</v>
      </c>
      <c r="N2352" s="6" t="s">
        <v>132</v>
      </c>
      <c r="O2352" s="36" t="s">
        <v>132</v>
      </c>
      <c r="P2352" s="36">
        <v>1.493214236E9</v>
      </c>
      <c r="Q2352" s="36" t="s">
        <v>7541</v>
      </c>
      <c r="R2352" s="6" t="s">
        <v>7542</v>
      </c>
    </row>
    <row r="2353">
      <c r="A2353" s="6" t="s">
        <v>7537</v>
      </c>
      <c r="B2353" s="6" t="s">
        <v>7537</v>
      </c>
      <c r="C2353" s="6">
        <v>744.0</v>
      </c>
      <c r="D2353" s="9" t="str">
        <f>HYPERLINK("https://www.linkedin.com/ad-library/detail/1493214006","Open Ad")</f>
        <v>Open Ad</v>
      </c>
      <c r="E2353" s="6" t="s">
        <v>91</v>
      </c>
      <c r="F2353" s="6" t="s">
        <v>53</v>
      </c>
      <c r="G2353" s="6" t="s">
        <v>7654</v>
      </c>
      <c r="H2353" s="6" t="s">
        <v>55</v>
      </c>
      <c r="I2353" s="6" t="s">
        <v>7566</v>
      </c>
      <c r="J2353" s="6" t="s">
        <v>91</v>
      </c>
      <c r="K2353" s="9" t="str">
        <f t="shared" si="70"/>
        <v>Open Creative</v>
      </c>
      <c r="L2353" s="6" t="s">
        <v>131</v>
      </c>
      <c r="M2353" s="6" t="s">
        <v>7537</v>
      </c>
      <c r="N2353" s="6" t="s">
        <v>132</v>
      </c>
      <c r="O2353" s="36" t="s">
        <v>132</v>
      </c>
      <c r="P2353" s="36">
        <v>1.493214006E9</v>
      </c>
      <c r="Q2353" s="36" t="s">
        <v>7541</v>
      </c>
      <c r="R2353" s="6" t="s">
        <v>7542</v>
      </c>
    </row>
    <row r="2354">
      <c r="A2354" s="6" t="s">
        <v>7537</v>
      </c>
      <c r="B2354" s="6" t="s">
        <v>7537</v>
      </c>
      <c r="C2354" s="6">
        <v>745.0</v>
      </c>
      <c r="D2354" s="9" t="str">
        <f>HYPERLINK("https://www.linkedin.com/ad-library/detail/1484870416","Open Ad")</f>
        <v>Open Ad</v>
      </c>
      <c r="E2354" s="6" t="s">
        <v>7543</v>
      </c>
      <c r="F2354" s="6" t="s">
        <v>53</v>
      </c>
      <c r="G2354" s="6" t="s">
        <v>7569</v>
      </c>
      <c r="H2354" s="6" t="s">
        <v>55</v>
      </c>
      <c r="I2354" s="6" t="s">
        <v>7566</v>
      </c>
      <c r="J2354" s="6" t="s">
        <v>7546</v>
      </c>
      <c r="K2354" s="6" t="s">
        <v>60</v>
      </c>
      <c r="L2354" s="6" t="s">
        <v>131</v>
      </c>
      <c r="M2354" s="6" t="s">
        <v>7537</v>
      </c>
      <c r="N2354" s="6" t="s">
        <v>132</v>
      </c>
      <c r="O2354" s="36" t="s">
        <v>132</v>
      </c>
      <c r="P2354" s="36">
        <v>1.484870416E9</v>
      </c>
      <c r="Q2354" s="36" t="s">
        <v>7541</v>
      </c>
      <c r="R2354" s="6" t="s">
        <v>7542</v>
      </c>
    </row>
    <row r="2355">
      <c r="A2355" s="6" t="s">
        <v>7537</v>
      </c>
      <c r="B2355" s="6" t="s">
        <v>7537</v>
      </c>
      <c r="C2355" s="6">
        <v>746.0</v>
      </c>
      <c r="D2355" s="9" t="str">
        <f>HYPERLINK("https://www.linkedin.com/ad-library/detail/1484763876","Open Ad")</f>
        <v>Open Ad</v>
      </c>
      <c r="E2355" s="6" t="s">
        <v>7543</v>
      </c>
      <c r="F2355" s="6" t="s">
        <v>53</v>
      </c>
      <c r="G2355" s="6" t="s">
        <v>7569</v>
      </c>
      <c r="H2355" s="6" t="s">
        <v>55</v>
      </c>
      <c r="I2355" s="6" t="s">
        <v>7566</v>
      </c>
      <c r="J2355" s="6" t="s">
        <v>7546</v>
      </c>
      <c r="K2355" s="6" t="s">
        <v>60</v>
      </c>
      <c r="L2355" s="6" t="s">
        <v>131</v>
      </c>
      <c r="M2355" s="6" t="s">
        <v>7537</v>
      </c>
      <c r="N2355" s="6" t="s">
        <v>132</v>
      </c>
      <c r="O2355" s="36" t="s">
        <v>132</v>
      </c>
      <c r="P2355" s="36">
        <v>1.484763876E9</v>
      </c>
      <c r="Q2355" s="36" t="s">
        <v>7541</v>
      </c>
      <c r="R2355" s="6" t="s">
        <v>7542</v>
      </c>
    </row>
    <row r="2356">
      <c r="A2356" s="6" t="s">
        <v>7537</v>
      </c>
      <c r="B2356" s="6" t="s">
        <v>7537</v>
      </c>
      <c r="C2356" s="6">
        <v>747.0</v>
      </c>
      <c r="D2356" s="9" t="str">
        <f>HYPERLINK("https://www.linkedin.com/ad-library/detail/1484714886","Open Ad")</f>
        <v>Open Ad</v>
      </c>
      <c r="E2356" s="6" t="s">
        <v>7543</v>
      </c>
      <c r="F2356" s="6" t="s">
        <v>53</v>
      </c>
      <c r="G2356" s="6" t="s">
        <v>7550</v>
      </c>
      <c r="H2356" s="6" t="s">
        <v>55</v>
      </c>
      <c r="I2356" s="6" t="s">
        <v>7566</v>
      </c>
      <c r="J2356" s="6" t="s">
        <v>7546</v>
      </c>
      <c r="K2356" s="6" t="s">
        <v>60</v>
      </c>
      <c r="L2356" s="6" t="s">
        <v>131</v>
      </c>
      <c r="M2356" s="6" t="s">
        <v>7537</v>
      </c>
      <c r="N2356" s="6" t="s">
        <v>132</v>
      </c>
      <c r="O2356" s="36" t="s">
        <v>132</v>
      </c>
      <c r="P2356" s="36">
        <v>1.484714886E9</v>
      </c>
      <c r="Q2356" s="36" t="s">
        <v>7541</v>
      </c>
      <c r="R2356" s="6" t="s">
        <v>7542</v>
      </c>
    </row>
    <row r="2357">
      <c r="A2357" s="6" t="s">
        <v>7537</v>
      </c>
      <c r="B2357" s="6" t="s">
        <v>7537</v>
      </c>
      <c r="C2357" s="6">
        <v>748.0</v>
      </c>
      <c r="D2357" s="9" t="str">
        <f>HYPERLINK("https://www.linkedin.com/ad-library/detail/1484734326","Open Ad")</f>
        <v>Open Ad</v>
      </c>
      <c r="E2357" s="6" t="s">
        <v>7543</v>
      </c>
      <c r="F2357" s="6" t="s">
        <v>53</v>
      </c>
      <c r="G2357" s="6" t="s">
        <v>7550</v>
      </c>
      <c r="H2357" s="6" t="s">
        <v>55</v>
      </c>
      <c r="I2357" s="6" t="s">
        <v>7566</v>
      </c>
      <c r="J2357" s="6" t="s">
        <v>7546</v>
      </c>
      <c r="K2357" s="6" t="s">
        <v>60</v>
      </c>
      <c r="L2357" s="6" t="s">
        <v>131</v>
      </c>
      <c r="M2357" s="6" t="s">
        <v>7537</v>
      </c>
      <c r="N2357" s="6" t="s">
        <v>132</v>
      </c>
      <c r="O2357" s="36" t="s">
        <v>132</v>
      </c>
      <c r="P2357" s="36">
        <v>1.484734326E9</v>
      </c>
      <c r="Q2357" s="36" t="s">
        <v>7541</v>
      </c>
      <c r="R2357" s="6" t="s">
        <v>7542</v>
      </c>
    </row>
    <row r="2358">
      <c r="A2358" s="6" t="s">
        <v>7537</v>
      </c>
      <c r="B2358" s="6" t="s">
        <v>7537</v>
      </c>
      <c r="C2358" s="6">
        <v>749.0</v>
      </c>
      <c r="D2358" s="9" t="str">
        <f>HYPERLINK("https://www.linkedin.com/ad-library/detail/1487916536","Open Ad")</f>
        <v>Open Ad</v>
      </c>
      <c r="E2358" s="6" t="s">
        <v>154</v>
      </c>
      <c r="F2358" s="6" t="s">
        <v>53</v>
      </c>
      <c r="G2358" s="6" t="s">
        <v>7582</v>
      </c>
      <c r="H2358" s="6" t="s">
        <v>55</v>
      </c>
      <c r="I2358" s="6" t="s">
        <v>7566</v>
      </c>
      <c r="J2358" s="6" t="s">
        <v>154</v>
      </c>
      <c r="K2358" s="9" t="str">
        <f t="shared" ref="K2358:K2359" si="71">HYPERLINK("https://dms.licdn.com/playlist/vid/v2/D5610AQHCJpD_4X3r0w/mp4-360p-30fp-crf28/B56Z8jGxPuG0Bg-/0/1783000416146?e=2147483647&amp;v=beta&amp;t=buNqytXIKQbDSPmN-gF0MjkJ-TiOGUHb02s8kF2cYZo","Open Creative")</f>
        <v>Open Creative</v>
      </c>
      <c r="L2358" s="6" t="s">
        <v>131</v>
      </c>
      <c r="M2358" s="6" t="s">
        <v>7537</v>
      </c>
      <c r="N2358" s="6" t="s">
        <v>132</v>
      </c>
      <c r="O2358" s="36" t="s">
        <v>132</v>
      </c>
      <c r="P2358" s="36">
        <v>1.487916536E9</v>
      </c>
      <c r="Q2358" s="36" t="s">
        <v>7541</v>
      </c>
      <c r="R2358" s="6" t="s">
        <v>7542</v>
      </c>
    </row>
    <row r="2359">
      <c r="A2359" s="6" t="s">
        <v>7537</v>
      </c>
      <c r="B2359" s="6" t="s">
        <v>7537</v>
      </c>
      <c r="C2359" s="6">
        <v>750.0</v>
      </c>
      <c r="D2359" s="9" t="str">
        <f>HYPERLINK("https://www.linkedin.com/ad-library/detail/1488063116","Open Ad")</f>
        <v>Open Ad</v>
      </c>
      <c r="E2359" s="6" t="s">
        <v>154</v>
      </c>
      <c r="F2359" s="6" t="s">
        <v>53</v>
      </c>
      <c r="G2359" s="6" t="s">
        <v>7582</v>
      </c>
      <c r="H2359" s="6" t="s">
        <v>55</v>
      </c>
      <c r="I2359" s="6" t="s">
        <v>7566</v>
      </c>
      <c r="J2359" s="6" t="s">
        <v>154</v>
      </c>
      <c r="K2359" s="9" t="str">
        <f t="shared" si="71"/>
        <v>Open Creative</v>
      </c>
      <c r="L2359" s="6" t="s">
        <v>131</v>
      </c>
      <c r="M2359" s="6" t="s">
        <v>7537</v>
      </c>
      <c r="N2359" s="6" t="s">
        <v>132</v>
      </c>
      <c r="O2359" s="36" t="s">
        <v>132</v>
      </c>
      <c r="P2359" s="36">
        <v>1.488063116E9</v>
      </c>
      <c r="Q2359" s="36" t="s">
        <v>7541</v>
      </c>
      <c r="R2359" s="6" t="s">
        <v>7542</v>
      </c>
    </row>
    <row r="2360">
      <c r="A2360" s="6" t="s">
        <v>7537</v>
      </c>
      <c r="B2360" s="6" t="s">
        <v>7537</v>
      </c>
      <c r="C2360" s="6">
        <v>751.0</v>
      </c>
      <c r="D2360" s="9" t="str">
        <f>HYPERLINK("https://www.linkedin.com/ad-library/detail/1489343826","Open Ad")</f>
        <v>Open Ad</v>
      </c>
      <c r="E2360" s="6" t="s">
        <v>91</v>
      </c>
      <c r="F2360" s="6" t="s">
        <v>53</v>
      </c>
      <c r="G2360" s="6" t="s">
        <v>7575</v>
      </c>
      <c r="H2360" s="6" t="s">
        <v>55</v>
      </c>
      <c r="I2360" s="6" t="s">
        <v>7566</v>
      </c>
      <c r="J2360" s="6" t="s">
        <v>91</v>
      </c>
      <c r="K2360" s="6" t="s">
        <v>60</v>
      </c>
      <c r="L2360" s="6" t="s">
        <v>131</v>
      </c>
      <c r="M2360" s="6" t="s">
        <v>7537</v>
      </c>
      <c r="N2360" s="6" t="s">
        <v>132</v>
      </c>
      <c r="O2360" s="36" t="s">
        <v>132</v>
      </c>
      <c r="P2360" s="36">
        <v>1.489343826E9</v>
      </c>
      <c r="Q2360" s="36" t="s">
        <v>7541</v>
      </c>
      <c r="R2360" s="6" t="s">
        <v>7542</v>
      </c>
    </row>
    <row r="2361">
      <c r="A2361" s="6" t="s">
        <v>7537</v>
      </c>
      <c r="B2361" s="6" t="s">
        <v>7537</v>
      </c>
      <c r="C2361" s="6">
        <v>752.0</v>
      </c>
      <c r="D2361" s="9" t="str">
        <f>HYPERLINK("https://www.linkedin.com/ad-library/detail/1489235726","Open Ad")</f>
        <v>Open Ad</v>
      </c>
      <c r="E2361" s="6" t="s">
        <v>91</v>
      </c>
      <c r="F2361" s="6" t="s">
        <v>53</v>
      </c>
      <c r="G2361" s="6" t="s">
        <v>7604</v>
      </c>
      <c r="H2361" s="6" t="s">
        <v>55</v>
      </c>
      <c r="I2361" s="6" t="s">
        <v>7566</v>
      </c>
      <c r="J2361" s="6" t="s">
        <v>91</v>
      </c>
      <c r="K2361" s="6" t="s">
        <v>60</v>
      </c>
      <c r="L2361" s="6" t="s">
        <v>131</v>
      </c>
      <c r="M2361" s="6" t="s">
        <v>7537</v>
      </c>
      <c r="N2361" s="6" t="s">
        <v>132</v>
      </c>
      <c r="O2361" s="36" t="s">
        <v>132</v>
      </c>
      <c r="P2361" s="36">
        <v>1.489235726E9</v>
      </c>
      <c r="Q2361" s="36" t="s">
        <v>7541</v>
      </c>
      <c r="R2361" s="6" t="s">
        <v>7542</v>
      </c>
    </row>
    <row r="2362">
      <c r="A2362" s="6" t="s">
        <v>7537</v>
      </c>
      <c r="B2362" s="6" t="s">
        <v>7537</v>
      </c>
      <c r="C2362" s="6">
        <v>753.0</v>
      </c>
      <c r="D2362" s="9" t="str">
        <f>HYPERLINK("https://www.linkedin.com/ad-library/detail/1489265356","Open Ad")</f>
        <v>Open Ad</v>
      </c>
      <c r="E2362" s="6" t="s">
        <v>91</v>
      </c>
      <c r="F2362" s="6" t="s">
        <v>53</v>
      </c>
      <c r="G2362" s="6" t="s">
        <v>7576</v>
      </c>
      <c r="H2362" s="6" t="s">
        <v>55</v>
      </c>
      <c r="I2362" s="6" t="s">
        <v>7566</v>
      </c>
      <c r="J2362" s="6" t="s">
        <v>91</v>
      </c>
      <c r="K2362" s="6" t="s">
        <v>60</v>
      </c>
      <c r="L2362" s="6" t="s">
        <v>131</v>
      </c>
      <c r="M2362" s="6" t="s">
        <v>7537</v>
      </c>
      <c r="N2362" s="6" t="s">
        <v>132</v>
      </c>
      <c r="O2362" s="36" t="s">
        <v>132</v>
      </c>
      <c r="P2362" s="36">
        <v>1.489265356E9</v>
      </c>
      <c r="Q2362" s="36" t="s">
        <v>7541</v>
      </c>
      <c r="R2362" s="6" t="s">
        <v>7542</v>
      </c>
    </row>
    <row r="2363">
      <c r="A2363" s="6" t="s">
        <v>7537</v>
      </c>
      <c r="B2363" s="6" t="s">
        <v>7537</v>
      </c>
      <c r="C2363" s="6">
        <v>754.0</v>
      </c>
      <c r="D2363" s="9" t="str">
        <f>HYPERLINK("https://www.linkedin.com/ad-library/detail/1487964576","Open Ad")</f>
        <v>Open Ad</v>
      </c>
      <c r="E2363" s="6" t="s">
        <v>154</v>
      </c>
      <c r="F2363" s="6" t="s">
        <v>53</v>
      </c>
      <c r="G2363" s="6" t="s">
        <v>7582</v>
      </c>
      <c r="H2363" s="6" t="s">
        <v>55</v>
      </c>
      <c r="I2363" s="6" t="s">
        <v>7566</v>
      </c>
      <c r="J2363" s="6" t="s">
        <v>154</v>
      </c>
      <c r="K2363" s="9" t="str">
        <f t="shared" ref="K2363:K2364" si="72">HYPERLINK("https://dms.licdn.com/playlist/vid/v2/D5610AQHCJpD_4X3r0w/mp4-360p-30fp-crf28/B56Z8jGxPuG0Bg-/0/1783000416146?e=2147483647&amp;v=beta&amp;t=buNqytXIKQbDSPmN-gF0MjkJ-TiOGUHb02s8kF2cYZo","Open Creative")</f>
        <v>Open Creative</v>
      </c>
      <c r="L2363" s="6" t="s">
        <v>131</v>
      </c>
      <c r="M2363" s="6" t="s">
        <v>7537</v>
      </c>
      <c r="N2363" s="6" t="s">
        <v>132</v>
      </c>
      <c r="O2363" s="36" t="s">
        <v>132</v>
      </c>
      <c r="P2363" s="36">
        <v>1.487964576E9</v>
      </c>
      <c r="Q2363" s="36" t="s">
        <v>7541</v>
      </c>
      <c r="R2363" s="6" t="s">
        <v>7542</v>
      </c>
    </row>
    <row r="2364">
      <c r="A2364" s="6" t="s">
        <v>7537</v>
      </c>
      <c r="B2364" s="6" t="s">
        <v>7537</v>
      </c>
      <c r="C2364" s="6">
        <v>755.0</v>
      </c>
      <c r="D2364" s="9" t="str">
        <f>HYPERLINK("https://www.linkedin.com/ad-library/detail/1487984006","Open Ad")</f>
        <v>Open Ad</v>
      </c>
      <c r="E2364" s="6" t="s">
        <v>154</v>
      </c>
      <c r="F2364" s="6" t="s">
        <v>53</v>
      </c>
      <c r="G2364" s="6" t="s">
        <v>7582</v>
      </c>
      <c r="H2364" s="6" t="s">
        <v>55</v>
      </c>
      <c r="I2364" s="6" t="s">
        <v>7566</v>
      </c>
      <c r="J2364" s="6" t="s">
        <v>154</v>
      </c>
      <c r="K2364" s="9" t="str">
        <f t="shared" si="72"/>
        <v>Open Creative</v>
      </c>
      <c r="L2364" s="6" t="s">
        <v>131</v>
      </c>
      <c r="M2364" s="6" t="s">
        <v>7537</v>
      </c>
      <c r="N2364" s="6" t="s">
        <v>132</v>
      </c>
      <c r="O2364" s="36" t="s">
        <v>132</v>
      </c>
      <c r="P2364" s="36">
        <v>1.487984006E9</v>
      </c>
      <c r="Q2364" s="36" t="s">
        <v>7541</v>
      </c>
      <c r="R2364" s="6" t="s">
        <v>7542</v>
      </c>
    </row>
    <row r="2365">
      <c r="A2365" s="6" t="s">
        <v>7537</v>
      </c>
      <c r="B2365" s="6" t="s">
        <v>7537</v>
      </c>
      <c r="C2365" s="6">
        <v>756.0</v>
      </c>
      <c r="D2365" s="9" t="str">
        <f>HYPERLINK("https://www.linkedin.com/ad-library/detail/1484675416","Open Ad")</f>
        <v>Open Ad</v>
      </c>
      <c r="E2365" s="6" t="s">
        <v>91</v>
      </c>
      <c r="F2365" s="6" t="s">
        <v>53</v>
      </c>
      <c r="G2365" s="6" t="s">
        <v>7624</v>
      </c>
      <c r="H2365" s="6" t="s">
        <v>55</v>
      </c>
      <c r="I2365" s="6" t="s">
        <v>7566</v>
      </c>
      <c r="J2365" s="6" t="s">
        <v>91</v>
      </c>
      <c r="K2365" s="9" t="str">
        <f>HYPERLINK("https://media.licdn.com/dms/image/v2/D5610AQHWN3cBgpsrZA/image-shrink_1280/B56Z8ThVnqLAAc-/0/1782738934569?e=2147483647&amp;v=beta&amp;t=A-Y9kI8t-vvKXU86I3eo4Ke7-nBQGOwNbp_-WJGBzdU","Open Creative")</f>
        <v>Open Creative</v>
      </c>
      <c r="L2365" s="6" t="s">
        <v>131</v>
      </c>
      <c r="M2365" s="6" t="s">
        <v>7537</v>
      </c>
      <c r="N2365" s="6" t="s">
        <v>132</v>
      </c>
      <c r="O2365" s="36" t="s">
        <v>132</v>
      </c>
      <c r="P2365" s="36">
        <v>1.484675416E9</v>
      </c>
      <c r="Q2365" s="36" t="s">
        <v>7541</v>
      </c>
      <c r="R2365" s="6" t="s">
        <v>7542</v>
      </c>
    </row>
    <row r="2366">
      <c r="A2366" s="6" t="s">
        <v>7537</v>
      </c>
      <c r="B2366" s="6" t="s">
        <v>7537</v>
      </c>
      <c r="C2366" s="6">
        <v>757.0</v>
      </c>
      <c r="D2366" s="9" t="str">
        <f>HYPERLINK("https://www.linkedin.com/ad-library/detail/1487964596","Open Ad")</f>
        <v>Open Ad</v>
      </c>
      <c r="E2366" s="6" t="s">
        <v>154</v>
      </c>
      <c r="F2366" s="6" t="s">
        <v>53</v>
      </c>
      <c r="G2366" s="6" t="s">
        <v>7582</v>
      </c>
      <c r="H2366" s="6" t="s">
        <v>55</v>
      </c>
      <c r="I2366" s="6" t="s">
        <v>7566</v>
      </c>
      <c r="J2366" s="6" t="s">
        <v>154</v>
      </c>
      <c r="K2366" s="9" t="str">
        <f>HYPERLINK("https://dms.licdn.com/playlist/vid/v2/D5610AQHCJpD_4X3r0w/mp4-360p-30fp-crf28/B56Z8jGxPuG0Bg-/0/1783000416146?e=2147483647&amp;v=beta&amp;t=buNqytXIKQbDSPmN-gF0MjkJ-TiOGUHb02s8kF2cYZo","Open Creative")</f>
        <v>Open Creative</v>
      </c>
      <c r="L2366" s="6" t="s">
        <v>131</v>
      </c>
      <c r="M2366" s="6" t="s">
        <v>7537</v>
      </c>
      <c r="N2366" s="6" t="s">
        <v>132</v>
      </c>
      <c r="O2366" s="36" t="s">
        <v>132</v>
      </c>
      <c r="P2366" s="36">
        <v>1.487964596E9</v>
      </c>
      <c r="Q2366" s="36" t="s">
        <v>7541</v>
      </c>
      <c r="R2366" s="6" t="s">
        <v>7542</v>
      </c>
    </row>
    <row r="2367">
      <c r="A2367" s="6" t="s">
        <v>7537</v>
      </c>
      <c r="B2367" s="6" t="s">
        <v>7537</v>
      </c>
      <c r="C2367" s="6">
        <v>758.0</v>
      </c>
      <c r="D2367" s="9" t="str">
        <f>HYPERLINK("https://www.linkedin.com/ad-library/detail/1484822856","Open Ad")</f>
        <v>Open Ad</v>
      </c>
      <c r="E2367" s="6" t="s">
        <v>91</v>
      </c>
      <c r="F2367" s="6" t="s">
        <v>53</v>
      </c>
      <c r="G2367" s="6" t="s">
        <v>7595</v>
      </c>
      <c r="H2367" s="6" t="s">
        <v>55</v>
      </c>
      <c r="I2367" s="6" t="s">
        <v>7566</v>
      </c>
      <c r="J2367" s="6" t="s">
        <v>91</v>
      </c>
      <c r="K2367" s="9" t="str">
        <f t="shared" ref="K2367:K2368" si="73">HYPERLINK("https://media.licdn.com/dms/image/v2/D5610AQF5ONUziLB90Q/image-shrink_1280/B56Z8YuROrGcAc-/0/1782826211326?e=2147483647&amp;v=beta&amp;t=P2Cz2Aul20qMidWME_WS_vAnPWT-iq7vaBsEHckvets","Open Creative")</f>
        <v>Open Creative</v>
      </c>
      <c r="L2367" s="6" t="s">
        <v>131</v>
      </c>
      <c r="M2367" s="6" t="s">
        <v>7537</v>
      </c>
      <c r="N2367" s="6" t="s">
        <v>132</v>
      </c>
      <c r="O2367" s="36" t="s">
        <v>132</v>
      </c>
      <c r="P2367" s="36">
        <v>1.484822856E9</v>
      </c>
      <c r="Q2367" s="36" t="s">
        <v>7541</v>
      </c>
      <c r="R2367" s="6" t="s">
        <v>7542</v>
      </c>
    </row>
    <row r="2368">
      <c r="A2368" s="6" t="s">
        <v>7537</v>
      </c>
      <c r="B2368" s="6" t="s">
        <v>7537</v>
      </c>
      <c r="C2368" s="6">
        <v>759.0</v>
      </c>
      <c r="D2368" s="9" t="str">
        <f>HYPERLINK("https://www.linkedin.com/ad-library/detail/1484802886","Open Ad")</f>
        <v>Open Ad</v>
      </c>
      <c r="E2368" s="6" t="s">
        <v>91</v>
      </c>
      <c r="F2368" s="6" t="s">
        <v>53</v>
      </c>
      <c r="G2368" s="6" t="s">
        <v>7595</v>
      </c>
      <c r="H2368" s="6" t="s">
        <v>55</v>
      </c>
      <c r="I2368" s="6" t="s">
        <v>7566</v>
      </c>
      <c r="J2368" s="6" t="s">
        <v>91</v>
      </c>
      <c r="K2368" s="9" t="str">
        <f t="shared" si="73"/>
        <v>Open Creative</v>
      </c>
      <c r="L2368" s="6" t="s">
        <v>131</v>
      </c>
      <c r="M2368" s="6" t="s">
        <v>7537</v>
      </c>
      <c r="N2368" s="6" t="s">
        <v>132</v>
      </c>
      <c r="O2368" s="36" t="s">
        <v>132</v>
      </c>
      <c r="P2368" s="36">
        <v>1.484802886E9</v>
      </c>
      <c r="Q2368" s="36" t="s">
        <v>7541</v>
      </c>
      <c r="R2368" s="6" t="s">
        <v>7542</v>
      </c>
    </row>
    <row r="2369">
      <c r="A2369" s="6" t="s">
        <v>7537</v>
      </c>
      <c r="B2369" s="6" t="s">
        <v>7537</v>
      </c>
      <c r="C2369" s="6">
        <v>760.0</v>
      </c>
      <c r="D2369" s="9" t="str">
        <f>HYPERLINK("https://www.linkedin.com/ad-library/detail/1489215986","Open Ad")</f>
        <v>Open Ad</v>
      </c>
      <c r="E2369" s="6" t="s">
        <v>91</v>
      </c>
      <c r="F2369" s="6" t="s">
        <v>53</v>
      </c>
      <c r="G2369" s="6" t="s">
        <v>7576</v>
      </c>
      <c r="H2369" s="6" t="s">
        <v>55</v>
      </c>
      <c r="I2369" s="6" t="s">
        <v>7566</v>
      </c>
      <c r="J2369" s="6" t="s">
        <v>91</v>
      </c>
      <c r="K2369" s="6" t="s">
        <v>60</v>
      </c>
      <c r="L2369" s="6" t="s">
        <v>131</v>
      </c>
      <c r="M2369" s="6" t="s">
        <v>7537</v>
      </c>
      <c r="N2369" s="6" t="s">
        <v>132</v>
      </c>
      <c r="O2369" s="36" t="s">
        <v>132</v>
      </c>
      <c r="P2369" s="36">
        <v>1.489215986E9</v>
      </c>
      <c r="Q2369" s="36" t="s">
        <v>7541</v>
      </c>
      <c r="R2369" s="6" t="s">
        <v>7542</v>
      </c>
    </row>
    <row r="2370">
      <c r="A2370" s="6" t="s">
        <v>7537</v>
      </c>
      <c r="B2370" s="6" t="s">
        <v>7537</v>
      </c>
      <c r="C2370" s="6">
        <v>761.0</v>
      </c>
      <c r="D2370" s="9" t="str">
        <f>HYPERLINK("https://www.linkedin.com/ad-library/detail/1484851076","Open Ad")</f>
        <v>Open Ad</v>
      </c>
      <c r="E2370" s="6" t="s">
        <v>91</v>
      </c>
      <c r="F2370" s="6" t="s">
        <v>53</v>
      </c>
      <c r="G2370" s="6" t="s">
        <v>7657</v>
      </c>
      <c r="H2370" s="6" t="s">
        <v>55</v>
      </c>
      <c r="I2370" s="6" t="s">
        <v>7566</v>
      </c>
      <c r="J2370" s="6" t="s">
        <v>91</v>
      </c>
      <c r="K2370" s="9" t="str">
        <f>HYPERLINK("https://media.licdn.com/dms/image/v2/D5610AQEK_ZXEUIwUDg/image-shrink_1280/B56Z8VV8Z8IQAc-/0/1782769502914?e=2147483647&amp;v=beta&amp;t=p7_TlJl_IkeRZL0ZP3H_p-YI8EqkklAJB-asRuKpJ_Q","Open Creative")</f>
        <v>Open Creative</v>
      </c>
      <c r="L2370" s="6" t="s">
        <v>131</v>
      </c>
      <c r="M2370" s="6" t="s">
        <v>7537</v>
      </c>
      <c r="N2370" s="6" t="s">
        <v>132</v>
      </c>
      <c r="O2370" s="36" t="s">
        <v>132</v>
      </c>
      <c r="P2370" s="36">
        <v>1.484851076E9</v>
      </c>
      <c r="Q2370" s="36" t="s">
        <v>7541</v>
      </c>
      <c r="R2370" s="6" t="s">
        <v>7542</v>
      </c>
    </row>
    <row r="2371">
      <c r="A2371" s="6" t="s">
        <v>7537</v>
      </c>
      <c r="B2371" s="6" t="s">
        <v>7537</v>
      </c>
      <c r="C2371" s="6">
        <v>762.0</v>
      </c>
      <c r="D2371" s="9" t="str">
        <f>HYPERLINK("https://www.linkedin.com/ad-library/detail/1489215976","Open Ad")</f>
        <v>Open Ad</v>
      </c>
      <c r="E2371" s="6" t="s">
        <v>91</v>
      </c>
      <c r="F2371" s="6" t="s">
        <v>53</v>
      </c>
      <c r="G2371" s="6" t="s">
        <v>7604</v>
      </c>
      <c r="H2371" s="6" t="s">
        <v>55</v>
      </c>
      <c r="I2371" s="6" t="s">
        <v>7566</v>
      </c>
      <c r="J2371" s="6" t="s">
        <v>91</v>
      </c>
      <c r="K2371" s="6" t="s">
        <v>60</v>
      </c>
      <c r="L2371" s="6" t="s">
        <v>131</v>
      </c>
      <c r="M2371" s="6" t="s">
        <v>7537</v>
      </c>
      <c r="N2371" s="6" t="s">
        <v>132</v>
      </c>
      <c r="O2371" s="36" t="s">
        <v>132</v>
      </c>
      <c r="P2371" s="36">
        <v>1.489215976E9</v>
      </c>
      <c r="Q2371" s="36" t="s">
        <v>7541</v>
      </c>
      <c r="R2371" s="6" t="s">
        <v>7542</v>
      </c>
    </row>
    <row r="2372">
      <c r="A2372" s="6" t="s">
        <v>7537</v>
      </c>
      <c r="B2372" s="6" t="s">
        <v>7537</v>
      </c>
      <c r="C2372" s="6">
        <v>763.0</v>
      </c>
      <c r="D2372" s="9" t="str">
        <f>HYPERLINK("https://www.linkedin.com/ad-library/detail/1489324716","Open Ad")</f>
        <v>Open Ad</v>
      </c>
      <c r="E2372" s="6" t="s">
        <v>91</v>
      </c>
      <c r="F2372" s="6" t="s">
        <v>53</v>
      </c>
      <c r="G2372" s="6" t="s">
        <v>7578</v>
      </c>
      <c r="H2372" s="6" t="s">
        <v>55</v>
      </c>
      <c r="I2372" s="6" t="s">
        <v>7566</v>
      </c>
      <c r="J2372" s="6" t="s">
        <v>91</v>
      </c>
      <c r="K2372" s="6" t="s">
        <v>60</v>
      </c>
      <c r="L2372" s="6" t="s">
        <v>131</v>
      </c>
      <c r="M2372" s="6" t="s">
        <v>7537</v>
      </c>
      <c r="N2372" s="6" t="s">
        <v>132</v>
      </c>
      <c r="O2372" s="36" t="s">
        <v>132</v>
      </c>
      <c r="P2372" s="36">
        <v>1.489324716E9</v>
      </c>
      <c r="Q2372" s="36" t="s">
        <v>7541</v>
      </c>
      <c r="R2372" s="6" t="s">
        <v>7542</v>
      </c>
    </row>
    <row r="2373">
      <c r="A2373" s="6" t="s">
        <v>7537</v>
      </c>
      <c r="B2373" s="6" t="s">
        <v>7537</v>
      </c>
      <c r="C2373" s="6">
        <v>764.0</v>
      </c>
      <c r="D2373" s="9" t="str">
        <f>HYPERLINK("https://www.linkedin.com/ad-library/detail/1489294836","Open Ad")</f>
        <v>Open Ad</v>
      </c>
      <c r="E2373" s="6" t="s">
        <v>91</v>
      </c>
      <c r="F2373" s="6" t="s">
        <v>53</v>
      </c>
      <c r="G2373" s="6" t="s">
        <v>7578</v>
      </c>
      <c r="H2373" s="6" t="s">
        <v>55</v>
      </c>
      <c r="I2373" s="6" t="s">
        <v>7566</v>
      </c>
      <c r="J2373" s="6" t="s">
        <v>91</v>
      </c>
      <c r="K2373" s="6" t="s">
        <v>60</v>
      </c>
      <c r="L2373" s="6" t="s">
        <v>131</v>
      </c>
      <c r="M2373" s="6" t="s">
        <v>7537</v>
      </c>
      <c r="N2373" s="6" t="s">
        <v>132</v>
      </c>
      <c r="O2373" s="36" t="s">
        <v>132</v>
      </c>
      <c r="P2373" s="36">
        <v>1.489294836E9</v>
      </c>
      <c r="Q2373" s="36" t="s">
        <v>7541</v>
      </c>
      <c r="R2373" s="6" t="s">
        <v>7542</v>
      </c>
    </row>
    <row r="2374">
      <c r="A2374" s="6" t="s">
        <v>7537</v>
      </c>
      <c r="B2374" s="6" t="s">
        <v>7537</v>
      </c>
      <c r="C2374" s="6">
        <v>765.0</v>
      </c>
      <c r="D2374" s="9" t="str">
        <f>HYPERLINK("https://www.linkedin.com/ad-library/detail/1489372026","Open Ad")</f>
        <v>Open Ad</v>
      </c>
      <c r="E2374" s="6" t="s">
        <v>91</v>
      </c>
      <c r="F2374" s="6" t="s">
        <v>53</v>
      </c>
      <c r="G2374" s="6" t="s">
        <v>7576</v>
      </c>
      <c r="H2374" s="6" t="s">
        <v>55</v>
      </c>
      <c r="I2374" s="6" t="s">
        <v>7566</v>
      </c>
      <c r="J2374" s="6" t="s">
        <v>91</v>
      </c>
      <c r="K2374" s="6" t="s">
        <v>60</v>
      </c>
      <c r="L2374" s="6" t="s">
        <v>131</v>
      </c>
      <c r="M2374" s="6" t="s">
        <v>7537</v>
      </c>
      <c r="N2374" s="6" t="s">
        <v>132</v>
      </c>
      <c r="O2374" s="36" t="s">
        <v>132</v>
      </c>
      <c r="P2374" s="36">
        <v>1.489372026E9</v>
      </c>
      <c r="Q2374" s="36" t="s">
        <v>7541</v>
      </c>
      <c r="R2374" s="6" t="s">
        <v>7542</v>
      </c>
    </row>
    <row r="2375">
      <c r="A2375" s="6" t="s">
        <v>7537</v>
      </c>
      <c r="B2375" s="6" t="s">
        <v>7537</v>
      </c>
      <c r="C2375" s="6">
        <v>766.0</v>
      </c>
      <c r="D2375" s="9" t="str">
        <f>HYPERLINK("https://www.linkedin.com/ad-library/detail/1484704646","Open Ad")</f>
        <v>Open Ad</v>
      </c>
      <c r="E2375" s="6" t="s">
        <v>91</v>
      </c>
      <c r="F2375" s="6" t="s">
        <v>53</v>
      </c>
      <c r="G2375" s="6" t="s">
        <v>7624</v>
      </c>
      <c r="H2375" s="6" t="s">
        <v>55</v>
      </c>
      <c r="I2375" s="6" t="s">
        <v>7566</v>
      </c>
      <c r="J2375" s="6" t="s">
        <v>91</v>
      </c>
      <c r="K2375" s="9" t="str">
        <f>HYPERLINK("https://media.licdn.com/dms/image/v2/D5610AQHWN3cBgpsrZA/image-shrink_1280/B56Z8ThVnqLAAc-/0/1782738934569?e=2147483647&amp;v=beta&amp;t=A-Y9kI8t-vvKXU86I3eo4Ke7-nBQGOwNbp_-WJGBzdU","Open Creative")</f>
        <v>Open Creative</v>
      </c>
      <c r="L2375" s="6" t="s">
        <v>131</v>
      </c>
      <c r="M2375" s="6" t="s">
        <v>7537</v>
      </c>
      <c r="N2375" s="6" t="s">
        <v>132</v>
      </c>
      <c r="O2375" s="36" t="s">
        <v>132</v>
      </c>
      <c r="P2375" s="36">
        <v>1.484704646E9</v>
      </c>
      <c r="Q2375" s="36" t="s">
        <v>7541</v>
      </c>
      <c r="R2375" s="6" t="s">
        <v>7542</v>
      </c>
    </row>
    <row r="2376">
      <c r="A2376" s="6" t="s">
        <v>7537</v>
      </c>
      <c r="B2376" s="6" t="s">
        <v>7537</v>
      </c>
      <c r="C2376" s="6">
        <v>767.0</v>
      </c>
      <c r="D2376" s="9" t="str">
        <f>HYPERLINK("https://www.linkedin.com/ad-library/detail/1489284816","Open Ad")</f>
        <v>Open Ad</v>
      </c>
      <c r="E2376" s="6" t="s">
        <v>91</v>
      </c>
      <c r="F2376" s="6" t="s">
        <v>53</v>
      </c>
      <c r="G2376" s="6" t="s">
        <v>7575</v>
      </c>
      <c r="H2376" s="6" t="s">
        <v>55</v>
      </c>
      <c r="I2376" s="6" t="s">
        <v>7566</v>
      </c>
      <c r="J2376" s="6" t="s">
        <v>91</v>
      </c>
      <c r="K2376" s="6" t="s">
        <v>60</v>
      </c>
      <c r="L2376" s="6" t="s">
        <v>131</v>
      </c>
      <c r="M2376" s="6" t="s">
        <v>7537</v>
      </c>
      <c r="N2376" s="6" t="s">
        <v>132</v>
      </c>
      <c r="O2376" s="36" t="s">
        <v>132</v>
      </c>
      <c r="P2376" s="36">
        <v>1.489284816E9</v>
      </c>
      <c r="Q2376" s="36" t="s">
        <v>7541</v>
      </c>
      <c r="R2376" s="6" t="s">
        <v>7542</v>
      </c>
    </row>
    <row r="2377">
      <c r="A2377" s="6" t="s">
        <v>7537</v>
      </c>
      <c r="B2377" s="6" t="s">
        <v>7537</v>
      </c>
      <c r="C2377" s="6">
        <v>768.0</v>
      </c>
      <c r="D2377" s="9" t="str">
        <f>HYPERLINK("https://www.linkedin.com/ad-library/detail/1488013816","Open Ad")</f>
        <v>Open Ad</v>
      </c>
      <c r="E2377" s="6" t="s">
        <v>154</v>
      </c>
      <c r="F2377" s="6" t="s">
        <v>53</v>
      </c>
      <c r="G2377" s="6" t="s">
        <v>7582</v>
      </c>
      <c r="H2377" s="6" t="s">
        <v>55</v>
      </c>
      <c r="I2377" s="6" t="s">
        <v>7566</v>
      </c>
      <c r="J2377" s="6" t="s">
        <v>154</v>
      </c>
      <c r="K2377" s="9" t="str">
        <f>HYPERLINK("https://dms.licdn.com/playlist/vid/v2/D5610AQHCJpD_4X3r0w/mp4-360p-30fp-crf28/B56Z8jGxPuG0Bg-/0/1783000416146?e=2147483647&amp;v=beta&amp;t=buNqytXIKQbDSPmN-gF0MjkJ-TiOGUHb02s8kF2cYZo","Open Creative")</f>
        <v>Open Creative</v>
      </c>
      <c r="L2377" s="6" t="s">
        <v>131</v>
      </c>
      <c r="M2377" s="6" t="s">
        <v>7537</v>
      </c>
      <c r="N2377" s="6" t="s">
        <v>132</v>
      </c>
      <c r="O2377" s="36" t="s">
        <v>132</v>
      </c>
      <c r="P2377" s="36">
        <v>1.488013816E9</v>
      </c>
      <c r="Q2377" s="36" t="s">
        <v>7541</v>
      </c>
      <c r="R2377" s="6" t="s">
        <v>7542</v>
      </c>
    </row>
    <row r="2378">
      <c r="A2378" s="6" t="s">
        <v>7537</v>
      </c>
      <c r="B2378" s="6" t="s">
        <v>7537</v>
      </c>
      <c r="C2378" s="6">
        <v>769.0</v>
      </c>
      <c r="D2378" s="9" t="str">
        <f>HYPERLINK("https://www.linkedin.com/ad-library/detail/1484714726","Open Ad")</f>
        <v>Open Ad</v>
      </c>
      <c r="E2378" s="6" t="s">
        <v>91</v>
      </c>
      <c r="F2378" s="6" t="s">
        <v>53</v>
      </c>
      <c r="G2378" s="6" t="s">
        <v>7624</v>
      </c>
      <c r="H2378" s="6" t="s">
        <v>55</v>
      </c>
      <c r="I2378" s="6" t="s">
        <v>7566</v>
      </c>
      <c r="J2378" s="6" t="s">
        <v>91</v>
      </c>
      <c r="K2378" s="9" t="str">
        <f>HYPERLINK("https://media.licdn.com/dms/image/v2/D5610AQHWN3cBgpsrZA/image-shrink_1280/B56Z8ThVnqLAAc-/0/1782738934569?e=2147483647&amp;v=beta&amp;t=A-Y9kI8t-vvKXU86I3eo4Ke7-nBQGOwNbp_-WJGBzdU","Open Creative")</f>
        <v>Open Creative</v>
      </c>
      <c r="L2378" s="6" t="s">
        <v>131</v>
      </c>
      <c r="M2378" s="6" t="s">
        <v>7537</v>
      </c>
      <c r="N2378" s="6" t="s">
        <v>132</v>
      </c>
      <c r="O2378" s="36" t="s">
        <v>132</v>
      </c>
      <c r="P2378" s="36">
        <v>1.484714726E9</v>
      </c>
      <c r="Q2378" s="36" t="s">
        <v>7541</v>
      </c>
      <c r="R2378" s="6" t="s">
        <v>7542</v>
      </c>
    </row>
    <row r="2379">
      <c r="A2379" s="6" t="s">
        <v>7537</v>
      </c>
      <c r="B2379" s="6" t="s">
        <v>7537</v>
      </c>
      <c r="C2379" s="6">
        <v>770.0</v>
      </c>
      <c r="D2379" s="9" t="str">
        <f>HYPERLINK("https://www.linkedin.com/ad-library/detail/1480563956","Open Ad")</f>
        <v>Open Ad</v>
      </c>
      <c r="E2379" s="6" t="s">
        <v>154</v>
      </c>
      <c r="F2379" s="6" t="s">
        <v>53</v>
      </c>
      <c r="G2379" s="6" t="s">
        <v>7658</v>
      </c>
      <c r="H2379" s="6" t="s">
        <v>55</v>
      </c>
      <c r="I2379" s="6" t="s">
        <v>7566</v>
      </c>
      <c r="J2379" s="6" t="s">
        <v>154</v>
      </c>
      <c r="K2379" s="9" t="str">
        <f>HYPERLINK("https://dms.licdn.com/playlist/vid/v2/D5610AQFJBcQOyNjAcA/mp4-360p-30fp-crf28/B56Z8FlsDAIoCA-/0/1782505196254?e=2147483647&amp;v=beta&amp;t=4sUNWeKXfFsvVKFYJqbakR6_0PgqnP76JWX4KweWgHs","Open Creative")</f>
        <v>Open Creative</v>
      </c>
      <c r="L2379" s="6" t="s">
        <v>131</v>
      </c>
      <c r="M2379" s="6" t="s">
        <v>7537</v>
      </c>
      <c r="N2379" s="6" t="s">
        <v>132</v>
      </c>
      <c r="O2379" s="36" t="s">
        <v>132</v>
      </c>
      <c r="P2379" s="36">
        <v>1.480563956E9</v>
      </c>
      <c r="Q2379" s="36" t="s">
        <v>7541</v>
      </c>
      <c r="R2379" s="6" t="s">
        <v>7542</v>
      </c>
    </row>
    <row r="2380">
      <c r="A2380" s="6" t="s">
        <v>7537</v>
      </c>
      <c r="B2380" s="6" t="s">
        <v>7537</v>
      </c>
      <c r="C2380" s="6">
        <v>771.0</v>
      </c>
      <c r="D2380" s="9" t="str">
        <f>HYPERLINK("https://www.linkedin.com/ad-library/detail/1484842686","Open Ad")</f>
        <v>Open Ad</v>
      </c>
      <c r="E2380" s="6" t="s">
        <v>91</v>
      </c>
      <c r="F2380" s="6" t="s">
        <v>53</v>
      </c>
      <c r="G2380" s="6" t="s">
        <v>7595</v>
      </c>
      <c r="H2380" s="6" t="s">
        <v>55</v>
      </c>
      <c r="I2380" s="6" t="s">
        <v>7566</v>
      </c>
      <c r="J2380" s="6" t="s">
        <v>91</v>
      </c>
      <c r="K2380" s="9" t="str">
        <f>HYPERLINK("https://media.licdn.com/dms/image/v2/D5610AQF5ONUziLB90Q/image-shrink_1280/B56Z8YuROrGcAc-/0/1782826211326?e=2147483647&amp;v=beta&amp;t=P2Cz2Aul20qMidWME_WS_vAnPWT-iq7vaBsEHckvets","Open Creative")</f>
        <v>Open Creative</v>
      </c>
      <c r="L2380" s="6" t="s">
        <v>131</v>
      </c>
      <c r="M2380" s="6" t="s">
        <v>7537</v>
      </c>
      <c r="N2380" s="6" t="s">
        <v>132</v>
      </c>
      <c r="O2380" s="36" t="s">
        <v>132</v>
      </c>
      <c r="P2380" s="36">
        <v>1.484842686E9</v>
      </c>
      <c r="Q2380" s="36" t="s">
        <v>7541</v>
      </c>
      <c r="R2380" s="6" t="s">
        <v>7542</v>
      </c>
    </row>
    <row r="2381">
      <c r="A2381" s="6" t="s">
        <v>7537</v>
      </c>
      <c r="B2381" s="6" t="s">
        <v>7537</v>
      </c>
      <c r="C2381" s="6">
        <v>772.0</v>
      </c>
      <c r="D2381" s="9" t="str">
        <f>HYPERLINK("https://www.linkedin.com/ad-library/detail/1484704096","Open Ad")</f>
        <v>Open Ad</v>
      </c>
      <c r="E2381" s="6" t="s">
        <v>7543</v>
      </c>
      <c r="F2381" s="6" t="s">
        <v>53</v>
      </c>
      <c r="G2381" s="6" t="s">
        <v>7550</v>
      </c>
      <c r="H2381" s="6" t="s">
        <v>55</v>
      </c>
      <c r="I2381" s="6" t="s">
        <v>7566</v>
      </c>
      <c r="J2381" s="6" t="s">
        <v>7546</v>
      </c>
      <c r="K2381" s="6" t="s">
        <v>60</v>
      </c>
      <c r="L2381" s="6" t="s">
        <v>131</v>
      </c>
      <c r="M2381" s="6" t="s">
        <v>7537</v>
      </c>
      <c r="N2381" s="6" t="s">
        <v>132</v>
      </c>
      <c r="O2381" s="36" t="s">
        <v>132</v>
      </c>
      <c r="P2381" s="36">
        <v>1.484704096E9</v>
      </c>
      <c r="Q2381" s="36" t="s">
        <v>7541</v>
      </c>
      <c r="R2381" s="6" t="s">
        <v>7542</v>
      </c>
    </row>
    <row r="2382">
      <c r="A2382" s="6" t="s">
        <v>7537</v>
      </c>
      <c r="B2382" s="6" t="s">
        <v>7537</v>
      </c>
      <c r="C2382" s="6">
        <v>773.0</v>
      </c>
      <c r="D2382" s="9" t="str">
        <f>HYPERLINK("https://www.linkedin.com/ad-library/detail/1484734266","Open Ad")</f>
        <v>Open Ad</v>
      </c>
      <c r="E2382" s="6" t="s">
        <v>91</v>
      </c>
      <c r="F2382" s="6" t="s">
        <v>53</v>
      </c>
      <c r="G2382" s="6" t="s">
        <v>7624</v>
      </c>
      <c r="H2382" s="6" t="s">
        <v>55</v>
      </c>
      <c r="I2382" s="6" t="s">
        <v>7566</v>
      </c>
      <c r="J2382" s="6" t="s">
        <v>91</v>
      </c>
      <c r="K2382" s="9" t="str">
        <f>HYPERLINK("https://media.licdn.com/dms/image/v2/D5610AQHWN3cBgpsrZA/image-shrink_1280/B56Z8ThVnqLAAc-/0/1782738934569?e=2147483647&amp;v=beta&amp;t=A-Y9kI8t-vvKXU86I3eo4Ke7-nBQGOwNbp_-WJGBzdU","Open Creative")</f>
        <v>Open Creative</v>
      </c>
      <c r="L2382" s="6" t="s">
        <v>131</v>
      </c>
      <c r="M2382" s="6" t="s">
        <v>7537</v>
      </c>
      <c r="N2382" s="6" t="s">
        <v>132</v>
      </c>
      <c r="O2382" s="36" t="s">
        <v>132</v>
      </c>
      <c r="P2382" s="36">
        <v>1.484734266E9</v>
      </c>
      <c r="Q2382" s="36" t="s">
        <v>7541</v>
      </c>
      <c r="R2382" s="6" t="s">
        <v>7542</v>
      </c>
    </row>
    <row r="2383">
      <c r="A2383" s="6" t="s">
        <v>7537</v>
      </c>
      <c r="B2383" s="6" t="s">
        <v>7537</v>
      </c>
      <c r="C2383" s="6">
        <v>774.0</v>
      </c>
      <c r="D2383" s="9" t="str">
        <f>HYPERLINK("https://www.linkedin.com/ad-library/detail/1480621316","Open Ad")</f>
        <v>Open Ad</v>
      </c>
      <c r="E2383" s="6" t="s">
        <v>154</v>
      </c>
      <c r="F2383" s="6" t="s">
        <v>53</v>
      </c>
      <c r="G2383" s="6" t="s">
        <v>7658</v>
      </c>
      <c r="H2383" s="6" t="s">
        <v>55</v>
      </c>
      <c r="I2383" s="6" t="s">
        <v>7566</v>
      </c>
      <c r="J2383" s="6" t="s">
        <v>154</v>
      </c>
      <c r="K2383" s="9" t="str">
        <f>HYPERLINK("https://dms.licdn.com/playlist/vid/v2/D5610AQEJpEy13f0tkQ/mp4-360p-30fp-crf28/B56Z8FlUiVIgCA-/0/1782505099712?e=2147483647&amp;v=beta&amp;t=_pyNA0I-zblCih8X5iTZwrmnCnbfgtx5mPRPA47i1Go","Open Creative")</f>
        <v>Open Creative</v>
      </c>
      <c r="L2383" s="6" t="s">
        <v>131</v>
      </c>
      <c r="M2383" s="6" t="s">
        <v>7537</v>
      </c>
      <c r="N2383" s="6" t="s">
        <v>132</v>
      </c>
      <c r="O2383" s="36" t="s">
        <v>132</v>
      </c>
      <c r="P2383" s="36">
        <v>1.480621316E9</v>
      </c>
      <c r="Q2383" s="36" t="s">
        <v>7541</v>
      </c>
      <c r="R2383" s="6" t="s">
        <v>7542</v>
      </c>
    </row>
    <row r="2384">
      <c r="A2384" s="6" t="s">
        <v>7537</v>
      </c>
      <c r="B2384" s="6" t="s">
        <v>7537</v>
      </c>
      <c r="C2384" s="6">
        <v>775.0</v>
      </c>
      <c r="D2384" s="9" t="str">
        <f>HYPERLINK("https://www.linkedin.com/ad-library/detail/1484675396","Open Ad")</f>
        <v>Open Ad</v>
      </c>
      <c r="E2384" s="6" t="s">
        <v>91</v>
      </c>
      <c r="F2384" s="6" t="s">
        <v>53</v>
      </c>
      <c r="G2384" s="6" t="s">
        <v>7595</v>
      </c>
      <c r="H2384" s="6" t="s">
        <v>55</v>
      </c>
      <c r="I2384" s="6" t="s">
        <v>7566</v>
      </c>
      <c r="J2384" s="6" t="s">
        <v>91</v>
      </c>
      <c r="K2384" s="9" t="str">
        <f>HYPERLINK("https://media.licdn.com/dms/image/v2/D5610AQF5ONUziLB90Q/image-shrink_1280/B56Z8YuROrGcAc-/0/1782826211326?e=2147483647&amp;v=beta&amp;t=P2Cz2Aul20qMidWME_WS_vAnPWT-iq7vaBsEHckvets","Open Creative")</f>
        <v>Open Creative</v>
      </c>
      <c r="L2384" s="6" t="s">
        <v>131</v>
      </c>
      <c r="M2384" s="6" t="s">
        <v>7537</v>
      </c>
      <c r="N2384" s="6" t="s">
        <v>132</v>
      </c>
      <c r="O2384" s="36" t="s">
        <v>132</v>
      </c>
      <c r="P2384" s="36">
        <v>1.484675396E9</v>
      </c>
      <c r="Q2384" s="36" t="s">
        <v>7541</v>
      </c>
      <c r="R2384" s="6" t="s">
        <v>7542</v>
      </c>
    </row>
    <row r="2385">
      <c r="A2385" s="6" t="s">
        <v>7537</v>
      </c>
      <c r="B2385" s="6" t="s">
        <v>7537</v>
      </c>
      <c r="C2385" s="6">
        <v>776.0</v>
      </c>
      <c r="D2385" s="9" t="str">
        <f>HYPERLINK("https://www.linkedin.com/ad-library/detail/1461915024","Open Ad")</f>
        <v>Open Ad</v>
      </c>
      <c r="E2385" s="6" t="s">
        <v>91</v>
      </c>
      <c r="F2385" s="6" t="s">
        <v>53</v>
      </c>
      <c r="G2385" s="6" t="s">
        <v>7659</v>
      </c>
      <c r="H2385" s="6" t="s">
        <v>55</v>
      </c>
      <c r="I2385" s="6" t="s">
        <v>7566</v>
      </c>
      <c r="J2385" s="6" t="s">
        <v>91</v>
      </c>
      <c r="K2385" s="9" t="str">
        <f>HYPERLINK("https://media.licdn.com/dms/image/v2/D4E10AQG-J75au95BRw/image-shrink_1280/B4EZ8FmpsuHMAc-/0/1782505446493/AEOAudit?e=2147483647&amp;v=beta&amp;t=av6j8ofwnnFC2PY_385OBxlH8znye-YUEoC2BjjPT1U","Open Creative")</f>
        <v>Open Creative</v>
      </c>
      <c r="L2385" s="6" t="s">
        <v>131</v>
      </c>
      <c r="M2385" s="6" t="s">
        <v>7537</v>
      </c>
      <c r="N2385" s="6" t="s">
        <v>132</v>
      </c>
      <c r="O2385" s="36" t="s">
        <v>132</v>
      </c>
      <c r="P2385" s="36">
        <v>1.461915024E9</v>
      </c>
      <c r="Q2385" s="36" t="s">
        <v>7541</v>
      </c>
      <c r="R2385" s="6" t="s">
        <v>7542</v>
      </c>
    </row>
    <row r="2386">
      <c r="A2386" s="6" t="s">
        <v>7537</v>
      </c>
      <c r="B2386" s="6" t="s">
        <v>7537</v>
      </c>
      <c r="C2386" s="6">
        <v>777.0</v>
      </c>
      <c r="D2386" s="9" t="str">
        <f>HYPERLINK("https://www.linkedin.com/ad-library/detail/1484658206","Open Ad")</f>
        <v>Open Ad</v>
      </c>
      <c r="E2386" s="6" t="s">
        <v>91</v>
      </c>
      <c r="F2386" s="6" t="s">
        <v>53</v>
      </c>
      <c r="G2386" s="6" t="s">
        <v>7624</v>
      </c>
      <c r="H2386" s="6" t="s">
        <v>55</v>
      </c>
      <c r="I2386" s="6" t="s">
        <v>7566</v>
      </c>
      <c r="J2386" s="6" t="s">
        <v>91</v>
      </c>
      <c r="K2386" s="9" t="str">
        <f>HYPERLINK("https://media.licdn.com/dms/image/v2/D5610AQHWN3cBgpsrZA/image-shrink_1280/B56Z8ThVnqLAAc-/0/1782738934569?e=2147483647&amp;v=beta&amp;t=A-Y9kI8t-vvKXU86I3eo4Ke7-nBQGOwNbp_-WJGBzdU","Open Creative")</f>
        <v>Open Creative</v>
      </c>
      <c r="L2386" s="6" t="s">
        <v>131</v>
      </c>
      <c r="M2386" s="6" t="s">
        <v>7537</v>
      </c>
      <c r="N2386" s="6" t="s">
        <v>132</v>
      </c>
      <c r="O2386" s="36" t="s">
        <v>132</v>
      </c>
      <c r="P2386" s="36">
        <v>1.484658206E9</v>
      </c>
      <c r="Q2386" s="36" t="s">
        <v>7541</v>
      </c>
      <c r="R2386" s="6" t="s">
        <v>7542</v>
      </c>
    </row>
    <row r="2387">
      <c r="A2387" s="6" t="s">
        <v>7537</v>
      </c>
      <c r="B2387" s="6" t="s">
        <v>7537</v>
      </c>
      <c r="C2387" s="6">
        <v>778.0</v>
      </c>
      <c r="D2387" s="9" t="str">
        <f>HYPERLINK("https://www.linkedin.com/ad-library/detail/1484832196","Open Ad")</f>
        <v>Open Ad</v>
      </c>
      <c r="E2387" s="6" t="s">
        <v>91</v>
      </c>
      <c r="F2387" s="6" t="s">
        <v>53</v>
      </c>
      <c r="G2387" s="6" t="s">
        <v>7595</v>
      </c>
      <c r="H2387" s="6" t="s">
        <v>55</v>
      </c>
      <c r="I2387" s="6" t="s">
        <v>7566</v>
      </c>
      <c r="J2387" s="6" t="s">
        <v>91</v>
      </c>
      <c r="K2387" s="9" t="str">
        <f t="shared" ref="K2387:K2388" si="74">HYPERLINK("https://media.licdn.com/dms/image/v2/D5610AQF5ONUziLB90Q/image-shrink_1280/B56Z8YuROrGcAc-/0/1782826211326?e=2147483647&amp;v=beta&amp;t=P2Cz2Aul20qMidWME_WS_vAnPWT-iq7vaBsEHckvets","Open Creative")</f>
        <v>Open Creative</v>
      </c>
      <c r="L2387" s="6" t="s">
        <v>131</v>
      </c>
      <c r="M2387" s="6" t="s">
        <v>7537</v>
      </c>
      <c r="N2387" s="6" t="s">
        <v>132</v>
      </c>
      <c r="O2387" s="36" t="s">
        <v>132</v>
      </c>
      <c r="P2387" s="36">
        <v>1.484832196E9</v>
      </c>
      <c r="Q2387" s="36" t="s">
        <v>7541</v>
      </c>
      <c r="R2387" s="6" t="s">
        <v>7542</v>
      </c>
    </row>
    <row r="2388">
      <c r="A2388" s="6" t="s">
        <v>7537</v>
      </c>
      <c r="B2388" s="6" t="s">
        <v>7537</v>
      </c>
      <c r="C2388" s="6">
        <v>779.0</v>
      </c>
      <c r="D2388" s="9" t="str">
        <f>HYPERLINK("https://www.linkedin.com/ad-library/detail/1484675406","Open Ad")</f>
        <v>Open Ad</v>
      </c>
      <c r="E2388" s="6" t="s">
        <v>91</v>
      </c>
      <c r="F2388" s="6" t="s">
        <v>53</v>
      </c>
      <c r="G2388" s="6" t="s">
        <v>7595</v>
      </c>
      <c r="H2388" s="6" t="s">
        <v>55</v>
      </c>
      <c r="I2388" s="6" t="s">
        <v>7566</v>
      </c>
      <c r="J2388" s="6" t="s">
        <v>91</v>
      </c>
      <c r="K2388" s="9" t="str">
        <f t="shared" si="74"/>
        <v>Open Creative</v>
      </c>
      <c r="L2388" s="6" t="s">
        <v>131</v>
      </c>
      <c r="M2388" s="6" t="s">
        <v>7537</v>
      </c>
      <c r="N2388" s="6" t="s">
        <v>132</v>
      </c>
      <c r="O2388" s="36" t="s">
        <v>132</v>
      </c>
      <c r="P2388" s="36">
        <v>1.484675406E9</v>
      </c>
      <c r="Q2388" s="36" t="s">
        <v>7541</v>
      </c>
      <c r="R2388" s="6" t="s">
        <v>7542</v>
      </c>
    </row>
    <row r="2389">
      <c r="A2389" s="6" t="s">
        <v>7537</v>
      </c>
      <c r="B2389" s="6" t="s">
        <v>7537</v>
      </c>
      <c r="C2389" s="6">
        <v>780.0</v>
      </c>
      <c r="D2389" s="9" t="str">
        <f>HYPERLINK("https://www.linkedin.com/ad-library/detail/1484744196","Open Ad")</f>
        <v>Open Ad</v>
      </c>
      <c r="E2389" s="6" t="s">
        <v>91</v>
      </c>
      <c r="F2389" s="6" t="s">
        <v>53</v>
      </c>
      <c r="G2389" s="6" t="s">
        <v>7624</v>
      </c>
      <c r="H2389" s="6" t="s">
        <v>55</v>
      </c>
      <c r="I2389" s="6" t="s">
        <v>7566</v>
      </c>
      <c r="J2389" s="6" t="s">
        <v>91</v>
      </c>
      <c r="K2389" s="9" t="str">
        <f>HYPERLINK("https://media.licdn.com/dms/image/v2/D5610AQHWN3cBgpsrZA/image-shrink_1280/B56Z8ThVnqLAAc-/0/1782738934569?e=2147483647&amp;v=beta&amp;t=A-Y9kI8t-vvKXU86I3eo4Ke7-nBQGOwNbp_-WJGBzdU","Open Creative")</f>
        <v>Open Creative</v>
      </c>
      <c r="L2389" s="6" t="s">
        <v>131</v>
      </c>
      <c r="M2389" s="6" t="s">
        <v>7537</v>
      </c>
      <c r="N2389" s="6" t="s">
        <v>132</v>
      </c>
      <c r="O2389" s="36" t="s">
        <v>132</v>
      </c>
      <c r="P2389" s="36">
        <v>1.484744196E9</v>
      </c>
      <c r="Q2389" s="36" t="s">
        <v>7541</v>
      </c>
      <c r="R2389" s="6" t="s">
        <v>7542</v>
      </c>
    </row>
    <row r="2390">
      <c r="A2390" s="6" t="s">
        <v>7537</v>
      </c>
      <c r="B2390" s="6" t="s">
        <v>7537</v>
      </c>
      <c r="C2390" s="6">
        <v>781.0</v>
      </c>
      <c r="D2390" s="9" t="str">
        <f>HYPERLINK("https://www.linkedin.com/ad-library/detail/1480543796","Open Ad")</f>
        <v>Open Ad</v>
      </c>
      <c r="E2390" s="6" t="s">
        <v>154</v>
      </c>
      <c r="F2390" s="6" t="s">
        <v>53</v>
      </c>
      <c r="G2390" s="6" t="s">
        <v>7610</v>
      </c>
      <c r="H2390" s="6" t="s">
        <v>55</v>
      </c>
      <c r="I2390" s="6" t="s">
        <v>7566</v>
      </c>
      <c r="J2390" s="6" t="s">
        <v>154</v>
      </c>
      <c r="K2390" s="9" t="str">
        <f>HYPERLINK("https://dms.licdn.com/playlist/vid/v2/D5610AQFJBcQOyNjAcA/mp4-360p-30fp-crf28/B56Z8FlsDAIoCA-/0/1782505196254?e=2147483647&amp;v=beta&amp;t=4sUNWeKXfFsvVKFYJqbakR6_0PgqnP76JWX4KweWgHs","Open Creative")</f>
        <v>Open Creative</v>
      </c>
      <c r="L2390" s="6" t="s">
        <v>131</v>
      </c>
      <c r="M2390" s="6" t="s">
        <v>7537</v>
      </c>
      <c r="N2390" s="6" t="s">
        <v>132</v>
      </c>
      <c r="O2390" s="36" t="s">
        <v>132</v>
      </c>
      <c r="P2390" s="36">
        <v>1.480543796E9</v>
      </c>
      <c r="Q2390" s="36" t="s">
        <v>7541</v>
      </c>
      <c r="R2390" s="6" t="s">
        <v>7542</v>
      </c>
    </row>
    <row r="2391">
      <c r="A2391" s="6" t="s">
        <v>7537</v>
      </c>
      <c r="B2391" s="6" t="s">
        <v>7537</v>
      </c>
      <c r="C2391" s="6">
        <v>782.0</v>
      </c>
      <c r="D2391" s="9" t="str">
        <f>HYPERLINK("https://www.linkedin.com/ad-library/detail/1484658226","Open Ad")</f>
        <v>Open Ad</v>
      </c>
      <c r="E2391" s="6" t="s">
        <v>91</v>
      </c>
      <c r="F2391" s="6" t="s">
        <v>53</v>
      </c>
      <c r="G2391" s="6" t="s">
        <v>7624</v>
      </c>
      <c r="H2391" s="6" t="s">
        <v>55</v>
      </c>
      <c r="I2391" s="6" t="s">
        <v>7566</v>
      </c>
      <c r="J2391" s="6" t="s">
        <v>91</v>
      </c>
      <c r="K2391" s="9" t="str">
        <f>HYPERLINK("https://media.licdn.com/dms/image/v2/D5610AQHWN3cBgpsrZA/image-shrink_1280/B56Z8ThVnqLAAc-/0/1782738934569?e=2147483647&amp;v=beta&amp;t=A-Y9kI8t-vvKXU86I3eo4Ke7-nBQGOwNbp_-WJGBzdU","Open Creative")</f>
        <v>Open Creative</v>
      </c>
      <c r="L2391" s="6" t="s">
        <v>131</v>
      </c>
      <c r="M2391" s="6" t="s">
        <v>7537</v>
      </c>
      <c r="N2391" s="6" t="s">
        <v>132</v>
      </c>
      <c r="O2391" s="36" t="s">
        <v>132</v>
      </c>
      <c r="P2391" s="36">
        <v>1.484658226E9</v>
      </c>
      <c r="Q2391" s="36" t="s">
        <v>7541</v>
      </c>
      <c r="R2391" s="6" t="s">
        <v>7542</v>
      </c>
    </row>
    <row r="2392">
      <c r="A2392" s="6" t="s">
        <v>7537</v>
      </c>
      <c r="B2392" s="6" t="s">
        <v>7537</v>
      </c>
      <c r="C2392" s="6">
        <v>783.0</v>
      </c>
      <c r="D2392" s="9" t="str">
        <f>HYPERLINK("https://www.linkedin.com/ad-library/detail/1480465246","Open Ad")</f>
        <v>Open Ad</v>
      </c>
      <c r="E2392" s="6" t="s">
        <v>154</v>
      </c>
      <c r="F2392" s="6" t="s">
        <v>53</v>
      </c>
      <c r="G2392" s="6" t="s">
        <v>7658</v>
      </c>
      <c r="H2392" s="6" t="s">
        <v>55</v>
      </c>
      <c r="I2392" s="6" t="s">
        <v>7566</v>
      </c>
      <c r="J2392" s="6" t="s">
        <v>154</v>
      </c>
      <c r="K2392" s="9" t="str">
        <f>HYPERLINK("https://dms.licdn.com/playlist/vid/v2/D5610AQFJBcQOyNjAcA/mp4-360p-30fp-crf28/B56Z8FlsDAIoCA-/0/1782505196254?e=2147483647&amp;v=beta&amp;t=4sUNWeKXfFsvVKFYJqbakR6_0PgqnP76JWX4KweWgHs","Open Creative")</f>
        <v>Open Creative</v>
      </c>
      <c r="L2392" s="6" t="s">
        <v>131</v>
      </c>
      <c r="M2392" s="6" t="s">
        <v>7537</v>
      </c>
      <c r="N2392" s="6" t="s">
        <v>132</v>
      </c>
      <c r="O2392" s="36" t="s">
        <v>132</v>
      </c>
      <c r="P2392" s="36">
        <v>1.480465246E9</v>
      </c>
      <c r="Q2392" s="36" t="s">
        <v>7541</v>
      </c>
      <c r="R2392" s="6" t="s">
        <v>7542</v>
      </c>
    </row>
    <row r="2393">
      <c r="A2393" s="6" t="s">
        <v>7537</v>
      </c>
      <c r="B2393" s="6" t="s">
        <v>7537</v>
      </c>
      <c r="C2393" s="6">
        <v>784.0</v>
      </c>
      <c r="D2393" s="9" t="str">
        <f>HYPERLINK("https://www.linkedin.com/ad-library/detail/1484724336","Open Ad")</f>
        <v>Open Ad</v>
      </c>
      <c r="E2393" s="6" t="s">
        <v>91</v>
      </c>
      <c r="F2393" s="6" t="s">
        <v>53</v>
      </c>
      <c r="G2393" s="6" t="s">
        <v>7595</v>
      </c>
      <c r="H2393" s="6" t="s">
        <v>55</v>
      </c>
      <c r="I2393" s="6" t="s">
        <v>7566</v>
      </c>
      <c r="J2393" s="6" t="s">
        <v>91</v>
      </c>
      <c r="K2393" s="9" t="str">
        <f>HYPERLINK("https://media.licdn.com/dms/image/v2/D5610AQF5ONUziLB90Q/image-shrink_1280/B56Z8YuROrGcAc-/0/1782826211326?e=2147483647&amp;v=beta&amp;t=P2Cz2Aul20qMidWME_WS_vAnPWT-iq7vaBsEHckvets","Open Creative")</f>
        <v>Open Creative</v>
      </c>
      <c r="L2393" s="6" t="s">
        <v>131</v>
      </c>
      <c r="M2393" s="6" t="s">
        <v>7537</v>
      </c>
      <c r="N2393" s="6" t="s">
        <v>132</v>
      </c>
      <c r="O2393" s="36" t="s">
        <v>132</v>
      </c>
      <c r="P2393" s="36">
        <v>1.484724336E9</v>
      </c>
      <c r="Q2393" s="36" t="s">
        <v>7541</v>
      </c>
      <c r="R2393" s="6" t="s">
        <v>7542</v>
      </c>
    </row>
    <row r="2394">
      <c r="A2394" s="6" t="s">
        <v>7537</v>
      </c>
      <c r="B2394" s="6" t="s">
        <v>7537</v>
      </c>
      <c r="C2394" s="6">
        <v>785.0</v>
      </c>
      <c r="D2394" s="9" t="str">
        <f>HYPERLINK("https://www.linkedin.com/ad-library/detail/1483302756","Open Ad")</f>
        <v>Open Ad</v>
      </c>
      <c r="E2394" s="6" t="s">
        <v>7543</v>
      </c>
      <c r="F2394" s="6" t="s">
        <v>53</v>
      </c>
      <c r="G2394" s="6" t="s">
        <v>7660</v>
      </c>
      <c r="H2394" s="6" t="s">
        <v>55</v>
      </c>
      <c r="I2394" s="6" t="s">
        <v>7566</v>
      </c>
      <c r="J2394" s="6" t="s">
        <v>7546</v>
      </c>
      <c r="K2394" s="6" t="s">
        <v>60</v>
      </c>
      <c r="L2394" s="6" t="s">
        <v>131</v>
      </c>
      <c r="M2394" s="6" t="s">
        <v>7537</v>
      </c>
      <c r="N2394" s="6" t="s">
        <v>132</v>
      </c>
      <c r="O2394" s="36" t="s">
        <v>132</v>
      </c>
      <c r="P2394" s="36">
        <v>1.483302756E9</v>
      </c>
      <c r="Q2394" s="36" t="s">
        <v>7541</v>
      </c>
      <c r="R2394" s="6" t="s">
        <v>7542</v>
      </c>
    </row>
    <row r="2395">
      <c r="A2395" s="6" t="s">
        <v>7537</v>
      </c>
      <c r="B2395" s="6" t="s">
        <v>7537</v>
      </c>
      <c r="C2395" s="6">
        <v>786.0</v>
      </c>
      <c r="D2395" s="9" t="str">
        <f>HYPERLINK("https://www.linkedin.com/ad-library/detail/1480484586","Open Ad")</f>
        <v>Open Ad</v>
      </c>
      <c r="E2395" s="6" t="s">
        <v>154</v>
      </c>
      <c r="F2395" s="6" t="s">
        <v>53</v>
      </c>
      <c r="G2395" s="6" t="s">
        <v>7610</v>
      </c>
      <c r="H2395" s="6" t="s">
        <v>55</v>
      </c>
      <c r="I2395" s="6" t="s">
        <v>7566</v>
      </c>
      <c r="J2395" s="6" t="s">
        <v>154</v>
      </c>
      <c r="K2395" s="9" t="str">
        <f>HYPERLINK("https://dms.licdn.com/playlist/vid/v2/D5610AQFJBcQOyNjAcA/mp4-360p-30fp-crf28/B56Z8FlsDAIoCA-/0/1782505196254?e=2147483647&amp;v=beta&amp;t=4sUNWeKXfFsvVKFYJqbakR6_0PgqnP76JWX4KweWgHs","Open Creative")</f>
        <v>Open Creative</v>
      </c>
      <c r="L2395" s="6" t="s">
        <v>131</v>
      </c>
      <c r="M2395" s="6" t="s">
        <v>7537</v>
      </c>
      <c r="N2395" s="6" t="s">
        <v>132</v>
      </c>
      <c r="O2395" s="36" t="s">
        <v>132</v>
      </c>
      <c r="P2395" s="36">
        <v>1.480484586E9</v>
      </c>
      <c r="Q2395" s="36" t="s">
        <v>7541</v>
      </c>
      <c r="R2395" s="6" t="s">
        <v>7542</v>
      </c>
    </row>
    <row r="2396">
      <c r="A2396" s="6" t="s">
        <v>7537</v>
      </c>
      <c r="B2396" s="6" t="s">
        <v>7537</v>
      </c>
      <c r="C2396" s="6">
        <v>787.0</v>
      </c>
      <c r="D2396" s="9" t="str">
        <f>HYPERLINK("https://www.linkedin.com/ad-library/detail/1480612566","Open Ad")</f>
        <v>Open Ad</v>
      </c>
      <c r="E2396" s="6" t="s">
        <v>154</v>
      </c>
      <c r="F2396" s="6" t="s">
        <v>53</v>
      </c>
      <c r="G2396" s="6" t="s">
        <v>7658</v>
      </c>
      <c r="H2396" s="6" t="s">
        <v>55</v>
      </c>
      <c r="I2396" s="6" t="s">
        <v>7566</v>
      </c>
      <c r="J2396" s="6" t="s">
        <v>154</v>
      </c>
      <c r="K2396" s="9" t="str">
        <f>HYPERLINK("https://dms.licdn.com/playlist/vid/v2/D5610AQEJpEy13f0tkQ/mp4-360p-30fp-crf28/B56Z8FlUiVIgCA-/0/1782505099712?e=2147483647&amp;v=beta&amp;t=_pyNA0I-zblCih8X5iTZwrmnCnbfgtx5mPRPA47i1Go","Open Creative")</f>
        <v>Open Creative</v>
      </c>
      <c r="L2396" s="6" t="s">
        <v>131</v>
      </c>
      <c r="M2396" s="6" t="s">
        <v>7537</v>
      </c>
      <c r="N2396" s="6" t="s">
        <v>132</v>
      </c>
      <c r="O2396" s="36" t="s">
        <v>132</v>
      </c>
      <c r="P2396" s="36">
        <v>1.480612566E9</v>
      </c>
      <c r="Q2396" s="36" t="s">
        <v>7541</v>
      </c>
      <c r="R2396" s="6" t="s">
        <v>7542</v>
      </c>
    </row>
    <row r="2397">
      <c r="A2397" s="6" t="s">
        <v>7537</v>
      </c>
      <c r="B2397" s="6" t="s">
        <v>7537</v>
      </c>
      <c r="C2397" s="6">
        <v>788.0</v>
      </c>
      <c r="D2397" s="9" t="str">
        <f>HYPERLINK("https://www.linkedin.com/ad-library/detail/1483361136","Open Ad")</f>
        <v>Open Ad</v>
      </c>
      <c r="E2397" s="6" t="s">
        <v>7543</v>
      </c>
      <c r="F2397" s="6" t="s">
        <v>53</v>
      </c>
      <c r="G2397" s="6" t="s">
        <v>7661</v>
      </c>
      <c r="H2397" s="6" t="s">
        <v>55</v>
      </c>
      <c r="I2397" s="6" t="s">
        <v>7566</v>
      </c>
      <c r="J2397" s="6" t="s">
        <v>7546</v>
      </c>
      <c r="K2397" s="6" t="s">
        <v>60</v>
      </c>
      <c r="L2397" s="6" t="s">
        <v>131</v>
      </c>
      <c r="M2397" s="6" t="s">
        <v>7537</v>
      </c>
      <c r="N2397" s="6" t="s">
        <v>132</v>
      </c>
      <c r="O2397" s="36" t="s">
        <v>132</v>
      </c>
      <c r="P2397" s="36">
        <v>1.483361136E9</v>
      </c>
      <c r="Q2397" s="36" t="s">
        <v>7541</v>
      </c>
      <c r="R2397" s="6" t="s">
        <v>7542</v>
      </c>
    </row>
    <row r="2398">
      <c r="A2398" s="6" t="s">
        <v>7537</v>
      </c>
      <c r="B2398" s="6" t="s">
        <v>7537</v>
      </c>
      <c r="C2398" s="6">
        <v>789.0</v>
      </c>
      <c r="D2398" s="9" t="str">
        <f>HYPERLINK("https://www.linkedin.com/ad-library/detail/1484723726","Open Ad")</f>
        <v>Open Ad</v>
      </c>
      <c r="E2398" s="6" t="s">
        <v>7543</v>
      </c>
      <c r="F2398" s="6" t="s">
        <v>53</v>
      </c>
      <c r="G2398" s="6" t="s">
        <v>7569</v>
      </c>
      <c r="H2398" s="6" t="s">
        <v>55</v>
      </c>
      <c r="I2398" s="6" t="s">
        <v>7566</v>
      </c>
      <c r="J2398" s="6" t="s">
        <v>7546</v>
      </c>
      <c r="K2398" s="6" t="s">
        <v>60</v>
      </c>
      <c r="L2398" s="6" t="s">
        <v>131</v>
      </c>
      <c r="M2398" s="6" t="s">
        <v>7537</v>
      </c>
      <c r="N2398" s="6" t="s">
        <v>132</v>
      </c>
      <c r="O2398" s="36" t="s">
        <v>132</v>
      </c>
      <c r="P2398" s="36">
        <v>1.484723726E9</v>
      </c>
      <c r="Q2398" s="36" t="s">
        <v>7541</v>
      </c>
      <c r="R2398" s="6" t="s">
        <v>7542</v>
      </c>
    </row>
    <row r="2399">
      <c r="A2399" s="6" t="s">
        <v>7537</v>
      </c>
      <c r="B2399" s="6" t="s">
        <v>7537</v>
      </c>
      <c r="C2399" s="6">
        <v>790.0</v>
      </c>
      <c r="D2399" s="9" t="str">
        <f>HYPERLINK("https://www.linkedin.com/ad-library/detail/1483252886","Open Ad")</f>
        <v>Open Ad</v>
      </c>
      <c r="E2399" s="6" t="s">
        <v>7543</v>
      </c>
      <c r="F2399" s="6" t="s">
        <v>53</v>
      </c>
      <c r="G2399" s="6" t="s">
        <v>7660</v>
      </c>
      <c r="H2399" s="6" t="s">
        <v>55</v>
      </c>
      <c r="I2399" s="6" t="s">
        <v>7566</v>
      </c>
      <c r="J2399" s="6" t="s">
        <v>7546</v>
      </c>
      <c r="K2399" s="6" t="s">
        <v>60</v>
      </c>
      <c r="L2399" s="6" t="s">
        <v>131</v>
      </c>
      <c r="M2399" s="6" t="s">
        <v>7537</v>
      </c>
      <c r="N2399" s="6" t="s">
        <v>132</v>
      </c>
      <c r="O2399" s="36" t="s">
        <v>132</v>
      </c>
      <c r="P2399" s="36">
        <v>1.483252886E9</v>
      </c>
      <c r="Q2399" s="36" t="s">
        <v>7541</v>
      </c>
      <c r="R2399" s="6" t="s">
        <v>7542</v>
      </c>
    </row>
    <row r="2400">
      <c r="A2400" s="6" t="s">
        <v>7537</v>
      </c>
      <c r="B2400" s="6" t="s">
        <v>7537</v>
      </c>
      <c r="C2400" s="6">
        <v>791.0</v>
      </c>
      <c r="D2400" s="9" t="str">
        <f>HYPERLINK("https://www.linkedin.com/ad-library/detail/1480425646","Open Ad")</f>
        <v>Open Ad</v>
      </c>
      <c r="E2400" s="6" t="s">
        <v>154</v>
      </c>
      <c r="F2400" s="6" t="s">
        <v>53</v>
      </c>
      <c r="G2400" s="6" t="s">
        <v>7610</v>
      </c>
      <c r="H2400" s="6" t="s">
        <v>55</v>
      </c>
      <c r="I2400" s="6" t="s">
        <v>7566</v>
      </c>
      <c r="J2400" s="6" t="s">
        <v>154</v>
      </c>
      <c r="K2400" s="9" t="str">
        <f>HYPERLINK("https://dms.licdn.com/playlist/vid/v2/D5610AQEJpEy13f0tkQ/mp4-360p-30fp-crf28/B56Z8FlUiVIgCA-/0/1782505099712?e=2147483647&amp;v=beta&amp;t=_pyNA0I-zblCih8X5iTZwrmnCnbfgtx5mPRPA47i1Go","Open Creative")</f>
        <v>Open Creative</v>
      </c>
      <c r="L2400" s="6" t="s">
        <v>131</v>
      </c>
      <c r="M2400" s="6" t="s">
        <v>7537</v>
      </c>
      <c r="N2400" s="6" t="s">
        <v>132</v>
      </c>
      <c r="O2400" s="36" t="s">
        <v>132</v>
      </c>
      <c r="P2400" s="36">
        <v>1.480425646E9</v>
      </c>
      <c r="Q2400" s="36" t="s">
        <v>7541</v>
      </c>
      <c r="R2400" s="6" t="s">
        <v>7542</v>
      </c>
    </row>
    <row r="2401">
      <c r="A2401" s="6" t="s">
        <v>7537</v>
      </c>
      <c r="B2401" s="6" t="s">
        <v>7537</v>
      </c>
      <c r="C2401" s="6">
        <v>792.0</v>
      </c>
      <c r="D2401" s="9" t="str">
        <f>HYPERLINK("https://www.linkedin.com/ad-library/detail/1484813306","Open Ad")</f>
        <v>Open Ad</v>
      </c>
      <c r="E2401" s="6" t="s">
        <v>91</v>
      </c>
      <c r="F2401" s="6" t="s">
        <v>53</v>
      </c>
      <c r="G2401" s="6" t="s">
        <v>7595</v>
      </c>
      <c r="H2401" s="6" t="s">
        <v>55</v>
      </c>
      <c r="I2401" s="6" t="s">
        <v>7566</v>
      </c>
      <c r="J2401" s="6" t="s">
        <v>91</v>
      </c>
      <c r="K2401" s="9" t="str">
        <f>HYPERLINK("https://media.licdn.com/dms/image/v2/D5610AQF5ONUziLB90Q/image-shrink_1280/B56Z8YuROrGcAc-/0/1782826211326?e=2147483647&amp;v=beta&amp;t=P2Cz2Aul20qMidWME_WS_vAnPWT-iq7vaBsEHckvets","Open Creative")</f>
        <v>Open Creative</v>
      </c>
      <c r="L2401" s="6" t="s">
        <v>131</v>
      </c>
      <c r="M2401" s="6" t="s">
        <v>7537</v>
      </c>
      <c r="N2401" s="6" t="s">
        <v>132</v>
      </c>
      <c r="O2401" s="36" t="s">
        <v>132</v>
      </c>
      <c r="P2401" s="36">
        <v>1.484813306E9</v>
      </c>
      <c r="Q2401" s="36" t="s">
        <v>7541</v>
      </c>
      <c r="R2401" s="6" t="s">
        <v>7542</v>
      </c>
    </row>
    <row r="2402">
      <c r="A2402" s="6" t="s">
        <v>7537</v>
      </c>
      <c r="B2402" s="6" t="s">
        <v>7537</v>
      </c>
      <c r="C2402" s="6">
        <v>793.0</v>
      </c>
      <c r="D2402" s="9" t="str">
        <f>HYPERLINK("https://www.linkedin.com/ad-library/detail/1480242816","Open Ad")</f>
        <v>Open Ad</v>
      </c>
      <c r="E2402" s="6" t="s">
        <v>91</v>
      </c>
      <c r="F2402" s="6" t="s">
        <v>53</v>
      </c>
      <c r="G2402" s="6" t="s">
        <v>7662</v>
      </c>
      <c r="H2402" s="6" t="s">
        <v>55</v>
      </c>
      <c r="I2402" s="6" t="s">
        <v>7566</v>
      </c>
      <c r="J2402" s="6" t="s">
        <v>91</v>
      </c>
      <c r="K2402" s="9" t="str">
        <f>HYPERLINK("https://media.licdn.com/dms/image/v2/D5610AQFlNAbUyB29Vw/image-shrink_1280/B56Z7_go1EIoAc-/0/1782403206905?e=2147483647&amp;v=beta&amp;t=8wX-wxHnudfi8VLnNIh1PGkv0Y4avJHYaY8pB_57JGo","Open Creative")</f>
        <v>Open Creative</v>
      </c>
      <c r="L2402" s="6" t="s">
        <v>131</v>
      </c>
      <c r="M2402" s="6" t="s">
        <v>7537</v>
      </c>
      <c r="N2402" s="6" t="s">
        <v>132</v>
      </c>
      <c r="O2402" s="36" t="s">
        <v>132</v>
      </c>
      <c r="P2402" s="36">
        <v>1.480242816E9</v>
      </c>
      <c r="Q2402" s="36" t="s">
        <v>7541</v>
      </c>
      <c r="R2402" s="6" t="s">
        <v>7542</v>
      </c>
    </row>
    <row r="2403">
      <c r="A2403" s="6" t="s">
        <v>7537</v>
      </c>
      <c r="B2403" s="6" t="s">
        <v>7537</v>
      </c>
      <c r="C2403" s="6">
        <v>794.0</v>
      </c>
      <c r="D2403" s="9" t="str">
        <f>HYPERLINK("https://www.linkedin.com/ad-library/detail/1480176126","Open Ad")</f>
        <v>Open Ad</v>
      </c>
      <c r="E2403" s="6" t="s">
        <v>91</v>
      </c>
      <c r="F2403" s="6" t="s">
        <v>53</v>
      </c>
      <c r="G2403" s="6" t="s">
        <v>7663</v>
      </c>
      <c r="H2403" s="6" t="s">
        <v>55</v>
      </c>
      <c r="I2403" s="6" t="s">
        <v>7566</v>
      </c>
      <c r="J2403" s="6" t="s">
        <v>91</v>
      </c>
      <c r="K2403" s="9" t="str">
        <f t="shared" ref="K2403:K2404" si="75">HYPERLINK("https://media.licdn.com/dms/image/v2/D4D10AQG2mHlEH5vbgg/image-shrink_1280/B4DZ74pK0_KsAc-/0/1782288002815?e=2147483647&amp;v=beta&amp;t=58CyUgPB_trZDG5BB-QLZvAdT4cqfgHNU1DuC6AK4X8","Open Creative")</f>
        <v>Open Creative</v>
      </c>
      <c r="L2403" s="6" t="s">
        <v>131</v>
      </c>
      <c r="M2403" s="6" t="s">
        <v>7537</v>
      </c>
      <c r="N2403" s="6" t="s">
        <v>132</v>
      </c>
      <c r="O2403" s="36" t="s">
        <v>132</v>
      </c>
      <c r="P2403" s="36">
        <v>1.480176126E9</v>
      </c>
      <c r="Q2403" s="36" t="s">
        <v>7541</v>
      </c>
      <c r="R2403" s="6" t="s">
        <v>7542</v>
      </c>
    </row>
    <row r="2404">
      <c r="A2404" s="6" t="s">
        <v>7537</v>
      </c>
      <c r="B2404" s="6" t="s">
        <v>7537</v>
      </c>
      <c r="C2404" s="6">
        <v>795.0</v>
      </c>
      <c r="D2404" s="9" t="str">
        <f>HYPERLINK("https://www.linkedin.com/ad-library/detail/1480292926","Open Ad")</f>
        <v>Open Ad</v>
      </c>
      <c r="E2404" s="6" t="s">
        <v>91</v>
      </c>
      <c r="F2404" s="6" t="s">
        <v>53</v>
      </c>
      <c r="G2404" s="6" t="s">
        <v>7663</v>
      </c>
      <c r="H2404" s="6" t="s">
        <v>55</v>
      </c>
      <c r="I2404" s="6" t="s">
        <v>7566</v>
      </c>
      <c r="J2404" s="6" t="s">
        <v>91</v>
      </c>
      <c r="K2404" s="9" t="str">
        <f t="shared" si="75"/>
        <v>Open Creative</v>
      </c>
      <c r="L2404" s="6" t="s">
        <v>131</v>
      </c>
      <c r="M2404" s="6" t="s">
        <v>7537</v>
      </c>
      <c r="N2404" s="6" t="s">
        <v>132</v>
      </c>
      <c r="O2404" s="36" t="s">
        <v>132</v>
      </c>
      <c r="P2404" s="36">
        <v>1.480292926E9</v>
      </c>
      <c r="Q2404" s="36" t="s">
        <v>7541</v>
      </c>
      <c r="R2404" s="6" t="s">
        <v>7542</v>
      </c>
    </row>
    <row r="2405">
      <c r="A2405" s="6" t="s">
        <v>7537</v>
      </c>
      <c r="B2405" s="6" t="s">
        <v>7537</v>
      </c>
      <c r="C2405" s="6">
        <v>796.0</v>
      </c>
      <c r="D2405" s="9" t="str">
        <f>HYPERLINK("https://www.linkedin.com/ad-library/detail/1480583486","Open Ad")</f>
        <v>Open Ad</v>
      </c>
      <c r="E2405" s="6" t="s">
        <v>91</v>
      </c>
      <c r="F2405" s="6" t="s">
        <v>53</v>
      </c>
      <c r="G2405" s="6" t="s">
        <v>7610</v>
      </c>
      <c r="H2405" s="6" t="s">
        <v>55</v>
      </c>
      <c r="I2405" s="6" t="s">
        <v>7566</v>
      </c>
      <c r="J2405" s="6" t="s">
        <v>91</v>
      </c>
      <c r="K2405" s="9" t="str">
        <f>HYPERLINK("https://media.licdn.com/dms/image/v2/D5610AQEwpl_XyafGEQ/image-pad_1200_1200/B56Z8FRBQwKUAI-/0/1782499775725?e=1789477200&amp;v=beta&amp;t=nYQu2DybNhKjQyW3lcfMKlxBochPYjMuQ3YdlsDMx-8","Open Creative")</f>
        <v>Open Creative</v>
      </c>
      <c r="L2405" s="6" t="s">
        <v>131</v>
      </c>
      <c r="M2405" s="6" t="s">
        <v>7537</v>
      </c>
      <c r="N2405" s="6" t="s">
        <v>132</v>
      </c>
      <c r="O2405" s="36" t="s">
        <v>132</v>
      </c>
      <c r="P2405" s="36">
        <v>1.480583486E9</v>
      </c>
      <c r="Q2405" s="36" t="s">
        <v>7541</v>
      </c>
      <c r="R2405" s="6" t="s">
        <v>7542</v>
      </c>
    </row>
    <row r="2406">
      <c r="A2406" s="6" t="s">
        <v>7537</v>
      </c>
      <c r="B2406" s="6" t="s">
        <v>7537</v>
      </c>
      <c r="C2406" s="6">
        <v>797.0</v>
      </c>
      <c r="D2406" s="9" t="str">
        <f>HYPERLINK("https://www.linkedin.com/ad-library/detail/1480361076","Open Ad")</f>
        <v>Open Ad</v>
      </c>
      <c r="E2406" s="6" t="s">
        <v>91</v>
      </c>
      <c r="F2406" s="6" t="s">
        <v>53</v>
      </c>
      <c r="G2406" s="6" t="s">
        <v>7664</v>
      </c>
      <c r="H2406" s="6" t="s">
        <v>55</v>
      </c>
      <c r="I2406" s="6" t="s">
        <v>7566</v>
      </c>
      <c r="J2406" s="6" t="s">
        <v>91</v>
      </c>
      <c r="K2406" s="9" t="str">
        <f t="shared" ref="K2406:K2407" si="76">HYPERLINK("https://media.licdn.com/dms/image/v2/D5610AQH7nCvwMGSRZQ/image-shrink_1280/B56Z7.b9d9IQAc-/0/1782385204611?e=2147483647&amp;v=beta&amp;t=YOiFiKeb5Epg1QDMx1_2h-utYeXG293Okir-tArj5ao","Open Creative")</f>
        <v>Open Creative</v>
      </c>
      <c r="L2406" s="6" t="s">
        <v>131</v>
      </c>
      <c r="M2406" s="6" t="s">
        <v>7537</v>
      </c>
      <c r="N2406" s="6" t="s">
        <v>132</v>
      </c>
      <c r="O2406" s="36" t="s">
        <v>132</v>
      </c>
      <c r="P2406" s="36">
        <v>1.480361076E9</v>
      </c>
      <c r="Q2406" s="36" t="s">
        <v>7541</v>
      </c>
      <c r="R2406" s="6" t="s">
        <v>7542</v>
      </c>
    </row>
    <row r="2407">
      <c r="A2407" s="6" t="s">
        <v>7537</v>
      </c>
      <c r="B2407" s="6" t="s">
        <v>7537</v>
      </c>
      <c r="C2407" s="6">
        <v>798.0</v>
      </c>
      <c r="D2407" s="9" t="str">
        <f>HYPERLINK("https://www.linkedin.com/ad-library/detail/1480342286","Open Ad")</f>
        <v>Open Ad</v>
      </c>
      <c r="E2407" s="6" t="s">
        <v>91</v>
      </c>
      <c r="F2407" s="6" t="s">
        <v>53</v>
      </c>
      <c r="G2407" s="6" t="s">
        <v>7664</v>
      </c>
      <c r="H2407" s="6" t="s">
        <v>55</v>
      </c>
      <c r="I2407" s="6" t="s">
        <v>7566</v>
      </c>
      <c r="J2407" s="6" t="s">
        <v>91</v>
      </c>
      <c r="K2407" s="9" t="str">
        <f t="shared" si="76"/>
        <v>Open Creative</v>
      </c>
      <c r="L2407" s="6" t="s">
        <v>131</v>
      </c>
      <c r="M2407" s="6" t="s">
        <v>7537</v>
      </c>
      <c r="N2407" s="6" t="s">
        <v>132</v>
      </c>
      <c r="O2407" s="36" t="s">
        <v>132</v>
      </c>
      <c r="P2407" s="36">
        <v>1.480342286E9</v>
      </c>
      <c r="Q2407" s="36" t="s">
        <v>7541</v>
      </c>
      <c r="R2407" s="6" t="s">
        <v>7542</v>
      </c>
    </row>
    <row r="2408">
      <c r="A2408" s="6" t="s">
        <v>7537</v>
      </c>
      <c r="B2408" s="6" t="s">
        <v>7537</v>
      </c>
      <c r="C2408" s="6">
        <v>799.0</v>
      </c>
      <c r="D2408" s="9" t="str">
        <f>HYPERLINK("https://www.linkedin.com/ad-library/detail/1480262516","Open Ad")</f>
        <v>Open Ad</v>
      </c>
      <c r="E2408" s="6" t="s">
        <v>91</v>
      </c>
      <c r="F2408" s="6" t="s">
        <v>53</v>
      </c>
      <c r="G2408" s="6" t="s">
        <v>7663</v>
      </c>
      <c r="H2408" s="6" t="s">
        <v>55</v>
      </c>
      <c r="I2408" s="6" t="s">
        <v>7566</v>
      </c>
      <c r="J2408" s="6" t="s">
        <v>91</v>
      </c>
      <c r="K2408" s="9" t="str">
        <f>HYPERLINK("https://media.licdn.com/dms/image/v2/D4D10AQG2mHlEH5vbgg/image-shrink_1280/B4DZ74pK0_KsAc-/0/1782288002815?e=2147483647&amp;v=beta&amp;t=58CyUgPB_trZDG5BB-QLZvAdT4cqfgHNU1DuC6AK4X8","Open Creative")</f>
        <v>Open Creative</v>
      </c>
      <c r="L2408" s="6" t="s">
        <v>131</v>
      </c>
      <c r="M2408" s="6" t="s">
        <v>7537</v>
      </c>
      <c r="N2408" s="6" t="s">
        <v>132</v>
      </c>
      <c r="O2408" s="36" t="s">
        <v>132</v>
      </c>
      <c r="P2408" s="36">
        <v>1.480262516E9</v>
      </c>
      <c r="Q2408" s="36" t="s">
        <v>7541</v>
      </c>
      <c r="R2408" s="6" t="s">
        <v>7542</v>
      </c>
    </row>
    <row r="2409">
      <c r="A2409" s="6" t="s">
        <v>7537</v>
      </c>
      <c r="B2409" s="6" t="s">
        <v>7537</v>
      </c>
      <c r="C2409" s="6">
        <v>800.0</v>
      </c>
      <c r="D2409" s="9" t="str">
        <f>HYPERLINK("https://www.linkedin.com/ad-library/detail/1480370126","Open Ad")</f>
        <v>Open Ad</v>
      </c>
      <c r="E2409" s="6" t="s">
        <v>91</v>
      </c>
      <c r="F2409" s="6" t="s">
        <v>53</v>
      </c>
      <c r="G2409" s="6" t="s">
        <v>7664</v>
      </c>
      <c r="H2409" s="6" t="s">
        <v>55</v>
      </c>
      <c r="I2409" s="6" t="s">
        <v>7566</v>
      </c>
      <c r="J2409" s="6" t="s">
        <v>91</v>
      </c>
      <c r="K2409" s="9" t="str">
        <f t="shared" ref="K2409:K2412" si="77">HYPERLINK("https://media.licdn.com/dms/image/v2/D5610AQH7nCvwMGSRZQ/image-shrink_1280/B56Z7.b9d9IQAc-/0/1782385204611?e=2147483647&amp;v=beta&amp;t=YOiFiKeb5Epg1QDMx1_2h-utYeXG293Okir-tArj5ao","Open Creative")</f>
        <v>Open Creative</v>
      </c>
      <c r="L2409" s="6" t="s">
        <v>131</v>
      </c>
      <c r="M2409" s="6" t="s">
        <v>7537</v>
      </c>
      <c r="N2409" s="6" t="s">
        <v>132</v>
      </c>
      <c r="O2409" s="36" t="s">
        <v>132</v>
      </c>
      <c r="P2409" s="36">
        <v>1.480370126E9</v>
      </c>
      <c r="Q2409" s="36" t="s">
        <v>7541</v>
      </c>
      <c r="R2409" s="6" t="s">
        <v>7542</v>
      </c>
    </row>
    <row r="2410">
      <c r="A2410" s="6" t="s">
        <v>7537</v>
      </c>
      <c r="B2410" s="6" t="s">
        <v>7537</v>
      </c>
      <c r="C2410" s="6">
        <v>801.0</v>
      </c>
      <c r="D2410" s="9" t="str">
        <f>HYPERLINK("https://www.linkedin.com/ad-library/detail/1480213676","Open Ad")</f>
        <v>Open Ad</v>
      </c>
      <c r="E2410" s="6" t="s">
        <v>91</v>
      </c>
      <c r="F2410" s="6" t="s">
        <v>53</v>
      </c>
      <c r="G2410" s="6" t="s">
        <v>7664</v>
      </c>
      <c r="H2410" s="6" t="s">
        <v>55</v>
      </c>
      <c r="I2410" s="6" t="s">
        <v>7566</v>
      </c>
      <c r="J2410" s="6" t="s">
        <v>91</v>
      </c>
      <c r="K2410" s="9" t="str">
        <f t="shared" si="77"/>
        <v>Open Creative</v>
      </c>
      <c r="L2410" s="6" t="s">
        <v>131</v>
      </c>
      <c r="M2410" s="6" t="s">
        <v>7537</v>
      </c>
      <c r="N2410" s="6" t="s">
        <v>132</v>
      </c>
      <c r="O2410" s="36" t="s">
        <v>132</v>
      </c>
      <c r="P2410" s="36">
        <v>1.480213676E9</v>
      </c>
      <c r="Q2410" s="36" t="s">
        <v>7541</v>
      </c>
      <c r="R2410" s="6" t="s">
        <v>7542</v>
      </c>
    </row>
    <row r="2411">
      <c r="A2411" s="6" t="s">
        <v>7537</v>
      </c>
      <c r="B2411" s="6" t="s">
        <v>7537</v>
      </c>
      <c r="C2411" s="6">
        <v>802.0</v>
      </c>
      <c r="D2411" s="9" t="str">
        <f>HYPERLINK("https://www.linkedin.com/ad-library/detail/1480282426","Open Ad")</f>
        <v>Open Ad</v>
      </c>
      <c r="E2411" s="6" t="s">
        <v>91</v>
      </c>
      <c r="F2411" s="6" t="s">
        <v>53</v>
      </c>
      <c r="G2411" s="6" t="s">
        <v>7664</v>
      </c>
      <c r="H2411" s="6" t="s">
        <v>55</v>
      </c>
      <c r="I2411" s="6" t="s">
        <v>7566</v>
      </c>
      <c r="J2411" s="6" t="s">
        <v>91</v>
      </c>
      <c r="K2411" s="9" t="str">
        <f t="shared" si="77"/>
        <v>Open Creative</v>
      </c>
      <c r="L2411" s="6" t="s">
        <v>131</v>
      </c>
      <c r="M2411" s="6" t="s">
        <v>7537</v>
      </c>
      <c r="N2411" s="6" t="s">
        <v>132</v>
      </c>
      <c r="O2411" s="36" t="s">
        <v>132</v>
      </c>
      <c r="P2411" s="36">
        <v>1.480282426E9</v>
      </c>
      <c r="Q2411" s="36" t="s">
        <v>7541</v>
      </c>
      <c r="R2411" s="6" t="s">
        <v>7542</v>
      </c>
    </row>
    <row r="2412">
      <c r="A2412" s="6" t="s">
        <v>7537</v>
      </c>
      <c r="B2412" s="6" t="s">
        <v>7537</v>
      </c>
      <c r="C2412" s="6">
        <v>803.0</v>
      </c>
      <c r="D2412" s="9" t="str">
        <f>HYPERLINK("https://www.linkedin.com/ad-library/detail/1480213566","Open Ad")</f>
        <v>Open Ad</v>
      </c>
      <c r="E2412" s="6" t="s">
        <v>91</v>
      </c>
      <c r="F2412" s="6" t="s">
        <v>53</v>
      </c>
      <c r="G2412" s="6" t="s">
        <v>7664</v>
      </c>
      <c r="H2412" s="6" t="s">
        <v>55</v>
      </c>
      <c r="I2412" s="6" t="s">
        <v>7566</v>
      </c>
      <c r="J2412" s="6" t="s">
        <v>91</v>
      </c>
      <c r="K2412" s="9" t="str">
        <f t="shared" si="77"/>
        <v>Open Creative</v>
      </c>
      <c r="L2412" s="6" t="s">
        <v>131</v>
      </c>
      <c r="M2412" s="6" t="s">
        <v>7537</v>
      </c>
      <c r="N2412" s="6" t="s">
        <v>132</v>
      </c>
      <c r="O2412" s="36" t="s">
        <v>132</v>
      </c>
      <c r="P2412" s="36">
        <v>1.480213566E9</v>
      </c>
      <c r="Q2412" s="36" t="s">
        <v>7541</v>
      </c>
      <c r="R2412" s="6" t="s">
        <v>7542</v>
      </c>
    </row>
    <row r="2413">
      <c r="A2413" s="6" t="s">
        <v>7537</v>
      </c>
      <c r="B2413" s="6" t="s">
        <v>7537</v>
      </c>
      <c r="C2413" s="6">
        <v>804.0</v>
      </c>
      <c r="D2413" s="9" t="str">
        <f>HYPERLINK("https://www.linkedin.com/ad-library/detail/1480292736","Open Ad")</f>
        <v>Open Ad</v>
      </c>
      <c r="E2413" s="6" t="s">
        <v>91</v>
      </c>
      <c r="F2413" s="6" t="s">
        <v>53</v>
      </c>
      <c r="G2413" s="6" t="s">
        <v>7663</v>
      </c>
      <c r="H2413" s="6" t="s">
        <v>55</v>
      </c>
      <c r="I2413" s="6" t="s">
        <v>7566</v>
      </c>
      <c r="J2413" s="6" t="s">
        <v>91</v>
      </c>
      <c r="K2413" s="9" t="str">
        <f>HYPERLINK("https://media.licdn.com/dms/image/v2/D4D10AQG2mHlEH5vbgg/image-shrink_1280/B4DZ74pK0_KsAc-/0/1782288002815?e=2147483647&amp;v=beta&amp;t=58CyUgPB_trZDG5BB-QLZvAdT4cqfgHNU1DuC6AK4X8","Open Creative")</f>
        <v>Open Creative</v>
      </c>
      <c r="L2413" s="6" t="s">
        <v>131</v>
      </c>
      <c r="M2413" s="6" t="s">
        <v>7537</v>
      </c>
      <c r="N2413" s="6" t="s">
        <v>132</v>
      </c>
      <c r="O2413" s="36" t="s">
        <v>132</v>
      </c>
      <c r="P2413" s="36">
        <v>1.480292736E9</v>
      </c>
      <c r="Q2413" s="36" t="s">
        <v>7541</v>
      </c>
      <c r="R2413" s="6" t="s">
        <v>7542</v>
      </c>
    </row>
    <row r="2414">
      <c r="A2414" s="6" t="s">
        <v>7537</v>
      </c>
      <c r="B2414" s="6" t="s">
        <v>7537</v>
      </c>
      <c r="C2414" s="6">
        <v>805.0</v>
      </c>
      <c r="D2414" s="9" t="str">
        <f>HYPERLINK("https://www.linkedin.com/ad-library/detail/1480361006","Open Ad")</f>
        <v>Open Ad</v>
      </c>
      <c r="E2414" s="6" t="s">
        <v>91</v>
      </c>
      <c r="F2414" s="6" t="s">
        <v>53</v>
      </c>
      <c r="G2414" s="6" t="s">
        <v>7664</v>
      </c>
      <c r="H2414" s="6" t="s">
        <v>55</v>
      </c>
      <c r="I2414" s="6" t="s">
        <v>7566</v>
      </c>
      <c r="J2414" s="6" t="s">
        <v>91</v>
      </c>
      <c r="K2414" s="9" t="str">
        <f>HYPERLINK("https://media.licdn.com/dms/image/v2/D5610AQH7nCvwMGSRZQ/image-shrink_1280/B56Z7.b9d9IQAc-/0/1782385204611?e=2147483647&amp;v=beta&amp;t=YOiFiKeb5Epg1QDMx1_2h-utYeXG293Okir-tArj5ao","Open Creative")</f>
        <v>Open Creative</v>
      </c>
      <c r="L2414" s="6" t="s">
        <v>131</v>
      </c>
      <c r="M2414" s="6" t="s">
        <v>7537</v>
      </c>
      <c r="N2414" s="6" t="s">
        <v>132</v>
      </c>
      <c r="O2414" s="36" t="s">
        <v>132</v>
      </c>
      <c r="P2414" s="36">
        <v>1.480361006E9</v>
      </c>
      <c r="Q2414" s="36" t="s">
        <v>7541</v>
      </c>
      <c r="R2414" s="6" t="s">
        <v>7542</v>
      </c>
    </row>
    <row r="2415">
      <c r="A2415" s="6" t="s">
        <v>7537</v>
      </c>
      <c r="B2415" s="6" t="s">
        <v>7537</v>
      </c>
      <c r="C2415" s="6">
        <v>806.0</v>
      </c>
      <c r="D2415" s="9" t="str">
        <f>HYPERLINK("https://www.linkedin.com/ad-library/detail/1480193896","Open Ad")</f>
        <v>Open Ad</v>
      </c>
      <c r="E2415" s="6" t="s">
        <v>91</v>
      </c>
      <c r="F2415" s="6" t="s">
        <v>53</v>
      </c>
      <c r="G2415" s="6" t="s">
        <v>7663</v>
      </c>
      <c r="H2415" s="6" t="s">
        <v>55</v>
      </c>
      <c r="I2415" s="6" t="s">
        <v>7566</v>
      </c>
      <c r="J2415" s="6" t="s">
        <v>91</v>
      </c>
      <c r="K2415" s="9" t="str">
        <f t="shared" ref="K2415:K2416" si="78">HYPERLINK("https://media.licdn.com/dms/image/v2/D4D10AQG2mHlEH5vbgg/image-shrink_1280/B4DZ74pK0_KsAc-/0/1782288002815?e=2147483647&amp;v=beta&amp;t=58CyUgPB_trZDG5BB-QLZvAdT4cqfgHNU1DuC6AK4X8","Open Creative")</f>
        <v>Open Creative</v>
      </c>
      <c r="L2415" s="6" t="s">
        <v>131</v>
      </c>
      <c r="M2415" s="6" t="s">
        <v>7537</v>
      </c>
      <c r="N2415" s="6" t="s">
        <v>132</v>
      </c>
      <c r="O2415" s="36" t="s">
        <v>132</v>
      </c>
      <c r="P2415" s="36">
        <v>1.480193896E9</v>
      </c>
      <c r="Q2415" s="36" t="s">
        <v>7541</v>
      </c>
      <c r="R2415" s="6" t="s">
        <v>7542</v>
      </c>
    </row>
    <row r="2416">
      <c r="A2416" s="6" t="s">
        <v>7537</v>
      </c>
      <c r="B2416" s="6" t="s">
        <v>7537</v>
      </c>
      <c r="C2416" s="6">
        <v>807.0</v>
      </c>
      <c r="D2416" s="9" t="str">
        <f>HYPERLINK("https://www.linkedin.com/ad-library/detail/1480175976","Open Ad")</f>
        <v>Open Ad</v>
      </c>
      <c r="E2416" s="6" t="s">
        <v>91</v>
      </c>
      <c r="F2416" s="6" t="s">
        <v>53</v>
      </c>
      <c r="G2416" s="6" t="s">
        <v>7663</v>
      </c>
      <c r="H2416" s="6" t="s">
        <v>55</v>
      </c>
      <c r="I2416" s="6" t="s">
        <v>7566</v>
      </c>
      <c r="J2416" s="6" t="s">
        <v>91</v>
      </c>
      <c r="K2416" s="9" t="str">
        <f t="shared" si="78"/>
        <v>Open Creative</v>
      </c>
      <c r="L2416" s="6" t="s">
        <v>131</v>
      </c>
      <c r="M2416" s="6" t="s">
        <v>7537</v>
      </c>
      <c r="N2416" s="6" t="s">
        <v>132</v>
      </c>
      <c r="O2416" s="36" t="s">
        <v>132</v>
      </c>
      <c r="P2416" s="36">
        <v>1.480175976E9</v>
      </c>
      <c r="Q2416" s="36" t="s">
        <v>7541</v>
      </c>
      <c r="R2416" s="6" t="s">
        <v>7542</v>
      </c>
    </row>
    <row r="2417">
      <c r="A2417" s="6" t="s">
        <v>7537</v>
      </c>
      <c r="B2417" s="6" t="s">
        <v>7537</v>
      </c>
      <c r="C2417" s="6">
        <v>808.0</v>
      </c>
      <c r="D2417" s="9" t="str">
        <f>HYPERLINK("https://www.linkedin.com/ad-library/detail/1480272886","Open Ad")</f>
        <v>Open Ad</v>
      </c>
      <c r="E2417" s="6" t="s">
        <v>91</v>
      </c>
      <c r="F2417" s="6" t="s">
        <v>53</v>
      </c>
      <c r="G2417" s="6" t="s">
        <v>7664</v>
      </c>
      <c r="H2417" s="6" t="s">
        <v>769</v>
      </c>
      <c r="I2417" s="6" t="s">
        <v>7665</v>
      </c>
      <c r="J2417" s="6" t="s">
        <v>91</v>
      </c>
      <c r="K2417" s="9" t="str">
        <f>HYPERLINK("https://media.licdn.com/dms/image/v2/D5610AQH7nCvwMGSRZQ/image-shrink_1280/B56Z7.b9d9IQAc-/0/1782385204611?e=2147483647&amp;v=beta&amp;t=YOiFiKeb5Epg1QDMx1_2h-utYeXG293Okir-tArj5ao","Open Creative")</f>
        <v>Open Creative</v>
      </c>
      <c r="L2417" s="6" t="s">
        <v>131</v>
      </c>
      <c r="M2417" s="6" t="s">
        <v>7537</v>
      </c>
      <c r="N2417" s="6" t="s">
        <v>132</v>
      </c>
      <c r="O2417" s="36" t="s">
        <v>132</v>
      </c>
      <c r="P2417" s="36">
        <v>1.480272886E9</v>
      </c>
      <c r="Q2417" s="36" t="s">
        <v>68</v>
      </c>
      <c r="R2417" s="6" t="s">
        <v>7666</v>
      </c>
    </row>
    <row r="2418">
      <c r="A2418" s="6" t="s">
        <v>7537</v>
      </c>
      <c r="B2418" s="6" t="s">
        <v>7537</v>
      </c>
      <c r="C2418" s="6">
        <v>809.0</v>
      </c>
      <c r="D2418" s="9" t="str">
        <f>HYPERLINK("https://www.linkedin.com/ad-library/detail/1480252856","Open Ad")</f>
        <v>Open Ad</v>
      </c>
      <c r="E2418" s="6" t="s">
        <v>91</v>
      </c>
      <c r="F2418" s="6" t="s">
        <v>53</v>
      </c>
      <c r="G2418" s="6" t="s">
        <v>7662</v>
      </c>
      <c r="H2418" s="6" t="s">
        <v>55</v>
      </c>
      <c r="I2418" s="6" t="s">
        <v>7566</v>
      </c>
      <c r="J2418" s="6" t="s">
        <v>91</v>
      </c>
      <c r="K2418" s="9" t="str">
        <f>HYPERLINK("https://media.licdn.com/dms/image/v2/D5610AQFlNAbUyB29Vw/image-shrink_1280/B56Z7_go1EIoAc-/0/1782403206905?e=2147483647&amp;v=beta&amp;t=8wX-wxHnudfi8VLnNIh1PGkv0Y4avJHYaY8pB_57JGo","Open Creative")</f>
        <v>Open Creative</v>
      </c>
      <c r="L2418" s="6" t="s">
        <v>131</v>
      </c>
      <c r="M2418" s="6" t="s">
        <v>7537</v>
      </c>
      <c r="N2418" s="6" t="s">
        <v>132</v>
      </c>
      <c r="O2418" s="36" t="s">
        <v>132</v>
      </c>
      <c r="P2418" s="36">
        <v>1.480252856E9</v>
      </c>
      <c r="Q2418" s="36" t="s">
        <v>7541</v>
      </c>
      <c r="R2418" s="6" t="s">
        <v>7542</v>
      </c>
    </row>
    <row r="2419">
      <c r="A2419" s="6" t="s">
        <v>7537</v>
      </c>
      <c r="B2419" s="6" t="s">
        <v>7537</v>
      </c>
      <c r="C2419" s="6">
        <v>810.0</v>
      </c>
      <c r="D2419" s="9" t="str">
        <f>HYPERLINK("https://www.linkedin.com/ad-library/detail/1480521576","Open Ad")</f>
        <v>Open Ad</v>
      </c>
      <c r="E2419" s="6" t="s">
        <v>91</v>
      </c>
      <c r="F2419" s="6" t="s">
        <v>53</v>
      </c>
      <c r="G2419" s="6" t="s">
        <v>7610</v>
      </c>
      <c r="H2419" s="6" t="s">
        <v>55</v>
      </c>
      <c r="I2419" s="6" t="s">
        <v>7566</v>
      </c>
      <c r="J2419" s="6" t="s">
        <v>91</v>
      </c>
      <c r="K2419" s="9" t="str">
        <f>HYPERLINK("https://media.licdn.com/dms/image/v2/D5610AQEwpl_XyafGEQ/image-pad_1200_1200/B56Z8FRBQwKUAI-/0/1782499775725?e=1789477200&amp;v=beta&amp;t=nYQu2DybNhKjQyW3lcfMKlxBochPYjMuQ3YdlsDMx-8","Open Creative")</f>
        <v>Open Creative</v>
      </c>
      <c r="L2419" s="6" t="s">
        <v>131</v>
      </c>
      <c r="M2419" s="6" t="s">
        <v>7537</v>
      </c>
      <c r="N2419" s="6" t="s">
        <v>132</v>
      </c>
      <c r="O2419" s="36" t="s">
        <v>132</v>
      </c>
      <c r="P2419" s="36">
        <v>1.480521576E9</v>
      </c>
      <c r="Q2419" s="36" t="s">
        <v>7541</v>
      </c>
      <c r="R2419" s="6" t="s">
        <v>7542</v>
      </c>
    </row>
    <row r="2420">
      <c r="A2420" s="6" t="s">
        <v>7537</v>
      </c>
      <c r="B2420" s="6" t="s">
        <v>7537</v>
      </c>
      <c r="C2420" s="6">
        <v>811.0</v>
      </c>
      <c r="D2420" s="9" t="str">
        <f>HYPERLINK("https://www.linkedin.com/ad-library/detail/1480484486","Open Ad")</f>
        <v>Open Ad</v>
      </c>
      <c r="E2420" s="6" t="s">
        <v>154</v>
      </c>
      <c r="F2420" s="6" t="s">
        <v>53</v>
      </c>
      <c r="G2420" s="6" t="s">
        <v>7610</v>
      </c>
      <c r="H2420" s="6" t="s">
        <v>55</v>
      </c>
      <c r="I2420" s="6" t="s">
        <v>7566</v>
      </c>
      <c r="J2420" s="6" t="s">
        <v>154</v>
      </c>
      <c r="K2420" s="9" t="str">
        <f>HYPERLINK("https://dms.licdn.com/playlist/vid/v2/D5610AQEJpEy13f0tkQ/mp4-360p-30fp-crf28/B56Z8FlUiVIgCA-/0/1782505099712?e=2147483647&amp;v=beta&amp;t=_pyNA0I-zblCih8X5iTZwrmnCnbfgtx5mPRPA47i1Go","Open Creative")</f>
        <v>Open Creative</v>
      </c>
      <c r="L2420" s="6" t="s">
        <v>131</v>
      </c>
      <c r="M2420" s="6" t="s">
        <v>7537</v>
      </c>
      <c r="N2420" s="6" t="s">
        <v>132</v>
      </c>
      <c r="O2420" s="36" t="s">
        <v>132</v>
      </c>
      <c r="P2420" s="36">
        <v>1.480484486E9</v>
      </c>
      <c r="Q2420" s="36" t="s">
        <v>7541</v>
      </c>
      <c r="R2420" s="6" t="s">
        <v>7542</v>
      </c>
    </row>
    <row r="2421">
      <c r="A2421" s="6" t="s">
        <v>7537</v>
      </c>
      <c r="B2421" s="6" t="s">
        <v>7537</v>
      </c>
      <c r="C2421" s="6">
        <v>812.0</v>
      </c>
      <c r="D2421" s="9" t="str">
        <f>HYPERLINK("https://www.linkedin.com/ad-library/detail/1480166926","Open Ad")</f>
        <v>Open Ad</v>
      </c>
      <c r="E2421" s="6" t="s">
        <v>91</v>
      </c>
      <c r="F2421" s="6" t="s">
        <v>53</v>
      </c>
      <c r="G2421" s="6" t="s">
        <v>7662</v>
      </c>
      <c r="H2421" s="6" t="s">
        <v>55</v>
      </c>
      <c r="I2421" s="6" t="s">
        <v>7566</v>
      </c>
      <c r="J2421" s="6" t="s">
        <v>91</v>
      </c>
      <c r="K2421" s="9" t="str">
        <f t="shared" ref="K2421:K2424" si="79">HYPERLINK("https://media.licdn.com/dms/image/v2/D5610AQFlNAbUyB29Vw/image-shrink_1280/B56Z7_go1EIoAc-/0/1782403206905?e=2147483647&amp;v=beta&amp;t=8wX-wxHnudfi8VLnNIh1PGkv0Y4avJHYaY8pB_57JGo","Open Creative")</f>
        <v>Open Creative</v>
      </c>
      <c r="L2421" s="6" t="s">
        <v>131</v>
      </c>
      <c r="M2421" s="6" t="s">
        <v>7537</v>
      </c>
      <c r="N2421" s="6" t="s">
        <v>132</v>
      </c>
      <c r="O2421" s="36" t="s">
        <v>132</v>
      </c>
      <c r="P2421" s="36">
        <v>1.480166926E9</v>
      </c>
      <c r="Q2421" s="36" t="s">
        <v>7541</v>
      </c>
      <c r="R2421" s="6" t="s">
        <v>7542</v>
      </c>
    </row>
    <row r="2422">
      <c r="A2422" s="6" t="s">
        <v>7537</v>
      </c>
      <c r="B2422" s="6" t="s">
        <v>7537</v>
      </c>
      <c r="C2422" s="6">
        <v>813.0</v>
      </c>
      <c r="D2422" s="9" t="str">
        <f>HYPERLINK("https://www.linkedin.com/ad-library/detail/1419492246","Open Ad")</f>
        <v>Open Ad</v>
      </c>
      <c r="E2422" s="6" t="s">
        <v>91</v>
      </c>
      <c r="F2422" s="6" t="s">
        <v>53</v>
      </c>
      <c r="G2422" s="6" t="s">
        <v>7662</v>
      </c>
      <c r="H2422" s="6" t="s">
        <v>55</v>
      </c>
      <c r="I2422" s="6" t="s">
        <v>7566</v>
      </c>
      <c r="J2422" s="6" t="s">
        <v>91</v>
      </c>
      <c r="K2422" s="9" t="str">
        <f t="shared" si="79"/>
        <v>Open Creative</v>
      </c>
      <c r="L2422" s="6" t="s">
        <v>131</v>
      </c>
      <c r="M2422" s="6" t="s">
        <v>7537</v>
      </c>
      <c r="N2422" s="6" t="s">
        <v>132</v>
      </c>
      <c r="O2422" s="36" t="s">
        <v>132</v>
      </c>
      <c r="P2422" s="36">
        <v>1.419492246E9</v>
      </c>
      <c r="Q2422" s="36" t="s">
        <v>7541</v>
      </c>
      <c r="R2422" s="6" t="s">
        <v>7542</v>
      </c>
    </row>
    <row r="2423">
      <c r="A2423" s="6" t="s">
        <v>7537</v>
      </c>
      <c r="B2423" s="6" t="s">
        <v>7537</v>
      </c>
      <c r="C2423" s="6">
        <v>814.0</v>
      </c>
      <c r="D2423" s="9" t="str">
        <f>HYPERLINK("https://www.linkedin.com/ad-library/detail/1480312596","Open Ad")</f>
        <v>Open Ad</v>
      </c>
      <c r="E2423" s="6" t="s">
        <v>91</v>
      </c>
      <c r="F2423" s="6" t="s">
        <v>53</v>
      </c>
      <c r="G2423" s="6" t="s">
        <v>7662</v>
      </c>
      <c r="H2423" s="6" t="s">
        <v>55</v>
      </c>
      <c r="I2423" s="6" t="s">
        <v>7566</v>
      </c>
      <c r="J2423" s="6" t="s">
        <v>91</v>
      </c>
      <c r="K2423" s="9" t="str">
        <f t="shared" si="79"/>
        <v>Open Creative</v>
      </c>
      <c r="L2423" s="6" t="s">
        <v>131</v>
      </c>
      <c r="M2423" s="6" t="s">
        <v>7537</v>
      </c>
      <c r="N2423" s="6" t="s">
        <v>132</v>
      </c>
      <c r="O2423" s="36" t="s">
        <v>132</v>
      </c>
      <c r="P2423" s="36">
        <v>1.480312596E9</v>
      </c>
      <c r="Q2423" s="36" t="s">
        <v>7541</v>
      </c>
      <c r="R2423" s="6" t="s">
        <v>7542</v>
      </c>
    </row>
    <row r="2424">
      <c r="A2424" s="6" t="s">
        <v>7537</v>
      </c>
      <c r="B2424" s="6" t="s">
        <v>7537</v>
      </c>
      <c r="C2424" s="6">
        <v>815.0</v>
      </c>
      <c r="D2424" s="9" t="str">
        <f>HYPERLINK("https://www.linkedin.com/ad-library/detail/1480292776","Open Ad")</f>
        <v>Open Ad</v>
      </c>
      <c r="E2424" s="6" t="s">
        <v>91</v>
      </c>
      <c r="F2424" s="6" t="s">
        <v>53</v>
      </c>
      <c r="G2424" s="6" t="s">
        <v>7662</v>
      </c>
      <c r="H2424" s="6" t="s">
        <v>55</v>
      </c>
      <c r="I2424" s="6" t="s">
        <v>7566</v>
      </c>
      <c r="J2424" s="6" t="s">
        <v>91</v>
      </c>
      <c r="K2424" s="9" t="str">
        <f t="shared" si="79"/>
        <v>Open Creative</v>
      </c>
      <c r="L2424" s="6" t="s">
        <v>131</v>
      </c>
      <c r="M2424" s="6" t="s">
        <v>7537</v>
      </c>
      <c r="N2424" s="6" t="s">
        <v>132</v>
      </c>
      <c r="O2424" s="36" t="s">
        <v>132</v>
      </c>
      <c r="P2424" s="36">
        <v>1.480292776E9</v>
      </c>
      <c r="Q2424" s="36" t="s">
        <v>7541</v>
      </c>
      <c r="R2424" s="6" t="s">
        <v>7542</v>
      </c>
    </row>
    <row r="2425">
      <c r="A2425" s="6" t="s">
        <v>7537</v>
      </c>
      <c r="B2425" s="6" t="s">
        <v>7537</v>
      </c>
      <c r="C2425" s="6">
        <v>816.0</v>
      </c>
      <c r="D2425" s="9" t="str">
        <f>HYPERLINK("https://www.linkedin.com/ad-library/detail/1480183966","Open Ad")</f>
        <v>Open Ad</v>
      </c>
      <c r="E2425" s="6" t="s">
        <v>91</v>
      </c>
      <c r="F2425" s="6" t="s">
        <v>53</v>
      </c>
      <c r="G2425" s="6" t="s">
        <v>7663</v>
      </c>
      <c r="H2425" s="6" t="s">
        <v>55</v>
      </c>
      <c r="I2425" s="6" t="s">
        <v>7566</v>
      </c>
      <c r="J2425" s="6" t="s">
        <v>91</v>
      </c>
      <c r="K2425" s="9" t="str">
        <f>HYPERLINK("https://media.licdn.com/dms/image/v2/D4D10AQG2mHlEH5vbgg/image-shrink_1280/B4DZ74pK0_KsAc-/0/1782288002815?e=2147483647&amp;v=beta&amp;t=58CyUgPB_trZDG5BB-QLZvAdT4cqfgHNU1DuC6AK4X8","Open Creative")</f>
        <v>Open Creative</v>
      </c>
      <c r="L2425" s="6" t="s">
        <v>131</v>
      </c>
      <c r="M2425" s="6" t="s">
        <v>7537</v>
      </c>
      <c r="N2425" s="6" t="s">
        <v>132</v>
      </c>
      <c r="O2425" s="36" t="s">
        <v>132</v>
      </c>
      <c r="P2425" s="36">
        <v>1.480183966E9</v>
      </c>
      <c r="Q2425" s="36" t="s">
        <v>7541</v>
      </c>
      <c r="R2425" s="6" t="s">
        <v>7542</v>
      </c>
    </row>
    <row r="2426">
      <c r="A2426" s="6" t="s">
        <v>7537</v>
      </c>
      <c r="B2426" s="6" t="s">
        <v>7537</v>
      </c>
      <c r="C2426" s="6">
        <v>817.0</v>
      </c>
      <c r="D2426" s="9" t="str">
        <f>HYPERLINK("https://www.linkedin.com/ad-library/detail/1480211246","Open Ad")</f>
        <v>Open Ad</v>
      </c>
      <c r="E2426" s="6" t="s">
        <v>91</v>
      </c>
      <c r="F2426" s="6" t="s">
        <v>53</v>
      </c>
      <c r="G2426" s="6" t="s">
        <v>7667</v>
      </c>
      <c r="H2426" s="6" t="s">
        <v>55</v>
      </c>
      <c r="I2426" s="6" t="s">
        <v>7566</v>
      </c>
      <c r="J2426" s="6" t="s">
        <v>91</v>
      </c>
      <c r="K2426" s="9" t="str">
        <f>HYPERLINK("https://media.licdn.com/dms/image/v2/D4E22AQEOWskfxVn3bA/feedshare-image-high-res/B4EZ7GvqbBJMAU-/0/1781450845198?e=2147483647&amp;v=beta&amp;t=gjGsuCWbr5acjhlgpJw0Ek8zxfCy732sv1xH319KGJQ","Open Creative")</f>
        <v>Open Creative</v>
      </c>
      <c r="L2426" s="6" t="s">
        <v>131</v>
      </c>
      <c r="M2426" s="6" t="s">
        <v>7537</v>
      </c>
      <c r="N2426" s="6" t="s">
        <v>132</v>
      </c>
      <c r="O2426" s="36" t="s">
        <v>132</v>
      </c>
      <c r="P2426" s="36">
        <v>1.480211246E9</v>
      </c>
      <c r="Q2426" s="36" t="s">
        <v>7541</v>
      </c>
      <c r="R2426" s="6" t="s">
        <v>7542</v>
      </c>
    </row>
    <row r="2427">
      <c r="A2427" s="6" t="s">
        <v>7537</v>
      </c>
      <c r="B2427" s="6" t="s">
        <v>7537</v>
      </c>
      <c r="C2427" s="6">
        <v>818.0</v>
      </c>
      <c r="D2427" s="9" t="str">
        <f>HYPERLINK("https://www.linkedin.com/ad-library/detail/1480108716","Open Ad")</f>
        <v>Open Ad</v>
      </c>
      <c r="E2427" s="6" t="s">
        <v>91</v>
      </c>
      <c r="F2427" s="6" t="s">
        <v>53</v>
      </c>
      <c r="G2427" s="6" t="s">
        <v>7668</v>
      </c>
      <c r="H2427" s="6" t="s">
        <v>55</v>
      </c>
      <c r="I2427" s="6" t="s">
        <v>7566</v>
      </c>
      <c r="J2427" s="6" t="s">
        <v>91</v>
      </c>
      <c r="K2427" s="9" t="str">
        <f>HYPERLINK("https://media.licdn.com/dms/image/v2/D4E22AQFovDtIQyJ4mQ/feedshare-image-high-res/B4EZ7UVZhGKEAY-/0/1781678840176?e=2147483647&amp;v=beta&amp;t=I5_1kWXCI5eDrRMPB4nNhyWYX-XZCPvPklqpjJxEZ0A","Open Creative")</f>
        <v>Open Creative</v>
      </c>
      <c r="L2427" s="6" t="s">
        <v>131</v>
      </c>
      <c r="M2427" s="6" t="s">
        <v>7537</v>
      </c>
      <c r="N2427" s="6" t="s">
        <v>132</v>
      </c>
      <c r="O2427" s="36" t="s">
        <v>132</v>
      </c>
      <c r="P2427" s="36">
        <v>1.480108716E9</v>
      </c>
      <c r="Q2427" s="36" t="s">
        <v>7541</v>
      </c>
      <c r="R2427" s="6" t="s">
        <v>7542</v>
      </c>
    </row>
    <row r="2428">
      <c r="A2428" s="6" t="s">
        <v>7537</v>
      </c>
      <c r="B2428" s="6" t="s">
        <v>7537</v>
      </c>
      <c r="C2428" s="6">
        <v>819.0</v>
      </c>
      <c r="D2428" s="9" t="str">
        <f>HYPERLINK("https://www.linkedin.com/ad-library/detail/1479193436","Open Ad")</f>
        <v>Open Ad</v>
      </c>
      <c r="E2428" s="6" t="s">
        <v>91</v>
      </c>
      <c r="F2428" s="6" t="s">
        <v>53</v>
      </c>
      <c r="G2428" s="6" t="s">
        <v>7669</v>
      </c>
      <c r="H2428" s="6" t="s">
        <v>55</v>
      </c>
      <c r="I2428" s="6" t="s">
        <v>7566</v>
      </c>
      <c r="J2428" s="6" t="s">
        <v>91</v>
      </c>
      <c r="K2428" s="9" t="str">
        <f>HYPERLINK("https://media.licdn.com/dms/image/v2/D5610AQHysvgheOaxnA/image-shrink_1280/B56Z7gHNArGcAc-/0/1781876446018?e=2147483647&amp;v=beta&amp;t=t-TRheTCXSd2pZn8E-EoCDLxg44cgxbezWW2xN5ZLC0","Open Creative")</f>
        <v>Open Creative</v>
      </c>
      <c r="L2428" s="6" t="s">
        <v>131</v>
      </c>
      <c r="M2428" s="6" t="s">
        <v>7537</v>
      </c>
      <c r="N2428" s="6" t="s">
        <v>132</v>
      </c>
      <c r="O2428" s="36" t="s">
        <v>132</v>
      </c>
      <c r="P2428" s="36">
        <v>1.479193436E9</v>
      </c>
      <c r="Q2428" s="36" t="s">
        <v>7541</v>
      </c>
      <c r="R2428" s="6" t="s">
        <v>7542</v>
      </c>
    </row>
    <row r="2429">
      <c r="A2429" s="6" t="s">
        <v>7537</v>
      </c>
      <c r="B2429" s="6" t="s">
        <v>7537</v>
      </c>
      <c r="C2429" s="6">
        <v>820.0</v>
      </c>
      <c r="D2429" s="9" t="str">
        <f>HYPERLINK("https://www.linkedin.com/ad-library/detail/1480211006","Open Ad")</f>
        <v>Open Ad</v>
      </c>
      <c r="E2429" s="6" t="s">
        <v>91</v>
      </c>
      <c r="F2429" s="6" t="s">
        <v>53</v>
      </c>
      <c r="G2429" s="6" t="s">
        <v>7667</v>
      </c>
      <c r="H2429" s="6" t="s">
        <v>55</v>
      </c>
      <c r="I2429" s="6" t="s">
        <v>7566</v>
      </c>
      <c r="J2429" s="6" t="s">
        <v>91</v>
      </c>
      <c r="K2429" s="9" t="str">
        <f>HYPERLINK("https://media.licdn.com/dms/image/v2/D4E22AQEOWskfxVn3bA/feedshare-image-high-res/B4EZ7GvqbBJMAU-/0/1781450845198?e=2147483647&amp;v=beta&amp;t=gjGsuCWbr5acjhlgpJw0Ek8zxfCy732sv1xH319KGJQ","Open Creative")</f>
        <v>Open Creative</v>
      </c>
      <c r="L2429" s="6" t="s">
        <v>131</v>
      </c>
      <c r="M2429" s="6" t="s">
        <v>7537</v>
      </c>
      <c r="N2429" s="6" t="s">
        <v>132</v>
      </c>
      <c r="O2429" s="36" t="s">
        <v>132</v>
      </c>
      <c r="P2429" s="36">
        <v>1.480211006E9</v>
      </c>
      <c r="Q2429" s="36" t="s">
        <v>7541</v>
      </c>
      <c r="R2429" s="6" t="s">
        <v>7542</v>
      </c>
    </row>
    <row r="2430">
      <c r="A2430" s="6" t="s">
        <v>7537</v>
      </c>
      <c r="B2430" s="6" t="s">
        <v>7537</v>
      </c>
      <c r="C2430" s="6">
        <v>821.0</v>
      </c>
      <c r="D2430" s="9" t="str">
        <f>HYPERLINK("https://www.linkedin.com/ad-library/detail/1480068666","Open Ad")</f>
        <v>Open Ad</v>
      </c>
      <c r="E2430" s="6" t="s">
        <v>91</v>
      </c>
      <c r="F2430" s="6" t="s">
        <v>53</v>
      </c>
      <c r="G2430" s="6" t="s">
        <v>7668</v>
      </c>
      <c r="H2430" s="6" t="s">
        <v>55</v>
      </c>
      <c r="I2430" s="6" t="s">
        <v>7566</v>
      </c>
      <c r="J2430" s="6" t="s">
        <v>91</v>
      </c>
      <c r="K2430" s="9" t="str">
        <f>HYPERLINK("https://media.licdn.com/dms/image/v2/D4E22AQFovDtIQyJ4mQ/feedshare-image-high-res/B4EZ7UVZhGKEAY-/0/1781678840176?e=2147483647&amp;v=beta&amp;t=I5_1kWXCI5eDrRMPB4nNhyWYX-XZCPvPklqpjJxEZ0A","Open Creative")</f>
        <v>Open Creative</v>
      </c>
      <c r="L2430" s="6" t="s">
        <v>131</v>
      </c>
      <c r="M2430" s="6" t="s">
        <v>7537</v>
      </c>
      <c r="N2430" s="6" t="s">
        <v>132</v>
      </c>
      <c r="O2430" s="36" t="s">
        <v>132</v>
      </c>
      <c r="P2430" s="36">
        <v>1.480068666E9</v>
      </c>
      <c r="Q2430" s="36" t="s">
        <v>7541</v>
      </c>
      <c r="R2430" s="6" t="s">
        <v>7542</v>
      </c>
    </row>
    <row r="2431">
      <c r="A2431" s="6" t="s">
        <v>7537</v>
      </c>
      <c r="B2431" s="6" t="s">
        <v>7537</v>
      </c>
      <c r="C2431" s="6">
        <v>822.0</v>
      </c>
      <c r="D2431" s="9" t="str">
        <f>HYPERLINK("https://www.linkedin.com/ad-library/detail/1480262466","Open Ad")</f>
        <v>Open Ad</v>
      </c>
      <c r="E2431" s="6" t="s">
        <v>91</v>
      </c>
      <c r="F2431" s="6" t="s">
        <v>53</v>
      </c>
      <c r="G2431" s="6" t="s">
        <v>7670</v>
      </c>
      <c r="H2431" s="6" t="s">
        <v>55</v>
      </c>
      <c r="I2431" s="6" t="s">
        <v>7566</v>
      </c>
      <c r="J2431" s="6" t="s">
        <v>91</v>
      </c>
      <c r="K2431" s="9" t="str">
        <f>HYPERLINK("https://media.licdn.com/dms/image/v2/D5622AQEde1F15ukwAw/feedshare-shrink_1280/B56Z7VtkVgIgAM-/0/1781701953541?e=2147483647&amp;v=beta&amp;t=ndTxB8b7PRGc_pmMS59XqdDziGU3lDn_Pr9NK00tznY","Open Creative")</f>
        <v>Open Creative</v>
      </c>
      <c r="L2431" s="6" t="s">
        <v>131</v>
      </c>
      <c r="M2431" s="6" t="s">
        <v>7537</v>
      </c>
      <c r="N2431" s="6" t="s">
        <v>132</v>
      </c>
      <c r="O2431" s="36" t="s">
        <v>132</v>
      </c>
      <c r="P2431" s="36">
        <v>1.480262466E9</v>
      </c>
      <c r="Q2431" s="36" t="s">
        <v>7541</v>
      </c>
      <c r="R2431" s="6" t="s">
        <v>7542</v>
      </c>
    </row>
    <row r="2432">
      <c r="A2432" s="6" t="s">
        <v>7537</v>
      </c>
      <c r="B2432" s="6" t="s">
        <v>7537</v>
      </c>
      <c r="C2432" s="6">
        <v>823.0</v>
      </c>
      <c r="D2432" s="9" t="str">
        <f>HYPERLINK("https://www.linkedin.com/ad-library/detail/1480153636","Open Ad")</f>
        <v>Open Ad</v>
      </c>
      <c r="E2432" s="6" t="s">
        <v>91</v>
      </c>
      <c r="F2432" s="6" t="s">
        <v>53</v>
      </c>
      <c r="G2432" s="6" t="s">
        <v>7668</v>
      </c>
      <c r="H2432" s="6" t="s">
        <v>55</v>
      </c>
      <c r="I2432" s="6" t="s">
        <v>7566</v>
      </c>
      <c r="J2432" s="6" t="s">
        <v>91</v>
      </c>
      <c r="K2432" s="9" t="str">
        <f>HYPERLINK("https://media.licdn.com/dms/image/v2/D4E22AQFovDtIQyJ4mQ/feedshare-image-high-res/B4EZ7UVZhGKEAY-/0/1781678840176?e=2147483647&amp;v=beta&amp;t=I5_1kWXCI5eDrRMPB4nNhyWYX-XZCPvPklqpjJxEZ0A","Open Creative")</f>
        <v>Open Creative</v>
      </c>
      <c r="L2432" s="6" t="s">
        <v>131</v>
      </c>
      <c r="M2432" s="6" t="s">
        <v>7537</v>
      </c>
      <c r="N2432" s="6" t="s">
        <v>132</v>
      </c>
      <c r="O2432" s="36" t="s">
        <v>132</v>
      </c>
      <c r="P2432" s="36">
        <v>1.480153636E9</v>
      </c>
      <c r="Q2432" s="36" t="s">
        <v>7541</v>
      </c>
      <c r="R2432" s="6" t="s">
        <v>7542</v>
      </c>
    </row>
    <row r="2433">
      <c r="A2433" s="6" t="s">
        <v>7537</v>
      </c>
      <c r="B2433" s="6" t="s">
        <v>7537</v>
      </c>
      <c r="C2433" s="6">
        <v>824.0</v>
      </c>
      <c r="D2433" s="9" t="str">
        <f>HYPERLINK("https://www.linkedin.com/ad-library/detail/1480349996","Open Ad")</f>
        <v>Open Ad</v>
      </c>
      <c r="E2433" s="6" t="s">
        <v>91</v>
      </c>
      <c r="F2433" s="6" t="s">
        <v>53</v>
      </c>
      <c r="G2433" s="6" t="s">
        <v>7670</v>
      </c>
      <c r="H2433" s="6" t="s">
        <v>55</v>
      </c>
      <c r="I2433" s="6" t="s">
        <v>7566</v>
      </c>
      <c r="J2433" s="6" t="s">
        <v>91</v>
      </c>
      <c r="K2433" s="9" t="str">
        <f t="shared" ref="K2433:K2434" si="80">HYPERLINK("https://media.licdn.com/dms/image/v2/D5622AQEde1F15ukwAw/feedshare-shrink_1280/B56Z7VtkVgIgAM-/0/1781701953541?e=2147483647&amp;v=beta&amp;t=ndTxB8b7PRGc_pmMS59XqdDziGU3lDn_Pr9NK00tznY","Open Creative")</f>
        <v>Open Creative</v>
      </c>
      <c r="L2433" s="6" t="s">
        <v>131</v>
      </c>
      <c r="M2433" s="6" t="s">
        <v>7537</v>
      </c>
      <c r="N2433" s="6" t="s">
        <v>132</v>
      </c>
      <c r="O2433" s="36" t="s">
        <v>132</v>
      </c>
      <c r="P2433" s="36">
        <v>1.480349996E9</v>
      </c>
      <c r="Q2433" s="36" t="s">
        <v>7541</v>
      </c>
      <c r="R2433" s="6" t="s">
        <v>7542</v>
      </c>
    </row>
    <row r="2434">
      <c r="A2434" s="6" t="s">
        <v>7537</v>
      </c>
      <c r="B2434" s="6" t="s">
        <v>7537</v>
      </c>
      <c r="C2434" s="6">
        <v>825.0</v>
      </c>
      <c r="D2434" s="9" t="str">
        <f>HYPERLINK("https://www.linkedin.com/ad-library/detail/1480270836","Open Ad")</f>
        <v>Open Ad</v>
      </c>
      <c r="E2434" s="6" t="s">
        <v>91</v>
      </c>
      <c r="F2434" s="6" t="s">
        <v>53</v>
      </c>
      <c r="G2434" s="6" t="s">
        <v>7670</v>
      </c>
      <c r="H2434" s="6" t="s">
        <v>55</v>
      </c>
      <c r="I2434" s="6" t="s">
        <v>7566</v>
      </c>
      <c r="J2434" s="6" t="s">
        <v>91</v>
      </c>
      <c r="K2434" s="9" t="str">
        <f t="shared" si="80"/>
        <v>Open Creative</v>
      </c>
      <c r="L2434" s="6" t="s">
        <v>131</v>
      </c>
      <c r="M2434" s="6" t="s">
        <v>7537</v>
      </c>
      <c r="N2434" s="6" t="s">
        <v>132</v>
      </c>
      <c r="O2434" s="36" t="s">
        <v>132</v>
      </c>
      <c r="P2434" s="36">
        <v>1.480270836E9</v>
      </c>
      <c r="Q2434" s="36" t="s">
        <v>7541</v>
      </c>
      <c r="R2434" s="6" t="s">
        <v>7542</v>
      </c>
    </row>
    <row r="2435">
      <c r="A2435" s="6" t="s">
        <v>7537</v>
      </c>
      <c r="B2435" s="6" t="s">
        <v>7537</v>
      </c>
      <c r="C2435" s="6">
        <v>826.0</v>
      </c>
      <c r="D2435" s="9" t="str">
        <f>HYPERLINK("https://www.linkedin.com/ad-library/detail/1479959446","Open Ad")</f>
        <v>Open Ad</v>
      </c>
      <c r="E2435" s="6" t="s">
        <v>91</v>
      </c>
      <c r="F2435" s="6" t="s">
        <v>53</v>
      </c>
      <c r="G2435" s="6" t="s">
        <v>7668</v>
      </c>
      <c r="H2435" s="6" t="s">
        <v>55</v>
      </c>
      <c r="I2435" s="6" t="s">
        <v>7566</v>
      </c>
      <c r="J2435" s="6" t="s">
        <v>91</v>
      </c>
      <c r="K2435" s="9" t="str">
        <f t="shared" ref="K2435:K2436" si="81">HYPERLINK("https://media.licdn.com/dms/image/v2/D4E22AQFovDtIQyJ4mQ/feedshare-image-high-res/B4EZ7UVZhGKEAY-/0/1781678840176?e=2147483647&amp;v=beta&amp;t=I5_1kWXCI5eDrRMPB4nNhyWYX-XZCPvPklqpjJxEZ0A","Open Creative")</f>
        <v>Open Creative</v>
      </c>
      <c r="L2435" s="6" t="s">
        <v>131</v>
      </c>
      <c r="M2435" s="6" t="s">
        <v>7537</v>
      </c>
      <c r="N2435" s="6" t="s">
        <v>132</v>
      </c>
      <c r="O2435" s="36" t="s">
        <v>132</v>
      </c>
      <c r="P2435" s="36">
        <v>1.479959446E9</v>
      </c>
      <c r="Q2435" s="36" t="s">
        <v>7541</v>
      </c>
      <c r="R2435" s="6" t="s">
        <v>7542</v>
      </c>
    </row>
    <row r="2436">
      <c r="A2436" s="6" t="s">
        <v>7537</v>
      </c>
      <c r="B2436" s="6" t="s">
        <v>7537</v>
      </c>
      <c r="C2436" s="6">
        <v>827.0</v>
      </c>
      <c r="D2436" s="9" t="str">
        <f>HYPERLINK("https://www.linkedin.com/ad-library/detail/1479998616","Open Ad")</f>
        <v>Open Ad</v>
      </c>
      <c r="E2436" s="6" t="s">
        <v>91</v>
      </c>
      <c r="F2436" s="6" t="s">
        <v>53</v>
      </c>
      <c r="G2436" s="6" t="s">
        <v>7668</v>
      </c>
      <c r="H2436" s="6" t="s">
        <v>55</v>
      </c>
      <c r="I2436" s="6" t="s">
        <v>7566</v>
      </c>
      <c r="J2436" s="6" t="s">
        <v>91</v>
      </c>
      <c r="K2436" s="9" t="str">
        <f t="shared" si="81"/>
        <v>Open Creative</v>
      </c>
      <c r="L2436" s="6" t="s">
        <v>131</v>
      </c>
      <c r="M2436" s="6" t="s">
        <v>7537</v>
      </c>
      <c r="N2436" s="6" t="s">
        <v>132</v>
      </c>
      <c r="O2436" s="36" t="s">
        <v>132</v>
      </c>
      <c r="P2436" s="36">
        <v>1.479998616E9</v>
      </c>
      <c r="Q2436" s="36" t="s">
        <v>7541</v>
      </c>
      <c r="R2436" s="6" t="s">
        <v>7542</v>
      </c>
    </row>
    <row r="2437">
      <c r="A2437" s="6" t="s">
        <v>7537</v>
      </c>
      <c r="B2437" s="6" t="s">
        <v>7537</v>
      </c>
      <c r="C2437" s="6">
        <v>828.0</v>
      </c>
      <c r="D2437" s="9" t="str">
        <f>HYPERLINK("https://www.linkedin.com/ad-library/detail/1480119586","Open Ad")</f>
        <v>Open Ad</v>
      </c>
      <c r="E2437" s="6" t="s">
        <v>91</v>
      </c>
      <c r="F2437" s="6" t="s">
        <v>53</v>
      </c>
      <c r="G2437" s="6" t="s">
        <v>7667</v>
      </c>
      <c r="H2437" s="6" t="s">
        <v>55</v>
      </c>
      <c r="I2437" s="6" t="s">
        <v>7566</v>
      </c>
      <c r="J2437" s="6" t="s">
        <v>91</v>
      </c>
      <c r="K2437" s="9" t="str">
        <f>HYPERLINK("https://media.licdn.com/dms/image/v2/D4E22AQEOWskfxVn3bA/feedshare-image-high-res/B4EZ7GvqbBJMAU-/0/1781450845198?e=2147483647&amp;v=beta&amp;t=gjGsuCWbr5acjhlgpJw0Ek8zxfCy732sv1xH319KGJQ","Open Creative")</f>
        <v>Open Creative</v>
      </c>
      <c r="L2437" s="6" t="s">
        <v>131</v>
      </c>
      <c r="M2437" s="6" t="s">
        <v>7537</v>
      </c>
      <c r="N2437" s="6" t="s">
        <v>132</v>
      </c>
      <c r="O2437" s="36" t="s">
        <v>132</v>
      </c>
      <c r="P2437" s="36">
        <v>1.480119586E9</v>
      </c>
      <c r="Q2437" s="36" t="s">
        <v>7541</v>
      </c>
      <c r="R2437" s="6" t="s">
        <v>7542</v>
      </c>
    </row>
    <row r="2438">
      <c r="A2438" s="6" t="s">
        <v>7537</v>
      </c>
      <c r="B2438" s="6" t="s">
        <v>7537</v>
      </c>
      <c r="C2438" s="6">
        <v>829.0</v>
      </c>
      <c r="D2438" s="9" t="str">
        <f>HYPERLINK("https://www.linkedin.com/ad-library/detail/1479292826","Open Ad")</f>
        <v>Open Ad</v>
      </c>
      <c r="E2438" s="6" t="s">
        <v>91</v>
      </c>
      <c r="F2438" s="6" t="s">
        <v>53</v>
      </c>
      <c r="G2438" s="6" t="s">
        <v>7669</v>
      </c>
      <c r="H2438" s="6" t="s">
        <v>55</v>
      </c>
      <c r="I2438" s="6" t="s">
        <v>7566</v>
      </c>
      <c r="J2438" s="6" t="s">
        <v>91</v>
      </c>
      <c r="K2438" s="9" t="str">
        <f>HYPERLINK("https://media.licdn.com/dms/image/v2/D5610AQHysvgheOaxnA/image-shrink_1280/B56Z7gHNArGcAc-/0/1781876446018?e=2147483647&amp;v=beta&amp;t=t-TRheTCXSd2pZn8E-EoCDLxg44cgxbezWW2xN5ZLC0","Open Creative")</f>
        <v>Open Creative</v>
      </c>
      <c r="L2438" s="6" t="s">
        <v>131</v>
      </c>
      <c r="M2438" s="6" t="s">
        <v>7537</v>
      </c>
      <c r="N2438" s="6" t="s">
        <v>132</v>
      </c>
      <c r="O2438" s="36" t="s">
        <v>132</v>
      </c>
      <c r="P2438" s="36">
        <v>1.479292826E9</v>
      </c>
      <c r="Q2438" s="36" t="s">
        <v>7541</v>
      </c>
      <c r="R2438" s="6" t="s">
        <v>7542</v>
      </c>
    </row>
    <row r="2439">
      <c r="A2439" s="6" t="s">
        <v>7537</v>
      </c>
      <c r="B2439" s="6" t="s">
        <v>7537</v>
      </c>
      <c r="C2439" s="6">
        <v>830.0</v>
      </c>
      <c r="D2439" s="9" t="str">
        <f>HYPERLINK("https://www.linkedin.com/ad-library/detail/1480136496","Open Ad")</f>
        <v>Open Ad</v>
      </c>
      <c r="E2439" s="6" t="s">
        <v>91</v>
      </c>
      <c r="F2439" s="6" t="s">
        <v>53</v>
      </c>
      <c r="G2439" s="6" t="s">
        <v>7668</v>
      </c>
      <c r="H2439" s="6" t="s">
        <v>55</v>
      </c>
      <c r="I2439" s="6" t="s">
        <v>7566</v>
      </c>
      <c r="J2439" s="6" t="s">
        <v>91</v>
      </c>
      <c r="K2439" s="9" t="str">
        <f>HYPERLINK("https://media.licdn.com/dms/image/v2/D4E22AQFovDtIQyJ4mQ/feedshare-image-high-res/B4EZ7UVZhGKEAY-/0/1781678840176?e=2147483647&amp;v=beta&amp;t=I5_1kWXCI5eDrRMPB4nNhyWYX-XZCPvPklqpjJxEZ0A","Open Creative")</f>
        <v>Open Creative</v>
      </c>
      <c r="L2439" s="6" t="s">
        <v>131</v>
      </c>
      <c r="M2439" s="6" t="s">
        <v>7537</v>
      </c>
      <c r="N2439" s="6" t="s">
        <v>132</v>
      </c>
      <c r="O2439" s="36" t="s">
        <v>132</v>
      </c>
      <c r="P2439" s="36">
        <v>1.480136496E9</v>
      </c>
      <c r="Q2439" s="36" t="s">
        <v>7541</v>
      </c>
      <c r="R2439" s="6" t="s">
        <v>7542</v>
      </c>
    </row>
    <row r="2440">
      <c r="A2440" s="6" t="s">
        <v>7537</v>
      </c>
      <c r="B2440" s="6" t="s">
        <v>7537</v>
      </c>
      <c r="C2440" s="6">
        <v>831.0</v>
      </c>
      <c r="D2440" s="9" t="str">
        <f>HYPERLINK("https://www.linkedin.com/ad-library/detail/1419492206","Open Ad")</f>
        <v>Open Ad</v>
      </c>
      <c r="E2440" s="6" t="s">
        <v>91</v>
      </c>
      <c r="F2440" s="6" t="s">
        <v>53</v>
      </c>
      <c r="G2440" s="6" t="s">
        <v>7670</v>
      </c>
      <c r="H2440" s="6" t="s">
        <v>55</v>
      </c>
      <c r="I2440" s="6" t="s">
        <v>7566</v>
      </c>
      <c r="J2440" s="6" t="s">
        <v>91</v>
      </c>
      <c r="K2440" s="9" t="str">
        <f>HYPERLINK("https://media.licdn.com/dms/image/v2/D5622AQEde1F15ukwAw/feedshare-shrink_1280/B56Z7VtkVgIgAM-/0/1781701953541?e=2147483647&amp;v=beta&amp;t=ndTxB8b7PRGc_pmMS59XqdDziGU3lDn_Pr9NK00tznY","Open Creative")</f>
        <v>Open Creative</v>
      </c>
      <c r="L2440" s="6" t="s">
        <v>131</v>
      </c>
      <c r="M2440" s="6" t="s">
        <v>7537</v>
      </c>
      <c r="N2440" s="6" t="s">
        <v>132</v>
      </c>
      <c r="O2440" s="36" t="s">
        <v>132</v>
      </c>
      <c r="P2440" s="36">
        <v>1.419492206E9</v>
      </c>
      <c r="Q2440" s="36" t="s">
        <v>7541</v>
      </c>
      <c r="R2440" s="6" t="s">
        <v>7542</v>
      </c>
    </row>
    <row r="2441">
      <c r="A2441" s="6" t="s">
        <v>7537</v>
      </c>
      <c r="B2441" s="6" t="s">
        <v>7537</v>
      </c>
      <c r="C2441" s="6">
        <v>832.0</v>
      </c>
      <c r="D2441" s="9" t="str">
        <f>HYPERLINK("https://www.linkedin.com/ad-library/detail/1419492216","Open Ad")</f>
        <v>Open Ad</v>
      </c>
      <c r="E2441" s="6" t="s">
        <v>91</v>
      </c>
      <c r="F2441" s="6" t="s">
        <v>53</v>
      </c>
      <c r="G2441" s="6" t="s">
        <v>7662</v>
      </c>
      <c r="H2441" s="6" t="s">
        <v>55</v>
      </c>
      <c r="I2441" s="6" t="s">
        <v>7566</v>
      </c>
      <c r="J2441" s="6" t="s">
        <v>91</v>
      </c>
      <c r="K2441" s="9" t="str">
        <f>HYPERLINK("https://media.licdn.com/dms/image/v2/D5610AQFlNAbUyB29Vw/image-shrink_1280/B56Z7_go1EIoAc-/0/1782403206905?e=2147483647&amp;v=beta&amp;t=8wX-wxHnudfi8VLnNIh1PGkv0Y4avJHYaY8pB_57JGo","Open Creative")</f>
        <v>Open Creative</v>
      </c>
      <c r="L2441" s="6" t="s">
        <v>131</v>
      </c>
      <c r="M2441" s="6" t="s">
        <v>7537</v>
      </c>
      <c r="N2441" s="6" t="s">
        <v>132</v>
      </c>
      <c r="O2441" s="36" t="s">
        <v>132</v>
      </c>
      <c r="P2441" s="36">
        <v>1.419492216E9</v>
      </c>
      <c r="Q2441" s="36" t="s">
        <v>7541</v>
      </c>
      <c r="R2441" s="6" t="s">
        <v>7542</v>
      </c>
    </row>
    <row r="2442">
      <c r="A2442" s="6" t="s">
        <v>7537</v>
      </c>
      <c r="B2442" s="6" t="s">
        <v>7537</v>
      </c>
      <c r="C2442" s="6">
        <v>833.0</v>
      </c>
      <c r="D2442" s="9" t="str">
        <f>HYPERLINK("https://www.linkedin.com/ad-library/detail/1479313086","Open Ad")</f>
        <v>Open Ad</v>
      </c>
      <c r="E2442" s="6" t="s">
        <v>91</v>
      </c>
      <c r="F2442" s="6" t="s">
        <v>53</v>
      </c>
      <c r="G2442" s="6" t="s">
        <v>7669</v>
      </c>
      <c r="H2442" s="6" t="s">
        <v>55</v>
      </c>
      <c r="I2442" s="6" t="s">
        <v>7566</v>
      </c>
      <c r="J2442" s="6" t="s">
        <v>91</v>
      </c>
      <c r="K2442" s="9" t="str">
        <f>HYPERLINK("https://media.licdn.com/dms/image/v2/D5610AQHysvgheOaxnA/image-shrink_1280/B56Z7gHNArGcAc-/0/1781876446018?e=2147483647&amp;v=beta&amp;t=t-TRheTCXSd2pZn8E-EoCDLxg44cgxbezWW2xN5ZLC0","Open Creative")</f>
        <v>Open Creative</v>
      </c>
      <c r="L2442" s="6" t="s">
        <v>131</v>
      </c>
      <c r="M2442" s="6" t="s">
        <v>7537</v>
      </c>
      <c r="N2442" s="6" t="s">
        <v>132</v>
      </c>
      <c r="O2442" s="36" t="s">
        <v>132</v>
      </c>
      <c r="P2442" s="36">
        <v>1.479313086E9</v>
      </c>
      <c r="Q2442" s="36" t="s">
        <v>7541</v>
      </c>
      <c r="R2442" s="6" t="s">
        <v>7542</v>
      </c>
    </row>
    <row r="2443">
      <c r="A2443" s="6" t="s">
        <v>7537</v>
      </c>
      <c r="B2443" s="6" t="s">
        <v>7537</v>
      </c>
      <c r="C2443" s="6">
        <v>834.0</v>
      </c>
      <c r="D2443" s="9" t="str">
        <f>HYPERLINK("https://www.linkedin.com/ad-library/detail/1480272656","Open Ad")</f>
        <v>Open Ad</v>
      </c>
      <c r="E2443" s="6" t="s">
        <v>91</v>
      </c>
      <c r="F2443" s="6" t="s">
        <v>53</v>
      </c>
      <c r="G2443" s="6" t="s">
        <v>7667</v>
      </c>
      <c r="H2443" s="6" t="s">
        <v>55</v>
      </c>
      <c r="I2443" s="6" t="s">
        <v>7566</v>
      </c>
      <c r="J2443" s="6" t="s">
        <v>91</v>
      </c>
      <c r="K2443" s="9" t="str">
        <f>HYPERLINK("https://media.licdn.com/dms/image/v2/D4E22AQEOWskfxVn3bA/feedshare-image-high-res/B4EZ7GvqbBJMAU-/0/1781450845198?e=2147483647&amp;v=beta&amp;t=gjGsuCWbr5acjhlgpJw0Ek8zxfCy732sv1xH319KGJQ","Open Creative")</f>
        <v>Open Creative</v>
      </c>
      <c r="L2443" s="6" t="s">
        <v>131</v>
      </c>
      <c r="M2443" s="6" t="s">
        <v>7537</v>
      </c>
      <c r="N2443" s="6" t="s">
        <v>132</v>
      </c>
      <c r="O2443" s="36" t="s">
        <v>132</v>
      </c>
      <c r="P2443" s="36">
        <v>1.480272656E9</v>
      </c>
      <c r="Q2443" s="36" t="s">
        <v>7541</v>
      </c>
      <c r="R2443" s="6" t="s">
        <v>7542</v>
      </c>
    </row>
    <row r="2444">
      <c r="A2444" s="6" t="s">
        <v>7537</v>
      </c>
      <c r="B2444" s="6" t="s">
        <v>7537</v>
      </c>
      <c r="C2444" s="6">
        <v>835.0</v>
      </c>
      <c r="D2444" s="9" t="str">
        <f>HYPERLINK("https://www.linkedin.com/ad-library/detail/1480175926","Open Ad")</f>
        <v>Open Ad</v>
      </c>
      <c r="E2444" s="6" t="s">
        <v>91</v>
      </c>
      <c r="F2444" s="6" t="s">
        <v>53</v>
      </c>
      <c r="G2444" s="6" t="s">
        <v>7670</v>
      </c>
      <c r="H2444" s="6" t="s">
        <v>55</v>
      </c>
      <c r="I2444" s="6" t="s">
        <v>7566</v>
      </c>
      <c r="J2444" s="6" t="s">
        <v>91</v>
      </c>
      <c r="K2444" s="9" t="str">
        <f t="shared" ref="K2444:K2445" si="82">HYPERLINK("https://media.licdn.com/dms/image/v2/D5622AQEde1F15ukwAw/feedshare-shrink_1280/B56Z7VtkVgIgAM-/0/1781701953541?e=2147483647&amp;v=beta&amp;t=ndTxB8b7PRGc_pmMS59XqdDziGU3lDn_Pr9NK00tznY","Open Creative")</f>
        <v>Open Creative</v>
      </c>
      <c r="L2444" s="6" t="s">
        <v>131</v>
      </c>
      <c r="M2444" s="6" t="s">
        <v>7537</v>
      </c>
      <c r="N2444" s="6" t="s">
        <v>132</v>
      </c>
      <c r="O2444" s="36" t="s">
        <v>132</v>
      </c>
      <c r="P2444" s="36">
        <v>1.480175926E9</v>
      </c>
      <c r="Q2444" s="36" t="s">
        <v>7541</v>
      </c>
      <c r="R2444" s="6" t="s">
        <v>7542</v>
      </c>
    </row>
    <row r="2445">
      <c r="A2445" s="6" t="s">
        <v>7537</v>
      </c>
      <c r="B2445" s="6" t="s">
        <v>7537</v>
      </c>
      <c r="C2445" s="6">
        <v>836.0</v>
      </c>
      <c r="D2445" s="9" t="str">
        <f>HYPERLINK("https://www.linkedin.com/ad-library/detail/1480220036","Open Ad")</f>
        <v>Open Ad</v>
      </c>
      <c r="E2445" s="6" t="s">
        <v>91</v>
      </c>
      <c r="F2445" s="6" t="s">
        <v>53</v>
      </c>
      <c r="G2445" s="6" t="s">
        <v>7670</v>
      </c>
      <c r="H2445" s="6" t="s">
        <v>55</v>
      </c>
      <c r="I2445" s="6" t="s">
        <v>7566</v>
      </c>
      <c r="J2445" s="6" t="s">
        <v>91</v>
      </c>
      <c r="K2445" s="9" t="str">
        <f t="shared" si="82"/>
        <v>Open Creative</v>
      </c>
      <c r="L2445" s="6" t="s">
        <v>131</v>
      </c>
      <c r="M2445" s="6" t="s">
        <v>7537</v>
      </c>
      <c r="N2445" s="6" t="s">
        <v>132</v>
      </c>
      <c r="O2445" s="36" t="s">
        <v>132</v>
      </c>
      <c r="P2445" s="36">
        <v>1.480220036E9</v>
      </c>
      <c r="Q2445" s="36" t="s">
        <v>7541</v>
      </c>
      <c r="R2445" s="6" t="s">
        <v>7542</v>
      </c>
    </row>
    <row r="2446">
      <c r="A2446" s="6" t="s">
        <v>7537</v>
      </c>
      <c r="B2446" s="6" t="s">
        <v>7537</v>
      </c>
      <c r="C2446" s="6">
        <v>837.0</v>
      </c>
      <c r="D2446" s="9" t="str">
        <f>HYPERLINK("https://www.linkedin.com/ad-library/detail/1480312476","Open Ad")</f>
        <v>Open Ad</v>
      </c>
      <c r="E2446" s="6" t="s">
        <v>91</v>
      </c>
      <c r="F2446" s="6" t="s">
        <v>53</v>
      </c>
      <c r="G2446" s="6" t="s">
        <v>7667</v>
      </c>
      <c r="H2446" s="6" t="s">
        <v>55</v>
      </c>
      <c r="I2446" s="6" t="s">
        <v>7566</v>
      </c>
      <c r="J2446" s="6" t="s">
        <v>91</v>
      </c>
      <c r="K2446" s="9" t="str">
        <f>HYPERLINK("https://media.licdn.com/dms/image/v2/D4E22AQEOWskfxVn3bA/feedshare-image-high-res/B4EZ7GvqbBJMAU-/0/1781450845198?e=2147483647&amp;v=beta&amp;t=gjGsuCWbr5acjhlgpJw0Ek8zxfCy732sv1xH319KGJQ","Open Creative")</f>
        <v>Open Creative</v>
      </c>
      <c r="L2446" s="6" t="s">
        <v>131</v>
      </c>
      <c r="M2446" s="6" t="s">
        <v>7537</v>
      </c>
      <c r="N2446" s="6" t="s">
        <v>132</v>
      </c>
      <c r="O2446" s="36" t="s">
        <v>132</v>
      </c>
      <c r="P2446" s="36">
        <v>1.480312476E9</v>
      </c>
      <c r="Q2446" s="36" t="s">
        <v>7541</v>
      </c>
      <c r="R2446" s="6" t="s">
        <v>7542</v>
      </c>
    </row>
    <row r="2447">
      <c r="A2447" s="6" t="s">
        <v>7537</v>
      </c>
      <c r="B2447" s="6" t="s">
        <v>7537</v>
      </c>
      <c r="C2447" s="6">
        <v>838.0</v>
      </c>
      <c r="D2447" s="9" t="str">
        <f>HYPERLINK("https://www.linkedin.com/ad-library/detail/1480312426","Open Ad")</f>
        <v>Open Ad</v>
      </c>
      <c r="E2447" s="6" t="s">
        <v>91</v>
      </c>
      <c r="F2447" s="6" t="s">
        <v>53</v>
      </c>
      <c r="G2447" s="6" t="s">
        <v>7670</v>
      </c>
      <c r="H2447" s="6" t="s">
        <v>55</v>
      </c>
      <c r="I2447" s="6" t="s">
        <v>7566</v>
      </c>
      <c r="J2447" s="6" t="s">
        <v>91</v>
      </c>
      <c r="K2447" s="9" t="str">
        <f>HYPERLINK("https://media.licdn.com/dms/image/v2/D5622AQEde1F15ukwAw/feedshare-shrink_1280/B56Z7VtkVgIgAM-/0/1781701953541?e=2147483647&amp;v=beta&amp;t=ndTxB8b7PRGc_pmMS59XqdDziGU3lDn_Pr9NK00tznY","Open Creative")</f>
        <v>Open Creative</v>
      </c>
      <c r="L2447" s="6" t="s">
        <v>131</v>
      </c>
      <c r="M2447" s="6" t="s">
        <v>7537</v>
      </c>
      <c r="N2447" s="6" t="s">
        <v>132</v>
      </c>
      <c r="O2447" s="36" t="s">
        <v>132</v>
      </c>
      <c r="P2447" s="36">
        <v>1.480312426E9</v>
      </c>
      <c r="Q2447" s="36" t="s">
        <v>7541</v>
      </c>
      <c r="R2447" s="6" t="s">
        <v>7542</v>
      </c>
    </row>
    <row r="2448">
      <c r="A2448" s="6" t="s">
        <v>7537</v>
      </c>
      <c r="B2448" s="6" t="s">
        <v>7537</v>
      </c>
      <c r="C2448" s="6">
        <v>839.0</v>
      </c>
      <c r="D2448" s="9" t="str">
        <f>HYPERLINK("https://www.linkedin.com/ad-library/detail/1480200536","Open Ad")</f>
        <v>Open Ad</v>
      </c>
      <c r="E2448" s="6" t="s">
        <v>91</v>
      </c>
      <c r="F2448" s="6" t="s">
        <v>53</v>
      </c>
      <c r="G2448" s="6" t="s">
        <v>7667</v>
      </c>
      <c r="H2448" s="6" t="s">
        <v>55</v>
      </c>
      <c r="I2448" s="6" t="s">
        <v>7566</v>
      </c>
      <c r="J2448" s="6" t="s">
        <v>91</v>
      </c>
      <c r="K2448" s="9" t="str">
        <f t="shared" ref="K2448:K2449" si="83">HYPERLINK("https://media.licdn.com/dms/image/v2/D4E22AQEOWskfxVn3bA/feedshare-image-high-res/B4EZ7GvqbBJMAU-/0/1781450845198?e=2147483647&amp;v=beta&amp;t=gjGsuCWbr5acjhlgpJw0Ek8zxfCy732sv1xH319KGJQ","Open Creative")</f>
        <v>Open Creative</v>
      </c>
      <c r="L2448" s="6" t="s">
        <v>131</v>
      </c>
      <c r="M2448" s="6" t="s">
        <v>7537</v>
      </c>
      <c r="N2448" s="6" t="s">
        <v>132</v>
      </c>
      <c r="O2448" s="36" t="s">
        <v>132</v>
      </c>
      <c r="P2448" s="36">
        <v>1.480200536E9</v>
      </c>
      <c r="Q2448" s="36" t="s">
        <v>7541</v>
      </c>
      <c r="R2448" s="6" t="s">
        <v>7542</v>
      </c>
    </row>
    <row r="2449">
      <c r="A2449" s="6" t="s">
        <v>7537</v>
      </c>
      <c r="B2449" s="6" t="s">
        <v>7537</v>
      </c>
      <c r="C2449" s="6">
        <v>840.0</v>
      </c>
      <c r="D2449" s="9" t="str">
        <f>HYPERLINK("https://www.linkedin.com/ad-library/detail/1480200526","Open Ad")</f>
        <v>Open Ad</v>
      </c>
      <c r="E2449" s="6" t="s">
        <v>91</v>
      </c>
      <c r="F2449" s="6" t="s">
        <v>53</v>
      </c>
      <c r="G2449" s="6" t="s">
        <v>7667</v>
      </c>
      <c r="H2449" s="6" t="s">
        <v>55</v>
      </c>
      <c r="I2449" s="6" t="s">
        <v>7566</v>
      </c>
      <c r="J2449" s="6" t="s">
        <v>91</v>
      </c>
      <c r="K2449" s="9" t="str">
        <f t="shared" si="83"/>
        <v>Open Creative</v>
      </c>
      <c r="L2449" s="6" t="s">
        <v>131</v>
      </c>
      <c r="M2449" s="6" t="s">
        <v>7537</v>
      </c>
      <c r="N2449" s="6" t="s">
        <v>132</v>
      </c>
      <c r="O2449" s="36" t="s">
        <v>132</v>
      </c>
      <c r="P2449" s="36">
        <v>1.480200526E9</v>
      </c>
      <c r="Q2449" s="36" t="s">
        <v>7541</v>
      </c>
      <c r="R2449" s="6" t="s">
        <v>7542</v>
      </c>
    </row>
    <row r="2450">
      <c r="A2450" s="6" t="s">
        <v>7537</v>
      </c>
      <c r="B2450" s="6" t="s">
        <v>7537</v>
      </c>
      <c r="C2450" s="6">
        <v>841.0</v>
      </c>
      <c r="D2450" s="9" t="str">
        <f>HYPERLINK("https://www.linkedin.com/ad-library/detail/1479273146","Open Ad")</f>
        <v>Open Ad</v>
      </c>
      <c r="E2450" s="6" t="s">
        <v>91</v>
      </c>
      <c r="F2450" s="6" t="s">
        <v>53</v>
      </c>
      <c r="G2450" s="6" t="s">
        <v>7671</v>
      </c>
      <c r="H2450" s="6" t="s">
        <v>55</v>
      </c>
      <c r="I2450" s="6" t="s">
        <v>7566</v>
      </c>
      <c r="J2450" s="6" t="s">
        <v>91</v>
      </c>
      <c r="K2450" s="9" t="str">
        <f>HYPERLINK("https://media.licdn.com/dms/image/v2/D5610AQHYHfmgiwItlQ/image-shrink_1280/B56Z7dxtw.JQAc-/0/1781837258640?e=2147483647&amp;v=beta&amp;t=OGirDyoGsZUn_9KTxtuHtc6l84QsL8nC_gfjTtzz3js","Open Creative")</f>
        <v>Open Creative</v>
      </c>
      <c r="L2450" s="6" t="s">
        <v>131</v>
      </c>
      <c r="M2450" s="6" t="s">
        <v>7537</v>
      </c>
      <c r="N2450" s="6" t="s">
        <v>132</v>
      </c>
      <c r="O2450" s="36" t="s">
        <v>132</v>
      </c>
      <c r="P2450" s="36">
        <v>1.479273146E9</v>
      </c>
      <c r="Q2450" s="36" t="s">
        <v>7541</v>
      </c>
      <c r="R2450" s="6" t="s">
        <v>7542</v>
      </c>
    </row>
    <row r="2451">
      <c r="A2451" s="6" t="s">
        <v>7537</v>
      </c>
      <c r="B2451" s="6" t="s">
        <v>7537</v>
      </c>
      <c r="C2451" s="6">
        <v>842.0</v>
      </c>
      <c r="D2451" s="9" t="str">
        <f>HYPERLINK("https://www.linkedin.com/ad-library/detail/1472015736","Open Ad")</f>
        <v>Open Ad</v>
      </c>
      <c r="E2451" s="6" t="s">
        <v>91</v>
      </c>
      <c r="F2451" s="6" t="s">
        <v>53</v>
      </c>
      <c r="G2451" s="6" t="s">
        <v>7672</v>
      </c>
      <c r="H2451" s="6" t="s">
        <v>55</v>
      </c>
      <c r="I2451" s="6" t="s">
        <v>7566</v>
      </c>
      <c r="J2451" s="6" t="s">
        <v>91</v>
      </c>
      <c r="K2451" s="9" t="str">
        <f>HYPERLINK("https://media.licdn.com/dms/image/v2/D4E10AQHTE0Dpjq0JHQ/image-shrink_1280/B4EZ7gBpL9HkAc-/0/1781874988430?e=2147483647&amp;v=beta&amp;t=KPePg3koppiQoFRMdrU_e2WDkYcZQFZxFW6rDQo2GkQ","Open Creative")</f>
        <v>Open Creative</v>
      </c>
      <c r="L2451" s="6" t="s">
        <v>131</v>
      </c>
      <c r="M2451" s="6" t="s">
        <v>7537</v>
      </c>
      <c r="N2451" s="6" t="s">
        <v>132</v>
      </c>
      <c r="O2451" s="36" t="s">
        <v>132</v>
      </c>
      <c r="P2451" s="36">
        <v>1.472015736E9</v>
      </c>
      <c r="Q2451" s="36" t="s">
        <v>7541</v>
      </c>
      <c r="R2451" s="6" t="s">
        <v>7542</v>
      </c>
    </row>
    <row r="2452">
      <c r="A2452" s="6" t="s">
        <v>7537</v>
      </c>
      <c r="B2452" s="6" t="s">
        <v>7537</v>
      </c>
      <c r="C2452" s="6">
        <v>843.0</v>
      </c>
      <c r="D2452" s="9" t="str">
        <f>HYPERLINK("https://www.linkedin.com/ad-library/detail/1478123496","Open Ad")</f>
        <v>Open Ad</v>
      </c>
      <c r="E2452" s="6" t="s">
        <v>91</v>
      </c>
      <c r="F2452" s="6" t="s">
        <v>53</v>
      </c>
      <c r="G2452" s="6" t="s">
        <v>7671</v>
      </c>
      <c r="H2452" s="6" t="s">
        <v>55</v>
      </c>
      <c r="I2452" s="6" t="s">
        <v>7566</v>
      </c>
      <c r="J2452" s="6" t="s">
        <v>91</v>
      </c>
      <c r="K2452" s="9" t="str">
        <f>HYPERLINK("https://media.licdn.com/dms/image/v2/D5610AQHYHfmgiwItlQ/image-shrink_1280/B56Z7dxtw.JQAc-/0/1781837258640?e=2147483647&amp;v=beta&amp;t=OGirDyoGsZUn_9KTxtuHtc6l84QsL8nC_gfjTtzz3js","Open Creative")</f>
        <v>Open Creative</v>
      </c>
      <c r="L2452" s="6" t="s">
        <v>131</v>
      </c>
      <c r="M2452" s="6" t="s">
        <v>7537</v>
      </c>
      <c r="N2452" s="6" t="s">
        <v>132</v>
      </c>
      <c r="O2452" s="36" t="s">
        <v>132</v>
      </c>
      <c r="P2452" s="36">
        <v>1.478123496E9</v>
      </c>
      <c r="Q2452" s="36" t="s">
        <v>7541</v>
      </c>
      <c r="R2452" s="6" t="s">
        <v>7542</v>
      </c>
    </row>
    <row r="2453">
      <c r="A2453" s="6" t="s">
        <v>7537</v>
      </c>
      <c r="B2453" s="6" t="s">
        <v>7537</v>
      </c>
      <c r="C2453" s="6">
        <v>844.0</v>
      </c>
      <c r="D2453" s="9" t="str">
        <f>HYPERLINK("https://www.linkedin.com/ad-library/detail/1472790106","Open Ad")</f>
        <v>Open Ad</v>
      </c>
      <c r="E2453" s="6" t="s">
        <v>7543</v>
      </c>
      <c r="F2453" s="6" t="s">
        <v>53</v>
      </c>
      <c r="G2453" s="6" t="s">
        <v>7661</v>
      </c>
      <c r="H2453" s="6" t="s">
        <v>55</v>
      </c>
      <c r="I2453" s="6" t="s">
        <v>7566</v>
      </c>
      <c r="J2453" s="6" t="s">
        <v>7546</v>
      </c>
      <c r="K2453" s="6" t="s">
        <v>60</v>
      </c>
      <c r="L2453" s="6" t="s">
        <v>131</v>
      </c>
      <c r="M2453" s="6" t="s">
        <v>7537</v>
      </c>
      <c r="N2453" s="6" t="s">
        <v>132</v>
      </c>
      <c r="O2453" s="36" t="s">
        <v>132</v>
      </c>
      <c r="P2453" s="36">
        <v>1.472790106E9</v>
      </c>
      <c r="Q2453" s="36" t="s">
        <v>7541</v>
      </c>
      <c r="R2453" s="6" t="s">
        <v>7542</v>
      </c>
    </row>
    <row r="2454">
      <c r="A2454" s="6" t="s">
        <v>7537</v>
      </c>
      <c r="B2454" s="6" t="s">
        <v>7537</v>
      </c>
      <c r="C2454" s="6">
        <v>845.0</v>
      </c>
      <c r="D2454" s="9" t="str">
        <f>HYPERLINK("https://www.linkedin.com/ad-library/detail/1479283206","Open Ad")</f>
        <v>Open Ad</v>
      </c>
      <c r="E2454" s="6" t="s">
        <v>91</v>
      </c>
      <c r="F2454" s="6" t="s">
        <v>53</v>
      </c>
      <c r="G2454" s="6" t="s">
        <v>7671</v>
      </c>
      <c r="H2454" s="6" t="s">
        <v>55</v>
      </c>
      <c r="I2454" s="6" t="s">
        <v>7566</v>
      </c>
      <c r="J2454" s="6" t="s">
        <v>91</v>
      </c>
      <c r="K2454" s="9" t="str">
        <f>HYPERLINK("https://media.licdn.com/dms/image/v2/D5610AQHYHfmgiwItlQ/image-shrink_1280/B56Z7dxtw.JQAc-/0/1781837258640?e=2147483647&amp;v=beta&amp;t=OGirDyoGsZUn_9KTxtuHtc6l84QsL8nC_gfjTtzz3js","Open Creative")</f>
        <v>Open Creative</v>
      </c>
      <c r="L2454" s="6" t="s">
        <v>131</v>
      </c>
      <c r="M2454" s="6" t="s">
        <v>7537</v>
      </c>
      <c r="N2454" s="6" t="s">
        <v>132</v>
      </c>
      <c r="O2454" s="36" t="s">
        <v>132</v>
      </c>
      <c r="P2454" s="36">
        <v>1.479283206E9</v>
      </c>
      <c r="Q2454" s="36" t="s">
        <v>7541</v>
      </c>
      <c r="R2454" s="6" t="s">
        <v>7542</v>
      </c>
    </row>
    <row r="2455">
      <c r="A2455" s="6" t="s">
        <v>7537</v>
      </c>
      <c r="B2455" s="6" t="s">
        <v>7537</v>
      </c>
      <c r="C2455" s="6">
        <v>846.0</v>
      </c>
      <c r="D2455" s="9" t="str">
        <f>HYPERLINK("https://www.linkedin.com/ad-library/detail/1472730096","Open Ad")</f>
        <v>Open Ad</v>
      </c>
      <c r="E2455" s="6" t="s">
        <v>91</v>
      </c>
      <c r="F2455" s="6" t="s">
        <v>53</v>
      </c>
      <c r="G2455" s="6" t="s">
        <v>7658</v>
      </c>
      <c r="H2455" s="6" t="s">
        <v>55</v>
      </c>
      <c r="I2455" s="6" t="s">
        <v>7566</v>
      </c>
      <c r="J2455" s="6" t="s">
        <v>91</v>
      </c>
      <c r="K2455" s="9" t="str">
        <f t="shared" ref="K2455:K2456" si="84">HYPERLINK("https://media.licdn.com/dms/image/v2/D5610AQFE8RFLyEFCqg/image-shrink_1280/B56Z7H9PLGGUAc-/0/1781471179686/Ad18png?e=2147483647&amp;v=beta&amp;t=Fymkr8CjC9Gg42hxw4kfTAZAiaJ0OVnoXoElrsTGgoU","Open Creative")</f>
        <v>Open Creative</v>
      </c>
      <c r="L2455" s="6" t="s">
        <v>131</v>
      </c>
      <c r="M2455" s="6" t="s">
        <v>7537</v>
      </c>
      <c r="N2455" s="6" t="s">
        <v>132</v>
      </c>
      <c r="O2455" s="36" t="s">
        <v>132</v>
      </c>
      <c r="P2455" s="36">
        <v>1.472730096E9</v>
      </c>
      <c r="Q2455" s="36" t="s">
        <v>7541</v>
      </c>
      <c r="R2455" s="6" t="s">
        <v>7542</v>
      </c>
    </row>
    <row r="2456">
      <c r="A2456" s="6" t="s">
        <v>7537</v>
      </c>
      <c r="B2456" s="6" t="s">
        <v>7537</v>
      </c>
      <c r="C2456" s="6">
        <v>847.0</v>
      </c>
      <c r="D2456" s="9" t="str">
        <f>HYPERLINK("https://www.linkedin.com/ad-library/detail/1472819996","Open Ad")</f>
        <v>Open Ad</v>
      </c>
      <c r="E2456" s="6" t="s">
        <v>91</v>
      </c>
      <c r="F2456" s="6" t="s">
        <v>53</v>
      </c>
      <c r="G2456" s="6" t="s">
        <v>7610</v>
      </c>
      <c r="H2456" s="6" t="s">
        <v>55</v>
      </c>
      <c r="I2456" s="6" t="s">
        <v>7566</v>
      </c>
      <c r="J2456" s="6" t="s">
        <v>91</v>
      </c>
      <c r="K2456" s="9" t="str">
        <f t="shared" si="84"/>
        <v>Open Creative</v>
      </c>
      <c r="L2456" s="6" t="s">
        <v>131</v>
      </c>
      <c r="M2456" s="6" t="s">
        <v>7537</v>
      </c>
      <c r="N2456" s="6" t="s">
        <v>132</v>
      </c>
      <c r="O2456" s="36" t="s">
        <v>132</v>
      </c>
      <c r="P2456" s="36">
        <v>1.472819996E9</v>
      </c>
      <c r="Q2456" s="36" t="s">
        <v>7541</v>
      </c>
      <c r="R2456" s="6" t="s">
        <v>7542</v>
      </c>
    </row>
    <row r="2457">
      <c r="A2457" s="6" t="s">
        <v>7537</v>
      </c>
      <c r="B2457" s="6" t="s">
        <v>7537</v>
      </c>
      <c r="C2457" s="6">
        <v>848.0</v>
      </c>
      <c r="D2457" s="9" t="str">
        <f>HYPERLINK("https://www.linkedin.com/ad-library/detail/1472105886","Open Ad")</f>
        <v>Open Ad</v>
      </c>
      <c r="E2457" s="6" t="s">
        <v>91</v>
      </c>
      <c r="F2457" s="6" t="s">
        <v>53</v>
      </c>
      <c r="G2457" s="6" t="s">
        <v>7672</v>
      </c>
      <c r="H2457" s="6" t="s">
        <v>55</v>
      </c>
      <c r="I2457" s="6" t="s">
        <v>7566</v>
      </c>
      <c r="J2457" s="6" t="s">
        <v>91</v>
      </c>
      <c r="K2457" s="9" t="str">
        <f>HYPERLINK("https://media.licdn.com/dms/image/v2/D4E10AQHTE0Dpjq0JHQ/image-shrink_1280/B4EZ7gBpL9HkAc-/0/1781874988430?e=2147483647&amp;v=beta&amp;t=KPePg3koppiQoFRMdrU_e2WDkYcZQFZxFW6rDQo2GkQ","Open Creative")</f>
        <v>Open Creative</v>
      </c>
      <c r="L2457" s="6" t="s">
        <v>131</v>
      </c>
      <c r="M2457" s="6" t="s">
        <v>7537</v>
      </c>
      <c r="N2457" s="6" t="s">
        <v>132</v>
      </c>
      <c r="O2457" s="36" t="s">
        <v>132</v>
      </c>
      <c r="P2457" s="36">
        <v>1.472105886E9</v>
      </c>
      <c r="Q2457" s="36" t="s">
        <v>7541</v>
      </c>
      <c r="R2457" s="6" t="s">
        <v>7542</v>
      </c>
    </row>
    <row r="2458">
      <c r="A2458" s="6" t="s">
        <v>7537</v>
      </c>
      <c r="B2458" s="6" t="s">
        <v>7537</v>
      </c>
      <c r="C2458" s="6">
        <v>849.0</v>
      </c>
      <c r="D2458" s="9" t="str">
        <f>HYPERLINK("https://www.linkedin.com/ad-library/detail/1472870116","Open Ad")</f>
        <v>Open Ad</v>
      </c>
      <c r="E2458" s="6" t="s">
        <v>91</v>
      </c>
      <c r="F2458" s="6" t="s">
        <v>53</v>
      </c>
      <c r="G2458" s="6" t="s">
        <v>7673</v>
      </c>
      <c r="H2458" s="6" t="s">
        <v>55</v>
      </c>
      <c r="I2458" s="6" t="s">
        <v>7566</v>
      </c>
      <c r="J2458" s="6" t="s">
        <v>91</v>
      </c>
      <c r="K2458" s="6" t="s">
        <v>60</v>
      </c>
      <c r="L2458" s="6" t="s">
        <v>131</v>
      </c>
      <c r="M2458" s="6" t="s">
        <v>7537</v>
      </c>
      <c r="N2458" s="6" t="s">
        <v>132</v>
      </c>
      <c r="O2458" s="36" t="s">
        <v>132</v>
      </c>
      <c r="P2458" s="36">
        <v>1.472870116E9</v>
      </c>
      <c r="Q2458" s="36" t="s">
        <v>7541</v>
      </c>
      <c r="R2458" s="6" t="s">
        <v>7542</v>
      </c>
    </row>
    <row r="2459">
      <c r="A2459" s="6" t="s">
        <v>7537</v>
      </c>
      <c r="B2459" s="6" t="s">
        <v>7537</v>
      </c>
      <c r="C2459" s="6">
        <v>850.0</v>
      </c>
      <c r="D2459" s="9" t="str">
        <f>HYPERLINK("https://www.linkedin.com/ad-library/detail/1471956286","Open Ad")</f>
        <v>Open Ad</v>
      </c>
      <c r="E2459" s="6" t="s">
        <v>91</v>
      </c>
      <c r="F2459" s="6" t="s">
        <v>53</v>
      </c>
      <c r="G2459" s="6" t="s">
        <v>7672</v>
      </c>
      <c r="H2459" s="6" t="s">
        <v>55</v>
      </c>
      <c r="I2459" s="6" t="s">
        <v>7566</v>
      </c>
      <c r="J2459" s="6" t="s">
        <v>91</v>
      </c>
      <c r="K2459" s="9" t="str">
        <f t="shared" ref="K2459:K2460" si="85">HYPERLINK("https://media.licdn.com/dms/image/v2/D4E10AQHTE0Dpjq0JHQ/image-shrink_1280/B4EZ7gBpL9HkAc-/0/1781874988430?e=2147483647&amp;v=beta&amp;t=KPePg3koppiQoFRMdrU_e2WDkYcZQFZxFW6rDQo2GkQ","Open Creative")</f>
        <v>Open Creative</v>
      </c>
      <c r="L2459" s="6" t="s">
        <v>131</v>
      </c>
      <c r="M2459" s="6" t="s">
        <v>7537</v>
      </c>
      <c r="N2459" s="6" t="s">
        <v>132</v>
      </c>
      <c r="O2459" s="36" t="s">
        <v>132</v>
      </c>
      <c r="P2459" s="36">
        <v>1.471956286E9</v>
      </c>
      <c r="Q2459" s="36" t="s">
        <v>7541</v>
      </c>
      <c r="R2459" s="6" t="s">
        <v>7542</v>
      </c>
    </row>
    <row r="2460">
      <c r="A2460" s="6" t="s">
        <v>7537</v>
      </c>
      <c r="B2460" s="6" t="s">
        <v>7537</v>
      </c>
      <c r="C2460" s="6">
        <v>851.0</v>
      </c>
      <c r="D2460" s="9" t="str">
        <f>HYPERLINK("https://www.linkedin.com/ad-library/detail/1472125666","Open Ad")</f>
        <v>Open Ad</v>
      </c>
      <c r="E2460" s="6" t="s">
        <v>91</v>
      </c>
      <c r="F2460" s="6" t="s">
        <v>53</v>
      </c>
      <c r="G2460" s="6" t="s">
        <v>7672</v>
      </c>
      <c r="H2460" s="6" t="s">
        <v>55</v>
      </c>
      <c r="I2460" s="6" t="s">
        <v>7566</v>
      </c>
      <c r="J2460" s="6" t="s">
        <v>91</v>
      </c>
      <c r="K2460" s="9" t="str">
        <f t="shared" si="85"/>
        <v>Open Creative</v>
      </c>
      <c r="L2460" s="6" t="s">
        <v>131</v>
      </c>
      <c r="M2460" s="6" t="s">
        <v>7537</v>
      </c>
      <c r="N2460" s="6" t="s">
        <v>132</v>
      </c>
      <c r="O2460" s="36" t="s">
        <v>132</v>
      </c>
      <c r="P2460" s="36">
        <v>1.472125666E9</v>
      </c>
      <c r="Q2460" s="36" t="s">
        <v>7541</v>
      </c>
      <c r="R2460" s="6" t="s">
        <v>7542</v>
      </c>
    </row>
    <row r="2461">
      <c r="A2461" s="6" t="s">
        <v>7537</v>
      </c>
      <c r="B2461" s="6" t="s">
        <v>7537</v>
      </c>
      <c r="C2461" s="6">
        <v>852.0</v>
      </c>
      <c r="D2461" s="9" t="str">
        <f>HYPERLINK("https://www.linkedin.com/ad-library/detail/1472810036","Open Ad")</f>
        <v>Open Ad</v>
      </c>
      <c r="E2461" s="6" t="s">
        <v>7543</v>
      </c>
      <c r="F2461" s="6" t="s">
        <v>53</v>
      </c>
      <c r="G2461" s="6" t="s">
        <v>7608</v>
      </c>
      <c r="H2461" s="6" t="s">
        <v>55</v>
      </c>
      <c r="I2461" s="6" t="s">
        <v>7566</v>
      </c>
      <c r="J2461" s="6" t="s">
        <v>7546</v>
      </c>
      <c r="K2461" s="6" t="s">
        <v>60</v>
      </c>
      <c r="L2461" s="6" t="s">
        <v>131</v>
      </c>
      <c r="M2461" s="6" t="s">
        <v>7537</v>
      </c>
      <c r="N2461" s="6" t="s">
        <v>132</v>
      </c>
      <c r="O2461" s="36" t="s">
        <v>132</v>
      </c>
      <c r="P2461" s="36">
        <v>1.472810036E9</v>
      </c>
      <c r="Q2461" s="36" t="s">
        <v>7541</v>
      </c>
      <c r="R2461" s="6" t="s">
        <v>7542</v>
      </c>
    </row>
    <row r="2462">
      <c r="A2462" s="6" t="s">
        <v>7537</v>
      </c>
      <c r="B2462" s="6" t="s">
        <v>7537</v>
      </c>
      <c r="C2462" s="6">
        <v>853.0</v>
      </c>
      <c r="D2462" s="9" t="str">
        <f>HYPERLINK("https://www.linkedin.com/ad-library/detail/1479283186","Open Ad")</f>
        <v>Open Ad</v>
      </c>
      <c r="E2462" s="6" t="s">
        <v>91</v>
      </c>
      <c r="F2462" s="6" t="s">
        <v>53</v>
      </c>
      <c r="G2462" s="6" t="s">
        <v>7671</v>
      </c>
      <c r="H2462" s="6" t="s">
        <v>55</v>
      </c>
      <c r="I2462" s="6" t="s">
        <v>7566</v>
      </c>
      <c r="J2462" s="6" t="s">
        <v>91</v>
      </c>
      <c r="K2462" s="9" t="str">
        <f>HYPERLINK("https://media.licdn.com/dms/image/v2/D5610AQHYHfmgiwItlQ/image-shrink_1280/B56Z7dxtw.JQAc-/0/1781837258640?e=2147483647&amp;v=beta&amp;t=OGirDyoGsZUn_9KTxtuHtc6l84QsL8nC_gfjTtzz3js","Open Creative")</f>
        <v>Open Creative</v>
      </c>
      <c r="L2462" s="6" t="s">
        <v>131</v>
      </c>
      <c r="M2462" s="6" t="s">
        <v>7537</v>
      </c>
      <c r="N2462" s="6" t="s">
        <v>132</v>
      </c>
      <c r="O2462" s="36" t="s">
        <v>132</v>
      </c>
      <c r="P2462" s="36">
        <v>1.479283186E9</v>
      </c>
      <c r="Q2462" s="36" t="s">
        <v>7541</v>
      </c>
      <c r="R2462" s="6" t="s">
        <v>7542</v>
      </c>
    </row>
    <row r="2463">
      <c r="A2463" s="6" t="s">
        <v>7537</v>
      </c>
      <c r="B2463" s="6" t="s">
        <v>7537</v>
      </c>
      <c r="C2463" s="6">
        <v>854.0</v>
      </c>
      <c r="D2463" s="9" t="str">
        <f>HYPERLINK("https://www.linkedin.com/ad-library/detail/1479213886","Open Ad")</f>
        <v>Open Ad</v>
      </c>
      <c r="E2463" s="6" t="s">
        <v>91</v>
      </c>
      <c r="F2463" s="6" t="s">
        <v>53</v>
      </c>
      <c r="G2463" s="6" t="s">
        <v>7669</v>
      </c>
      <c r="H2463" s="6" t="s">
        <v>55</v>
      </c>
      <c r="I2463" s="6" t="s">
        <v>7566</v>
      </c>
      <c r="J2463" s="6" t="s">
        <v>91</v>
      </c>
      <c r="K2463" s="9" t="str">
        <f>HYPERLINK("https://media.licdn.com/dms/image/v2/D5610AQHysvgheOaxnA/image-shrink_1280/B56Z7gHNArGcAc-/0/1781876446018?e=2147483647&amp;v=beta&amp;t=t-TRheTCXSd2pZn8E-EoCDLxg44cgxbezWW2xN5ZLC0","Open Creative")</f>
        <v>Open Creative</v>
      </c>
      <c r="L2463" s="6" t="s">
        <v>131</v>
      </c>
      <c r="M2463" s="6" t="s">
        <v>7537</v>
      </c>
      <c r="N2463" s="6" t="s">
        <v>132</v>
      </c>
      <c r="O2463" s="36" t="s">
        <v>132</v>
      </c>
      <c r="P2463" s="36">
        <v>1.479213886E9</v>
      </c>
      <c r="Q2463" s="36" t="s">
        <v>7541</v>
      </c>
      <c r="R2463" s="6" t="s">
        <v>7542</v>
      </c>
    </row>
    <row r="2464">
      <c r="A2464" s="6" t="s">
        <v>7537</v>
      </c>
      <c r="B2464" s="6" t="s">
        <v>7537</v>
      </c>
      <c r="C2464" s="6">
        <v>855.0</v>
      </c>
      <c r="D2464" s="9" t="str">
        <f>HYPERLINK("https://www.linkedin.com/ad-library/detail/1472840026","Open Ad")</f>
        <v>Open Ad</v>
      </c>
      <c r="E2464" s="6" t="s">
        <v>91</v>
      </c>
      <c r="F2464" s="6" t="s">
        <v>53</v>
      </c>
      <c r="G2464" s="6" t="s">
        <v>7674</v>
      </c>
      <c r="H2464" s="6" t="s">
        <v>55</v>
      </c>
      <c r="I2464" s="6" t="s">
        <v>7566</v>
      </c>
      <c r="J2464" s="6" t="s">
        <v>91</v>
      </c>
      <c r="K2464" s="6" t="s">
        <v>60</v>
      </c>
      <c r="L2464" s="6" t="s">
        <v>131</v>
      </c>
      <c r="M2464" s="6" t="s">
        <v>7537</v>
      </c>
      <c r="N2464" s="6" t="s">
        <v>132</v>
      </c>
      <c r="O2464" s="36" t="s">
        <v>132</v>
      </c>
      <c r="P2464" s="36">
        <v>1.472840026E9</v>
      </c>
      <c r="Q2464" s="36" t="s">
        <v>7541</v>
      </c>
      <c r="R2464" s="6" t="s">
        <v>7542</v>
      </c>
    </row>
    <row r="2465">
      <c r="A2465" s="6" t="s">
        <v>7537</v>
      </c>
      <c r="B2465" s="6" t="s">
        <v>7537</v>
      </c>
      <c r="C2465" s="6">
        <v>856.0</v>
      </c>
      <c r="D2465" s="9" t="str">
        <f>HYPERLINK("https://www.linkedin.com/ad-library/detail/1472134546","Open Ad")</f>
        <v>Open Ad</v>
      </c>
      <c r="E2465" s="6" t="s">
        <v>91</v>
      </c>
      <c r="F2465" s="6" t="s">
        <v>53</v>
      </c>
      <c r="G2465" s="6" t="s">
        <v>7672</v>
      </c>
      <c r="H2465" s="6" t="s">
        <v>55</v>
      </c>
      <c r="I2465" s="6" t="s">
        <v>7566</v>
      </c>
      <c r="J2465" s="6" t="s">
        <v>91</v>
      </c>
      <c r="K2465" s="9" t="str">
        <f>HYPERLINK("https://media.licdn.com/dms/image/v2/D4E10AQHTE0Dpjq0JHQ/image-shrink_1280/B4EZ7gBpL9HkAc-/0/1781874988430?e=2147483647&amp;v=beta&amp;t=KPePg3koppiQoFRMdrU_e2WDkYcZQFZxFW6rDQo2GkQ","Open Creative")</f>
        <v>Open Creative</v>
      </c>
      <c r="L2465" s="6" t="s">
        <v>131</v>
      </c>
      <c r="M2465" s="6" t="s">
        <v>7537</v>
      </c>
      <c r="N2465" s="6" t="s">
        <v>7675</v>
      </c>
      <c r="O2465" s="36" t="s">
        <v>67</v>
      </c>
      <c r="P2465" s="36">
        <v>1.472134546E9</v>
      </c>
      <c r="Q2465" s="36" t="s">
        <v>7541</v>
      </c>
      <c r="R2465" s="6" t="s">
        <v>7542</v>
      </c>
    </row>
    <row r="2466">
      <c r="A2466" s="6" t="s">
        <v>7537</v>
      </c>
      <c r="B2466" s="6" t="s">
        <v>7537</v>
      </c>
      <c r="C2466" s="6">
        <v>857.0</v>
      </c>
      <c r="D2466" s="9" t="str">
        <f>HYPERLINK("https://www.linkedin.com/ad-library/detail/1472730066","Open Ad")</f>
        <v>Open Ad</v>
      </c>
      <c r="E2466" s="6" t="s">
        <v>91</v>
      </c>
      <c r="F2466" s="6" t="s">
        <v>53</v>
      </c>
      <c r="G2466" s="6" t="s">
        <v>7658</v>
      </c>
      <c r="H2466" s="6" t="s">
        <v>55</v>
      </c>
      <c r="I2466" s="6" t="s">
        <v>7566</v>
      </c>
      <c r="J2466" s="6" t="s">
        <v>91</v>
      </c>
      <c r="K2466" s="9" t="str">
        <f>HYPERLINK("https://media.licdn.com/dms/image/v2/D5610AQEC6uKodaP14A/image-shrink_1280/B56Z6AaqPKHwAg-/0/1780270933257/Ad201png?e=2147483647&amp;v=beta&amp;t=1A661kGu5AkvtoRboYevKI4nXl-sd3eUIKlZq0ouF78","Open Creative")</f>
        <v>Open Creative</v>
      </c>
      <c r="L2466" s="6" t="s">
        <v>131</v>
      </c>
      <c r="M2466" s="6" t="s">
        <v>7537</v>
      </c>
      <c r="N2466" s="6" t="s">
        <v>132</v>
      </c>
      <c r="O2466" s="36" t="s">
        <v>132</v>
      </c>
      <c r="P2466" s="36">
        <v>1.472730066E9</v>
      </c>
      <c r="Q2466" s="36" t="s">
        <v>7541</v>
      </c>
      <c r="R2466" s="6" t="s">
        <v>7542</v>
      </c>
    </row>
    <row r="2467">
      <c r="A2467" s="6" t="s">
        <v>7537</v>
      </c>
      <c r="B2467" s="6" t="s">
        <v>7537</v>
      </c>
      <c r="C2467" s="6">
        <v>858.0</v>
      </c>
      <c r="D2467" s="9" t="str">
        <f>HYPERLINK("https://www.linkedin.com/ad-library/detail/1472115536","Open Ad")</f>
        <v>Open Ad</v>
      </c>
      <c r="E2467" s="6" t="s">
        <v>91</v>
      </c>
      <c r="F2467" s="6" t="s">
        <v>53</v>
      </c>
      <c r="G2467" s="6" t="s">
        <v>7672</v>
      </c>
      <c r="H2467" s="6" t="s">
        <v>55</v>
      </c>
      <c r="I2467" s="6" t="s">
        <v>7566</v>
      </c>
      <c r="J2467" s="6" t="s">
        <v>91</v>
      </c>
      <c r="K2467" s="9" t="str">
        <f>HYPERLINK("https://media.licdn.com/dms/image/v2/D4E10AQHTE0Dpjq0JHQ/image-shrink_1280/B4EZ7gBpL9HkAc-/0/1781874988430?e=2147483647&amp;v=beta&amp;t=KPePg3koppiQoFRMdrU_e2WDkYcZQFZxFW6rDQo2GkQ","Open Creative")</f>
        <v>Open Creative</v>
      </c>
      <c r="L2467" s="6" t="s">
        <v>131</v>
      </c>
      <c r="M2467" s="6" t="s">
        <v>7537</v>
      </c>
      <c r="N2467" s="6" t="s">
        <v>132</v>
      </c>
      <c r="O2467" s="36" t="s">
        <v>132</v>
      </c>
      <c r="P2467" s="36">
        <v>1.472115536E9</v>
      </c>
      <c r="Q2467" s="36" t="s">
        <v>7541</v>
      </c>
      <c r="R2467" s="6" t="s">
        <v>7542</v>
      </c>
    </row>
    <row r="2468">
      <c r="A2468" s="6" t="s">
        <v>7537</v>
      </c>
      <c r="B2468" s="6" t="s">
        <v>7537</v>
      </c>
      <c r="C2468" s="6">
        <v>859.0</v>
      </c>
      <c r="D2468" s="9" t="str">
        <f>HYPERLINK("https://www.linkedin.com/ad-library/detail/1478173396","Open Ad")</f>
        <v>Open Ad</v>
      </c>
      <c r="E2468" s="6" t="s">
        <v>91</v>
      </c>
      <c r="F2468" s="6" t="s">
        <v>53</v>
      </c>
      <c r="G2468" s="6" t="s">
        <v>7671</v>
      </c>
      <c r="H2468" s="6" t="s">
        <v>55</v>
      </c>
      <c r="I2468" s="6" t="s">
        <v>7566</v>
      </c>
      <c r="J2468" s="6" t="s">
        <v>91</v>
      </c>
      <c r="K2468" s="9" t="str">
        <f>HYPERLINK("https://media.licdn.com/dms/image/v2/D5610AQHYHfmgiwItlQ/image-shrink_1280/B56Z7dxtw.JQAc-/0/1781837258640?e=2147483647&amp;v=beta&amp;t=OGirDyoGsZUn_9KTxtuHtc6l84QsL8nC_gfjTtzz3js","Open Creative")</f>
        <v>Open Creative</v>
      </c>
      <c r="L2468" s="6" t="s">
        <v>131</v>
      </c>
      <c r="M2468" s="6" t="s">
        <v>7537</v>
      </c>
      <c r="N2468" s="6" t="s">
        <v>132</v>
      </c>
      <c r="O2468" s="36" t="s">
        <v>132</v>
      </c>
      <c r="P2468" s="36">
        <v>1.478173396E9</v>
      </c>
      <c r="Q2468" s="36" t="s">
        <v>7541</v>
      </c>
      <c r="R2468" s="6" t="s">
        <v>7542</v>
      </c>
    </row>
    <row r="2469">
      <c r="A2469" s="6" t="s">
        <v>7537</v>
      </c>
      <c r="B2469" s="6" t="s">
        <v>7537</v>
      </c>
      <c r="C2469" s="6">
        <v>860.0</v>
      </c>
      <c r="D2469" s="9" t="str">
        <f>HYPERLINK("https://www.linkedin.com/ad-library/detail/1472006166","Open Ad")</f>
        <v>Open Ad</v>
      </c>
      <c r="E2469" s="6" t="s">
        <v>91</v>
      </c>
      <c r="F2469" s="6" t="s">
        <v>53</v>
      </c>
      <c r="G2469" s="6" t="s">
        <v>7672</v>
      </c>
      <c r="H2469" s="6" t="s">
        <v>55</v>
      </c>
      <c r="I2469" s="6" t="s">
        <v>7566</v>
      </c>
      <c r="J2469" s="6" t="s">
        <v>91</v>
      </c>
      <c r="K2469" s="9" t="str">
        <f>HYPERLINK("https://media.licdn.com/dms/image/v2/D4E10AQHTE0Dpjq0JHQ/image-shrink_1280/B4EZ7gBpL9HkAc-/0/1781874988430?e=2147483647&amp;v=beta&amp;t=KPePg3koppiQoFRMdrU_e2WDkYcZQFZxFW6rDQo2GkQ","Open Creative")</f>
        <v>Open Creative</v>
      </c>
      <c r="L2469" s="6" t="s">
        <v>131</v>
      </c>
      <c r="M2469" s="6" t="s">
        <v>7537</v>
      </c>
      <c r="N2469" s="6" t="s">
        <v>132</v>
      </c>
      <c r="O2469" s="36" t="s">
        <v>132</v>
      </c>
      <c r="P2469" s="36">
        <v>1.472006166E9</v>
      </c>
      <c r="Q2469" s="36" t="s">
        <v>7541</v>
      </c>
      <c r="R2469" s="6" t="s">
        <v>7542</v>
      </c>
    </row>
    <row r="2470">
      <c r="A2470" s="6" t="s">
        <v>7537</v>
      </c>
      <c r="B2470" s="6" t="s">
        <v>7537</v>
      </c>
      <c r="C2470" s="6">
        <v>861.0</v>
      </c>
      <c r="D2470" s="9" t="str">
        <f>HYPERLINK("https://www.linkedin.com/ad-library/detail/1478163556","Open Ad")</f>
        <v>Open Ad</v>
      </c>
      <c r="E2470" s="6" t="s">
        <v>91</v>
      </c>
      <c r="F2470" s="6" t="s">
        <v>53</v>
      </c>
      <c r="G2470" s="6" t="s">
        <v>7669</v>
      </c>
      <c r="H2470" s="6" t="s">
        <v>55</v>
      </c>
      <c r="I2470" s="6" t="s">
        <v>7566</v>
      </c>
      <c r="J2470" s="6" t="s">
        <v>91</v>
      </c>
      <c r="K2470" s="9" t="str">
        <f>HYPERLINK("https://media.licdn.com/dms/image/v2/D5610AQHysvgheOaxnA/image-shrink_1280/B56Z7gHNArGcAc-/0/1781876446018?e=2147483647&amp;v=beta&amp;t=t-TRheTCXSd2pZn8E-EoCDLxg44cgxbezWW2xN5ZLC0","Open Creative")</f>
        <v>Open Creative</v>
      </c>
      <c r="L2470" s="6" t="s">
        <v>131</v>
      </c>
      <c r="M2470" s="6" t="s">
        <v>7537</v>
      </c>
      <c r="N2470" s="6" t="s">
        <v>132</v>
      </c>
      <c r="O2470" s="36" t="s">
        <v>132</v>
      </c>
      <c r="P2470" s="36">
        <v>1.478163556E9</v>
      </c>
      <c r="Q2470" s="36" t="s">
        <v>7541</v>
      </c>
      <c r="R2470" s="6" t="s">
        <v>7542</v>
      </c>
    </row>
    <row r="2471">
      <c r="A2471" s="6" t="s">
        <v>7537</v>
      </c>
      <c r="B2471" s="6" t="s">
        <v>7537</v>
      </c>
      <c r="C2471" s="6">
        <v>862.0</v>
      </c>
      <c r="D2471" s="9" t="str">
        <f>HYPERLINK("https://www.linkedin.com/ad-library/detail/1478123506","Open Ad")</f>
        <v>Open Ad</v>
      </c>
      <c r="E2471" s="6" t="s">
        <v>91</v>
      </c>
      <c r="F2471" s="6" t="s">
        <v>53</v>
      </c>
      <c r="G2471" s="6" t="s">
        <v>7671</v>
      </c>
      <c r="H2471" s="6" t="s">
        <v>55</v>
      </c>
      <c r="I2471" s="6" t="s">
        <v>7566</v>
      </c>
      <c r="J2471" s="6" t="s">
        <v>91</v>
      </c>
      <c r="K2471" s="9" t="str">
        <f t="shared" ref="K2471:K2472" si="86">HYPERLINK("https://media.licdn.com/dms/image/v2/D5610AQHYHfmgiwItlQ/image-shrink_1280/B56Z7dxtw.JQAc-/0/1781837258640?e=2147483647&amp;v=beta&amp;t=OGirDyoGsZUn_9KTxtuHtc6l84QsL8nC_gfjTtzz3js","Open Creative")</f>
        <v>Open Creative</v>
      </c>
      <c r="L2471" s="6" t="s">
        <v>131</v>
      </c>
      <c r="M2471" s="6" t="s">
        <v>7537</v>
      </c>
      <c r="N2471" s="6" t="s">
        <v>132</v>
      </c>
      <c r="O2471" s="36" t="s">
        <v>132</v>
      </c>
      <c r="P2471" s="36">
        <v>1.478123506E9</v>
      </c>
      <c r="Q2471" s="36" t="s">
        <v>7541</v>
      </c>
      <c r="R2471" s="6" t="s">
        <v>7542</v>
      </c>
    </row>
    <row r="2472">
      <c r="A2472" s="6" t="s">
        <v>7537</v>
      </c>
      <c r="B2472" s="6" t="s">
        <v>7537</v>
      </c>
      <c r="C2472" s="6">
        <v>863.0</v>
      </c>
      <c r="D2472" s="9" t="str">
        <f>HYPERLINK("https://www.linkedin.com/ad-library/detail/1478123516","Open Ad")</f>
        <v>Open Ad</v>
      </c>
      <c r="E2472" s="6" t="s">
        <v>91</v>
      </c>
      <c r="F2472" s="6" t="s">
        <v>53</v>
      </c>
      <c r="G2472" s="6" t="s">
        <v>7671</v>
      </c>
      <c r="H2472" s="6" t="s">
        <v>55</v>
      </c>
      <c r="I2472" s="6" t="s">
        <v>7566</v>
      </c>
      <c r="J2472" s="6" t="s">
        <v>91</v>
      </c>
      <c r="K2472" s="9" t="str">
        <f t="shared" si="86"/>
        <v>Open Creative</v>
      </c>
      <c r="L2472" s="6" t="s">
        <v>131</v>
      </c>
      <c r="M2472" s="6" t="s">
        <v>7537</v>
      </c>
      <c r="N2472" s="6" t="s">
        <v>132</v>
      </c>
      <c r="O2472" s="36" t="s">
        <v>132</v>
      </c>
      <c r="P2472" s="36">
        <v>1.478123516E9</v>
      </c>
      <c r="Q2472" s="36" t="s">
        <v>7541</v>
      </c>
      <c r="R2472" s="6" t="s">
        <v>7542</v>
      </c>
    </row>
    <row r="2473">
      <c r="A2473" s="6" t="s">
        <v>7537</v>
      </c>
      <c r="B2473" s="6" t="s">
        <v>7537</v>
      </c>
      <c r="C2473" s="6">
        <v>864.0</v>
      </c>
      <c r="D2473" s="9" t="str">
        <f>HYPERLINK("https://www.linkedin.com/ad-library/detail/1479273176","Open Ad")</f>
        <v>Open Ad</v>
      </c>
      <c r="E2473" s="6" t="s">
        <v>91</v>
      </c>
      <c r="F2473" s="6" t="s">
        <v>53</v>
      </c>
      <c r="G2473" s="6" t="s">
        <v>7669</v>
      </c>
      <c r="H2473" s="6" t="s">
        <v>55</v>
      </c>
      <c r="I2473" s="6" t="s">
        <v>7566</v>
      </c>
      <c r="J2473" s="6" t="s">
        <v>91</v>
      </c>
      <c r="K2473" s="9" t="str">
        <f>HYPERLINK("https://media.licdn.com/dms/image/v2/D5610AQHysvgheOaxnA/image-shrink_1280/B56Z7gHNArGcAc-/0/1781876446018?e=2147483647&amp;v=beta&amp;t=t-TRheTCXSd2pZn8E-EoCDLxg44cgxbezWW2xN5ZLC0","Open Creative")</f>
        <v>Open Creative</v>
      </c>
      <c r="L2473" s="6" t="s">
        <v>131</v>
      </c>
      <c r="M2473" s="6" t="s">
        <v>7537</v>
      </c>
      <c r="N2473" s="6" t="s">
        <v>132</v>
      </c>
      <c r="O2473" s="36" t="s">
        <v>132</v>
      </c>
      <c r="P2473" s="36">
        <v>1.479273176E9</v>
      </c>
      <c r="Q2473" s="36" t="s">
        <v>7541</v>
      </c>
      <c r="R2473" s="6" t="s">
        <v>7542</v>
      </c>
    </row>
    <row r="2474">
      <c r="A2474" s="6" t="s">
        <v>7537</v>
      </c>
      <c r="B2474" s="6" t="s">
        <v>7537</v>
      </c>
      <c r="C2474" s="6">
        <v>865.0</v>
      </c>
      <c r="D2474" s="9" t="str">
        <f>HYPERLINK("https://www.linkedin.com/ad-library/detail/1471620406","Open Ad")</f>
        <v>Open Ad</v>
      </c>
      <c r="E2474" s="6" t="s">
        <v>91</v>
      </c>
      <c r="F2474" s="6" t="s">
        <v>53</v>
      </c>
      <c r="G2474" s="6" t="s">
        <v>7676</v>
      </c>
      <c r="H2474" s="6" t="s">
        <v>55</v>
      </c>
      <c r="I2474" s="6" t="s">
        <v>7566</v>
      </c>
      <c r="J2474" s="6" t="s">
        <v>91</v>
      </c>
      <c r="K2474" s="9" t="str">
        <f>HYPERLINK("https://media.licdn.com/dms/image/v2/D5610AQEqUzS03sk4mw/image-shrink_1280/B56Z7XFzB7HUAc-/0/1781725082939?e=2147483647&amp;v=beta&amp;t=RWnhH8rH_RegAruOKy_yk9VEjSzTX1Ja-hZ9s9BXxyI","Open Creative")</f>
        <v>Open Creative</v>
      </c>
      <c r="L2474" s="6" t="s">
        <v>131</v>
      </c>
      <c r="M2474" s="6" t="s">
        <v>7537</v>
      </c>
      <c r="N2474" s="6" t="s">
        <v>132</v>
      </c>
      <c r="O2474" s="36" t="s">
        <v>132</v>
      </c>
      <c r="P2474" s="36">
        <v>1.471620406E9</v>
      </c>
      <c r="Q2474" s="36" t="s">
        <v>7541</v>
      </c>
      <c r="R2474" s="6" t="s">
        <v>7542</v>
      </c>
    </row>
    <row r="2475">
      <c r="A2475" s="6" t="s">
        <v>7537</v>
      </c>
      <c r="B2475" s="6" t="s">
        <v>7537</v>
      </c>
      <c r="C2475" s="6">
        <v>866.0</v>
      </c>
      <c r="D2475" s="9" t="str">
        <f>HYPERLINK("https://www.linkedin.com/ad-library/detail/1471640246","Open Ad")</f>
        <v>Open Ad</v>
      </c>
      <c r="E2475" s="6" t="s">
        <v>91</v>
      </c>
      <c r="F2475" s="6" t="s">
        <v>53</v>
      </c>
      <c r="G2475" s="6" t="s">
        <v>7677</v>
      </c>
      <c r="H2475" s="6" t="s">
        <v>55</v>
      </c>
      <c r="I2475" s="6" t="s">
        <v>7566</v>
      </c>
      <c r="J2475" s="6" t="s">
        <v>91</v>
      </c>
      <c r="K2475" s="9" t="str">
        <f>HYPERLINK("https://media.licdn.com/dms/image/v2/D5610AQEI_3ycJiXhsw/image-shrink_1280/B56Z7Xc9vhHYAc-/0/1781731155543?e=2147483647&amp;v=beta&amp;t=tR8CMkYIKEW1GlXgakk_rAcnPEHtTrNxWHXyu5towOg","Open Creative")</f>
        <v>Open Creative</v>
      </c>
      <c r="L2475" s="6" t="s">
        <v>131</v>
      </c>
      <c r="M2475" s="6" t="s">
        <v>7537</v>
      </c>
      <c r="N2475" s="6" t="s">
        <v>132</v>
      </c>
      <c r="O2475" s="36" t="s">
        <v>132</v>
      </c>
      <c r="P2475" s="36">
        <v>1.471640246E9</v>
      </c>
      <c r="Q2475" s="36" t="s">
        <v>7541</v>
      </c>
      <c r="R2475" s="6" t="s">
        <v>7542</v>
      </c>
    </row>
    <row r="2476">
      <c r="A2476" s="6" t="s">
        <v>7537</v>
      </c>
      <c r="B2476" s="6" t="s">
        <v>7537</v>
      </c>
      <c r="C2476" s="6">
        <v>867.0</v>
      </c>
      <c r="D2476" s="9" t="str">
        <f>HYPERLINK("https://www.linkedin.com/ad-library/detail/1469422736","Open Ad")</f>
        <v>Open Ad</v>
      </c>
      <c r="E2476" s="6" t="s">
        <v>91</v>
      </c>
      <c r="F2476" s="6" t="s">
        <v>53</v>
      </c>
      <c r="G2476" s="6" t="s">
        <v>7678</v>
      </c>
      <c r="H2476" s="6" t="s">
        <v>55</v>
      </c>
      <c r="I2476" s="6" t="s">
        <v>7566</v>
      </c>
      <c r="J2476" s="6" t="s">
        <v>91</v>
      </c>
      <c r="K2476" s="9" t="str">
        <f t="shared" ref="K2476:K2477" si="87">HYPERLINK("https://media.licdn.com/dms/image/v2/D4E22AQFIP7XTlqRuMw/feedshare-shrink_1280/B4EZ7MG6NiJkAQ-/0/1781540829321?e=2147483647&amp;v=beta&amp;t=aeQ4DT7xjpzCozXyF1MApT6j82hz5pR5bOqNE1iDVr8","Open Creative")</f>
        <v>Open Creative</v>
      </c>
      <c r="L2476" s="6" t="s">
        <v>131</v>
      </c>
      <c r="M2476" s="6" t="s">
        <v>7537</v>
      </c>
      <c r="N2476" s="6" t="s">
        <v>132</v>
      </c>
      <c r="O2476" s="36" t="s">
        <v>132</v>
      </c>
      <c r="P2476" s="36">
        <v>1.469422736E9</v>
      </c>
      <c r="Q2476" s="36" t="s">
        <v>7541</v>
      </c>
      <c r="R2476" s="6" t="s">
        <v>7542</v>
      </c>
    </row>
    <row r="2477">
      <c r="A2477" s="6" t="s">
        <v>7537</v>
      </c>
      <c r="B2477" s="6" t="s">
        <v>7537</v>
      </c>
      <c r="C2477" s="6">
        <v>868.0</v>
      </c>
      <c r="D2477" s="9" t="str">
        <f>HYPERLINK("https://www.linkedin.com/ad-library/detail/1469492356","Open Ad")</f>
        <v>Open Ad</v>
      </c>
      <c r="E2477" s="6" t="s">
        <v>91</v>
      </c>
      <c r="F2477" s="6" t="s">
        <v>53</v>
      </c>
      <c r="G2477" s="6" t="s">
        <v>7678</v>
      </c>
      <c r="H2477" s="6" t="s">
        <v>55</v>
      </c>
      <c r="I2477" s="6" t="s">
        <v>7566</v>
      </c>
      <c r="J2477" s="6" t="s">
        <v>91</v>
      </c>
      <c r="K2477" s="9" t="str">
        <f t="shared" si="87"/>
        <v>Open Creative</v>
      </c>
      <c r="L2477" s="6" t="s">
        <v>131</v>
      </c>
      <c r="M2477" s="6" t="s">
        <v>7537</v>
      </c>
      <c r="N2477" s="6" t="s">
        <v>132</v>
      </c>
      <c r="O2477" s="36" t="s">
        <v>132</v>
      </c>
      <c r="P2477" s="36">
        <v>1.469492356E9</v>
      </c>
      <c r="Q2477" s="36" t="s">
        <v>7541</v>
      </c>
      <c r="R2477" s="6" t="s">
        <v>7542</v>
      </c>
    </row>
    <row r="2478">
      <c r="A2478" s="6" t="s">
        <v>7537</v>
      </c>
      <c r="B2478" s="6" t="s">
        <v>7537</v>
      </c>
      <c r="C2478" s="6">
        <v>869.0</v>
      </c>
      <c r="D2478" s="9" t="str">
        <f>HYPERLINK("https://www.linkedin.com/ad-library/detail/1471620416","Open Ad")</f>
        <v>Open Ad</v>
      </c>
      <c r="E2478" s="6" t="s">
        <v>91</v>
      </c>
      <c r="F2478" s="6" t="s">
        <v>53</v>
      </c>
      <c r="G2478" s="6" t="s">
        <v>7676</v>
      </c>
      <c r="H2478" s="6" t="s">
        <v>55</v>
      </c>
      <c r="I2478" s="6" t="s">
        <v>7566</v>
      </c>
      <c r="J2478" s="6" t="s">
        <v>91</v>
      </c>
      <c r="K2478" s="9" t="str">
        <f t="shared" ref="K2478:K2479" si="88">HYPERLINK("https://media.licdn.com/dms/image/v2/D5610AQEqUzS03sk4mw/image-shrink_1280/B56Z7XFzB7HUAc-/0/1781725082939?e=2147483647&amp;v=beta&amp;t=RWnhH8rH_RegAruOKy_yk9VEjSzTX1Ja-hZ9s9BXxyI","Open Creative")</f>
        <v>Open Creative</v>
      </c>
      <c r="L2478" s="6" t="s">
        <v>131</v>
      </c>
      <c r="M2478" s="6" t="s">
        <v>7537</v>
      </c>
      <c r="N2478" s="6" t="s">
        <v>132</v>
      </c>
      <c r="O2478" s="36" t="s">
        <v>132</v>
      </c>
      <c r="P2478" s="36">
        <v>1.471620416E9</v>
      </c>
      <c r="Q2478" s="36" t="s">
        <v>7541</v>
      </c>
      <c r="R2478" s="6" t="s">
        <v>7542</v>
      </c>
    </row>
    <row r="2479">
      <c r="A2479" s="6" t="s">
        <v>7537</v>
      </c>
      <c r="B2479" s="6" t="s">
        <v>7537</v>
      </c>
      <c r="C2479" s="6">
        <v>870.0</v>
      </c>
      <c r="D2479" s="9" t="str">
        <f>HYPERLINK("https://www.linkedin.com/ad-library/detail/1471499626","Open Ad")</f>
        <v>Open Ad</v>
      </c>
      <c r="E2479" s="6" t="s">
        <v>91</v>
      </c>
      <c r="F2479" s="6" t="s">
        <v>53</v>
      </c>
      <c r="G2479" s="6" t="s">
        <v>7676</v>
      </c>
      <c r="H2479" s="6" t="s">
        <v>55</v>
      </c>
      <c r="I2479" s="6" t="s">
        <v>7566</v>
      </c>
      <c r="J2479" s="6" t="s">
        <v>91</v>
      </c>
      <c r="K2479" s="9" t="str">
        <f t="shared" si="88"/>
        <v>Open Creative</v>
      </c>
      <c r="L2479" s="6" t="s">
        <v>131</v>
      </c>
      <c r="M2479" s="6" t="s">
        <v>7537</v>
      </c>
      <c r="N2479" s="6" t="s">
        <v>132</v>
      </c>
      <c r="O2479" s="36" t="s">
        <v>132</v>
      </c>
      <c r="P2479" s="36">
        <v>1.471499626E9</v>
      </c>
      <c r="Q2479" s="36" t="s">
        <v>7541</v>
      </c>
      <c r="R2479" s="6" t="s">
        <v>7542</v>
      </c>
    </row>
    <row r="2480">
      <c r="A2480" s="6" t="s">
        <v>7537</v>
      </c>
      <c r="B2480" s="6" t="s">
        <v>7537</v>
      </c>
      <c r="C2480" s="6">
        <v>871.0</v>
      </c>
      <c r="D2480" s="9" t="str">
        <f>HYPERLINK("https://www.linkedin.com/ad-library/detail/1471509356","Open Ad")</f>
        <v>Open Ad</v>
      </c>
      <c r="E2480" s="6" t="s">
        <v>91</v>
      </c>
      <c r="F2480" s="6" t="s">
        <v>53</v>
      </c>
      <c r="G2480" s="6" t="s">
        <v>7677</v>
      </c>
      <c r="H2480" s="6" t="s">
        <v>55</v>
      </c>
      <c r="I2480" s="6" t="s">
        <v>7566</v>
      </c>
      <c r="J2480" s="6" t="s">
        <v>91</v>
      </c>
      <c r="K2480" s="9" t="str">
        <f>HYPERLINK("https://media.licdn.com/dms/image/v2/D5610AQEI_3ycJiXhsw/image-shrink_1280/B56Z7Xc9vhHYAc-/0/1781731155543?e=2147483647&amp;v=beta&amp;t=tR8CMkYIKEW1GlXgakk_rAcnPEHtTrNxWHXyu5towOg","Open Creative")</f>
        <v>Open Creative</v>
      </c>
      <c r="L2480" s="6" t="s">
        <v>131</v>
      </c>
      <c r="M2480" s="6" t="s">
        <v>7537</v>
      </c>
      <c r="N2480" s="6" t="s">
        <v>132</v>
      </c>
      <c r="O2480" s="36" t="s">
        <v>132</v>
      </c>
      <c r="P2480" s="36">
        <v>1.471509356E9</v>
      </c>
      <c r="Q2480" s="36" t="s">
        <v>7541</v>
      </c>
      <c r="R2480" s="6" t="s">
        <v>7542</v>
      </c>
    </row>
    <row r="2481">
      <c r="A2481" s="6" t="s">
        <v>7537</v>
      </c>
      <c r="B2481" s="6" t="s">
        <v>7537</v>
      </c>
      <c r="C2481" s="6">
        <v>872.0</v>
      </c>
      <c r="D2481" s="9" t="str">
        <f>HYPERLINK("https://www.linkedin.com/ad-library/detail/1469492386","Open Ad")</f>
        <v>Open Ad</v>
      </c>
      <c r="E2481" s="6" t="s">
        <v>91</v>
      </c>
      <c r="F2481" s="6" t="s">
        <v>53</v>
      </c>
      <c r="G2481" s="6" t="s">
        <v>7679</v>
      </c>
      <c r="H2481" s="6" t="s">
        <v>55</v>
      </c>
      <c r="I2481" s="6" t="s">
        <v>7566</v>
      </c>
      <c r="J2481" s="6" t="s">
        <v>91</v>
      </c>
      <c r="K2481" s="9" t="str">
        <f>HYPERLINK("https://media.licdn.com/dms/image/v2/D4E22AQGrviNufln9hw/feedshare-image-high-res/B4EZ7C9FJyKoAU-/0/1781387261323?e=2147483647&amp;v=beta&amp;t=eu7dyePrLaaoaSZU1vqYgD1Xu_FTSjdBlgFFkk4Qywo","Open Creative")</f>
        <v>Open Creative</v>
      </c>
      <c r="L2481" s="6" t="s">
        <v>131</v>
      </c>
      <c r="M2481" s="6" t="s">
        <v>7537</v>
      </c>
      <c r="N2481" s="6" t="s">
        <v>132</v>
      </c>
      <c r="O2481" s="36" t="s">
        <v>132</v>
      </c>
      <c r="P2481" s="36">
        <v>1.469492386E9</v>
      </c>
      <c r="Q2481" s="36" t="s">
        <v>7541</v>
      </c>
      <c r="R2481" s="6" t="s">
        <v>7542</v>
      </c>
    </row>
    <row r="2482">
      <c r="A2482" s="6" t="s">
        <v>7537</v>
      </c>
      <c r="B2482" s="6" t="s">
        <v>7537</v>
      </c>
      <c r="C2482" s="6">
        <v>873.0</v>
      </c>
      <c r="D2482" s="9" t="str">
        <f>HYPERLINK("https://www.linkedin.com/ad-library/detail/1471528996","Open Ad")</f>
        <v>Open Ad</v>
      </c>
      <c r="E2482" s="6" t="s">
        <v>91</v>
      </c>
      <c r="F2482" s="6" t="s">
        <v>53</v>
      </c>
      <c r="G2482" s="6" t="s">
        <v>7676</v>
      </c>
      <c r="H2482" s="6" t="s">
        <v>55</v>
      </c>
      <c r="I2482" s="6" t="s">
        <v>7566</v>
      </c>
      <c r="J2482" s="6" t="s">
        <v>91</v>
      </c>
      <c r="K2482" s="9" t="str">
        <f>HYPERLINK("https://media.licdn.com/dms/image/v2/D5610AQEqUzS03sk4mw/image-shrink_1280/B56Z7XFzB7HUAc-/0/1781725082939?e=2147483647&amp;v=beta&amp;t=RWnhH8rH_RegAruOKy_yk9VEjSzTX1Ja-hZ9s9BXxyI","Open Creative")</f>
        <v>Open Creative</v>
      </c>
      <c r="L2482" s="6" t="s">
        <v>131</v>
      </c>
      <c r="M2482" s="6" t="s">
        <v>7537</v>
      </c>
      <c r="N2482" s="6" t="s">
        <v>132</v>
      </c>
      <c r="O2482" s="36" t="s">
        <v>132</v>
      </c>
      <c r="P2482" s="36">
        <v>1.471528996E9</v>
      </c>
      <c r="Q2482" s="36" t="s">
        <v>7541</v>
      </c>
      <c r="R2482" s="6" t="s">
        <v>7542</v>
      </c>
    </row>
    <row r="2483">
      <c r="A2483" s="6" t="s">
        <v>7537</v>
      </c>
      <c r="B2483" s="6" t="s">
        <v>7537</v>
      </c>
      <c r="C2483" s="6">
        <v>874.0</v>
      </c>
      <c r="D2483" s="9" t="str">
        <f>HYPERLINK("https://www.linkedin.com/ad-library/detail/1469422726","Open Ad")</f>
        <v>Open Ad</v>
      </c>
      <c r="E2483" s="6" t="s">
        <v>91</v>
      </c>
      <c r="F2483" s="6" t="s">
        <v>53</v>
      </c>
      <c r="G2483" s="6" t="s">
        <v>7678</v>
      </c>
      <c r="H2483" s="6" t="s">
        <v>55</v>
      </c>
      <c r="I2483" s="6" t="s">
        <v>7566</v>
      </c>
      <c r="J2483" s="6" t="s">
        <v>91</v>
      </c>
      <c r="K2483" s="9" t="str">
        <f t="shared" ref="K2483:K2484" si="89">HYPERLINK("https://media.licdn.com/dms/image/v2/D4E22AQFIP7XTlqRuMw/feedshare-shrink_1280/B4EZ7MG6NiJkAQ-/0/1781540829321?e=2147483647&amp;v=beta&amp;t=aeQ4DT7xjpzCozXyF1MApT6j82hz5pR5bOqNE1iDVr8","Open Creative")</f>
        <v>Open Creative</v>
      </c>
      <c r="L2483" s="6" t="s">
        <v>131</v>
      </c>
      <c r="M2483" s="6" t="s">
        <v>7537</v>
      </c>
      <c r="N2483" s="6" t="s">
        <v>132</v>
      </c>
      <c r="O2483" s="36" t="s">
        <v>132</v>
      </c>
      <c r="P2483" s="36">
        <v>1.469422726E9</v>
      </c>
      <c r="Q2483" s="36" t="s">
        <v>7541</v>
      </c>
      <c r="R2483" s="6" t="s">
        <v>7542</v>
      </c>
    </row>
    <row r="2484">
      <c r="A2484" s="6" t="s">
        <v>7537</v>
      </c>
      <c r="B2484" s="6" t="s">
        <v>7537</v>
      </c>
      <c r="C2484" s="6">
        <v>875.0</v>
      </c>
      <c r="D2484" s="9" t="str">
        <f>HYPERLINK("https://www.linkedin.com/ad-library/detail/1469641436","Open Ad")</f>
        <v>Open Ad</v>
      </c>
      <c r="E2484" s="6" t="s">
        <v>91</v>
      </c>
      <c r="F2484" s="6" t="s">
        <v>53</v>
      </c>
      <c r="G2484" s="6" t="s">
        <v>7678</v>
      </c>
      <c r="H2484" s="6" t="s">
        <v>55</v>
      </c>
      <c r="I2484" s="6" t="s">
        <v>7566</v>
      </c>
      <c r="J2484" s="6" t="s">
        <v>91</v>
      </c>
      <c r="K2484" s="9" t="str">
        <f t="shared" si="89"/>
        <v>Open Creative</v>
      </c>
      <c r="L2484" s="6" t="s">
        <v>131</v>
      </c>
      <c r="M2484" s="6" t="s">
        <v>7537</v>
      </c>
      <c r="N2484" s="6" t="s">
        <v>132</v>
      </c>
      <c r="O2484" s="36" t="s">
        <v>132</v>
      </c>
      <c r="P2484" s="36">
        <v>1.469641436E9</v>
      </c>
      <c r="Q2484" s="36" t="s">
        <v>7541</v>
      </c>
      <c r="R2484" s="6" t="s">
        <v>7542</v>
      </c>
    </row>
    <row r="2485">
      <c r="A2485" s="6" t="s">
        <v>7537</v>
      </c>
      <c r="B2485" s="6" t="s">
        <v>7537</v>
      </c>
      <c r="C2485" s="6">
        <v>876.0</v>
      </c>
      <c r="D2485" s="9" t="str">
        <f>HYPERLINK("https://www.linkedin.com/ad-library/detail/1471369446","Open Ad")</f>
        <v>Open Ad</v>
      </c>
      <c r="E2485" s="6" t="s">
        <v>91</v>
      </c>
      <c r="F2485" s="6" t="s">
        <v>53</v>
      </c>
      <c r="G2485" s="6" t="s">
        <v>7676</v>
      </c>
      <c r="H2485" s="6" t="s">
        <v>55</v>
      </c>
      <c r="I2485" s="6" t="s">
        <v>7566</v>
      </c>
      <c r="J2485" s="6" t="s">
        <v>91</v>
      </c>
      <c r="K2485" s="9" t="str">
        <f>HYPERLINK("https://media.licdn.com/dms/image/v2/D5610AQEqUzS03sk4mw/image-shrink_1280/B56Z7XFzB7HUAc-/0/1781725082939?e=2147483647&amp;v=beta&amp;t=RWnhH8rH_RegAruOKy_yk9VEjSzTX1Ja-hZ9s9BXxyI","Open Creative")</f>
        <v>Open Creative</v>
      </c>
      <c r="L2485" s="6" t="s">
        <v>131</v>
      </c>
      <c r="M2485" s="6" t="s">
        <v>7537</v>
      </c>
      <c r="N2485" s="6" t="s">
        <v>132</v>
      </c>
      <c r="O2485" s="36" t="s">
        <v>132</v>
      </c>
      <c r="P2485" s="36">
        <v>1.471369446E9</v>
      </c>
      <c r="Q2485" s="36" t="s">
        <v>7541</v>
      </c>
      <c r="R2485" s="6" t="s">
        <v>7542</v>
      </c>
    </row>
    <row r="2486">
      <c r="A2486" s="6" t="s">
        <v>7537</v>
      </c>
      <c r="B2486" s="6" t="s">
        <v>7537</v>
      </c>
      <c r="C2486" s="6">
        <v>877.0</v>
      </c>
      <c r="D2486" s="9" t="str">
        <f>HYPERLINK("https://www.linkedin.com/ad-library/detail/1471519306","Open Ad")</f>
        <v>Open Ad</v>
      </c>
      <c r="E2486" s="6" t="s">
        <v>91</v>
      </c>
      <c r="F2486" s="6" t="s">
        <v>53</v>
      </c>
      <c r="G2486" s="6" t="s">
        <v>7677</v>
      </c>
      <c r="H2486" s="6" t="s">
        <v>55</v>
      </c>
      <c r="I2486" s="6" t="s">
        <v>7566</v>
      </c>
      <c r="J2486" s="6" t="s">
        <v>91</v>
      </c>
      <c r="K2486" s="9" t="str">
        <f>HYPERLINK("https://media.licdn.com/dms/image/v2/D5610AQEI_3ycJiXhsw/image-shrink_1280/B56Z7Xc9vhHYAc-/0/1781731155543?e=2147483647&amp;v=beta&amp;t=tR8CMkYIKEW1GlXgakk_rAcnPEHtTrNxWHXyu5towOg","Open Creative")</f>
        <v>Open Creative</v>
      </c>
      <c r="L2486" s="6" t="s">
        <v>131</v>
      </c>
      <c r="M2486" s="6" t="s">
        <v>7537</v>
      </c>
      <c r="N2486" s="6" t="s">
        <v>132</v>
      </c>
      <c r="O2486" s="36" t="s">
        <v>132</v>
      </c>
      <c r="P2486" s="36">
        <v>1.471519306E9</v>
      </c>
      <c r="Q2486" s="36" t="s">
        <v>7541</v>
      </c>
      <c r="R2486" s="6" t="s">
        <v>7542</v>
      </c>
    </row>
    <row r="2487">
      <c r="A2487" s="6" t="s">
        <v>7537</v>
      </c>
      <c r="B2487" s="6" t="s">
        <v>7537</v>
      </c>
      <c r="C2487" s="6">
        <v>878.0</v>
      </c>
      <c r="D2487" s="9" t="str">
        <f>HYPERLINK("https://www.linkedin.com/ad-library/detail/1471956276","Open Ad")</f>
        <v>Open Ad</v>
      </c>
      <c r="E2487" s="6" t="s">
        <v>91</v>
      </c>
      <c r="F2487" s="6" t="s">
        <v>53</v>
      </c>
      <c r="G2487" s="6" t="s">
        <v>7672</v>
      </c>
      <c r="H2487" s="6" t="s">
        <v>55</v>
      </c>
      <c r="I2487" s="6" t="s">
        <v>7566</v>
      </c>
      <c r="J2487" s="6" t="s">
        <v>91</v>
      </c>
      <c r="K2487" s="9" t="str">
        <f>HYPERLINK("https://media.licdn.com/dms/image/v2/D4E10AQHTE0Dpjq0JHQ/image-shrink_1280/B4EZ7gBpL9HkAc-/0/1781874988430?e=2147483647&amp;v=beta&amp;t=KPePg3koppiQoFRMdrU_e2WDkYcZQFZxFW6rDQo2GkQ","Open Creative")</f>
        <v>Open Creative</v>
      </c>
      <c r="L2487" s="6" t="s">
        <v>131</v>
      </c>
      <c r="M2487" s="6" t="s">
        <v>7537</v>
      </c>
      <c r="N2487" s="6" t="s">
        <v>132</v>
      </c>
      <c r="O2487" s="36" t="s">
        <v>132</v>
      </c>
      <c r="P2487" s="36">
        <v>1.471956276E9</v>
      </c>
      <c r="Q2487" s="36" t="s">
        <v>7541</v>
      </c>
      <c r="R2487" s="6" t="s">
        <v>7542</v>
      </c>
    </row>
    <row r="2488">
      <c r="A2488" s="6" t="s">
        <v>7537</v>
      </c>
      <c r="B2488" s="6" t="s">
        <v>7537</v>
      </c>
      <c r="C2488" s="6">
        <v>879.0</v>
      </c>
      <c r="D2488" s="9" t="str">
        <f>HYPERLINK("https://www.linkedin.com/ad-library/detail/1471369436","Open Ad")</f>
        <v>Open Ad</v>
      </c>
      <c r="E2488" s="6" t="s">
        <v>91</v>
      </c>
      <c r="F2488" s="6" t="s">
        <v>53</v>
      </c>
      <c r="G2488" s="6" t="s">
        <v>7676</v>
      </c>
      <c r="H2488" s="6" t="s">
        <v>55</v>
      </c>
      <c r="I2488" s="6" t="s">
        <v>7566</v>
      </c>
      <c r="J2488" s="6" t="s">
        <v>91</v>
      </c>
      <c r="K2488" s="9" t="str">
        <f>HYPERLINK("https://media.licdn.com/dms/image/v2/D5610AQEqUzS03sk4mw/image-shrink_1280/B56Z7XFzB7HUAc-/0/1781725082939?e=2147483647&amp;v=beta&amp;t=RWnhH8rH_RegAruOKy_yk9VEjSzTX1Ja-hZ9s9BXxyI","Open Creative")</f>
        <v>Open Creative</v>
      </c>
      <c r="L2488" s="6" t="s">
        <v>131</v>
      </c>
      <c r="M2488" s="6" t="s">
        <v>7537</v>
      </c>
      <c r="N2488" s="6" t="s">
        <v>132</v>
      </c>
      <c r="O2488" s="36" t="s">
        <v>132</v>
      </c>
      <c r="P2488" s="36">
        <v>1.471369436E9</v>
      </c>
      <c r="Q2488" s="36" t="s">
        <v>7541</v>
      </c>
      <c r="R2488" s="6" t="s">
        <v>7542</v>
      </c>
    </row>
    <row r="2489">
      <c r="A2489" s="6" t="s">
        <v>7537</v>
      </c>
      <c r="B2489" s="6" t="s">
        <v>7537</v>
      </c>
      <c r="C2489" s="6">
        <v>880.0</v>
      </c>
      <c r="D2489" s="9" t="str">
        <f>HYPERLINK("https://www.linkedin.com/ad-library/detail/1471369426","Open Ad")</f>
        <v>Open Ad</v>
      </c>
      <c r="E2489" s="6" t="s">
        <v>91</v>
      </c>
      <c r="F2489" s="6" t="s">
        <v>53</v>
      </c>
      <c r="G2489" s="6" t="s">
        <v>7677</v>
      </c>
      <c r="H2489" s="6" t="s">
        <v>55</v>
      </c>
      <c r="I2489" s="6" t="s">
        <v>7566</v>
      </c>
      <c r="J2489" s="6" t="s">
        <v>91</v>
      </c>
      <c r="K2489" s="9" t="str">
        <f t="shared" ref="K2489:K2490" si="90">HYPERLINK("https://media.licdn.com/dms/image/v2/D5610AQEI_3ycJiXhsw/image-shrink_1280/B56Z7Xc9vhHYAc-/0/1781731155543?e=2147483647&amp;v=beta&amp;t=tR8CMkYIKEW1GlXgakk_rAcnPEHtTrNxWHXyu5towOg","Open Creative")</f>
        <v>Open Creative</v>
      </c>
      <c r="L2489" s="6" t="s">
        <v>131</v>
      </c>
      <c r="M2489" s="6" t="s">
        <v>7537</v>
      </c>
      <c r="N2489" s="6" t="s">
        <v>132</v>
      </c>
      <c r="O2489" s="36" t="s">
        <v>132</v>
      </c>
      <c r="P2489" s="36">
        <v>1.471369426E9</v>
      </c>
      <c r="Q2489" s="36" t="s">
        <v>7541</v>
      </c>
      <c r="R2489" s="6" t="s">
        <v>7542</v>
      </c>
    </row>
    <row r="2490">
      <c r="A2490" s="6" t="s">
        <v>7537</v>
      </c>
      <c r="B2490" s="6" t="s">
        <v>7537</v>
      </c>
      <c r="C2490" s="6">
        <v>881.0</v>
      </c>
      <c r="D2490" s="9" t="str">
        <f>HYPERLINK("https://www.linkedin.com/ad-library/detail/1471489686","Open Ad")</f>
        <v>Open Ad</v>
      </c>
      <c r="E2490" s="6" t="s">
        <v>91</v>
      </c>
      <c r="F2490" s="6" t="s">
        <v>53</v>
      </c>
      <c r="G2490" s="6" t="s">
        <v>7677</v>
      </c>
      <c r="H2490" s="6" t="s">
        <v>55</v>
      </c>
      <c r="I2490" s="6" t="s">
        <v>7680</v>
      </c>
      <c r="J2490" s="6" t="s">
        <v>91</v>
      </c>
      <c r="K2490" s="9" t="str">
        <f t="shared" si="90"/>
        <v>Open Creative</v>
      </c>
      <c r="L2490" s="6" t="s">
        <v>131</v>
      </c>
      <c r="M2490" s="6" t="s">
        <v>7537</v>
      </c>
      <c r="N2490" s="6" t="s">
        <v>132</v>
      </c>
      <c r="O2490" s="36" t="s">
        <v>132</v>
      </c>
      <c r="P2490" s="36">
        <v>1.471489686E9</v>
      </c>
      <c r="Q2490" s="36" t="s">
        <v>68</v>
      </c>
      <c r="R2490" s="6" t="s">
        <v>7681</v>
      </c>
    </row>
    <row r="2491">
      <c r="A2491" s="6" t="s">
        <v>7537</v>
      </c>
      <c r="B2491" s="6" t="s">
        <v>7537</v>
      </c>
      <c r="C2491" s="6">
        <v>882.0</v>
      </c>
      <c r="D2491" s="9" t="str">
        <f>HYPERLINK("https://www.linkedin.com/ad-library/detail/1471449376","Open Ad")</f>
        <v>Open Ad</v>
      </c>
      <c r="E2491" s="6" t="s">
        <v>91</v>
      </c>
      <c r="F2491" s="6" t="s">
        <v>53</v>
      </c>
      <c r="G2491" s="6" t="s">
        <v>7676</v>
      </c>
      <c r="H2491" s="6" t="s">
        <v>55</v>
      </c>
      <c r="I2491" s="6" t="s">
        <v>7680</v>
      </c>
      <c r="J2491" s="6" t="s">
        <v>91</v>
      </c>
      <c r="K2491" s="9" t="str">
        <f>HYPERLINK("https://media.licdn.com/dms/image/v2/D5610AQEqUzS03sk4mw/image-shrink_1280/B56Z7XFzB7HUAc-/0/1781725082939?e=2147483647&amp;v=beta&amp;t=RWnhH8rH_RegAruOKy_yk9VEjSzTX1Ja-hZ9s9BXxyI","Open Creative")</f>
        <v>Open Creative</v>
      </c>
      <c r="L2491" s="6" t="s">
        <v>131</v>
      </c>
      <c r="M2491" s="6" t="s">
        <v>7537</v>
      </c>
      <c r="N2491" s="6" t="s">
        <v>132</v>
      </c>
      <c r="O2491" s="36" t="s">
        <v>132</v>
      </c>
      <c r="P2491" s="36">
        <v>1.471449376E9</v>
      </c>
      <c r="Q2491" s="36" t="s">
        <v>68</v>
      </c>
      <c r="R2491" s="6" t="s">
        <v>7682</v>
      </c>
    </row>
    <row r="2492">
      <c r="A2492" s="6" t="s">
        <v>7537</v>
      </c>
      <c r="B2492" s="6" t="s">
        <v>7683</v>
      </c>
      <c r="C2492" s="6">
        <v>883.0</v>
      </c>
      <c r="D2492" s="9" t="str">
        <f>HYPERLINK("https://www.linkedin.com/ad-library/detail/1471390316","Open Ad")</f>
        <v>Open Ad</v>
      </c>
      <c r="E2492" s="6" t="s">
        <v>91</v>
      </c>
      <c r="F2492" s="6" t="s">
        <v>53</v>
      </c>
      <c r="G2492" s="6" t="s">
        <v>7684</v>
      </c>
      <c r="H2492" s="6" t="s">
        <v>7685</v>
      </c>
      <c r="I2492" s="6" t="s">
        <v>7686</v>
      </c>
      <c r="J2492" s="6" t="s">
        <v>91</v>
      </c>
      <c r="K2492" s="9" t="str">
        <f>HYPERLINK("https://media.licdn.com/dms/image/v2/D5612AQEQy0c7L78nFg/article-cover_image-shrink_720_1280/B56Z6UMC5gJsAQ-/0/1780602650769?e=2147483647&amp;v=beta&amp;t=x7FZjTTxxJAL--lv3eH70LfMd1FDz9qxVoYIYfq1rU4","Open Creative")</f>
        <v>Open Creative</v>
      </c>
      <c r="L2492" s="6" t="s">
        <v>131</v>
      </c>
      <c r="M2492" s="6" t="s">
        <v>7687</v>
      </c>
      <c r="N2492" s="6" t="s">
        <v>132</v>
      </c>
      <c r="O2492" s="36" t="s">
        <v>132</v>
      </c>
      <c r="P2492" s="36">
        <v>1.471390316E9</v>
      </c>
      <c r="Q2492" s="36" t="s">
        <v>68</v>
      </c>
      <c r="R2492" s="6" t="s">
        <v>7688</v>
      </c>
    </row>
    <row r="2493">
      <c r="A2493" s="6" t="s">
        <v>7537</v>
      </c>
      <c r="B2493" s="6" t="s">
        <v>7537</v>
      </c>
      <c r="C2493" s="6">
        <v>884.0</v>
      </c>
      <c r="D2493" s="9" t="str">
        <f>HYPERLINK("https://www.linkedin.com/ad-library/detail/1471679936","Open Ad")</f>
        <v>Open Ad</v>
      </c>
      <c r="E2493" s="6" t="s">
        <v>91</v>
      </c>
      <c r="F2493" s="6" t="s">
        <v>53</v>
      </c>
      <c r="G2493" s="6" t="s">
        <v>7676</v>
      </c>
      <c r="H2493" s="6" t="s">
        <v>55</v>
      </c>
      <c r="I2493" s="6" t="s">
        <v>7680</v>
      </c>
      <c r="J2493" s="6" t="s">
        <v>91</v>
      </c>
      <c r="K2493" s="9" t="str">
        <f t="shared" ref="K2493:K2494" si="91">HYPERLINK("https://media.licdn.com/dms/image/v2/D5610AQEqUzS03sk4mw/image-shrink_1280/B56Z7XFzB7HUAc-/0/1781725082939?e=2147483647&amp;v=beta&amp;t=RWnhH8rH_RegAruOKy_yk9VEjSzTX1Ja-hZ9s9BXxyI","Open Creative")</f>
        <v>Open Creative</v>
      </c>
      <c r="L2493" s="6" t="s">
        <v>131</v>
      </c>
      <c r="M2493" s="6" t="s">
        <v>7537</v>
      </c>
      <c r="N2493" s="6" t="s">
        <v>132</v>
      </c>
      <c r="O2493" s="36" t="s">
        <v>132</v>
      </c>
      <c r="P2493" s="36">
        <v>1.471679936E9</v>
      </c>
      <c r="Q2493" s="36" t="s">
        <v>68</v>
      </c>
      <c r="R2493" s="6" t="s">
        <v>7689</v>
      </c>
    </row>
    <row r="2494">
      <c r="A2494" s="6" t="s">
        <v>7537</v>
      </c>
      <c r="B2494" s="6" t="s">
        <v>7537</v>
      </c>
      <c r="C2494" s="6">
        <v>885.0</v>
      </c>
      <c r="D2494" s="9" t="str">
        <f>HYPERLINK("https://www.linkedin.com/ad-library/detail/1471449386","Open Ad")</f>
        <v>Open Ad</v>
      </c>
      <c r="E2494" s="6" t="s">
        <v>91</v>
      </c>
      <c r="F2494" s="6" t="s">
        <v>53</v>
      </c>
      <c r="G2494" s="6" t="s">
        <v>7676</v>
      </c>
      <c r="H2494" s="6" t="s">
        <v>55</v>
      </c>
      <c r="I2494" s="6" t="s">
        <v>7680</v>
      </c>
      <c r="J2494" s="6" t="s">
        <v>91</v>
      </c>
      <c r="K2494" s="9" t="str">
        <f t="shared" si="91"/>
        <v>Open Creative</v>
      </c>
      <c r="L2494" s="6" t="s">
        <v>131</v>
      </c>
      <c r="M2494" s="6" t="s">
        <v>7537</v>
      </c>
      <c r="N2494" s="6" t="s">
        <v>132</v>
      </c>
      <c r="O2494" s="36" t="s">
        <v>132</v>
      </c>
      <c r="P2494" s="36">
        <v>1.471449386E9</v>
      </c>
      <c r="Q2494" s="36" t="s">
        <v>68</v>
      </c>
      <c r="R2494" s="6" t="s">
        <v>7690</v>
      </c>
    </row>
    <row r="2495">
      <c r="A2495" s="6" t="s">
        <v>7537</v>
      </c>
      <c r="B2495" s="6" t="s">
        <v>7537</v>
      </c>
      <c r="C2495" s="6">
        <v>886.0</v>
      </c>
      <c r="D2495" s="9" t="str">
        <f>HYPERLINK("https://www.linkedin.com/ad-library/detail/1471630226","Open Ad")</f>
        <v>Open Ad</v>
      </c>
      <c r="E2495" s="6" t="s">
        <v>91</v>
      </c>
      <c r="F2495" s="6" t="s">
        <v>53</v>
      </c>
      <c r="G2495" s="6" t="s">
        <v>7677</v>
      </c>
      <c r="H2495" s="6" t="s">
        <v>55</v>
      </c>
      <c r="I2495" s="6" t="s">
        <v>7680</v>
      </c>
      <c r="J2495" s="6" t="s">
        <v>91</v>
      </c>
      <c r="K2495" s="9" t="str">
        <f t="shared" ref="K2495:K2497" si="92">HYPERLINK("https://media.licdn.com/dms/image/v2/D5610AQEI_3ycJiXhsw/image-shrink_1280/B56Z7Xc9vhHYAc-/0/1781731155543?e=2147483647&amp;v=beta&amp;t=tR8CMkYIKEW1GlXgakk_rAcnPEHtTrNxWHXyu5towOg","Open Creative")</f>
        <v>Open Creative</v>
      </c>
      <c r="L2495" s="6" t="s">
        <v>131</v>
      </c>
      <c r="M2495" s="6" t="s">
        <v>7537</v>
      </c>
      <c r="N2495" s="6" t="s">
        <v>132</v>
      </c>
      <c r="O2495" s="36" t="s">
        <v>132</v>
      </c>
      <c r="P2495" s="36">
        <v>1.471630226E9</v>
      </c>
      <c r="Q2495" s="36" t="s">
        <v>68</v>
      </c>
      <c r="R2495" s="6" t="s">
        <v>7691</v>
      </c>
    </row>
    <row r="2496">
      <c r="A2496" s="6" t="s">
        <v>7537</v>
      </c>
      <c r="B2496" s="6" t="s">
        <v>7537</v>
      </c>
      <c r="C2496" s="6">
        <v>887.0</v>
      </c>
      <c r="D2496" s="9" t="str">
        <f>HYPERLINK("https://www.linkedin.com/ad-library/detail/1471449366","Open Ad")</f>
        <v>Open Ad</v>
      </c>
      <c r="E2496" s="6" t="s">
        <v>91</v>
      </c>
      <c r="F2496" s="6" t="s">
        <v>53</v>
      </c>
      <c r="G2496" s="6" t="s">
        <v>7677</v>
      </c>
      <c r="H2496" s="6" t="s">
        <v>55</v>
      </c>
      <c r="I2496" s="6" t="s">
        <v>7680</v>
      </c>
      <c r="J2496" s="6" t="s">
        <v>91</v>
      </c>
      <c r="K2496" s="9" t="str">
        <f t="shared" si="92"/>
        <v>Open Creative</v>
      </c>
      <c r="L2496" s="6" t="s">
        <v>62</v>
      </c>
      <c r="M2496" s="6" t="s">
        <v>7537</v>
      </c>
      <c r="N2496" s="6" t="s">
        <v>7692</v>
      </c>
      <c r="O2496" s="36" t="s">
        <v>132</v>
      </c>
      <c r="P2496" s="36">
        <v>1.471449366E9</v>
      </c>
      <c r="Q2496" s="36" t="s">
        <v>68</v>
      </c>
      <c r="R2496" s="6" t="s">
        <v>7693</v>
      </c>
    </row>
    <row r="2497">
      <c r="A2497" s="6" t="s">
        <v>7537</v>
      </c>
      <c r="B2497" s="6" t="s">
        <v>7537</v>
      </c>
      <c r="C2497" s="6">
        <v>888.0</v>
      </c>
      <c r="D2497" s="9" t="str">
        <f>HYPERLINK("https://www.linkedin.com/ad-library/detail/1471489666","Open Ad")</f>
        <v>Open Ad</v>
      </c>
      <c r="E2497" s="6" t="s">
        <v>91</v>
      </c>
      <c r="F2497" s="6" t="s">
        <v>53</v>
      </c>
      <c r="G2497" s="6" t="s">
        <v>7677</v>
      </c>
      <c r="H2497" s="6" t="s">
        <v>55</v>
      </c>
      <c r="I2497" s="6" t="s">
        <v>7680</v>
      </c>
      <c r="J2497" s="6" t="s">
        <v>91</v>
      </c>
      <c r="K2497" s="9" t="str">
        <f t="shared" si="92"/>
        <v>Open Creative</v>
      </c>
      <c r="L2497" s="6" t="s">
        <v>62</v>
      </c>
      <c r="M2497" s="6" t="s">
        <v>7537</v>
      </c>
      <c r="N2497" s="6" t="s">
        <v>7694</v>
      </c>
      <c r="O2497" s="36" t="s">
        <v>132</v>
      </c>
      <c r="P2497" s="36">
        <v>1.471489666E9</v>
      </c>
      <c r="Q2497" s="36" t="s">
        <v>68</v>
      </c>
      <c r="R2497" s="6" t="s">
        <v>7695</v>
      </c>
    </row>
    <row r="2498">
      <c r="A2498" s="6" t="s">
        <v>7537</v>
      </c>
      <c r="B2498" s="6" t="s">
        <v>7537</v>
      </c>
      <c r="C2498" s="6">
        <v>889.0</v>
      </c>
      <c r="D2498" s="9" t="str">
        <f>HYPERLINK("https://www.linkedin.com/ad-library/detail/1454192546","Open Ad")</f>
        <v>Open Ad</v>
      </c>
      <c r="E2498" s="6" t="s">
        <v>91</v>
      </c>
      <c r="F2498" s="6" t="s">
        <v>7696</v>
      </c>
      <c r="G2498" s="6" t="s">
        <v>7658</v>
      </c>
      <c r="H2498" s="6" t="s">
        <v>55</v>
      </c>
      <c r="I2498" s="6" t="s">
        <v>7649</v>
      </c>
      <c r="J2498" s="6" t="s">
        <v>91</v>
      </c>
      <c r="K2498" s="9" t="str">
        <f>HYPERLINK("https://media.licdn.com/dms/image/v2/D5610AQFE8RFLyEFCqg/image-shrink_1280/B56Z7H9PLGGUAc-/0/1781471179686/Ad18png?e=2147483647&amp;v=beta&amp;t=Fymkr8CjC9Gg42hxw4kfTAZAiaJ0OVnoXoElrsTGgoU","Open Creative")</f>
        <v>Open Creative</v>
      </c>
      <c r="L2498" s="6" t="s">
        <v>62</v>
      </c>
      <c r="M2498" s="6" t="s">
        <v>7537</v>
      </c>
      <c r="N2498" s="6" t="s">
        <v>132</v>
      </c>
      <c r="O2498" s="36" t="s">
        <v>132</v>
      </c>
      <c r="P2498" s="36">
        <v>1.454192546E9</v>
      </c>
      <c r="Q2498" s="36" t="s">
        <v>68</v>
      </c>
      <c r="R2498" s="6" t="s">
        <v>7697</v>
      </c>
    </row>
    <row r="2499">
      <c r="A2499" s="6" t="s">
        <v>7537</v>
      </c>
      <c r="B2499" s="6" t="s">
        <v>7537</v>
      </c>
      <c r="C2499" s="6">
        <v>890.0</v>
      </c>
      <c r="D2499" s="9" t="str">
        <f>HYPERLINK("https://www.linkedin.com/ad-library/detail/1454415126","Open Ad")</f>
        <v>Open Ad</v>
      </c>
      <c r="E2499" s="6" t="s">
        <v>52</v>
      </c>
      <c r="F2499" s="6" t="s">
        <v>53</v>
      </c>
      <c r="G2499" s="6" t="s">
        <v>7578</v>
      </c>
      <c r="H2499" s="6" t="s">
        <v>55</v>
      </c>
      <c r="I2499" s="6" t="s">
        <v>7680</v>
      </c>
      <c r="J2499" s="6" t="s">
        <v>52</v>
      </c>
      <c r="K2499" s="6" t="s">
        <v>60</v>
      </c>
      <c r="L2499" s="6" t="s">
        <v>131</v>
      </c>
      <c r="M2499" s="6" t="s">
        <v>7537</v>
      </c>
      <c r="N2499" s="6" t="s">
        <v>132</v>
      </c>
      <c r="O2499" s="36" t="s">
        <v>132</v>
      </c>
      <c r="P2499" s="36">
        <v>1.454415126E9</v>
      </c>
      <c r="Q2499" s="36" t="s">
        <v>7541</v>
      </c>
      <c r="R2499" s="6" t="s">
        <v>7542</v>
      </c>
    </row>
    <row r="2500">
      <c r="A2500" s="6" t="s">
        <v>7537</v>
      </c>
      <c r="B2500" s="6" t="s">
        <v>7537</v>
      </c>
      <c r="C2500" s="6">
        <v>891.0</v>
      </c>
      <c r="D2500" s="9" t="str">
        <f>HYPERLINK("https://www.linkedin.com/ad-library/detail/1454220696","Open Ad")</f>
        <v>Open Ad</v>
      </c>
      <c r="E2500" s="6" t="s">
        <v>91</v>
      </c>
      <c r="F2500" s="6" t="s">
        <v>7696</v>
      </c>
      <c r="G2500" s="6" t="s">
        <v>7658</v>
      </c>
      <c r="H2500" s="6" t="s">
        <v>55</v>
      </c>
      <c r="I2500" s="6" t="s">
        <v>7649</v>
      </c>
      <c r="J2500" s="6" t="s">
        <v>91</v>
      </c>
      <c r="K2500" s="9" t="str">
        <f>HYPERLINK("https://media.licdn.com/dms/image/v2/D5610AQFE8RFLyEFCqg/image-shrink_1280/B56Z7H9PLGGUAc-/0/1781471179686/Ad18png?e=2147483647&amp;v=beta&amp;t=Fymkr8CjC9Gg42hxw4kfTAZAiaJ0OVnoXoElrsTGgoU","Open Creative")</f>
        <v>Open Creative</v>
      </c>
      <c r="L2500" s="6" t="s">
        <v>62</v>
      </c>
      <c r="M2500" s="6" t="s">
        <v>7537</v>
      </c>
      <c r="N2500" s="6" t="s">
        <v>132</v>
      </c>
      <c r="O2500" s="36" t="s">
        <v>132</v>
      </c>
      <c r="P2500" s="36">
        <v>1.454220696E9</v>
      </c>
      <c r="Q2500" s="36" t="s">
        <v>68</v>
      </c>
      <c r="R2500" s="6" t="s">
        <v>7698</v>
      </c>
    </row>
    <row r="2501">
      <c r="A2501" s="6" t="s">
        <v>7537</v>
      </c>
      <c r="B2501" s="6" t="s">
        <v>7537</v>
      </c>
      <c r="C2501" s="6">
        <v>892.0</v>
      </c>
      <c r="D2501" s="9" t="str">
        <f>HYPERLINK("https://www.linkedin.com/ad-library/detail/1454220686","Open Ad")</f>
        <v>Open Ad</v>
      </c>
      <c r="E2501" s="6" t="s">
        <v>91</v>
      </c>
      <c r="F2501" s="6" t="s">
        <v>7699</v>
      </c>
      <c r="G2501" s="6" t="s">
        <v>7610</v>
      </c>
      <c r="H2501" s="6" t="s">
        <v>55</v>
      </c>
      <c r="I2501" s="6" t="s">
        <v>7700</v>
      </c>
      <c r="J2501" s="6" t="s">
        <v>91</v>
      </c>
      <c r="K2501" s="9" t="str">
        <f t="shared" ref="K2501:K2502" si="93">HYPERLINK("https://media.licdn.com/dms/image/v2/D5610AQEdrFTo8NJKYg/image-shrink_1280/B56Z7H9n25GoAc-/0/1781471280818/Ad2png?e=2147483647&amp;v=beta&amp;t=WMcvkIw_2RjAP0KmPA-eRfgVKJER4JjhNZVwG6KvtJY","Open Creative")</f>
        <v>Open Creative</v>
      </c>
      <c r="L2501" s="6" t="s">
        <v>62</v>
      </c>
      <c r="M2501" s="6" t="s">
        <v>7537</v>
      </c>
      <c r="N2501" s="6" t="s">
        <v>132</v>
      </c>
      <c r="O2501" s="36" t="s">
        <v>132</v>
      </c>
      <c r="P2501" s="36">
        <v>1.454220686E9</v>
      </c>
      <c r="Q2501" s="36" t="s">
        <v>68</v>
      </c>
      <c r="R2501" s="6" t="s">
        <v>7701</v>
      </c>
    </row>
    <row r="2502">
      <c r="A2502" s="6" t="s">
        <v>7537</v>
      </c>
      <c r="B2502" s="6" t="s">
        <v>7537</v>
      </c>
      <c r="C2502" s="6">
        <v>893.0</v>
      </c>
      <c r="D2502" s="9" t="str">
        <f>HYPERLINK("https://www.linkedin.com/ad-library/detail/1453979086","Open Ad")</f>
        <v>Open Ad</v>
      </c>
      <c r="E2502" s="6" t="s">
        <v>91</v>
      </c>
      <c r="F2502" s="6" t="s">
        <v>7699</v>
      </c>
      <c r="G2502" s="6" t="s">
        <v>7610</v>
      </c>
      <c r="H2502" s="6" t="s">
        <v>55</v>
      </c>
      <c r="I2502" s="6" t="s">
        <v>7700</v>
      </c>
      <c r="J2502" s="6" t="s">
        <v>91</v>
      </c>
      <c r="K2502" s="9" t="str">
        <f t="shared" si="93"/>
        <v>Open Creative</v>
      </c>
      <c r="L2502" s="6" t="s">
        <v>62</v>
      </c>
      <c r="M2502" s="6" t="s">
        <v>7537</v>
      </c>
      <c r="N2502" s="6" t="s">
        <v>132</v>
      </c>
      <c r="O2502" s="36" t="s">
        <v>132</v>
      </c>
      <c r="P2502" s="36">
        <v>1.453979086E9</v>
      </c>
      <c r="Q2502" s="36" t="s">
        <v>68</v>
      </c>
      <c r="R2502" s="6" t="s">
        <v>7702</v>
      </c>
    </row>
    <row r="2503">
      <c r="A2503" s="6" t="s">
        <v>7537</v>
      </c>
      <c r="B2503" s="6" t="s">
        <v>7537</v>
      </c>
      <c r="C2503" s="6">
        <v>894.0</v>
      </c>
      <c r="D2503" s="9" t="str">
        <f>HYPERLINK("https://www.linkedin.com/ad-library/detail/1454220676","Open Ad")</f>
        <v>Open Ad</v>
      </c>
      <c r="E2503" s="6" t="s">
        <v>91</v>
      </c>
      <c r="F2503" s="6" t="s">
        <v>53</v>
      </c>
      <c r="G2503" s="6" t="s">
        <v>7610</v>
      </c>
      <c r="H2503" s="6" t="s">
        <v>55</v>
      </c>
      <c r="I2503" s="6" t="s">
        <v>7566</v>
      </c>
      <c r="J2503" s="6" t="s">
        <v>91</v>
      </c>
      <c r="K2503" s="9" t="str">
        <f t="shared" ref="K2503:K2505" si="94">HYPERLINK("https://media.licdn.com/dms/image/v2/D5610AQFE8RFLyEFCqg/image-shrink_1280/B56Z7H9PLGGUAc-/0/1781471179686/Ad18png?e=2147483647&amp;v=beta&amp;t=Fymkr8CjC9Gg42hxw4kfTAZAiaJ0OVnoXoElrsTGgoU","Open Creative")</f>
        <v>Open Creative</v>
      </c>
      <c r="L2503" s="6" t="s">
        <v>131</v>
      </c>
      <c r="M2503" s="6" t="s">
        <v>7537</v>
      </c>
      <c r="N2503" s="6" t="s">
        <v>132</v>
      </c>
      <c r="O2503" s="36" t="s">
        <v>132</v>
      </c>
      <c r="P2503" s="36">
        <v>1.454220676E9</v>
      </c>
      <c r="Q2503" s="36" t="s">
        <v>7541</v>
      </c>
      <c r="R2503" s="6" t="s">
        <v>7542</v>
      </c>
    </row>
    <row r="2504">
      <c r="A2504" s="6" t="s">
        <v>7537</v>
      </c>
      <c r="B2504" s="6" t="s">
        <v>7537</v>
      </c>
      <c r="C2504" s="6">
        <v>895.0</v>
      </c>
      <c r="D2504" s="9" t="str">
        <f>HYPERLINK("https://www.linkedin.com/ad-library/detail/1454137196","Open Ad")</f>
        <v>Open Ad</v>
      </c>
      <c r="E2504" s="6" t="s">
        <v>91</v>
      </c>
      <c r="F2504" s="6" t="s">
        <v>53</v>
      </c>
      <c r="G2504" s="6" t="s">
        <v>7610</v>
      </c>
      <c r="H2504" s="6" t="s">
        <v>55</v>
      </c>
      <c r="I2504" s="6" t="s">
        <v>7566</v>
      </c>
      <c r="J2504" s="6" t="s">
        <v>91</v>
      </c>
      <c r="K2504" s="9" t="str">
        <f t="shared" si="94"/>
        <v>Open Creative</v>
      </c>
      <c r="L2504" s="6" t="s">
        <v>131</v>
      </c>
      <c r="M2504" s="6" t="s">
        <v>7537</v>
      </c>
      <c r="N2504" s="6" t="s">
        <v>132</v>
      </c>
      <c r="O2504" s="36" t="s">
        <v>132</v>
      </c>
      <c r="P2504" s="36">
        <v>1.454137196E9</v>
      </c>
      <c r="Q2504" s="36" t="s">
        <v>7541</v>
      </c>
      <c r="R2504" s="6" t="s">
        <v>7542</v>
      </c>
    </row>
    <row r="2505">
      <c r="A2505" s="6" t="s">
        <v>7537</v>
      </c>
      <c r="B2505" s="6" t="s">
        <v>7537</v>
      </c>
      <c r="C2505" s="6">
        <v>896.0</v>
      </c>
      <c r="D2505" s="9" t="str">
        <f>HYPERLINK("https://www.linkedin.com/ad-library/detail/1454066956","Open Ad")</f>
        <v>Open Ad</v>
      </c>
      <c r="E2505" s="6" t="s">
        <v>91</v>
      </c>
      <c r="F2505" s="6" t="s">
        <v>53</v>
      </c>
      <c r="G2505" s="6" t="s">
        <v>7658</v>
      </c>
      <c r="H2505" s="6" t="s">
        <v>55</v>
      </c>
      <c r="I2505" s="6" t="s">
        <v>7566</v>
      </c>
      <c r="J2505" s="6" t="s">
        <v>91</v>
      </c>
      <c r="K2505" s="9" t="str">
        <f t="shared" si="94"/>
        <v>Open Creative</v>
      </c>
      <c r="L2505" s="6" t="s">
        <v>131</v>
      </c>
      <c r="M2505" s="6" t="s">
        <v>7537</v>
      </c>
      <c r="N2505" s="6" t="s">
        <v>132</v>
      </c>
      <c r="O2505" s="36" t="s">
        <v>132</v>
      </c>
      <c r="P2505" s="36">
        <v>1.454066956E9</v>
      </c>
      <c r="Q2505" s="36" t="s">
        <v>7541</v>
      </c>
      <c r="R2505" s="6" t="s">
        <v>7542</v>
      </c>
    </row>
    <row r="2506">
      <c r="A2506" s="6" t="s">
        <v>7537</v>
      </c>
      <c r="B2506" s="6" t="s">
        <v>7537</v>
      </c>
      <c r="C2506" s="6">
        <v>897.0</v>
      </c>
      <c r="D2506" s="9" t="str">
        <f>HYPERLINK("https://www.linkedin.com/ad-library/detail/1469522056","Open Ad")</f>
        <v>Open Ad</v>
      </c>
      <c r="E2506" s="6" t="s">
        <v>91</v>
      </c>
      <c r="F2506" s="6" t="s">
        <v>53</v>
      </c>
      <c r="G2506" s="6" t="s">
        <v>7678</v>
      </c>
      <c r="H2506" s="6" t="s">
        <v>55</v>
      </c>
      <c r="I2506" s="6" t="s">
        <v>7566</v>
      </c>
      <c r="J2506" s="6" t="s">
        <v>91</v>
      </c>
      <c r="K2506" s="9" t="str">
        <f>HYPERLINK("https://media.licdn.com/dms/image/v2/D4E22AQFIP7XTlqRuMw/feedshare-shrink_1280/B4EZ7MG6NiJkAQ-/0/1781540829321?e=2147483647&amp;v=beta&amp;t=aeQ4DT7xjpzCozXyF1MApT6j82hz5pR5bOqNE1iDVr8","Open Creative")</f>
        <v>Open Creative</v>
      </c>
      <c r="L2506" s="6" t="s">
        <v>131</v>
      </c>
      <c r="M2506" s="6" t="s">
        <v>7537</v>
      </c>
      <c r="N2506" s="6" t="s">
        <v>132</v>
      </c>
      <c r="O2506" s="36" t="s">
        <v>132</v>
      </c>
      <c r="P2506" s="36">
        <v>1.469522056E9</v>
      </c>
      <c r="Q2506" s="36" t="s">
        <v>7541</v>
      </c>
      <c r="R2506" s="6" t="s">
        <v>7542</v>
      </c>
    </row>
    <row r="2507">
      <c r="A2507" s="6" t="s">
        <v>7537</v>
      </c>
      <c r="B2507" s="6" t="s">
        <v>7537</v>
      </c>
      <c r="C2507" s="6">
        <v>898.0</v>
      </c>
      <c r="D2507" s="9" t="str">
        <f>HYPERLINK("https://www.linkedin.com/ad-library/detail/1454077286","Open Ad")</f>
        <v>Open Ad</v>
      </c>
      <c r="E2507" s="6" t="s">
        <v>91</v>
      </c>
      <c r="F2507" s="6" t="s">
        <v>53</v>
      </c>
      <c r="G2507" s="6" t="s">
        <v>7578</v>
      </c>
      <c r="H2507" s="6" t="s">
        <v>55</v>
      </c>
      <c r="I2507" s="6" t="s">
        <v>7566</v>
      </c>
      <c r="J2507" s="6" t="s">
        <v>91</v>
      </c>
      <c r="K2507" s="6" t="s">
        <v>60</v>
      </c>
      <c r="L2507" s="6" t="s">
        <v>131</v>
      </c>
      <c r="M2507" s="6" t="s">
        <v>7537</v>
      </c>
      <c r="N2507" s="6" t="s">
        <v>132</v>
      </c>
      <c r="O2507" s="36" t="s">
        <v>132</v>
      </c>
      <c r="P2507" s="36">
        <v>1.454077286E9</v>
      </c>
      <c r="Q2507" s="36" t="s">
        <v>7541</v>
      </c>
      <c r="R2507" s="6" t="s">
        <v>7542</v>
      </c>
    </row>
    <row r="2508">
      <c r="A2508" s="6" t="s">
        <v>7537</v>
      </c>
      <c r="B2508" s="6" t="s">
        <v>7537</v>
      </c>
      <c r="C2508" s="6">
        <v>899.0</v>
      </c>
      <c r="D2508" s="9" t="str">
        <f>HYPERLINK("https://www.linkedin.com/ad-library/detail/1454192526","Open Ad")</f>
        <v>Open Ad</v>
      </c>
      <c r="E2508" s="6" t="s">
        <v>91</v>
      </c>
      <c r="F2508" s="6" t="s">
        <v>53</v>
      </c>
      <c r="G2508" s="6" t="s">
        <v>7610</v>
      </c>
      <c r="H2508" s="6" t="s">
        <v>55</v>
      </c>
      <c r="I2508" s="6" t="s">
        <v>7566</v>
      </c>
      <c r="J2508" s="6" t="s">
        <v>91</v>
      </c>
      <c r="K2508" s="9" t="str">
        <f t="shared" ref="K2508:K2509" si="95">HYPERLINK("https://media.licdn.com/dms/image/v2/D5610AQFE8RFLyEFCqg/image-shrink_1280/B56Z7H9PLGGUAc-/0/1781471179686/Ad18png?e=2147483647&amp;v=beta&amp;t=Fymkr8CjC9Gg42hxw4kfTAZAiaJ0OVnoXoElrsTGgoU","Open Creative")</f>
        <v>Open Creative</v>
      </c>
      <c r="L2508" s="6" t="s">
        <v>131</v>
      </c>
      <c r="M2508" s="6" t="s">
        <v>7537</v>
      </c>
      <c r="N2508" s="6" t="s">
        <v>132</v>
      </c>
      <c r="O2508" s="36" t="s">
        <v>132</v>
      </c>
      <c r="P2508" s="36">
        <v>1.454192526E9</v>
      </c>
      <c r="Q2508" s="36" t="s">
        <v>7541</v>
      </c>
      <c r="R2508" s="6" t="s">
        <v>7542</v>
      </c>
    </row>
    <row r="2509">
      <c r="A2509" s="6" t="s">
        <v>7537</v>
      </c>
      <c r="B2509" s="6" t="s">
        <v>7537</v>
      </c>
      <c r="C2509" s="6">
        <v>900.0</v>
      </c>
      <c r="D2509" s="9" t="str">
        <f>HYPERLINK("https://www.linkedin.com/ad-library/detail/1454560466","Open Ad")</f>
        <v>Open Ad</v>
      </c>
      <c r="E2509" s="6" t="s">
        <v>91</v>
      </c>
      <c r="F2509" s="6" t="s">
        <v>53</v>
      </c>
      <c r="G2509" s="6" t="s">
        <v>7658</v>
      </c>
      <c r="H2509" s="6" t="s">
        <v>55</v>
      </c>
      <c r="I2509" s="6" t="s">
        <v>7566</v>
      </c>
      <c r="J2509" s="6" t="s">
        <v>91</v>
      </c>
      <c r="K2509" s="9" t="str">
        <f t="shared" si="95"/>
        <v>Open Creative</v>
      </c>
      <c r="L2509" s="6" t="s">
        <v>131</v>
      </c>
      <c r="M2509" s="6" t="s">
        <v>7537</v>
      </c>
      <c r="N2509" s="6" t="s">
        <v>132</v>
      </c>
      <c r="O2509" s="36" t="s">
        <v>132</v>
      </c>
      <c r="P2509" s="36">
        <v>1.454560466E9</v>
      </c>
      <c r="Q2509" s="36" t="s">
        <v>7541</v>
      </c>
      <c r="R2509" s="6" t="s">
        <v>7542</v>
      </c>
    </row>
    <row r="2510">
      <c r="A2510" s="6" t="s">
        <v>7537</v>
      </c>
      <c r="B2510" s="6" t="s">
        <v>7537</v>
      </c>
      <c r="C2510" s="6">
        <v>901.0</v>
      </c>
      <c r="D2510" s="9" t="str">
        <f>HYPERLINK("https://www.linkedin.com/ad-library/detail/1454047986","Open Ad")</f>
        <v>Open Ad</v>
      </c>
      <c r="E2510" s="6" t="s">
        <v>91</v>
      </c>
      <c r="F2510" s="6" t="s">
        <v>53</v>
      </c>
      <c r="G2510" s="6" t="s">
        <v>7576</v>
      </c>
      <c r="H2510" s="6" t="s">
        <v>55</v>
      </c>
      <c r="I2510" s="6" t="s">
        <v>7566</v>
      </c>
      <c r="J2510" s="6" t="s">
        <v>91</v>
      </c>
      <c r="K2510" s="6" t="s">
        <v>60</v>
      </c>
      <c r="L2510" s="6" t="s">
        <v>131</v>
      </c>
      <c r="M2510" s="6" t="s">
        <v>7537</v>
      </c>
      <c r="N2510" s="6" t="s">
        <v>132</v>
      </c>
      <c r="O2510" s="36" t="s">
        <v>132</v>
      </c>
      <c r="P2510" s="36">
        <v>1.454047986E9</v>
      </c>
      <c r="Q2510" s="36" t="s">
        <v>7541</v>
      </c>
      <c r="R2510" s="6" t="s">
        <v>7542</v>
      </c>
    </row>
    <row r="2511">
      <c r="A2511" s="6" t="s">
        <v>7537</v>
      </c>
      <c r="B2511" s="6" t="s">
        <v>7537</v>
      </c>
      <c r="C2511" s="6">
        <v>902.0</v>
      </c>
      <c r="D2511" s="9" t="str">
        <f>HYPERLINK("https://www.linkedin.com/ad-library/detail/1454395886","Open Ad")</f>
        <v>Open Ad</v>
      </c>
      <c r="E2511" s="6" t="s">
        <v>91</v>
      </c>
      <c r="F2511" s="6" t="s">
        <v>53</v>
      </c>
      <c r="G2511" s="6" t="s">
        <v>7604</v>
      </c>
      <c r="H2511" s="6" t="s">
        <v>55</v>
      </c>
      <c r="I2511" s="6" t="s">
        <v>7566</v>
      </c>
      <c r="J2511" s="6" t="s">
        <v>91</v>
      </c>
      <c r="K2511" s="6" t="s">
        <v>60</v>
      </c>
      <c r="L2511" s="6" t="s">
        <v>131</v>
      </c>
      <c r="M2511" s="6" t="s">
        <v>7537</v>
      </c>
      <c r="N2511" s="6" t="s">
        <v>132</v>
      </c>
      <c r="O2511" s="36" t="s">
        <v>132</v>
      </c>
      <c r="P2511" s="36">
        <v>1.454395886E9</v>
      </c>
      <c r="Q2511" s="36" t="s">
        <v>7541</v>
      </c>
      <c r="R2511" s="6" t="s">
        <v>7542</v>
      </c>
    </row>
    <row r="2512">
      <c r="A2512" s="6" t="s">
        <v>7537</v>
      </c>
      <c r="B2512" s="6" t="s">
        <v>7537</v>
      </c>
      <c r="C2512" s="6">
        <v>903.0</v>
      </c>
      <c r="D2512" s="9" t="str">
        <f>HYPERLINK("https://www.linkedin.com/ad-library/detail/1453997766","Open Ad")</f>
        <v>Open Ad</v>
      </c>
      <c r="E2512" s="6" t="s">
        <v>91</v>
      </c>
      <c r="F2512" s="6" t="s">
        <v>53</v>
      </c>
      <c r="G2512" s="6" t="s">
        <v>7604</v>
      </c>
      <c r="H2512" s="6" t="s">
        <v>55</v>
      </c>
      <c r="I2512" s="6" t="s">
        <v>7566</v>
      </c>
      <c r="J2512" s="6" t="s">
        <v>91</v>
      </c>
      <c r="K2512" s="6" t="s">
        <v>60</v>
      </c>
      <c r="L2512" s="6" t="s">
        <v>131</v>
      </c>
      <c r="M2512" s="6" t="s">
        <v>7537</v>
      </c>
      <c r="N2512" s="6" t="s">
        <v>132</v>
      </c>
      <c r="O2512" s="36" t="s">
        <v>132</v>
      </c>
      <c r="P2512" s="36">
        <v>1.453997766E9</v>
      </c>
      <c r="Q2512" s="36" t="s">
        <v>7541</v>
      </c>
      <c r="R2512" s="6" t="s">
        <v>7542</v>
      </c>
    </row>
    <row r="2513">
      <c r="A2513" s="6" t="s">
        <v>7537</v>
      </c>
      <c r="B2513" s="6" t="s">
        <v>7537</v>
      </c>
      <c r="C2513" s="6">
        <v>904.0</v>
      </c>
      <c r="D2513" s="9" t="str">
        <f>HYPERLINK("https://www.linkedin.com/ad-library/detail/1454560476","Open Ad")</f>
        <v>Open Ad</v>
      </c>
      <c r="E2513" s="6" t="s">
        <v>91</v>
      </c>
      <c r="F2513" s="6" t="s">
        <v>7699</v>
      </c>
      <c r="G2513" s="6" t="s">
        <v>7610</v>
      </c>
      <c r="H2513" s="6" t="s">
        <v>55</v>
      </c>
      <c r="I2513" s="6" t="s">
        <v>7700</v>
      </c>
      <c r="J2513" s="6" t="s">
        <v>91</v>
      </c>
      <c r="K2513" s="9" t="str">
        <f t="shared" ref="K2513:K2514" si="96">HYPERLINK("https://media.licdn.com/dms/image/v2/D5610AQEdrFTo8NJKYg/image-shrink_1280/B56Z7H9n25GoAc-/0/1781471280818/Ad2png?e=2147483647&amp;v=beta&amp;t=WMcvkIw_2RjAP0KmPA-eRfgVKJER4JjhNZVwG6KvtJY","Open Creative")</f>
        <v>Open Creative</v>
      </c>
      <c r="L2513" s="6" t="s">
        <v>62</v>
      </c>
      <c r="M2513" s="6" t="s">
        <v>7537</v>
      </c>
      <c r="N2513" s="6" t="s">
        <v>7703</v>
      </c>
      <c r="O2513" s="36" t="s">
        <v>132</v>
      </c>
      <c r="P2513" s="36">
        <v>1.454560476E9</v>
      </c>
      <c r="Q2513" s="36" t="s">
        <v>68</v>
      </c>
      <c r="R2513" s="6" t="s">
        <v>7704</v>
      </c>
    </row>
    <row r="2514">
      <c r="A2514" s="6" t="s">
        <v>7537</v>
      </c>
      <c r="B2514" s="6" t="s">
        <v>7537</v>
      </c>
      <c r="C2514" s="6">
        <v>905.0</v>
      </c>
      <c r="D2514" s="9" t="str">
        <f>HYPERLINK("https://www.linkedin.com/ad-library/detail/1454176226","Open Ad")</f>
        <v>Open Ad</v>
      </c>
      <c r="E2514" s="6" t="s">
        <v>91</v>
      </c>
      <c r="F2514" s="6" t="s">
        <v>53</v>
      </c>
      <c r="G2514" s="6" t="s">
        <v>7610</v>
      </c>
      <c r="H2514" s="6" t="s">
        <v>55</v>
      </c>
      <c r="I2514" s="6" t="s">
        <v>7566</v>
      </c>
      <c r="J2514" s="6" t="s">
        <v>91</v>
      </c>
      <c r="K2514" s="9" t="str">
        <f t="shared" si="96"/>
        <v>Open Creative</v>
      </c>
      <c r="L2514" s="6" t="s">
        <v>131</v>
      </c>
      <c r="M2514" s="6" t="s">
        <v>7537</v>
      </c>
      <c r="N2514" s="6" t="s">
        <v>132</v>
      </c>
      <c r="O2514" s="36" t="s">
        <v>132</v>
      </c>
      <c r="P2514" s="36">
        <v>1.454176226E9</v>
      </c>
      <c r="Q2514" s="36" t="s">
        <v>7541</v>
      </c>
      <c r="R2514" s="6" t="s">
        <v>7542</v>
      </c>
    </row>
    <row r="2515">
      <c r="A2515" s="6" t="s">
        <v>7537</v>
      </c>
      <c r="B2515" s="6" t="s">
        <v>7537</v>
      </c>
      <c r="C2515" s="6">
        <v>906.0</v>
      </c>
      <c r="D2515" s="9" t="str">
        <f>HYPERLINK("https://www.linkedin.com/ad-library/detail/1454472376","Open Ad")</f>
        <v>Open Ad</v>
      </c>
      <c r="E2515" s="6" t="s">
        <v>91</v>
      </c>
      <c r="F2515" s="6" t="s">
        <v>53</v>
      </c>
      <c r="G2515" s="6" t="s">
        <v>7610</v>
      </c>
      <c r="H2515" s="6" t="s">
        <v>55</v>
      </c>
      <c r="I2515" s="6" t="s">
        <v>7566</v>
      </c>
      <c r="J2515" s="6" t="s">
        <v>91</v>
      </c>
      <c r="K2515" s="9" t="str">
        <f t="shared" ref="K2515:K2516" si="97">HYPERLINK("https://media.licdn.com/dms/image/v2/D5610AQFE8RFLyEFCqg/image-shrink_1280/B56Z7H9PLGGUAc-/0/1781471179686/Ad18png?e=2147483647&amp;v=beta&amp;t=Fymkr8CjC9Gg42hxw4kfTAZAiaJ0OVnoXoElrsTGgoU","Open Creative")</f>
        <v>Open Creative</v>
      </c>
      <c r="L2515" s="6" t="s">
        <v>131</v>
      </c>
      <c r="M2515" s="6" t="s">
        <v>7537</v>
      </c>
      <c r="N2515" s="6" t="s">
        <v>132</v>
      </c>
      <c r="O2515" s="36" t="s">
        <v>132</v>
      </c>
      <c r="P2515" s="36">
        <v>1.454472376E9</v>
      </c>
      <c r="Q2515" s="36" t="s">
        <v>7541</v>
      </c>
      <c r="R2515" s="6" t="s">
        <v>7542</v>
      </c>
    </row>
    <row r="2516">
      <c r="A2516" s="6" t="s">
        <v>7537</v>
      </c>
      <c r="B2516" s="6" t="s">
        <v>7537</v>
      </c>
      <c r="C2516" s="6">
        <v>907.0</v>
      </c>
      <c r="D2516" s="9" t="str">
        <f>HYPERLINK("https://www.linkedin.com/ad-library/detail/1454007916","Open Ad")</f>
        <v>Open Ad</v>
      </c>
      <c r="E2516" s="6" t="s">
        <v>91</v>
      </c>
      <c r="F2516" s="6" t="s">
        <v>53</v>
      </c>
      <c r="G2516" s="6" t="s">
        <v>7658</v>
      </c>
      <c r="H2516" s="6" t="s">
        <v>55</v>
      </c>
      <c r="I2516" s="6" t="s">
        <v>7566</v>
      </c>
      <c r="J2516" s="6" t="s">
        <v>91</v>
      </c>
      <c r="K2516" s="9" t="str">
        <f t="shared" si="97"/>
        <v>Open Creative</v>
      </c>
      <c r="L2516" s="6" t="s">
        <v>131</v>
      </c>
      <c r="M2516" s="6" t="s">
        <v>7537</v>
      </c>
      <c r="N2516" s="6" t="s">
        <v>132</v>
      </c>
      <c r="O2516" s="36" t="s">
        <v>132</v>
      </c>
      <c r="P2516" s="36">
        <v>1.454007916E9</v>
      </c>
      <c r="Q2516" s="36" t="s">
        <v>7541</v>
      </c>
      <c r="R2516" s="6" t="s">
        <v>7542</v>
      </c>
    </row>
    <row r="2517">
      <c r="A2517" s="6" t="s">
        <v>7537</v>
      </c>
      <c r="B2517" s="6" t="s">
        <v>7537</v>
      </c>
      <c r="C2517" s="6">
        <v>908.0</v>
      </c>
      <c r="D2517" s="9" t="str">
        <f>HYPERLINK("https://www.linkedin.com/ad-library/detail/1454425636","Open Ad")</f>
        <v>Open Ad</v>
      </c>
      <c r="E2517" s="6" t="s">
        <v>91</v>
      </c>
      <c r="F2517" s="6" t="s">
        <v>53</v>
      </c>
      <c r="G2517" s="6" t="s">
        <v>7576</v>
      </c>
      <c r="H2517" s="6" t="s">
        <v>55</v>
      </c>
      <c r="I2517" s="6" t="s">
        <v>7566</v>
      </c>
      <c r="J2517" s="6" t="s">
        <v>91</v>
      </c>
      <c r="K2517" s="6" t="s">
        <v>60</v>
      </c>
      <c r="L2517" s="6" t="s">
        <v>131</v>
      </c>
      <c r="M2517" s="6" t="s">
        <v>7537</v>
      </c>
      <c r="N2517" s="6" t="s">
        <v>132</v>
      </c>
      <c r="O2517" s="36" t="s">
        <v>132</v>
      </c>
      <c r="P2517" s="36">
        <v>1.454425636E9</v>
      </c>
      <c r="Q2517" s="36" t="s">
        <v>7541</v>
      </c>
      <c r="R2517" s="6" t="s">
        <v>7542</v>
      </c>
    </row>
    <row r="2518">
      <c r="A2518" s="6" t="s">
        <v>7537</v>
      </c>
      <c r="B2518" s="6" t="s">
        <v>7537</v>
      </c>
      <c r="C2518" s="6">
        <v>909.0</v>
      </c>
      <c r="D2518" s="9" t="str">
        <f>HYPERLINK("https://www.linkedin.com/ad-library/detail/1454220656","Open Ad")</f>
        <v>Open Ad</v>
      </c>
      <c r="E2518" s="6" t="s">
        <v>91</v>
      </c>
      <c r="F2518" s="6" t="s">
        <v>53</v>
      </c>
      <c r="G2518" s="6" t="s">
        <v>7610</v>
      </c>
      <c r="H2518" s="6" t="s">
        <v>55</v>
      </c>
      <c r="I2518" s="6" t="s">
        <v>7566</v>
      </c>
      <c r="J2518" s="6" t="s">
        <v>91</v>
      </c>
      <c r="K2518" s="9" t="str">
        <f>HYPERLINK("https://media.licdn.com/dms/image/v2/D5610AQEdrFTo8NJKYg/image-shrink_1280/B56Z7H9n25GoAc-/0/1781471280818/Ad2png?e=2147483647&amp;v=beta&amp;t=WMcvkIw_2RjAP0KmPA-eRfgVKJER4JjhNZVwG6KvtJY","Open Creative")</f>
        <v>Open Creative</v>
      </c>
      <c r="L2518" s="6" t="s">
        <v>131</v>
      </c>
      <c r="M2518" s="6" t="s">
        <v>7537</v>
      </c>
      <c r="N2518" s="6" t="s">
        <v>132</v>
      </c>
      <c r="O2518" s="36" t="s">
        <v>132</v>
      </c>
      <c r="P2518" s="36">
        <v>1.454220656E9</v>
      </c>
      <c r="Q2518" s="36" t="s">
        <v>7541</v>
      </c>
      <c r="R2518" s="6" t="s">
        <v>7542</v>
      </c>
    </row>
    <row r="2519">
      <c r="A2519" s="6" t="s">
        <v>7537</v>
      </c>
      <c r="B2519" s="6" t="s">
        <v>7537</v>
      </c>
      <c r="C2519" s="6">
        <v>910.0</v>
      </c>
      <c r="D2519" s="9" t="str">
        <f>HYPERLINK("https://www.linkedin.com/ad-library/detail/1454219126","Open Ad")</f>
        <v>Open Ad</v>
      </c>
      <c r="E2519" s="6" t="s">
        <v>91</v>
      </c>
      <c r="F2519" s="6" t="s">
        <v>53</v>
      </c>
      <c r="G2519" s="6" t="s">
        <v>7576</v>
      </c>
      <c r="H2519" s="6" t="s">
        <v>55</v>
      </c>
      <c r="I2519" s="6" t="s">
        <v>7566</v>
      </c>
      <c r="J2519" s="6" t="s">
        <v>91</v>
      </c>
      <c r="K2519" s="6" t="s">
        <v>60</v>
      </c>
      <c r="L2519" s="6" t="s">
        <v>131</v>
      </c>
      <c r="M2519" s="6" t="s">
        <v>7537</v>
      </c>
      <c r="N2519" s="6" t="s">
        <v>132</v>
      </c>
      <c r="O2519" s="36" t="s">
        <v>132</v>
      </c>
      <c r="P2519" s="36">
        <v>1.454219126E9</v>
      </c>
      <c r="Q2519" s="36" t="s">
        <v>7541</v>
      </c>
      <c r="R2519" s="6" t="s">
        <v>7542</v>
      </c>
    </row>
    <row r="2520">
      <c r="A2520" s="6" t="s">
        <v>7537</v>
      </c>
      <c r="B2520" s="6" t="s">
        <v>7537</v>
      </c>
      <c r="C2520" s="6">
        <v>911.0</v>
      </c>
      <c r="D2520" s="9" t="str">
        <f>HYPERLINK("https://www.linkedin.com/ad-library/detail/1454385496","Open Ad")</f>
        <v>Open Ad</v>
      </c>
      <c r="E2520" s="6" t="s">
        <v>91</v>
      </c>
      <c r="F2520" s="6" t="s">
        <v>53</v>
      </c>
      <c r="G2520" s="6" t="s">
        <v>7578</v>
      </c>
      <c r="H2520" s="6" t="s">
        <v>55</v>
      </c>
      <c r="I2520" s="6" t="s">
        <v>7566</v>
      </c>
      <c r="J2520" s="6" t="s">
        <v>91</v>
      </c>
      <c r="K2520" s="6" t="s">
        <v>60</v>
      </c>
      <c r="L2520" s="6" t="s">
        <v>131</v>
      </c>
      <c r="M2520" s="6" t="s">
        <v>7537</v>
      </c>
      <c r="N2520" s="6" t="s">
        <v>132</v>
      </c>
      <c r="O2520" s="36" t="s">
        <v>132</v>
      </c>
      <c r="P2520" s="36">
        <v>1.454385496E9</v>
      </c>
      <c r="Q2520" s="36" t="s">
        <v>7541</v>
      </c>
      <c r="R2520" s="6" t="s">
        <v>7542</v>
      </c>
    </row>
    <row r="2521">
      <c r="A2521" s="6" t="s">
        <v>7537</v>
      </c>
      <c r="B2521" s="6" t="s">
        <v>7537</v>
      </c>
      <c r="C2521" s="6">
        <v>912.0</v>
      </c>
      <c r="D2521" s="9" t="str">
        <f>HYPERLINK("https://www.linkedin.com/ad-library/detail/1454346496","Open Ad")</f>
        <v>Open Ad</v>
      </c>
      <c r="E2521" s="6" t="s">
        <v>91</v>
      </c>
      <c r="F2521" s="6" t="s">
        <v>53</v>
      </c>
      <c r="G2521" s="6" t="s">
        <v>7604</v>
      </c>
      <c r="H2521" s="6" t="s">
        <v>55</v>
      </c>
      <c r="I2521" s="6" t="s">
        <v>7566</v>
      </c>
      <c r="J2521" s="6" t="s">
        <v>91</v>
      </c>
      <c r="K2521" s="6" t="s">
        <v>60</v>
      </c>
      <c r="L2521" s="6" t="s">
        <v>131</v>
      </c>
      <c r="M2521" s="6" t="s">
        <v>7537</v>
      </c>
      <c r="N2521" s="6" t="s">
        <v>132</v>
      </c>
      <c r="O2521" s="36" t="s">
        <v>132</v>
      </c>
      <c r="P2521" s="36">
        <v>1.454346496E9</v>
      </c>
      <c r="Q2521" s="36" t="s">
        <v>7541</v>
      </c>
      <c r="R2521" s="6" t="s">
        <v>7542</v>
      </c>
    </row>
    <row r="2522">
      <c r="A2522" s="6" t="s">
        <v>7537</v>
      </c>
      <c r="B2522" s="6" t="s">
        <v>7537</v>
      </c>
      <c r="C2522" s="6">
        <v>913.0</v>
      </c>
      <c r="D2522" s="9" t="str">
        <f>HYPERLINK("https://www.linkedin.com/ad-library/detail/1438180556","Open Ad")</f>
        <v>Open Ad</v>
      </c>
      <c r="E2522" s="6" t="s">
        <v>91</v>
      </c>
      <c r="F2522" s="6" t="s">
        <v>53</v>
      </c>
      <c r="G2522" s="6" t="s">
        <v>7705</v>
      </c>
      <c r="H2522" s="6" t="s">
        <v>55</v>
      </c>
      <c r="I2522" s="6" t="s">
        <v>7566</v>
      </c>
      <c r="J2522" s="6" t="s">
        <v>91</v>
      </c>
      <c r="K2522" s="9" t="str">
        <f>HYPERLINK("https://media.licdn.com/dms/image/v2/D4E10AQGkYBLaXhnL-A/image-shrink_1280/B4EZ6TLwAZHkAc-/0/1780585792816?e=2147483647&amp;v=beta&amp;t=TQ0aeJEpUOG49vXTJVSm5BWrMcWBLNJb45NuxLkA9C4","Open Creative")</f>
        <v>Open Creative</v>
      </c>
      <c r="L2522" s="6" t="s">
        <v>131</v>
      </c>
      <c r="M2522" s="6" t="s">
        <v>7537</v>
      </c>
      <c r="N2522" s="6" t="s">
        <v>132</v>
      </c>
      <c r="O2522" s="36" t="s">
        <v>132</v>
      </c>
      <c r="P2522" s="36">
        <v>1.438180556E9</v>
      </c>
      <c r="Q2522" s="36" t="s">
        <v>7541</v>
      </c>
      <c r="R2522" s="6" t="s">
        <v>7542</v>
      </c>
    </row>
    <row r="2523">
      <c r="A2523" s="6" t="s">
        <v>7537</v>
      </c>
      <c r="B2523" s="6" t="s">
        <v>7537</v>
      </c>
      <c r="C2523" s="6">
        <v>914.0</v>
      </c>
      <c r="D2523" s="9" t="str">
        <f>HYPERLINK("https://www.linkedin.com/ad-library/detail/1439387796","Open Ad")</f>
        <v>Open Ad</v>
      </c>
      <c r="E2523" s="6" t="s">
        <v>91</v>
      </c>
      <c r="F2523" s="6" t="s">
        <v>53</v>
      </c>
      <c r="G2523" s="6" t="s">
        <v>7706</v>
      </c>
      <c r="H2523" s="6" t="s">
        <v>55</v>
      </c>
      <c r="I2523" s="6" t="s">
        <v>7566</v>
      </c>
      <c r="J2523" s="6" t="s">
        <v>91</v>
      </c>
      <c r="K2523" s="9" t="str">
        <f>HYPERLINK("https://media.licdn.com/dms/image/v2/D4E22AQEbAoX2KRknuA/feedshare-shrink_1280/B4EZ6uK8KjJUAM-/0/1781038564506?e=2147483647&amp;v=beta&amp;t=6hUGj1oFdHEd7aeD_hrh3Ay3bVYwKQvqbHrOZ0yUBFQ","Open Creative")</f>
        <v>Open Creative</v>
      </c>
      <c r="L2523" s="6" t="s">
        <v>131</v>
      </c>
      <c r="M2523" s="6" t="s">
        <v>7537</v>
      </c>
      <c r="N2523" s="6" t="s">
        <v>132</v>
      </c>
      <c r="O2523" s="36" t="s">
        <v>132</v>
      </c>
      <c r="P2523" s="36">
        <v>1.439387796E9</v>
      </c>
      <c r="Q2523" s="36" t="s">
        <v>7541</v>
      </c>
      <c r="R2523" s="6" t="s">
        <v>7542</v>
      </c>
    </row>
    <row r="2524">
      <c r="A2524" s="6" t="s">
        <v>7537</v>
      </c>
      <c r="B2524" s="6" t="s">
        <v>7537</v>
      </c>
      <c r="C2524" s="6">
        <v>915.0</v>
      </c>
      <c r="D2524" s="9" t="str">
        <f>HYPERLINK("https://www.linkedin.com/ad-library/detail/1439259006","Open Ad")</f>
        <v>Open Ad</v>
      </c>
      <c r="E2524" s="6" t="s">
        <v>91</v>
      </c>
      <c r="F2524" s="6" t="s">
        <v>53</v>
      </c>
      <c r="G2524" s="6" t="s">
        <v>7707</v>
      </c>
      <c r="H2524" s="6" t="s">
        <v>55</v>
      </c>
      <c r="I2524" s="6" t="s">
        <v>7566</v>
      </c>
      <c r="J2524" s="6" t="s">
        <v>91</v>
      </c>
      <c r="K2524" s="9" t="str">
        <f t="shared" ref="K2524:K2526" si="98">HYPERLINK("https://media.licdn.com/dms/image/v2/D4E10AQHxCSrWH4ITrg/image-shrink_1280/B4EZ6ZzfFMKAAc-/0/1780696872116?e=2147483647&amp;v=beta&amp;t=SnZmZr4kWgTLuS0NJpCDMrolqcqn8MAukoVrjpZVTfg","Open Creative")</f>
        <v>Open Creative</v>
      </c>
      <c r="L2524" s="6" t="s">
        <v>131</v>
      </c>
      <c r="M2524" s="6" t="s">
        <v>7537</v>
      </c>
      <c r="N2524" s="6" t="s">
        <v>132</v>
      </c>
      <c r="O2524" s="36" t="s">
        <v>132</v>
      </c>
      <c r="P2524" s="36">
        <v>1.439259006E9</v>
      </c>
      <c r="Q2524" s="36" t="s">
        <v>7541</v>
      </c>
      <c r="R2524" s="6" t="s">
        <v>7542</v>
      </c>
    </row>
    <row r="2525">
      <c r="A2525" s="6" t="s">
        <v>7537</v>
      </c>
      <c r="B2525" s="6" t="s">
        <v>7537</v>
      </c>
      <c r="C2525" s="6">
        <v>916.0</v>
      </c>
      <c r="D2525" s="9" t="str">
        <f>HYPERLINK("https://www.linkedin.com/ad-library/detail/1439338656","Open Ad")</f>
        <v>Open Ad</v>
      </c>
      <c r="E2525" s="6" t="s">
        <v>91</v>
      </c>
      <c r="F2525" s="6" t="s">
        <v>53</v>
      </c>
      <c r="G2525" s="6" t="s">
        <v>7707</v>
      </c>
      <c r="H2525" s="6" t="s">
        <v>55</v>
      </c>
      <c r="I2525" s="6" t="s">
        <v>7566</v>
      </c>
      <c r="J2525" s="6" t="s">
        <v>91</v>
      </c>
      <c r="K2525" s="9" t="str">
        <f t="shared" si="98"/>
        <v>Open Creative</v>
      </c>
      <c r="L2525" s="6" t="s">
        <v>131</v>
      </c>
      <c r="M2525" s="6" t="s">
        <v>7537</v>
      </c>
      <c r="N2525" s="6" t="s">
        <v>132</v>
      </c>
      <c r="O2525" s="36" t="s">
        <v>132</v>
      </c>
      <c r="P2525" s="36">
        <v>1.439338656E9</v>
      </c>
      <c r="Q2525" s="36" t="s">
        <v>7541</v>
      </c>
      <c r="R2525" s="6" t="s">
        <v>7542</v>
      </c>
    </row>
    <row r="2526">
      <c r="A2526" s="6" t="s">
        <v>7537</v>
      </c>
      <c r="B2526" s="6" t="s">
        <v>7537</v>
      </c>
      <c r="C2526" s="6">
        <v>917.0</v>
      </c>
      <c r="D2526" s="9" t="str">
        <f>HYPERLINK("https://www.linkedin.com/ad-library/detail/1439397746","Open Ad")</f>
        <v>Open Ad</v>
      </c>
      <c r="E2526" s="6" t="s">
        <v>91</v>
      </c>
      <c r="F2526" s="6" t="s">
        <v>53</v>
      </c>
      <c r="G2526" s="6" t="s">
        <v>7707</v>
      </c>
      <c r="H2526" s="6" t="s">
        <v>55</v>
      </c>
      <c r="I2526" s="6" t="s">
        <v>7566</v>
      </c>
      <c r="J2526" s="6" t="s">
        <v>91</v>
      </c>
      <c r="K2526" s="9" t="str">
        <f t="shared" si="98"/>
        <v>Open Creative</v>
      </c>
      <c r="L2526" s="6" t="s">
        <v>131</v>
      </c>
      <c r="M2526" s="6" t="s">
        <v>7537</v>
      </c>
      <c r="N2526" s="6" t="s">
        <v>132</v>
      </c>
      <c r="O2526" s="36" t="s">
        <v>132</v>
      </c>
      <c r="P2526" s="36">
        <v>1.439397746E9</v>
      </c>
      <c r="Q2526" s="36" t="s">
        <v>7541</v>
      </c>
      <c r="R2526" s="6" t="s">
        <v>7542</v>
      </c>
    </row>
    <row r="2527">
      <c r="A2527" s="6" t="s">
        <v>7537</v>
      </c>
      <c r="B2527" s="6" t="s">
        <v>7537</v>
      </c>
      <c r="C2527" s="6">
        <v>918.0</v>
      </c>
      <c r="D2527" s="9" t="str">
        <f>HYPERLINK("https://www.linkedin.com/ad-library/detail/1439397766","Open Ad")</f>
        <v>Open Ad</v>
      </c>
      <c r="E2527" s="6" t="s">
        <v>154</v>
      </c>
      <c r="F2527" s="6" t="s">
        <v>53</v>
      </c>
      <c r="G2527" s="6" t="s">
        <v>7708</v>
      </c>
      <c r="H2527" s="6" t="s">
        <v>55</v>
      </c>
      <c r="I2527" s="6" t="s">
        <v>7566</v>
      </c>
      <c r="J2527" s="6" t="s">
        <v>154</v>
      </c>
      <c r="K2527" s="9" t="str">
        <f>HYPERLINK("https://dms.licdn.com/playlist/vid/v2/D4E10AQFn3UN8urlGNQ/mp4-360p-30fp-crf28/B4EZ6tf89LJkBg-/0/1781027303599?e=2147483647&amp;v=beta&amp;t=5sK55KyVYIrcQ1J65nEKwxwyj-MRHGWeoOxWZOtI2B0","Open Creative")</f>
        <v>Open Creative</v>
      </c>
      <c r="L2527" s="6" t="s">
        <v>131</v>
      </c>
      <c r="M2527" s="6" t="s">
        <v>7537</v>
      </c>
      <c r="N2527" s="6" t="s">
        <v>132</v>
      </c>
      <c r="O2527" s="36" t="s">
        <v>132</v>
      </c>
      <c r="P2527" s="36">
        <v>1.439397766E9</v>
      </c>
      <c r="Q2527" s="36" t="s">
        <v>7541</v>
      </c>
      <c r="R2527" s="6" t="s">
        <v>7542</v>
      </c>
    </row>
    <row r="2528">
      <c r="A2528" s="6" t="s">
        <v>7537</v>
      </c>
      <c r="B2528" s="6" t="s">
        <v>7537</v>
      </c>
      <c r="C2528" s="6">
        <v>919.0</v>
      </c>
      <c r="D2528" s="9" t="str">
        <f>HYPERLINK("https://www.linkedin.com/ad-library/detail/1438021716","Open Ad")</f>
        <v>Open Ad</v>
      </c>
      <c r="E2528" s="6" t="s">
        <v>91</v>
      </c>
      <c r="F2528" s="6" t="s">
        <v>53</v>
      </c>
      <c r="G2528" s="6" t="s">
        <v>7707</v>
      </c>
      <c r="H2528" s="6" t="s">
        <v>55</v>
      </c>
      <c r="I2528" s="6" t="s">
        <v>7566</v>
      </c>
      <c r="J2528" s="6" t="s">
        <v>91</v>
      </c>
      <c r="K2528" s="9" t="str">
        <f>HYPERLINK("https://media.licdn.com/dms/image/v2/D4E10AQHxCSrWH4ITrg/image-shrink_1280/B4EZ6ZzfFMKAAc-/0/1780696872116?e=2147483647&amp;v=beta&amp;t=SnZmZr4kWgTLuS0NJpCDMrolqcqn8MAukoVrjpZVTfg","Open Creative")</f>
        <v>Open Creative</v>
      </c>
      <c r="L2528" s="6" t="s">
        <v>131</v>
      </c>
      <c r="M2528" s="6" t="s">
        <v>7537</v>
      </c>
      <c r="N2528" s="6" t="s">
        <v>132</v>
      </c>
      <c r="O2528" s="36" t="s">
        <v>132</v>
      </c>
      <c r="P2528" s="36">
        <v>1.438021716E9</v>
      </c>
      <c r="Q2528" s="36" t="s">
        <v>7541</v>
      </c>
      <c r="R2528" s="6" t="s">
        <v>7542</v>
      </c>
    </row>
    <row r="2529">
      <c r="A2529" s="6" t="s">
        <v>7537</v>
      </c>
      <c r="B2529" s="6" t="s">
        <v>7537</v>
      </c>
      <c r="C2529" s="6">
        <v>920.0</v>
      </c>
      <c r="D2529" s="9" t="str">
        <f>HYPERLINK("https://www.linkedin.com/ad-library/detail/1445478224","Open Ad")</f>
        <v>Open Ad</v>
      </c>
      <c r="E2529" s="6" t="s">
        <v>91</v>
      </c>
      <c r="F2529" s="6" t="s">
        <v>53</v>
      </c>
      <c r="G2529" s="6" t="s">
        <v>7709</v>
      </c>
      <c r="H2529" s="6" t="s">
        <v>55</v>
      </c>
      <c r="I2529" s="6" t="s">
        <v>7566</v>
      </c>
      <c r="J2529" s="6" t="s">
        <v>91</v>
      </c>
      <c r="K2529" s="9" t="str">
        <f>HYPERLINK("https://media.licdn.com/dms/image/v2/D4E10AQEcSUFXsoAgQQ/image-shrink_1280/B4EZw03JayIIAc-/0/1770413398027/LinkedAdFeb2026V2jpg?e=2147483647&amp;v=beta&amp;t=-qcEkfKa_Zed6E7-xsaw9v1L6Xoxqy_6nWbWlmeo8zs","Open Creative")</f>
        <v>Open Creative</v>
      </c>
      <c r="L2529" s="6" t="s">
        <v>131</v>
      </c>
      <c r="M2529" s="6" t="s">
        <v>7537</v>
      </c>
      <c r="N2529" s="6" t="s">
        <v>132</v>
      </c>
      <c r="O2529" s="36" t="s">
        <v>132</v>
      </c>
      <c r="P2529" s="36">
        <v>1.445478224E9</v>
      </c>
      <c r="Q2529" s="36" t="s">
        <v>7541</v>
      </c>
      <c r="R2529" s="6" t="s">
        <v>7542</v>
      </c>
    </row>
    <row r="2530">
      <c r="A2530" s="6" t="s">
        <v>7537</v>
      </c>
      <c r="B2530" s="6" t="s">
        <v>7537</v>
      </c>
      <c r="C2530" s="6">
        <v>921.0</v>
      </c>
      <c r="D2530" s="9" t="str">
        <f>HYPERLINK("https://www.linkedin.com/ad-library/detail/1437981976","Open Ad")</f>
        <v>Open Ad</v>
      </c>
      <c r="E2530" s="6" t="s">
        <v>91</v>
      </c>
      <c r="F2530" s="6" t="s">
        <v>53</v>
      </c>
      <c r="G2530" s="6" t="s">
        <v>7710</v>
      </c>
      <c r="H2530" s="6" t="s">
        <v>55</v>
      </c>
      <c r="I2530" s="6" t="s">
        <v>7566</v>
      </c>
      <c r="J2530" s="6" t="s">
        <v>91</v>
      </c>
      <c r="K2530" s="9" t="str">
        <f>HYPERLINK("https://media.licdn.com/dms/image/v2/D5610AQEK4TATx-B99A/image-shrink_1280/B56Z6EYCniKwAg-/0/1780337357502?e=2147483647&amp;v=beta&amp;t=OgwqZJb3gRErqrVDoqBCse57giXjEoiOJxi_5ly0GbU","Open Creative")</f>
        <v>Open Creative</v>
      </c>
      <c r="L2530" s="6" t="s">
        <v>131</v>
      </c>
      <c r="M2530" s="6" t="s">
        <v>7537</v>
      </c>
      <c r="N2530" s="6" t="s">
        <v>132</v>
      </c>
      <c r="O2530" s="36" t="s">
        <v>132</v>
      </c>
      <c r="P2530" s="36">
        <v>1.437981976E9</v>
      </c>
      <c r="Q2530" s="36" t="s">
        <v>7541</v>
      </c>
      <c r="R2530" s="6" t="s">
        <v>7542</v>
      </c>
    </row>
    <row r="2531">
      <c r="A2531" s="6" t="s">
        <v>7537</v>
      </c>
      <c r="B2531" s="6" t="s">
        <v>7537</v>
      </c>
      <c r="C2531" s="6">
        <v>922.0</v>
      </c>
      <c r="D2531" s="9" t="str">
        <f>HYPERLINK("https://www.linkedin.com/ad-library/detail/1439288696","Open Ad")</f>
        <v>Open Ad</v>
      </c>
      <c r="E2531" s="6" t="s">
        <v>91</v>
      </c>
      <c r="F2531" s="6" t="s">
        <v>53</v>
      </c>
      <c r="G2531" s="6" t="s">
        <v>7706</v>
      </c>
      <c r="H2531" s="6" t="s">
        <v>55</v>
      </c>
      <c r="I2531" s="6" t="s">
        <v>7566</v>
      </c>
      <c r="J2531" s="6" t="s">
        <v>91</v>
      </c>
      <c r="K2531" s="9" t="str">
        <f t="shared" ref="K2531:K2532" si="99">HYPERLINK("https://media.licdn.com/dms/image/v2/D4E22AQEbAoX2KRknuA/feedshare-shrink_1280/B4EZ6uK8KjJUAM-/0/1781038564506?e=2147483647&amp;v=beta&amp;t=6hUGj1oFdHEd7aeD_hrh3Ay3bVYwKQvqbHrOZ0yUBFQ","Open Creative")</f>
        <v>Open Creative</v>
      </c>
      <c r="L2531" s="6" t="s">
        <v>131</v>
      </c>
      <c r="M2531" s="6" t="s">
        <v>7537</v>
      </c>
      <c r="N2531" s="6" t="s">
        <v>132</v>
      </c>
      <c r="O2531" s="36" t="s">
        <v>132</v>
      </c>
      <c r="P2531" s="36">
        <v>1.439288696E9</v>
      </c>
      <c r="Q2531" s="36" t="s">
        <v>7541</v>
      </c>
      <c r="R2531" s="6" t="s">
        <v>7542</v>
      </c>
    </row>
    <row r="2532">
      <c r="A2532" s="6" t="s">
        <v>7537</v>
      </c>
      <c r="B2532" s="6" t="s">
        <v>7537</v>
      </c>
      <c r="C2532" s="6">
        <v>923.0</v>
      </c>
      <c r="D2532" s="9" t="str">
        <f>HYPERLINK("https://www.linkedin.com/ad-library/detail/1439417636","Open Ad")</f>
        <v>Open Ad</v>
      </c>
      <c r="E2532" s="6" t="s">
        <v>91</v>
      </c>
      <c r="F2532" s="6" t="s">
        <v>53</v>
      </c>
      <c r="G2532" s="6" t="s">
        <v>7706</v>
      </c>
      <c r="H2532" s="6" t="s">
        <v>55</v>
      </c>
      <c r="I2532" s="6" t="s">
        <v>7566</v>
      </c>
      <c r="J2532" s="6" t="s">
        <v>91</v>
      </c>
      <c r="K2532" s="9" t="str">
        <f t="shared" si="99"/>
        <v>Open Creative</v>
      </c>
      <c r="L2532" s="6" t="s">
        <v>131</v>
      </c>
      <c r="M2532" s="6" t="s">
        <v>7537</v>
      </c>
      <c r="N2532" s="6" t="s">
        <v>132</v>
      </c>
      <c r="O2532" s="36" t="s">
        <v>132</v>
      </c>
      <c r="P2532" s="36">
        <v>1.439417636E9</v>
      </c>
      <c r="Q2532" s="36" t="s">
        <v>7541</v>
      </c>
      <c r="R2532" s="6" t="s">
        <v>7542</v>
      </c>
    </row>
    <row r="2533">
      <c r="A2533" s="6" t="s">
        <v>7537</v>
      </c>
      <c r="B2533" s="6" t="s">
        <v>7537</v>
      </c>
      <c r="C2533" s="6">
        <v>924.0</v>
      </c>
      <c r="D2533" s="9" t="str">
        <f>HYPERLINK("https://www.linkedin.com/ad-library/detail/1445549974","Open Ad")</f>
        <v>Open Ad</v>
      </c>
      <c r="E2533" s="6" t="s">
        <v>91</v>
      </c>
      <c r="F2533" s="6" t="s">
        <v>53</v>
      </c>
      <c r="G2533" s="6" t="s">
        <v>7711</v>
      </c>
      <c r="H2533" s="6" t="s">
        <v>55</v>
      </c>
      <c r="I2533" s="6" t="s">
        <v>7566</v>
      </c>
      <c r="J2533" s="6" t="s">
        <v>91</v>
      </c>
      <c r="K2533" s="9" t="str">
        <f>HYPERLINK("https://media.licdn.com/dms/image/v2/D4E10AQGFNQod3_uzbw/image_627_1200/B4DZwmN._pIAAg-/0/1770167726234/LinkedInAdFeb2026jpg?e=2147483647&amp;v=beta&amp;t=43kHJ9rU3AQbInWsIIeEMoUoZKR1eKKl1nAWIAbmCVo","Open Creative")</f>
        <v>Open Creative</v>
      </c>
      <c r="L2533" s="6" t="s">
        <v>131</v>
      </c>
      <c r="M2533" s="6" t="s">
        <v>7537</v>
      </c>
      <c r="N2533" s="6" t="s">
        <v>132</v>
      </c>
      <c r="O2533" s="36" t="s">
        <v>132</v>
      </c>
      <c r="P2533" s="36">
        <v>1.445549974E9</v>
      </c>
      <c r="Q2533" s="36" t="s">
        <v>7541</v>
      </c>
      <c r="R2533" s="6" t="s">
        <v>7542</v>
      </c>
    </row>
    <row r="2534">
      <c r="A2534" s="6" t="s">
        <v>7537</v>
      </c>
      <c r="B2534" s="6" t="s">
        <v>7537</v>
      </c>
      <c r="C2534" s="6">
        <v>925.0</v>
      </c>
      <c r="D2534" s="9" t="str">
        <f>HYPERLINK("https://www.linkedin.com/ad-library/detail/1439387806","Open Ad")</f>
        <v>Open Ad</v>
      </c>
      <c r="E2534" s="6" t="s">
        <v>91</v>
      </c>
      <c r="F2534" s="6" t="s">
        <v>53</v>
      </c>
      <c r="G2534" s="6" t="s">
        <v>7706</v>
      </c>
      <c r="H2534" s="6" t="s">
        <v>55</v>
      </c>
      <c r="I2534" s="6" t="s">
        <v>7566</v>
      </c>
      <c r="J2534" s="6" t="s">
        <v>91</v>
      </c>
      <c r="K2534" s="9" t="str">
        <f t="shared" ref="K2534:K2536" si="100">HYPERLINK("https://media.licdn.com/dms/image/v2/D4E22AQEbAoX2KRknuA/feedshare-shrink_1280/B4EZ6uK8KjJUAM-/0/1781038564506?e=2147483647&amp;v=beta&amp;t=6hUGj1oFdHEd7aeD_hrh3Ay3bVYwKQvqbHrOZ0yUBFQ","Open Creative")</f>
        <v>Open Creative</v>
      </c>
      <c r="L2534" s="6" t="s">
        <v>131</v>
      </c>
      <c r="M2534" s="6" t="s">
        <v>7537</v>
      </c>
      <c r="N2534" s="6" t="s">
        <v>132</v>
      </c>
      <c r="O2534" s="36" t="s">
        <v>132</v>
      </c>
      <c r="P2534" s="36">
        <v>1.439387806E9</v>
      </c>
      <c r="Q2534" s="36" t="s">
        <v>7541</v>
      </c>
      <c r="R2534" s="6" t="s">
        <v>7542</v>
      </c>
    </row>
    <row r="2535">
      <c r="A2535" s="6" t="s">
        <v>7537</v>
      </c>
      <c r="B2535" s="6" t="s">
        <v>7537</v>
      </c>
      <c r="C2535" s="6">
        <v>926.0</v>
      </c>
      <c r="D2535" s="9" t="str">
        <f>HYPERLINK("https://www.linkedin.com/ad-library/detail/1439490656","Open Ad")</f>
        <v>Open Ad</v>
      </c>
      <c r="E2535" s="6" t="s">
        <v>91</v>
      </c>
      <c r="F2535" s="6" t="s">
        <v>53</v>
      </c>
      <c r="G2535" s="6" t="s">
        <v>7706</v>
      </c>
      <c r="H2535" s="6" t="s">
        <v>55</v>
      </c>
      <c r="I2535" s="6" t="s">
        <v>7566</v>
      </c>
      <c r="J2535" s="6" t="s">
        <v>91</v>
      </c>
      <c r="K2535" s="9" t="str">
        <f t="shared" si="100"/>
        <v>Open Creative</v>
      </c>
      <c r="L2535" s="6" t="s">
        <v>131</v>
      </c>
      <c r="M2535" s="6" t="s">
        <v>7537</v>
      </c>
      <c r="N2535" s="6" t="s">
        <v>132</v>
      </c>
      <c r="O2535" s="36" t="s">
        <v>132</v>
      </c>
      <c r="P2535" s="36">
        <v>1.439490656E9</v>
      </c>
      <c r="Q2535" s="36" t="s">
        <v>7541</v>
      </c>
      <c r="R2535" s="6" t="s">
        <v>7542</v>
      </c>
    </row>
    <row r="2536">
      <c r="A2536" s="6" t="s">
        <v>7537</v>
      </c>
      <c r="B2536" s="6" t="s">
        <v>7537</v>
      </c>
      <c r="C2536" s="6">
        <v>927.0</v>
      </c>
      <c r="D2536" s="9" t="str">
        <f>HYPERLINK("https://www.linkedin.com/ad-library/detail/1439358186","Open Ad")</f>
        <v>Open Ad</v>
      </c>
      <c r="E2536" s="6" t="s">
        <v>91</v>
      </c>
      <c r="F2536" s="6" t="s">
        <v>53</v>
      </c>
      <c r="G2536" s="6" t="s">
        <v>7706</v>
      </c>
      <c r="H2536" s="6" t="s">
        <v>55</v>
      </c>
      <c r="I2536" s="6" t="s">
        <v>7566</v>
      </c>
      <c r="J2536" s="6" t="s">
        <v>91</v>
      </c>
      <c r="K2536" s="9" t="str">
        <f t="shared" si="100"/>
        <v>Open Creative</v>
      </c>
      <c r="L2536" s="6" t="s">
        <v>131</v>
      </c>
      <c r="M2536" s="6" t="s">
        <v>7537</v>
      </c>
      <c r="N2536" s="6" t="s">
        <v>132</v>
      </c>
      <c r="O2536" s="36" t="s">
        <v>132</v>
      </c>
      <c r="P2536" s="36">
        <v>1.439358186E9</v>
      </c>
      <c r="Q2536" s="36" t="s">
        <v>7541</v>
      </c>
      <c r="R2536" s="6" t="s">
        <v>7542</v>
      </c>
    </row>
    <row r="2537">
      <c r="A2537" s="6" t="s">
        <v>7537</v>
      </c>
      <c r="B2537" s="6" t="s">
        <v>7537</v>
      </c>
      <c r="C2537" s="6">
        <v>928.0</v>
      </c>
      <c r="D2537" s="9" t="str">
        <f>HYPERLINK("https://www.linkedin.com/ad-library/detail/1439288676","Open Ad")</f>
        <v>Open Ad</v>
      </c>
      <c r="E2537" s="6" t="s">
        <v>91</v>
      </c>
      <c r="F2537" s="6" t="s">
        <v>53</v>
      </c>
      <c r="G2537" s="6" t="s">
        <v>7712</v>
      </c>
      <c r="H2537" s="6" t="s">
        <v>55</v>
      </c>
      <c r="I2537" s="6" t="s">
        <v>7566</v>
      </c>
      <c r="J2537" s="6" t="s">
        <v>91</v>
      </c>
      <c r="K2537" s="9" t="str">
        <f>HYPERLINK("https://media.licdn.com/dms/image/v2/D4E22AQEGgchNJmgx-g/feedshare-image-high-res/B4EZ6uaI2lIkAU-/0/1781042557971?e=2147483647&amp;v=beta&amp;t=4BBDv5D-iEA9iXyOO5c2CxJdBilWdOSjbOnbWbgXO-Q","Open Creative")</f>
        <v>Open Creative</v>
      </c>
      <c r="L2537" s="6" t="s">
        <v>131</v>
      </c>
      <c r="M2537" s="6" t="s">
        <v>7537</v>
      </c>
      <c r="N2537" s="6" t="s">
        <v>132</v>
      </c>
      <c r="O2537" s="36" t="s">
        <v>132</v>
      </c>
      <c r="P2537" s="36">
        <v>1.439288676E9</v>
      </c>
      <c r="Q2537" s="36" t="s">
        <v>7541</v>
      </c>
      <c r="R2537" s="6" t="s">
        <v>7542</v>
      </c>
    </row>
    <row r="2538">
      <c r="A2538" s="6" t="s">
        <v>7537</v>
      </c>
      <c r="B2538" s="6" t="s">
        <v>7537</v>
      </c>
      <c r="C2538" s="6">
        <v>929.0</v>
      </c>
      <c r="D2538" s="9" t="str">
        <f>HYPERLINK("https://www.linkedin.com/ad-library/detail/1445501194","Open Ad")</f>
        <v>Open Ad</v>
      </c>
      <c r="E2538" s="6" t="s">
        <v>91</v>
      </c>
      <c r="F2538" s="6" t="s">
        <v>53</v>
      </c>
      <c r="G2538" s="6" t="s">
        <v>7713</v>
      </c>
      <c r="H2538" s="6" t="s">
        <v>55</v>
      </c>
      <c r="I2538" s="6" t="s">
        <v>7566</v>
      </c>
      <c r="J2538" s="6" t="s">
        <v>91</v>
      </c>
      <c r="K2538" s="9" t="str">
        <f>HYPERLINK("https://media.licdn.com/dms/image/v2/D4E10AQEcSUFXsoAgQQ/image-shrink_1280/B4EZw03JayIIAc-/0/1770413398027/LinkedAdFeb2026V2jpg?e=2147483647&amp;v=beta&amp;t=-qcEkfKa_Zed6E7-xsaw9v1L6Xoxqy_6nWbWlmeo8zs","Open Creative")</f>
        <v>Open Creative</v>
      </c>
      <c r="L2538" s="6" t="s">
        <v>131</v>
      </c>
      <c r="M2538" s="6" t="s">
        <v>7537</v>
      </c>
      <c r="N2538" s="6" t="s">
        <v>132</v>
      </c>
      <c r="O2538" s="36" t="s">
        <v>132</v>
      </c>
      <c r="P2538" s="36">
        <v>1.445501194E9</v>
      </c>
      <c r="Q2538" s="36" t="s">
        <v>7541</v>
      </c>
      <c r="R2538" s="6" t="s">
        <v>7542</v>
      </c>
    </row>
    <row r="2539">
      <c r="A2539" s="6" t="s">
        <v>7537</v>
      </c>
      <c r="B2539" s="6" t="s">
        <v>7537</v>
      </c>
      <c r="C2539" s="6">
        <v>930.0</v>
      </c>
      <c r="D2539" s="9" t="str">
        <f>HYPERLINK("https://www.linkedin.com/ad-library/detail/1439490606","Open Ad")</f>
        <v>Open Ad</v>
      </c>
      <c r="E2539" s="6" t="s">
        <v>91</v>
      </c>
      <c r="F2539" s="6" t="s">
        <v>53</v>
      </c>
      <c r="G2539" s="6" t="s">
        <v>7707</v>
      </c>
      <c r="H2539" s="6" t="s">
        <v>55</v>
      </c>
      <c r="I2539" s="6" t="s">
        <v>7566</v>
      </c>
      <c r="J2539" s="6" t="s">
        <v>91</v>
      </c>
      <c r="K2539" s="9" t="str">
        <f>HYPERLINK("https://media.licdn.com/dms/image/v2/D4E10AQHxCSrWH4ITrg/image-shrink_1280/B4EZ6ZzfFMKAAc-/0/1780696872116?e=2147483647&amp;v=beta&amp;t=SnZmZr4kWgTLuS0NJpCDMrolqcqn8MAukoVrjpZVTfg","Open Creative")</f>
        <v>Open Creative</v>
      </c>
      <c r="L2539" s="6" t="s">
        <v>131</v>
      </c>
      <c r="M2539" s="6" t="s">
        <v>7537</v>
      </c>
      <c r="N2539" s="6" t="s">
        <v>132</v>
      </c>
      <c r="O2539" s="36" t="s">
        <v>132</v>
      </c>
      <c r="P2539" s="36">
        <v>1.439490606E9</v>
      </c>
      <c r="Q2539" s="36" t="s">
        <v>7541</v>
      </c>
      <c r="R2539" s="6" t="s">
        <v>7542</v>
      </c>
    </row>
    <row r="2540">
      <c r="A2540" s="6" t="s">
        <v>7537</v>
      </c>
      <c r="B2540" s="6" t="s">
        <v>7537</v>
      </c>
      <c r="C2540" s="6">
        <v>931.0</v>
      </c>
      <c r="D2540" s="9" t="str">
        <f>HYPERLINK("https://www.linkedin.com/ad-library/detail/1445530154","Open Ad")</f>
        <v>Open Ad</v>
      </c>
      <c r="E2540" s="6" t="s">
        <v>91</v>
      </c>
      <c r="F2540" s="6" t="s">
        <v>53</v>
      </c>
      <c r="G2540" s="6" t="s">
        <v>7714</v>
      </c>
      <c r="H2540" s="6" t="s">
        <v>55</v>
      </c>
      <c r="I2540" s="6" t="s">
        <v>7566</v>
      </c>
      <c r="J2540" s="6" t="s">
        <v>91</v>
      </c>
      <c r="K2540" s="9" t="str">
        <f>HYPERLINK("https://media.licdn.com/dms/image/v2/D4E10AQFQTUKHZ_HQwg/image_627_1200/B56ZpweHV7I8Ac-/0/1762823534050/YourImpactProject-LIad112025jpg?e=2147483647&amp;v=beta&amp;t=JKo_nVyRsiwFMtjuKuMdT7b7dHZrBFAiG65iHpfiTGg","Open Creative")</f>
        <v>Open Creative</v>
      </c>
      <c r="L2540" s="6" t="s">
        <v>131</v>
      </c>
      <c r="M2540" s="6" t="s">
        <v>7537</v>
      </c>
      <c r="N2540" s="6" t="s">
        <v>132</v>
      </c>
      <c r="O2540" s="36" t="s">
        <v>132</v>
      </c>
      <c r="P2540" s="36">
        <v>1.445530154E9</v>
      </c>
      <c r="Q2540" s="36" t="s">
        <v>7541</v>
      </c>
      <c r="R2540" s="6" t="s">
        <v>7542</v>
      </c>
    </row>
    <row r="2541">
      <c r="A2541" s="6" t="s">
        <v>7537</v>
      </c>
      <c r="B2541" s="6" t="s">
        <v>7537</v>
      </c>
      <c r="C2541" s="6">
        <v>932.0</v>
      </c>
      <c r="D2541" s="9" t="str">
        <f>HYPERLINK("https://www.linkedin.com/ad-library/detail/1445339454","Open Ad")</f>
        <v>Open Ad</v>
      </c>
      <c r="E2541" s="6" t="s">
        <v>91</v>
      </c>
      <c r="F2541" s="6" t="s">
        <v>53</v>
      </c>
      <c r="G2541" s="6" t="s">
        <v>7715</v>
      </c>
      <c r="H2541" s="6" t="s">
        <v>55</v>
      </c>
      <c r="I2541" s="6" t="s">
        <v>7566</v>
      </c>
      <c r="J2541" s="6" t="s">
        <v>91</v>
      </c>
      <c r="K2541" s="9" t="str">
        <f>HYPERLINK("https://media.licdn.com/dms/image/v2/D4E10AQGFNQod3_uzbw/image_627_1200/B4DZwmN._pIAAg-/0/1770167726234/LinkedInAdFeb2026jpg?e=2147483647&amp;v=beta&amp;t=43kHJ9rU3AQbInWsIIeEMoUoZKR1eKKl1nAWIAbmCVo","Open Creative")</f>
        <v>Open Creative</v>
      </c>
      <c r="L2541" s="6" t="s">
        <v>131</v>
      </c>
      <c r="M2541" s="6" t="s">
        <v>7537</v>
      </c>
      <c r="N2541" s="6" t="s">
        <v>132</v>
      </c>
      <c r="O2541" s="36" t="s">
        <v>132</v>
      </c>
      <c r="P2541" s="36">
        <v>1.445339454E9</v>
      </c>
      <c r="Q2541" s="36" t="s">
        <v>7541</v>
      </c>
      <c r="R2541" s="6" t="s">
        <v>7542</v>
      </c>
    </row>
    <row r="2542">
      <c r="A2542" s="6" t="s">
        <v>7537</v>
      </c>
      <c r="B2542" s="6" t="s">
        <v>7537</v>
      </c>
      <c r="C2542" s="6">
        <v>933.0</v>
      </c>
      <c r="D2542" s="9" t="str">
        <f>HYPERLINK("https://www.linkedin.com/ad-library/detail/1439259016","Open Ad")</f>
        <v>Open Ad</v>
      </c>
      <c r="E2542" s="6" t="s">
        <v>91</v>
      </c>
      <c r="F2542" s="6" t="s">
        <v>53</v>
      </c>
      <c r="G2542" s="6" t="s">
        <v>7707</v>
      </c>
      <c r="H2542" s="6" t="s">
        <v>55</v>
      </c>
      <c r="I2542" s="6" t="s">
        <v>7561</v>
      </c>
      <c r="J2542" s="6" t="s">
        <v>91</v>
      </c>
      <c r="K2542" s="9" t="str">
        <f>HYPERLINK("https://media.licdn.com/dms/image/v2/D4E10AQHxCSrWH4ITrg/image-shrink_1280/B4EZ6ZzfFMKAAc-/0/1780696872116?e=2147483647&amp;v=beta&amp;t=SnZmZr4kWgTLuS0NJpCDMrolqcqn8MAukoVrjpZVTfg","Open Creative")</f>
        <v>Open Creative</v>
      </c>
      <c r="L2542" s="6" t="s">
        <v>131</v>
      </c>
      <c r="M2542" s="6" t="s">
        <v>7537</v>
      </c>
      <c r="N2542" s="6" t="s">
        <v>132</v>
      </c>
      <c r="O2542" s="36" t="s">
        <v>132</v>
      </c>
      <c r="P2542" s="36">
        <v>1.439259016E9</v>
      </c>
      <c r="Q2542" s="36" t="s">
        <v>68</v>
      </c>
      <c r="R2542" s="6" t="s">
        <v>7716</v>
      </c>
    </row>
    <row r="2543">
      <c r="A2543" s="6" t="s">
        <v>7537</v>
      </c>
      <c r="B2543" s="6" t="s">
        <v>7537</v>
      </c>
      <c r="C2543" s="6">
        <v>934.0</v>
      </c>
      <c r="D2543" s="9" t="str">
        <f>HYPERLINK("https://www.linkedin.com/ad-library/detail/1439480866","Open Ad")</f>
        <v>Open Ad</v>
      </c>
      <c r="E2543" s="6" t="s">
        <v>91</v>
      </c>
      <c r="F2543" s="6" t="s">
        <v>53</v>
      </c>
      <c r="G2543" s="6" t="s">
        <v>7706</v>
      </c>
      <c r="H2543" s="6" t="s">
        <v>55</v>
      </c>
      <c r="I2543" s="6" t="s">
        <v>7566</v>
      </c>
      <c r="J2543" s="6" t="s">
        <v>91</v>
      </c>
      <c r="K2543" s="9" t="str">
        <f>HYPERLINK("https://media.licdn.com/dms/image/v2/D4E22AQEbAoX2KRknuA/feedshare-shrink_1280/B4EZ6uK8KjJUAM-/0/1781038564506?e=2147483647&amp;v=beta&amp;t=6hUGj1oFdHEd7aeD_hrh3Ay3bVYwKQvqbHrOZ0yUBFQ","Open Creative")</f>
        <v>Open Creative</v>
      </c>
      <c r="L2543" s="6" t="s">
        <v>131</v>
      </c>
      <c r="M2543" s="6" t="s">
        <v>7537</v>
      </c>
      <c r="N2543" s="6" t="s">
        <v>132</v>
      </c>
      <c r="O2543" s="36" t="s">
        <v>132</v>
      </c>
      <c r="P2543" s="36">
        <v>1.439480866E9</v>
      </c>
      <c r="Q2543" s="36" t="s">
        <v>7541</v>
      </c>
      <c r="R2543" s="6" t="s">
        <v>7542</v>
      </c>
    </row>
    <row r="2544">
      <c r="A2544" s="6" t="s">
        <v>7537</v>
      </c>
      <c r="B2544" s="6" t="s">
        <v>7537</v>
      </c>
      <c r="C2544" s="6">
        <v>935.0</v>
      </c>
      <c r="D2544" s="9" t="str">
        <f>HYPERLINK("https://www.linkedin.com/ad-library/detail/1438210166","Open Ad")</f>
        <v>Open Ad</v>
      </c>
      <c r="E2544" s="6" t="s">
        <v>91</v>
      </c>
      <c r="F2544" s="6" t="s">
        <v>53</v>
      </c>
      <c r="G2544" s="6" t="s">
        <v>7717</v>
      </c>
      <c r="H2544" s="6" t="s">
        <v>55</v>
      </c>
      <c r="I2544" s="6" t="s">
        <v>7566</v>
      </c>
      <c r="J2544" s="6" t="s">
        <v>91</v>
      </c>
      <c r="K2544" s="9" t="str">
        <f>HYPERLINK("https://media.licdn.com/dms/image/v2/D4E22AQH6gcTJwfWlKA/feedshare-image-high-res/B4EZ6QcWD5HkAU-/0/1780539813884?e=2147483647&amp;v=beta&amp;t=zzCjoyXUSA0k289LQFvZeJXQarmL5GghDH871a-b6aM","Open Creative")</f>
        <v>Open Creative</v>
      </c>
      <c r="L2544" s="6" t="s">
        <v>131</v>
      </c>
      <c r="M2544" s="6" t="s">
        <v>7537</v>
      </c>
      <c r="N2544" s="6" t="s">
        <v>132</v>
      </c>
      <c r="O2544" s="36" t="s">
        <v>132</v>
      </c>
      <c r="P2544" s="36">
        <v>1.438210166E9</v>
      </c>
      <c r="Q2544" s="36" t="s">
        <v>7541</v>
      </c>
      <c r="R2544" s="6" t="s">
        <v>7542</v>
      </c>
    </row>
    <row r="2545">
      <c r="A2545" s="6" t="s">
        <v>7537</v>
      </c>
      <c r="B2545" s="6" t="s">
        <v>7537</v>
      </c>
      <c r="C2545" s="6">
        <v>936.0</v>
      </c>
      <c r="D2545" s="9" t="str">
        <f>HYPERLINK("https://www.linkedin.com/ad-library/detail/1438121006","Open Ad")</f>
        <v>Open Ad</v>
      </c>
      <c r="E2545" s="6" t="s">
        <v>91</v>
      </c>
      <c r="F2545" s="6" t="s">
        <v>53</v>
      </c>
      <c r="G2545" s="6" t="s">
        <v>7718</v>
      </c>
      <c r="H2545" s="6" t="s">
        <v>55</v>
      </c>
      <c r="I2545" s="6" t="s">
        <v>7566</v>
      </c>
      <c r="J2545" s="6" t="s">
        <v>91</v>
      </c>
      <c r="K2545" s="9" t="str">
        <f>HYPERLINK("https://media.licdn.com/dms/image/v2/D4E10AQEVo0TlWmRQbA/image-shrink_1280/B4EZ6UT9sfIwAc-/0/1780604722481?e=2147483647&amp;v=beta&amp;t=eXQMbgCWI-PArDhIcoPtu-Coj31U-YFyQsdEtDf4UMI","Open Creative")</f>
        <v>Open Creative</v>
      </c>
      <c r="L2545" s="6" t="s">
        <v>131</v>
      </c>
      <c r="M2545" s="6" t="s">
        <v>7537</v>
      </c>
      <c r="N2545" s="6" t="s">
        <v>132</v>
      </c>
      <c r="O2545" s="36" t="s">
        <v>132</v>
      </c>
      <c r="P2545" s="36">
        <v>1.438121006E9</v>
      </c>
      <c r="Q2545" s="36" t="s">
        <v>7541</v>
      </c>
      <c r="R2545" s="6" t="s">
        <v>7542</v>
      </c>
    </row>
    <row r="2546">
      <c r="A2546" s="6" t="s">
        <v>7537</v>
      </c>
      <c r="B2546" s="6" t="s">
        <v>7537</v>
      </c>
      <c r="C2546" s="6">
        <v>937.0</v>
      </c>
      <c r="D2546" s="9" t="str">
        <f>HYPERLINK("https://www.linkedin.com/ad-library/detail/1434040306","Open Ad")</f>
        <v>Open Ad</v>
      </c>
      <c r="E2546" s="6" t="s">
        <v>91</v>
      </c>
      <c r="F2546" s="6" t="s">
        <v>53</v>
      </c>
      <c r="G2546" s="6" t="s">
        <v>7610</v>
      </c>
      <c r="H2546" s="6" t="s">
        <v>55</v>
      </c>
      <c r="I2546" s="6" t="s">
        <v>7566</v>
      </c>
      <c r="J2546" s="6" t="s">
        <v>91</v>
      </c>
      <c r="K2546" s="9" t="str">
        <f>HYPERLINK("https://media.licdn.com/dms/image/v2/D5610AQERUevwH6cWPA/image-shrink_1280/B56Z6AaLIUKkAc-/0/1780270805756/Ad211png?e=2147483647&amp;v=beta&amp;t=EU-zb0V4Qt9I9Pmof6TxqYfN8i31tA-XtbaSSkHtjdY","Open Creative")</f>
        <v>Open Creative</v>
      </c>
      <c r="L2546" s="6" t="s">
        <v>131</v>
      </c>
      <c r="M2546" s="6" t="s">
        <v>7537</v>
      </c>
      <c r="N2546" s="6" t="s">
        <v>132</v>
      </c>
      <c r="O2546" s="36" t="s">
        <v>132</v>
      </c>
      <c r="P2546" s="36">
        <v>1.434040306E9</v>
      </c>
      <c r="Q2546" s="36" t="s">
        <v>7541</v>
      </c>
      <c r="R2546" s="6" t="s">
        <v>7542</v>
      </c>
    </row>
    <row r="2547">
      <c r="A2547" s="6" t="s">
        <v>7537</v>
      </c>
      <c r="B2547" s="6" t="s">
        <v>7537</v>
      </c>
      <c r="C2547" s="6">
        <v>938.0</v>
      </c>
      <c r="D2547" s="9" t="str">
        <f>HYPERLINK("https://www.linkedin.com/ad-library/detail/1434040406","Open Ad")</f>
        <v>Open Ad</v>
      </c>
      <c r="E2547" s="6" t="s">
        <v>91</v>
      </c>
      <c r="F2547" s="6" t="s">
        <v>53</v>
      </c>
      <c r="G2547" s="6" t="s">
        <v>7719</v>
      </c>
      <c r="H2547" s="6" t="s">
        <v>55</v>
      </c>
      <c r="I2547" s="6" t="s">
        <v>7566</v>
      </c>
      <c r="J2547" s="6" t="s">
        <v>91</v>
      </c>
      <c r="K2547" s="6" t="s">
        <v>60</v>
      </c>
      <c r="L2547" s="6" t="s">
        <v>131</v>
      </c>
      <c r="M2547" s="6" t="s">
        <v>7537</v>
      </c>
      <c r="N2547" s="6" t="s">
        <v>132</v>
      </c>
      <c r="O2547" s="36" t="s">
        <v>132</v>
      </c>
      <c r="P2547" s="36">
        <v>1.434040406E9</v>
      </c>
      <c r="Q2547" s="36" t="s">
        <v>7541</v>
      </c>
      <c r="R2547" s="6" t="s">
        <v>7542</v>
      </c>
    </row>
    <row r="2548">
      <c r="A2548" s="6" t="s">
        <v>7537</v>
      </c>
      <c r="B2548" s="6" t="s">
        <v>7537</v>
      </c>
      <c r="C2548" s="6">
        <v>939.0</v>
      </c>
      <c r="D2548" s="9" t="str">
        <f>HYPERLINK("https://www.linkedin.com/ad-library/detail/1433528136","Open Ad")</f>
        <v>Open Ad</v>
      </c>
      <c r="E2548" s="6" t="s">
        <v>154</v>
      </c>
      <c r="F2548" s="6" t="s">
        <v>53</v>
      </c>
      <c r="G2548" s="6" t="s">
        <v>7720</v>
      </c>
      <c r="H2548" s="6" t="s">
        <v>55</v>
      </c>
      <c r="I2548" s="6" t="s">
        <v>7566</v>
      </c>
      <c r="J2548" s="6" t="s">
        <v>154</v>
      </c>
      <c r="K2548" s="9" t="str">
        <f>HYPERLINK("https://dms.licdn.com/playlist/vid/v2/D4E05AQFrJVO0dJCegw/mp4-640p-30fp-crf28/B4EZ6eLpi5GQBk-/0/1780770375121?e=2147483647&amp;v=beta&amp;t=v25VJ1lDTsu3nuMI3dqC-0tN1ADOFVK0BlWSXoq1Af0","Open Creative")</f>
        <v>Open Creative</v>
      </c>
      <c r="L2548" s="6" t="s">
        <v>131</v>
      </c>
      <c r="M2548" s="6" t="s">
        <v>7537</v>
      </c>
      <c r="N2548" s="6" t="s">
        <v>132</v>
      </c>
      <c r="O2548" s="36" t="s">
        <v>132</v>
      </c>
      <c r="P2548" s="36">
        <v>1.433528136E9</v>
      </c>
      <c r="Q2548" s="36" t="s">
        <v>7541</v>
      </c>
      <c r="R2548" s="6" t="s">
        <v>7542</v>
      </c>
    </row>
    <row r="2549">
      <c r="A2549" s="6" t="s">
        <v>7537</v>
      </c>
      <c r="B2549" s="6" t="s">
        <v>7537</v>
      </c>
      <c r="C2549" s="6">
        <v>940.0</v>
      </c>
      <c r="D2549" s="9" t="str">
        <f>HYPERLINK("https://www.linkedin.com/ad-library/detail/1433102016","Open Ad")</f>
        <v>Open Ad</v>
      </c>
      <c r="E2549" s="6" t="s">
        <v>91</v>
      </c>
      <c r="F2549" s="6" t="s">
        <v>53</v>
      </c>
      <c r="G2549" s="6" t="s">
        <v>7721</v>
      </c>
      <c r="H2549" s="6" t="s">
        <v>55</v>
      </c>
      <c r="I2549" s="6" t="s">
        <v>7566</v>
      </c>
      <c r="J2549" s="6" t="s">
        <v>91</v>
      </c>
      <c r="K2549" s="9" t="str">
        <f>HYPERLINK("https://media.licdn.com/dms/image/v2/D4E10AQGQJhTM8ldS8g/image-shrink_1280/B4EZ6TLAXHJgAk-/0/1780585598684?e=2147483647&amp;v=beta&amp;t=hPqnRahPUGGQ3ldstYX0_09eunPptlv1sL408R-xyNM","Open Creative")</f>
        <v>Open Creative</v>
      </c>
      <c r="L2549" s="6" t="s">
        <v>131</v>
      </c>
      <c r="M2549" s="6" t="s">
        <v>7537</v>
      </c>
      <c r="N2549" s="6" t="s">
        <v>132</v>
      </c>
      <c r="O2549" s="36" t="s">
        <v>132</v>
      </c>
      <c r="P2549" s="36">
        <v>1.433102016E9</v>
      </c>
      <c r="Q2549" s="36" t="s">
        <v>7541</v>
      </c>
      <c r="R2549" s="6" t="s">
        <v>7542</v>
      </c>
    </row>
    <row r="2550">
      <c r="A2550" s="6" t="s">
        <v>7537</v>
      </c>
      <c r="B2550" s="6" t="s">
        <v>7537</v>
      </c>
      <c r="C2550" s="6">
        <v>941.0</v>
      </c>
      <c r="D2550" s="9" t="str">
        <f>HYPERLINK("https://www.linkedin.com/ad-library/detail/1434170156","Open Ad")</f>
        <v>Open Ad</v>
      </c>
      <c r="E2550" s="6" t="s">
        <v>91</v>
      </c>
      <c r="F2550" s="6" t="s">
        <v>53</v>
      </c>
      <c r="G2550" s="6" t="s">
        <v>7610</v>
      </c>
      <c r="H2550" s="6" t="s">
        <v>55</v>
      </c>
      <c r="I2550" s="6" t="s">
        <v>7566</v>
      </c>
      <c r="J2550" s="6" t="s">
        <v>91</v>
      </c>
      <c r="K2550" s="9" t="str">
        <f>HYPERLINK("https://media.licdn.com/dms/image/v2/D5610AQEC6uKodaP14A/image-shrink_1280/B56Z6AaqPKHwAg-/0/1780270933257/Ad201png?e=2147483647&amp;v=beta&amp;t=1A661kGu5AkvtoRboYevKI4nXl-sd3eUIKlZq0ouF78","Open Creative")</f>
        <v>Open Creative</v>
      </c>
      <c r="L2550" s="6" t="s">
        <v>131</v>
      </c>
      <c r="M2550" s="6" t="s">
        <v>7537</v>
      </c>
      <c r="N2550" s="6" t="s">
        <v>132</v>
      </c>
      <c r="O2550" s="36" t="s">
        <v>132</v>
      </c>
      <c r="P2550" s="36">
        <v>1.434170156E9</v>
      </c>
      <c r="Q2550" s="36" t="s">
        <v>7541</v>
      </c>
      <c r="R2550" s="6" t="s">
        <v>7542</v>
      </c>
    </row>
    <row r="2551">
      <c r="A2551" s="6" t="s">
        <v>7537</v>
      </c>
      <c r="B2551" s="6" t="s">
        <v>7537</v>
      </c>
      <c r="C2551" s="6">
        <v>942.0</v>
      </c>
      <c r="D2551" s="9" t="str">
        <f>HYPERLINK("https://www.linkedin.com/ad-library/detail/1438140806","Open Ad")</f>
        <v>Open Ad</v>
      </c>
      <c r="E2551" s="6" t="s">
        <v>91</v>
      </c>
      <c r="F2551" s="6" t="s">
        <v>53</v>
      </c>
      <c r="G2551" s="6" t="s">
        <v>7718</v>
      </c>
      <c r="H2551" s="6" t="s">
        <v>55</v>
      </c>
      <c r="I2551" s="6" t="s">
        <v>7566</v>
      </c>
      <c r="J2551" s="6" t="s">
        <v>91</v>
      </c>
      <c r="K2551" s="9" t="str">
        <f>HYPERLINK("https://media.licdn.com/dms/image/v2/D4E10AQEVo0TlWmRQbA/image-shrink_1280/B4EZ6UT9sfIwAc-/0/1780604722481?e=2147483647&amp;v=beta&amp;t=eXQMbgCWI-PArDhIcoPtu-Coj31U-YFyQsdEtDf4UMI","Open Creative")</f>
        <v>Open Creative</v>
      </c>
      <c r="L2551" s="6" t="s">
        <v>131</v>
      </c>
      <c r="M2551" s="6" t="s">
        <v>7537</v>
      </c>
      <c r="N2551" s="6" t="s">
        <v>132</v>
      </c>
      <c r="O2551" s="36" t="s">
        <v>132</v>
      </c>
      <c r="P2551" s="36">
        <v>1.438140806E9</v>
      </c>
      <c r="Q2551" s="36" t="s">
        <v>7541</v>
      </c>
      <c r="R2551" s="6" t="s">
        <v>7542</v>
      </c>
    </row>
    <row r="2552">
      <c r="A2552" s="6" t="s">
        <v>7537</v>
      </c>
      <c r="B2552" s="6" t="s">
        <v>7537</v>
      </c>
      <c r="C2552" s="6">
        <v>943.0</v>
      </c>
      <c r="D2552" s="9" t="str">
        <f>HYPERLINK("https://www.linkedin.com/ad-library/detail/1438180486","Open Ad")</f>
        <v>Open Ad</v>
      </c>
      <c r="E2552" s="6" t="s">
        <v>91</v>
      </c>
      <c r="F2552" s="6" t="s">
        <v>53</v>
      </c>
      <c r="G2552" s="6" t="s">
        <v>7707</v>
      </c>
      <c r="H2552" s="6" t="s">
        <v>55</v>
      </c>
      <c r="I2552" s="6" t="s">
        <v>7566</v>
      </c>
      <c r="J2552" s="6" t="s">
        <v>91</v>
      </c>
      <c r="K2552" s="9" t="str">
        <f>HYPERLINK("https://media.licdn.com/dms/image/v2/D4E10AQHxCSrWH4ITrg/image-shrink_1280/B4EZ6ZzfFMKAAc-/0/1780696872116?e=2147483647&amp;v=beta&amp;t=SnZmZr4kWgTLuS0NJpCDMrolqcqn8MAukoVrjpZVTfg","Open Creative")</f>
        <v>Open Creative</v>
      </c>
      <c r="L2552" s="6" t="s">
        <v>131</v>
      </c>
      <c r="M2552" s="6" t="s">
        <v>7537</v>
      </c>
      <c r="N2552" s="6" t="s">
        <v>132</v>
      </c>
      <c r="O2552" s="36" t="s">
        <v>132</v>
      </c>
      <c r="P2552" s="36">
        <v>1.438180486E9</v>
      </c>
      <c r="Q2552" s="36" t="s">
        <v>7541</v>
      </c>
      <c r="R2552" s="6" t="s">
        <v>7542</v>
      </c>
    </row>
    <row r="2553">
      <c r="A2553" s="6" t="s">
        <v>7537</v>
      </c>
      <c r="B2553" s="6" t="s">
        <v>7537</v>
      </c>
      <c r="C2553" s="6">
        <v>944.0</v>
      </c>
      <c r="D2553" s="9" t="str">
        <f>HYPERLINK("https://www.linkedin.com/ad-library/detail/1434060496","Open Ad")</f>
        <v>Open Ad</v>
      </c>
      <c r="E2553" s="6" t="s">
        <v>91</v>
      </c>
      <c r="F2553" s="6" t="s">
        <v>53</v>
      </c>
      <c r="G2553" s="6" t="s">
        <v>7722</v>
      </c>
      <c r="H2553" s="6" t="s">
        <v>55</v>
      </c>
      <c r="I2553" s="6" t="s">
        <v>7566</v>
      </c>
      <c r="J2553" s="6" t="s">
        <v>91</v>
      </c>
      <c r="K2553" s="6" t="s">
        <v>60</v>
      </c>
      <c r="L2553" s="6" t="s">
        <v>131</v>
      </c>
      <c r="M2553" s="6" t="s">
        <v>7537</v>
      </c>
      <c r="N2553" s="6" t="s">
        <v>132</v>
      </c>
      <c r="O2553" s="36" t="s">
        <v>132</v>
      </c>
      <c r="P2553" s="36">
        <v>1.434060496E9</v>
      </c>
      <c r="Q2553" s="36" t="s">
        <v>7541</v>
      </c>
      <c r="R2553" s="6" t="s">
        <v>7542</v>
      </c>
    </row>
    <row r="2554">
      <c r="A2554" s="6" t="s">
        <v>7537</v>
      </c>
      <c r="B2554" s="6" t="s">
        <v>7537</v>
      </c>
      <c r="C2554" s="6">
        <v>945.0</v>
      </c>
      <c r="D2554" s="9" t="str">
        <f>HYPERLINK("https://www.linkedin.com/ad-library/detail/1434090026","Open Ad")</f>
        <v>Open Ad</v>
      </c>
      <c r="E2554" s="6" t="s">
        <v>91</v>
      </c>
      <c r="F2554" s="6" t="s">
        <v>53</v>
      </c>
      <c r="G2554" s="6" t="s">
        <v>7597</v>
      </c>
      <c r="H2554" s="6" t="s">
        <v>55</v>
      </c>
      <c r="I2554" s="6" t="s">
        <v>7566</v>
      </c>
      <c r="J2554" s="6" t="s">
        <v>91</v>
      </c>
      <c r="K2554" s="9" t="str">
        <f>HYPERLINK("https://media.licdn.com/dms/image/v2/D5610AQGMVMBywOZTRA/image-shrink_1280/B56Z3WD4I4GsAc-/0/1777412834072/Ad11png?e=2147483647&amp;v=beta&amp;t=wEwvt57CmhCwh8mjwxDAOwifwJjctZBli8J_4VPqXQ0","Open Creative")</f>
        <v>Open Creative</v>
      </c>
      <c r="L2554" s="6" t="s">
        <v>131</v>
      </c>
      <c r="M2554" s="6" t="s">
        <v>7537</v>
      </c>
      <c r="N2554" s="6" t="s">
        <v>132</v>
      </c>
      <c r="O2554" s="36" t="s">
        <v>132</v>
      </c>
      <c r="P2554" s="36">
        <v>1.434090026E9</v>
      </c>
      <c r="Q2554" s="36" t="s">
        <v>7541</v>
      </c>
      <c r="R2554" s="6" t="s">
        <v>7542</v>
      </c>
    </row>
    <row r="2555">
      <c r="A2555" s="6" t="s">
        <v>7537</v>
      </c>
      <c r="B2555" s="6" t="s">
        <v>7537</v>
      </c>
      <c r="C2555" s="6">
        <v>946.0</v>
      </c>
      <c r="D2555" s="9" t="str">
        <f>HYPERLINK("https://www.linkedin.com/ad-library/detail/1433557856","Open Ad")</f>
        <v>Open Ad</v>
      </c>
      <c r="E2555" s="6" t="s">
        <v>154</v>
      </c>
      <c r="F2555" s="6" t="s">
        <v>53</v>
      </c>
      <c r="G2555" s="6" t="s">
        <v>7723</v>
      </c>
      <c r="H2555" s="6" t="s">
        <v>55</v>
      </c>
      <c r="I2555" s="6" t="s">
        <v>7566</v>
      </c>
      <c r="J2555" s="6" t="s">
        <v>154</v>
      </c>
      <c r="K2555" s="9" t="str">
        <f>HYPERLINK("https://dms.licdn.com/playlist/vid/v2/D4E05AQGQE2ul9M2SWQ/mp4-640p-30fp-crf28/B4EZ6dfBTRHABk-/0/1780758621521?e=2147483647&amp;v=beta&amp;t=fG8UULiK8qWue9Sx6GvOPbhx29G9ePRezvL-3DiCEhk","Open Creative")</f>
        <v>Open Creative</v>
      </c>
      <c r="L2555" s="6" t="s">
        <v>131</v>
      </c>
      <c r="M2555" s="6" t="s">
        <v>7537</v>
      </c>
      <c r="N2555" s="6" t="s">
        <v>132</v>
      </c>
      <c r="O2555" s="36" t="s">
        <v>132</v>
      </c>
      <c r="P2555" s="36">
        <v>1.433557856E9</v>
      </c>
      <c r="Q2555" s="36" t="s">
        <v>7541</v>
      </c>
      <c r="R2555" s="6" t="s">
        <v>7542</v>
      </c>
    </row>
    <row r="2556">
      <c r="A2556" s="6" t="s">
        <v>7537</v>
      </c>
      <c r="B2556" s="6" t="s">
        <v>7537</v>
      </c>
      <c r="C2556" s="6">
        <v>947.0</v>
      </c>
      <c r="D2556" s="9" t="str">
        <f>HYPERLINK("https://www.linkedin.com/ad-library/detail/1438071086","Open Ad")</f>
        <v>Open Ad</v>
      </c>
      <c r="E2556" s="6" t="s">
        <v>91</v>
      </c>
      <c r="F2556" s="6" t="s">
        <v>53</v>
      </c>
      <c r="G2556" s="6" t="s">
        <v>7721</v>
      </c>
      <c r="H2556" s="6" t="s">
        <v>55</v>
      </c>
      <c r="I2556" s="6" t="s">
        <v>7566</v>
      </c>
      <c r="J2556" s="6" t="s">
        <v>91</v>
      </c>
      <c r="K2556" s="9" t="str">
        <f>HYPERLINK("https://media.licdn.com/dms/image/v2/D4E10AQGQJhTM8ldS8g/image-shrink_1280/B4EZ6TLAXHJgAk-/0/1780585598684?e=2147483647&amp;v=beta&amp;t=hPqnRahPUGGQ3ldstYX0_09eunPptlv1sL408R-xyNM","Open Creative")</f>
        <v>Open Creative</v>
      </c>
      <c r="L2556" s="6" t="s">
        <v>131</v>
      </c>
      <c r="M2556" s="6" t="s">
        <v>7537</v>
      </c>
      <c r="N2556" s="6" t="s">
        <v>132</v>
      </c>
      <c r="O2556" s="36" t="s">
        <v>132</v>
      </c>
      <c r="P2556" s="36">
        <v>1.438071086E9</v>
      </c>
      <c r="Q2556" s="36" t="s">
        <v>7541</v>
      </c>
      <c r="R2556" s="6" t="s">
        <v>7542</v>
      </c>
    </row>
    <row r="2557">
      <c r="A2557" s="6" t="s">
        <v>7537</v>
      </c>
      <c r="B2557" s="6" t="s">
        <v>7537</v>
      </c>
      <c r="C2557" s="6">
        <v>948.0</v>
      </c>
      <c r="D2557" s="9" t="str">
        <f>HYPERLINK("https://www.linkedin.com/ad-library/detail/1434020016","Open Ad")</f>
        <v>Open Ad</v>
      </c>
      <c r="E2557" s="6" t="s">
        <v>91</v>
      </c>
      <c r="F2557" s="6" t="s">
        <v>53</v>
      </c>
      <c r="G2557" s="6" t="s">
        <v>7597</v>
      </c>
      <c r="H2557" s="6" t="s">
        <v>55</v>
      </c>
      <c r="I2557" s="6" t="s">
        <v>7566</v>
      </c>
      <c r="J2557" s="6" t="s">
        <v>91</v>
      </c>
      <c r="K2557" s="9" t="str">
        <f>HYPERLINK("https://media.licdn.com/dms/image/v2/D5610AQHboNfHfdoMGg/image-shrink_1280/B56Z39lJVLH4Ag-/0/1778075866691/Ad13png?e=2147483647&amp;v=beta&amp;t=w47eH2aNcVt5nGxpOUSqt9WGlOcn-OqTBTg2vMGSkLA","Open Creative")</f>
        <v>Open Creative</v>
      </c>
      <c r="L2557" s="6" t="s">
        <v>131</v>
      </c>
      <c r="M2557" s="6" t="s">
        <v>7537</v>
      </c>
      <c r="N2557" s="6" t="s">
        <v>132</v>
      </c>
      <c r="O2557" s="36" t="s">
        <v>132</v>
      </c>
      <c r="P2557" s="36">
        <v>1.434020016E9</v>
      </c>
      <c r="Q2557" s="36" t="s">
        <v>7541</v>
      </c>
      <c r="R2557" s="6" t="s">
        <v>7542</v>
      </c>
    </row>
    <row r="2558">
      <c r="A2558" s="6" t="s">
        <v>7537</v>
      </c>
      <c r="B2558" s="6" t="s">
        <v>7537</v>
      </c>
      <c r="C2558" s="6">
        <v>949.0</v>
      </c>
      <c r="D2558" s="9" t="str">
        <f>HYPERLINK("https://www.linkedin.com/ad-library/detail/1433947096","Open Ad")</f>
        <v>Open Ad</v>
      </c>
      <c r="E2558" s="6" t="s">
        <v>154</v>
      </c>
      <c r="F2558" s="6" t="s">
        <v>53</v>
      </c>
      <c r="G2558" s="6" t="s">
        <v>7724</v>
      </c>
      <c r="H2558" s="6" t="s">
        <v>55</v>
      </c>
      <c r="I2558" s="6" t="s">
        <v>7566</v>
      </c>
      <c r="J2558" s="6" t="s">
        <v>154</v>
      </c>
      <c r="K2558" s="9" t="str">
        <f>HYPERLINK("https://dms.licdn.com/playlist/vid/v2/D5610AQExSClRgrt9LA/mp4-720p-30fp-crf28/B56Z6nv1.BLACE-/0/1780930800305?e=2147483647&amp;v=beta&amp;t=JTLlfrK4bsbkCpK-eMHpt6ncgmdYOilaq-w2EaBLtdA","Open Creative")</f>
        <v>Open Creative</v>
      </c>
      <c r="L2558" s="6" t="s">
        <v>131</v>
      </c>
      <c r="M2558" s="6" t="s">
        <v>7537</v>
      </c>
      <c r="N2558" s="6" t="s">
        <v>132</v>
      </c>
      <c r="O2558" s="36" t="s">
        <v>132</v>
      </c>
      <c r="P2558" s="36">
        <v>1.433947096E9</v>
      </c>
      <c r="Q2558" s="36" t="s">
        <v>7541</v>
      </c>
      <c r="R2558" s="6" t="s">
        <v>7542</v>
      </c>
    </row>
    <row r="2559">
      <c r="A2559" s="6" t="s">
        <v>7537</v>
      </c>
      <c r="B2559" s="6" t="s">
        <v>7537</v>
      </c>
      <c r="C2559" s="6">
        <v>950.0</v>
      </c>
      <c r="D2559" s="9" t="str">
        <f>HYPERLINK("https://www.linkedin.com/ad-library/detail/1433112206","Open Ad")</f>
        <v>Open Ad</v>
      </c>
      <c r="E2559" s="6" t="s">
        <v>91</v>
      </c>
      <c r="F2559" s="6" t="s">
        <v>53</v>
      </c>
      <c r="G2559" s="6" t="s">
        <v>7721</v>
      </c>
      <c r="H2559" s="6" t="s">
        <v>55</v>
      </c>
      <c r="I2559" s="6" t="s">
        <v>7566</v>
      </c>
      <c r="J2559" s="6" t="s">
        <v>91</v>
      </c>
      <c r="K2559" s="9" t="str">
        <f>HYPERLINK("https://media.licdn.com/dms/image/v2/D4E10AQGQJhTM8ldS8g/image-shrink_1280/B4EZ6TLAXHJgAk-/0/1780585598684?e=2147483647&amp;v=beta&amp;t=hPqnRahPUGGQ3ldstYX0_09eunPptlv1sL408R-xyNM","Open Creative")</f>
        <v>Open Creative</v>
      </c>
      <c r="L2559" s="6" t="s">
        <v>131</v>
      </c>
      <c r="M2559" s="6" t="s">
        <v>7537</v>
      </c>
      <c r="N2559" s="6" t="s">
        <v>132</v>
      </c>
      <c r="O2559" s="36" t="s">
        <v>132</v>
      </c>
      <c r="P2559" s="36">
        <v>1.433112206E9</v>
      </c>
      <c r="Q2559" s="36" t="s">
        <v>7541</v>
      </c>
      <c r="R2559" s="6" t="s">
        <v>7542</v>
      </c>
    </row>
    <row r="2560">
      <c r="A2560" s="6" t="s">
        <v>7537</v>
      </c>
      <c r="B2560" s="6" t="s">
        <v>7537</v>
      </c>
      <c r="C2560" s="6">
        <v>951.0</v>
      </c>
      <c r="D2560" s="9" t="str">
        <f>HYPERLINK("https://www.linkedin.com/ad-library/detail/1438120966","Open Ad")</f>
        <v>Open Ad</v>
      </c>
      <c r="E2560" s="6" t="s">
        <v>91</v>
      </c>
      <c r="F2560" s="6" t="s">
        <v>53</v>
      </c>
      <c r="G2560" s="6" t="s">
        <v>7717</v>
      </c>
      <c r="H2560" s="6" t="s">
        <v>55</v>
      </c>
      <c r="I2560" s="6" t="s">
        <v>7566</v>
      </c>
      <c r="J2560" s="6" t="s">
        <v>91</v>
      </c>
      <c r="K2560" s="9" t="str">
        <f>HYPERLINK("https://media.licdn.com/dms/image/v2/D4E22AQH6gcTJwfWlKA/feedshare-image-high-res/B4EZ6QcWD5HkAU-/0/1780539813884?e=2147483647&amp;v=beta&amp;t=zzCjoyXUSA0k289LQFvZeJXQarmL5GghDH871a-b6aM","Open Creative")</f>
        <v>Open Creative</v>
      </c>
      <c r="L2560" s="6" t="s">
        <v>131</v>
      </c>
      <c r="M2560" s="6" t="s">
        <v>7537</v>
      </c>
      <c r="N2560" s="6" t="s">
        <v>132</v>
      </c>
      <c r="O2560" s="36" t="s">
        <v>132</v>
      </c>
      <c r="P2560" s="36">
        <v>1.438120966E9</v>
      </c>
      <c r="Q2560" s="36" t="s">
        <v>7541</v>
      </c>
      <c r="R2560" s="6" t="s">
        <v>7542</v>
      </c>
    </row>
    <row r="2561">
      <c r="A2561" s="6" t="s">
        <v>7537</v>
      </c>
      <c r="B2561" s="6" t="s">
        <v>7537</v>
      </c>
      <c r="C2561" s="6">
        <v>952.0</v>
      </c>
      <c r="D2561" s="9" t="str">
        <f>HYPERLINK("https://www.linkedin.com/ad-library/detail/1434050436","Open Ad")</f>
        <v>Open Ad</v>
      </c>
      <c r="E2561" s="6" t="s">
        <v>91</v>
      </c>
      <c r="F2561" s="6" t="s">
        <v>53</v>
      </c>
      <c r="G2561" s="6" t="s">
        <v>7725</v>
      </c>
      <c r="H2561" s="6" t="s">
        <v>55</v>
      </c>
      <c r="I2561" s="6" t="s">
        <v>7566</v>
      </c>
      <c r="J2561" s="6" t="s">
        <v>91</v>
      </c>
      <c r="K2561" s="6" t="s">
        <v>60</v>
      </c>
      <c r="L2561" s="6" t="s">
        <v>131</v>
      </c>
      <c r="M2561" s="6" t="s">
        <v>7537</v>
      </c>
      <c r="N2561" s="6" t="s">
        <v>132</v>
      </c>
      <c r="O2561" s="36" t="s">
        <v>132</v>
      </c>
      <c r="P2561" s="36">
        <v>1.434050436E9</v>
      </c>
      <c r="Q2561" s="36" t="s">
        <v>7541</v>
      </c>
      <c r="R2561" s="6" t="s">
        <v>7542</v>
      </c>
    </row>
    <row r="2562">
      <c r="A2562" s="6" t="s">
        <v>7537</v>
      </c>
      <c r="B2562" s="6" t="s">
        <v>7537</v>
      </c>
      <c r="C2562" s="6">
        <v>953.0</v>
      </c>
      <c r="D2562" s="9" t="str">
        <f>HYPERLINK("https://www.linkedin.com/ad-library/detail/1433950466","Open Ad")</f>
        <v>Open Ad</v>
      </c>
      <c r="E2562" s="6" t="s">
        <v>91</v>
      </c>
      <c r="F2562" s="6" t="s">
        <v>53</v>
      </c>
      <c r="G2562" s="6" t="s">
        <v>7726</v>
      </c>
      <c r="H2562" s="6" t="s">
        <v>55</v>
      </c>
      <c r="I2562" s="6" t="s">
        <v>7566</v>
      </c>
      <c r="J2562" s="6" t="s">
        <v>91</v>
      </c>
      <c r="K2562" s="6" t="s">
        <v>60</v>
      </c>
      <c r="L2562" s="6" t="s">
        <v>131</v>
      </c>
      <c r="M2562" s="6" t="s">
        <v>7537</v>
      </c>
      <c r="N2562" s="6" t="s">
        <v>132</v>
      </c>
      <c r="O2562" s="36" t="s">
        <v>132</v>
      </c>
      <c r="P2562" s="36">
        <v>1.433950466E9</v>
      </c>
      <c r="Q2562" s="36" t="s">
        <v>7541</v>
      </c>
      <c r="R2562" s="6" t="s">
        <v>7542</v>
      </c>
    </row>
    <row r="2563">
      <c r="A2563" s="6" t="s">
        <v>7537</v>
      </c>
      <c r="B2563" s="6" t="s">
        <v>7537</v>
      </c>
      <c r="C2563" s="6">
        <v>954.0</v>
      </c>
      <c r="D2563" s="9" t="str">
        <f>HYPERLINK("https://www.linkedin.com/ad-library/detail/1433607806","Open Ad")</f>
        <v>Open Ad</v>
      </c>
      <c r="E2563" s="6" t="s">
        <v>154</v>
      </c>
      <c r="F2563" s="6" t="s">
        <v>53</v>
      </c>
      <c r="G2563" s="6" t="s">
        <v>7720</v>
      </c>
      <c r="H2563" s="6" t="s">
        <v>55</v>
      </c>
      <c r="I2563" s="6" t="s">
        <v>7566</v>
      </c>
      <c r="J2563" s="6" t="s">
        <v>154</v>
      </c>
      <c r="K2563" s="9" t="str">
        <f>HYPERLINK("https://dms.licdn.com/playlist/vid/v2/D4E05AQFrJVO0dJCegw/mp4-640p-30fp-crf28/B4EZ6eLpi5GQBk-/0/1780770375121?e=2147483647&amp;v=beta&amp;t=v25VJ1lDTsu3nuMI3dqC-0tN1ADOFVK0BlWSXoq1Af0","Open Creative")</f>
        <v>Open Creative</v>
      </c>
      <c r="L2563" s="6" t="s">
        <v>131</v>
      </c>
      <c r="M2563" s="6" t="s">
        <v>7537</v>
      </c>
      <c r="N2563" s="6" t="s">
        <v>132</v>
      </c>
      <c r="O2563" s="36" t="s">
        <v>132</v>
      </c>
      <c r="P2563" s="36">
        <v>1.433607806E9</v>
      </c>
      <c r="Q2563" s="36" t="s">
        <v>7541</v>
      </c>
      <c r="R2563" s="6" t="s">
        <v>7542</v>
      </c>
    </row>
    <row r="2564">
      <c r="A2564" s="6" t="s">
        <v>7537</v>
      </c>
      <c r="B2564" s="6" t="s">
        <v>7537</v>
      </c>
      <c r="C2564" s="6">
        <v>955.0</v>
      </c>
      <c r="D2564" s="9" t="str">
        <f>HYPERLINK("https://www.linkedin.com/ad-library/detail/1433930986","Open Ad")</f>
        <v>Open Ad</v>
      </c>
      <c r="E2564" s="6" t="s">
        <v>91</v>
      </c>
      <c r="F2564" s="6" t="s">
        <v>53</v>
      </c>
      <c r="G2564" s="6" t="s">
        <v>7727</v>
      </c>
      <c r="H2564" s="6" t="s">
        <v>55</v>
      </c>
      <c r="I2564" s="6" t="s">
        <v>7566</v>
      </c>
      <c r="J2564" s="6" t="s">
        <v>91</v>
      </c>
      <c r="K2564" s="6" t="s">
        <v>60</v>
      </c>
      <c r="L2564" s="6" t="s">
        <v>131</v>
      </c>
      <c r="M2564" s="6" t="s">
        <v>7537</v>
      </c>
      <c r="N2564" s="6" t="s">
        <v>132</v>
      </c>
      <c r="O2564" s="36" t="s">
        <v>132</v>
      </c>
      <c r="P2564" s="36">
        <v>1.433930986E9</v>
      </c>
      <c r="Q2564" s="36" t="s">
        <v>7541</v>
      </c>
      <c r="R2564" s="6" t="s">
        <v>7542</v>
      </c>
    </row>
    <row r="2565">
      <c r="A2565" s="6" t="s">
        <v>7537</v>
      </c>
      <c r="B2565" s="6" t="s">
        <v>7537</v>
      </c>
      <c r="C2565" s="6">
        <v>956.0</v>
      </c>
      <c r="D2565" s="9" t="str">
        <f>HYPERLINK("https://www.linkedin.com/ad-library/detail/1434020276","Open Ad")</f>
        <v>Open Ad</v>
      </c>
      <c r="E2565" s="6" t="s">
        <v>91</v>
      </c>
      <c r="F2565" s="6" t="s">
        <v>53</v>
      </c>
      <c r="G2565" s="6" t="s">
        <v>7597</v>
      </c>
      <c r="H2565" s="6" t="s">
        <v>55</v>
      </c>
      <c r="I2565" s="6" t="s">
        <v>7566</v>
      </c>
      <c r="J2565" s="6" t="s">
        <v>91</v>
      </c>
      <c r="K2565" s="9" t="str">
        <f>HYPERLINK("https://media.licdn.com/dms/image/v2/D5610AQH-q8Kfz-YVbQ/image-shrink_1280/B56Z3WDoOFKgAc-/0/1777412768916/Adpng?e=2147483647&amp;v=beta&amp;t=Lvt6Go03KIs4rRA12hIMu8l80ejL9dzwHdp0rAwmuTM","Open Creative")</f>
        <v>Open Creative</v>
      </c>
      <c r="L2565" s="6" t="s">
        <v>131</v>
      </c>
      <c r="M2565" s="6" t="s">
        <v>7537</v>
      </c>
      <c r="N2565" s="6" t="s">
        <v>132</v>
      </c>
      <c r="O2565" s="36" t="s">
        <v>132</v>
      </c>
      <c r="P2565" s="36">
        <v>1.434020276E9</v>
      </c>
      <c r="Q2565" s="36" t="s">
        <v>7541</v>
      </c>
      <c r="R2565" s="6" t="s">
        <v>7542</v>
      </c>
    </row>
    <row r="2566">
      <c r="A2566" s="6" t="s">
        <v>7537</v>
      </c>
      <c r="B2566" s="6" t="s">
        <v>7537</v>
      </c>
      <c r="C2566" s="6">
        <v>957.0</v>
      </c>
      <c r="D2566" s="9" t="str">
        <f>HYPERLINK("https://www.linkedin.com/ad-library/detail/1433161766","Open Ad")</f>
        <v>Open Ad</v>
      </c>
      <c r="E2566" s="6" t="s">
        <v>91</v>
      </c>
      <c r="F2566" s="6" t="s">
        <v>53</v>
      </c>
      <c r="G2566" s="6" t="s">
        <v>7705</v>
      </c>
      <c r="H2566" s="6" t="s">
        <v>55</v>
      </c>
      <c r="I2566" s="6" t="s">
        <v>7566</v>
      </c>
      <c r="J2566" s="6" t="s">
        <v>91</v>
      </c>
      <c r="K2566" s="9" t="str">
        <f>HYPERLINK("https://media.licdn.com/dms/image/v2/D4E10AQGkYBLaXhnL-A/image-shrink_1280/B4EZ6TLwAZHkAc-/0/1780585792816?e=2147483647&amp;v=beta&amp;t=TQ0aeJEpUOG49vXTJVSm5BWrMcWBLNJb45NuxLkA9C4","Open Creative")</f>
        <v>Open Creative</v>
      </c>
      <c r="L2566" s="6" t="s">
        <v>131</v>
      </c>
      <c r="M2566" s="6" t="s">
        <v>7537</v>
      </c>
      <c r="N2566" s="6" t="s">
        <v>132</v>
      </c>
      <c r="O2566" s="36" t="s">
        <v>132</v>
      </c>
      <c r="P2566" s="36">
        <v>1.433161766E9</v>
      </c>
      <c r="Q2566" s="36" t="s">
        <v>7541</v>
      </c>
      <c r="R2566" s="6" t="s">
        <v>7542</v>
      </c>
    </row>
    <row r="2567">
      <c r="A2567" s="6" t="s">
        <v>7537</v>
      </c>
      <c r="B2567" s="6" t="s">
        <v>7537</v>
      </c>
      <c r="C2567" s="6">
        <v>958.0</v>
      </c>
      <c r="D2567" s="9" t="str">
        <f>HYPERLINK("https://www.linkedin.com/ad-library/detail/1433647426","Open Ad")</f>
        <v>Open Ad</v>
      </c>
      <c r="E2567" s="6" t="s">
        <v>154</v>
      </c>
      <c r="F2567" s="6" t="s">
        <v>53</v>
      </c>
      <c r="G2567" s="6" t="s">
        <v>7720</v>
      </c>
      <c r="H2567" s="6" t="s">
        <v>55</v>
      </c>
      <c r="I2567" s="6" t="s">
        <v>7566</v>
      </c>
      <c r="J2567" s="6" t="s">
        <v>154</v>
      </c>
      <c r="K2567" s="9" t="str">
        <f>HYPERLINK("https://dms.licdn.com/playlist/vid/v2/D4E05AQFrJVO0dJCegw/mp4-640p-30fp-crf28/B4EZ6eLpi5GQBk-/0/1780770375121?e=2147483647&amp;v=beta&amp;t=v25VJ1lDTsu3nuMI3dqC-0tN1ADOFVK0BlWSXoq1Af0","Open Creative")</f>
        <v>Open Creative</v>
      </c>
      <c r="L2567" s="6" t="s">
        <v>131</v>
      </c>
      <c r="M2567" s="6" t="s">
        <v>7537</v>
      </c>
      <c r="N2567" s="6" t="s">
        <v>132</v>
      </c>
      <c r="O2567" s="36" t="s">
        <v>132</v>
      </c>
      <c r="P2567" s="36">
        <v>1.433647426E9</v>
      </c>
      <c r="Q2567" s="36" t="s">
        <v>7541</v>
      </c>
      <c r="R2567" s="6" t="s">
        <v>7542</v>
      </c>
    </row>
    <row r="2568">
      <c r="A2568" s="6" t="s">
        <v>7537</v>
      </c>
      <c r="B2568" s="6" t="s">
        <v>7537</v>
      </c>
      <c r="C2568" s="6">
        <v>959.0</v>
      </c>
      <c r="D2568" s="9" t="str">
        <f>HYPERLINK("https://www.linkedin.com/ad-library/detail/1434050426","Open Ad")</f>
        <v>Open Ad</v>
      </c>
      <c r="E2568" s="6" t="s">
        <v>91</v>
      </c>
      <c r="F2568" s="6" t="s">
        <v>53</v>
      </c>
      <c r="G2568" s="6" t="s">
        <v>7607</v>
      </c>
      <c r="H2568" s="6" t="s">
        <v>55</v>
      </c>
      <c r="I2568" s="6" t="s">
        <v>7566</v>
      </c>
      <c r="J2568" s="6" t="s">
        <v>91</v>
      </c>
      <c r="K2568" s="6" t="s">
        <v>60</v>
      </c>
      <c r="L2568" s="6" t="s">
        <v>131</v>
      </c>
      <c r="M2568" s="6" t="s">
        <v>7537</v>
      </c>
      <c r="N2568" s="6" t="s">
        <v>132</v>
      </c>
      <c r="O2568" s="36" t="s">
        <v>132</v>
      </c>
      <c r="P2568" s="36">
        <v>1.434050426E9</v>
      </c>
      <c r="Q2568" s="36" t="s">
        <v>7541</v>
      </c>
      <c r="R2568" s="6" t="s">
        <v>7542</v>
      </c>
    </row>
    <row r="2569">
      <c r="A2569" s="6" t="s">
        <v>7537</v>
      </c>
      <c r="B2569" s="6" t="s">
        <v>7537</v>
      </c>
      <c r="C2569" s="6">
        <v>960.0</v>
      </c>
      <c r="D2569" s="9" t="str">
        <f>HYPERLINK("https://www.linkedin.com/ad-library/detail/1437973136","Open Ad")</f>
        <v>Open Ad</v>
      </c>
      <c r="E2569" s="6" t="s">
        <v>91</v>
      </c>
      <c r="F2569" s="6" t="s">
        <v>53</v>
      </c>
      <c r="G2569" s="6" t="s">
        <v>7710</v>
      </c>
      <c r="H2569" s="6" t="s">
        <v>55</v>
      </c>
      <c r="I2569" s="6" t="s">
        <v>7566</v>
      </c>
      <c r="J2569" s="6" t="s">
        <v>91</v>
      </c>
      <c r="K2569" s="9" t="str">
        <f>HYPERLINK("https://media.licdn.com/dms/image/v2/D5610AQEK4TATx-B99A/image-shrink_1280/B56Z6EYCniKwAg-/0/1780337357502?e=2147483647&amp;v=beta&amp;t=OgwqZJb3gRErqrVDoqBCse57giXjEoiOJxi_5ly0GbU","Open Creative")</f>
        <v>Open Creative</v>
      </c>
      <c r="L2569" s="6" t="s">
        <v>131</v>
      </c>
      <c r="M2569" s="6" t="s">
        <v>7537</v>
      </c>
      <c r="N2569" s="6" t="s">
        <v>132</v>
      </c>
      <c r="O2569" s="36" t="s">
        <v>132</v>
      </c>
      <c r="P2569" s="36">
        <v>1.437973136E9</v>
      </c>
      <c r="Q2569" s="36" t="s">
        <v>7541</v>
      </c>
      <c r="R2569" s="6" t="s">
        <v>7542</v>
      </c>
    </row>
    <row r="2570">
      <c r="A2570" s="6" t="s">
        <v>7537</v>
      </c>
      <c r="B2570" s="6" t="s">
        <v>7537</v>
      </c>
      <c r="C2570" s="6">
        <v>961.0</v>
      </c>
      <c r="D2570" s="9" t="str">
        <f>HYPERLINK("https://www.linkedin.com/ad-library/detail/1431411516","Open Ad")</f>
        <v>Open Ad</v>
      </c>
      <c r="E2570" s="6" t="s">
        <v>154</v>
      </c>
      <c r="F2570" s="6" t="s">
        <v>53</v>
      </c>
      <c r="G2570" s="6" t="s">
        <v>7581</v>
      </c>
      <c r="H2570" s="6" t="s">
        <v>55</v>
      </c>
      <c r="I2570" s="6" t="s">
        <v>7566</v>
      </c>
      <c r="J2570" s="6" t="s">
        <v>154</v>
      </c>
      <c r="K2570" s="9" t="str">
        <f>HYPERLINK("https://dms.licdn.com/playlist/vid/v2/D4E10AQFbU42CgG1Z7g/mp4-720p-30fp-crf28/B4EZ6E1cjuIkBk-/0/1780345071320?e=2147483647&amp;v=beta&amp;t=lm4Raasi9Hn2k_Jca5TAGdFZZmL4wlksoW4hHU6e3XU","Open Creative")</f>
        <v>Open Creative</v>
      </c>
      <c r="L2570" s="6" t="s">
        <v>131</v>
      </c>
      <c r="M2570" s="6" t="s">
        <v>7537</v>
      </c>
      <c r="N2570" s="6" t="s">
        <v>132</v>
      </c>
      <c r="O2570" s="36" t="s">
        <v>132</v>
      </c>
      <c r="P2570" s="36">
        <v>1.431411516E9</v>
      </c>
      <c r="Q2570" s="36" t="s">
        <v>7541</v>
      </c>
      <c r="R2570" s="6" t="s">
        <v>7542</v>
      </c>
    </row>
    <row r="2571">
      <c r="A2571" s="6" t="s">
        <v>7537</v>
      </c>
      <c r="B2571" s="6" t="s">
        <v>7537</v>
      </c>
      <c r="C2571" s="6">
        <v>962.0</v>
      </c>
      <c r="D2571" s="9" t="str">
        <f>HYPERLINK("https://www.linkedin.com/ad-library/detail/1433042566","Open Ad")</f>
        <v>Open Ad</v>
      </c>
      <c r="E2571" s="6" t="s">
        <v>91</v>
      </c>
      <c r="F2571" s="6" t="s">
        <v>53</v>
      </c>
      <c r="G2571" s="6" t="s">
        <v>7728</v>
      </c>
      <c r="H2571" s="6" t="s">
        <v>55</v>
      </c>
      <c r="I2571" s="6" t="s">
        <v>7566</v>
      </c>
      <c r="J2571" s="6" t="s">
        <v>91</v>
      </c>
      <c r="K2571" s="9" t="str">
        <f>HYPERLINK("https://media.licdn.com/dms/image/v2/D4E10AQFTSYvqK-P9Hw/image-shrink_1280/B4EZ6UU9pHIUAc-/0/1780604984584?e=2147483647&amp;v=beta&amp;t=asALE0FuY_22ywbCEcWrixVL5PJXMLy4zsMErBBIgMk","Open Creative")</f>
        <v>Open Creative</v>
      </c>
      <c r="L2571" s="6" t="s">
        <v>131</v>
      </c>
      <c r="M2571" s="6" t="s">
        <v>7537</v>
      </c>
      <c r="N2571" s="6" t="s">
        <v>132</v>
      </c>
      <c r="O2571" s="36" t="s">
        <v>132</v>
      </c>
      <c r="P2571" s="36">
        <v>1.433042566E9</v>
      </c>
      <c r="Q2571" s="36" t="s">
        <v>7541</v>
      </c>
      <c r="R2571" s="6" t="s">
        <v>7542</v>
      </c>
    </row>
    <row r="2572">
      <c r="A2572" s="6" t="s">
        <v>7537</v>
      </c>
      <c r="B2572" s="6" t="s">
        <v>7537</v>
      </c>
      <c r="C2572" s="6">
        <v>963.0</v>
      </c>
      <c r="D2572" s="9" t="str">
        <f>HYPERLINK("https://www.linkedin.com/ad-library/detail/1431326316","Open Ad")</f>
        <v>Open Ad</v>
      </c>
      <c r="E2572" s="6" t="s">
        <v>154</v>
      </c>
      <c r="F2572" s="6" t="s">
        <v>53</v>
      </c>
      <c r="G2572" s="6" t="s">
        <v>7581</v>
      </c>
      <c r="H2572" s="6" t="s">
        <v>55</v>
      </c>
      <c r="I2572" s="6" t="s">
        <v>7566</v>
      </c>
      <c r="J2572" s="6" t="s">
        <v>154</v>
      </c>
      <c r="K2572" s="9" t="str">
        <f>HYPERLINK("https://dms.licdn.com/playlist/vid/v2/D4E10AQFbU42CgG1Z7g/mp4-720p-30fp-crf28/B4EZ6E1cjuIkBk-/0/1780345071320?e=2147483647&amp;v=beta&amp;t=lm4Raasi9Hn2k_Jca5TAGdFZZmL4wlksoW4hHU6e3XU","Open Creative")</f>
        <v>Open Creative</v>
      </c>
      <c r="L2572" s="6" t="s">
        <v>131</v>
      </c>
      <c r="M2572" s="6" t="s">
        <v>7537</v>
      </c>
      <c r="N2572" s="6" t="s">
        <v>132</v>
      </c>
      <c r="O2572" s="36" t="s">
        <v>132</v>
      </c>
      <c r="P2572" s="36">
        <v>1.431326316E9</v>
      </c>
      <c r="Q2572" s="36" t="s">
        <v>7541</v>
      </c>
      <c r="R2572" s="6" t="s">
        <v>7542</v>
      </c>
    </row>
    <row r="2573">
      <c r="A2573" s="6" t="s">
        <v>7537</v>
      </c>
      <c r="B2573" s="6" t="s">
        <v>7537</v>
      </c>
      <c r="C2573" s="6">
        <v>964.0</v>
      </c>
      <c r="D2573" s="9" t="str">
        <f>HYPERLINK("https://www.linkedin.com/ad-library/detail/1431490826","Open Ad")</f>
        <v>Open Ad</v>
      </c>
      <c r="E2573" s="6" t="s">
        <v>91</v>
      </c>
      <c r="F2573" s="6" t="s">
        <v>53</v>
      </c>
      <c r="G2573" s="6" t="s">
        <v>7729</v>
      </c>
      <c r="H2573" s="6" t="s">
        <v>55</v>
      </c>
      <c r="I2573" s="6" t="s">
        <v>7566</v>
      </c>
      <c r="J2573" s="6" t="s">
        <v>91</v>
      </c>
      <c r="K2573" s="9" t="str">
        <f>HYPERLINK("https://media.licdn.com/dms/image/v2/D4E22AQEiKuf6y_4noA/feedshare-shrink_1280/B4EZ6IhDsPGwAQ-/0/1780406828244?e=2147483647&amp;v=beta&amp;t=Z6zoH2fzRtxMaNxoRpqRJ9ZTwNBSrs0x-S4_VOnTKaM","Open Creative")</f>
        <v>Open Creative</v>
      </c>
      <c r="L2573" s="6" t="s">
        <v>131</v>
      </c>
      <c r="M2573" s="6" t="s">
        <v>7537</v>
      </c>
      <c r="N2573" s="6" t="s">
        <v>132</v>
      </c>
      <c r="O2573" s="36" t="s">
        <v>132</v>
      </c>
      <c r="P2573" s="36">
        <v>1.431490826E9</v>
      </c>
      <c r="Q2573" s="36" t="s">
        <v>7541</v>
      </c>
      <c r="R2573" s="6" t="s">
        <v>7542</v>
      </c>
    </row>
    <row r="2574">
      <c r="A2574" s="6" t="s">
        <v>7537</v>
      </c>
      <c r="B2574" s="6" t="s">
        <v>7537</v>
      </c>
      <c r="C2574" s="6">
        <v>965.0</v>
      </c>
      <c r="D2574" s="9" t="str">
        <f>HYPERLINK("https://www.linkedin.com/ad-library/detail/1431401466","Open Ad")</f>
        <v>Open Ad</v>
      </c>
      <c r="E2574" s="6" t="s">
        <v>154</v>
      </c>
      <c r="F2574" s="6" t="s">
        <v>53</v>
      </c>
      <c r="G2574" s="6" t="s">
        <v>7581</v>
      </c>
      <c r="H2574" s="6" t="s">
        <v>55</v>
      </c>
      <c r="I2574" s="6" t="s">
        <v>7566</v>
      </c>
      <c r="J2574" s="6" t="s">
        <v>154</v>
      </c>
      <c r="K2574" s="9" t="str">
        <f>HYPERLINK("https://dms.licdn.com/playlist/vid/v2/D4E10AQFbU42CgG1Z7g/mp4-720p-30fp-crf28/B4EZ6E1cjuIkBk-/0/1780345071320?e=2147483647&amp;v=beta&amp;t=lm4Raasi9Hn2k_Jca5TAGdFZZmL4wlksoW4hHU6e3XU","Open Creative")</f>
        <v>Open Creative</v>
      </c>
      <c r="L2574" s="6" t="s">
        <v>131</v>
      </c>
      <c r="M2574" s="6" t="s">
        <v>7537</v>
      </c>
      <c r="N2574" s="6" t="s">
        <v>132</v>
      </c>
      <c r="O2574" s="36" t="s">
        <v>132</v>
      </c>
      <c r="P2574" s="36">
        <v>1.431401466E9</v>
      </c>
      <c r="Q2574" s="36" t="s">
        <v>7541</v>
      </c>
      <c r="R2574" s="6" t="s">
        <v>7542</v>
      </c>
    </row>
    <row r="2575">
      <c r="A2575" s="6" t="s">
        <v>7537</v>
      </c>
      <c r="B2575" s="6" t="s">
        <v>7537</v>
      </c>
      <c r="C2575" s="6">
        <v>966.0</v>
      </c>
      <c r="D2575" s="9" t="str">
        <f>HYPERLINK("https://www.linkedin.com/ad-library/detail/1431343416","Open Ad")</f>
        <v>Open Ad</v>
      </c>
      <c r="E2575" s="6" t="s">
        <v>91</v>
      </c>
      <c r="F2575" s="6" t="s">
        <v>53</v>
      </c>
      <c r="G2575" s="6" t="s">
        <v>7729</v>
      </c>
      <c r="H2575" s="6" t="s">
        <v>55</v>
      </c>
      <c r="I2575" s="6" t="s">
        <v>7566</v>
      </c>
      <c r="J2575" s="6" t="s">
        <v>91</v>
      </c>
      <c r="K2575" s="9" t="str">
        <f>HYPERLINK("https://media.licdn.com/dms/image/v2/D4E22AQEiKuf6y_4noA/feedshare-shrink_1280/B4EZ6IhDsPGwAQ-/0/1780406828244?e=2147483647&amp;v=beta&amp;t=Z6zoH2fzRtxMaNxoRpqRJ9ZTwNBSrs0x-S4_VOnTKaM","Open Creative")</f>
        <v>Open Creative</v>
      </c>
      <c r="L2575" s="6" t="s">
        <v>131</v>
      </c>
      <c r="M2575" s="6" t="s">
        <v>7537</v>
      </c>
      <c r="N2575" s="6" t="s">
        <v>132</v>
      </c>
      <c r="O2575" s="36" t="s">
        <v>132</v>
      </c>
      <c r="P2575" s="36">
        <v>1.431343416E9</v>
      </c>
      <c r="Q2575" s="36" t="s">
        <v>7541</v>
      </c>
      <c r="R2575" s="6" t="s">
        <v>7542</v>
      </c>
    </row>
    <row r="2576">
      <c r="A2576" s="6" t="s">
        <v>7537</v>
      </c>
      <c r="B2576" s="6" t="s">
        <v>7537</v>
      </c>
      <c r="C2576" s="6">
        <v>967.0</v>
      </c>
      <c r="D2576" s="9" t="str">
        <f>HYPERLINK("https://www.linkedin.com/ad-library/detail/1426311326","Open Ad")</f>
        <v>Open Ad</v>
      </c>
      <c r="E2576" s="6" t="s">
        <v>91</v>
      </c>
      <c r="F2576" s="6" t="s">
        <v>53</v>
      </c>
      <c r="G2576" s="6" t="s">
        <v>7610</v>
      </c>
      <c r="H2576" s="6" t="s">
        <v>55</v>
      </c>
      <c r="I2576" s="6" t="s">
        <v>7566</v>
      </c>
      <c r="J2576" s="6" t="s">
        <v>91</v>
      </c>
      <c r="K2576" s="9" t="str">
        <f>HYPERLINK("https://media.licdn.com/dms/image/v2/D5610AQERUevwH6cWPA/image-shrink_1280/B56Z6AaLIUKkAc-/0/1780270805756/Ad211png?e=2147483647&amp;v=beta&amp;t=EU-zb0V4Qt9I9Pmof6TxqYfN8i31tA-XtbaSSkHtjdY","Open Creative")</f>
        <v>Open Creative</v>
      </c>
      <c r="L2576" s="6" t="s">
        <v>131</v>
      </c>
      <c r="M2576" s="6" t="s">
        <v>7537</v>
      </c>
      <c r="N2576" s="6" t="s">
        <v>132</v>
      </c>
      <c r="O2576" s="36" t="s">
        <v>132</v>
      </c>
      <c r="P2576" s="36">
        <v>1.426311326E9</v>
      </c>
      <c r="Q2576" s="36" t="s">
        <v>7541</v>
      </c>
      <c r="R2576" s="6" t="s">
        <v>7542</v>
      </c>
    </row>
    <row r="2577">
      <c r="A2577" s="6" t="s">
        <v>7537</v>
      </c>
      <c r="B2577" s="6" t="s">
        <v>7537</v>
      </c>
      <c r="C2577" s="6">
        <v>968.0</v>
      </c>
      <c r="D2577" s="9" t="str">
        <f>HYPERLINK("https://www.linkedin.com/ad-library/detail/1426421226","Open Ad")</f>
        <v>Open Ad</v>
      </c>
      <c r="E2577" s="6" t="s">
        <v>91</v>
      </c>
      <c r="F2577" s="6" t="s">
        <v>53</v>
      </c>
      <c r="G2577" s="6" t="s">
        <v>7658</v>
      </c>
      <c r="H2577" s="6" t="s">
        <v>55</v>
      </c>
      <c r="I2577" s="6" t="s">
        <v>7566</v>
      </c>
      <c r="J2577" s="6" t="s">
        <v>91</v>
      </c>
      <c r="K2577" s="9" t="str">
        <f>HYPERLINK("https://media.licdn.com/dms/image/v2/D5610AQEC6uKodaP14A/image-shrink_1280/B56Z6AaqPKHwAg-/0/1780270933257/Ad201png?e=2147483647&amp;v=beta&amp;t=1A661kGu5AkvtoRboYevKI4nXl-sd3eUIKlZq0ouF78","Open Creative")</f>
        <v>Open Creative</v>
      </c>
      <c r="L2577" s="6" t="s">
        <v>131</v>
      </c>
      <c r="M2577" s="6" t="s">
        <v>7537</v>
      </c>
      <c r="N2577" s="6" t="s">
        <v>132</v>
      </c>
      <c r="O2577" s="36" t="s">
        <v>132</v>
      </c>
      <c r="P2577" s="36">
        <v>1.426421226E9</v>
      </c>
      <c r="Q2577" s="36" t="s">
        <v>7541</v>
      </c>
      <c r="R2577" s="6" t="s">
        <v>7542</v>
      </c>
    </row>
    <row r="2578">
      <c r="A2578" s="6" t="s">
        <v>7537</v>
      </c>
      <c r="B2578" s="6" t="s">
        <v>7537</v>
      </c>
      <c r="C2578" s="6">
        <v>969.0</v>
      </c>
      <c r="D2578" s="9" t="str">
        <f>HYPERLINK("https://www.linkedin.com/ad-library/detail/1432929856","Open Ad")</f>
        <v>Open Ad</v>
      </c>
      <c r="E2578" s="6" t="s">
        <v>91</v>
      </c>
      <c r="F2578" s="6" t="s">
        <v>53</v>
      </c>
      <c r="G2578" s="6" t="s">
        <v>7728</v>
      </c>
      <c r="H2578" s="6" t="s">
        <v>55</v>
      </c>
      <c r="I2578" s="6" t="s">
        <v>7566</v>
      </c>
      <c r="J2578" s="6" t="s">
        <v>91</v>
      </c>
      <c r="K2578" s="9" t="str">
        <f>HYPERLINK("https://media.licdn.com/dms/image/v2/D4E10AQFTSYvqK-P9Hw/image-shrink_1280/B4EZ6UU9pHIUAc-/0/1780604984584?e=2147483647&amp;v=beta&amp;t=asALE0FuY_22ywbCEcWrixVL5PJXMLy4zsMErBBIgMk","Open Creative")</f>
        <v>Open Creative</v>
      </c>
      <c r="L2578" s="6" t="s">
        <v>131</v>
      </c>
      <c r="M2578" s="6" t="s">
        <v>7537</v>
      </c>
      <c r="N2578" s="6" t="s">
        <v>132</v>
      </c>
      <c r="O2578" s="36" t="s">
        <v>132</v>
      </c>
      <c r="P2578" s="36">
        <v>1.432929856E9</v>
      </c>
      <c r="Q2578" s="36" t="s">
        <v>7541</v>
      </c>
      <c r="R2578" s="6" t="s">
        <v>7542</v>
      </c>
    </row>
    <row r="2579">
      <c r="A2579" s="6" t="s">
        <v>7537</v>
      </c>
      <c r="B2579" s="6" t="s">
        <v>7537</v>
      </c>
      <c r="C2579" s="6">
        <v>970.0</v>
      </c>
      <c r="D2579" s="9" t="str">
        <f>HYPERLINK("https://www.linkedin.com/ad-library/detail/1431352196","Open Ad")</f>
        <v>Open Ad</v>
      </c>
      <c r="E2579" s="6" t="s">
        <v>91</v>
      </c>
      <c r="F2579" s="6" t="s">
        <v>53</v>
      </c>
      <c r="G2579" s="6" t="s">
        <v>7729</v>
      </c>
      <c r="H2579" s="6" t="s">
        <v>55</v>
      </c>
      <c r="I2579" s="6" t="s">
        <v>7566</v>
      </c>
      <c r="J2579" s="6" t="s">
        <v>91</v>
      </c>
      <c r="K2579" s="9" t="str">
        <f>HYPERLINK("https://media.licdn.com/dms/image/v2/D4E22AQEiKuf6y_4noA/feedshare-shrink_1280/B4EZ6IhDsPGwAQ-/0/1780406828244?e=2147483647&amp;v=beta&amp;t=Z6zoH2fzRtxMaNxoRpqRJ9ZTwNBSrs0x-S4_VOnTKaM","Open Creative")</f>
        <v>Open Creative</v>
      </c>
      <c r="L2579" s="6" t="s">
        <v>131</v>
      </c>
      <c r="M2579" s="6" t="s">
        <v>7537</v>
      </c>
      <c r="N2579" s="6" t="s">
        <v>132</v>
      </c>
      <c r="O2579" s="36" t="s">
        <v>132</v>
      </c>
      <c r="P2579" s="36">
        <v>1.431352196E9</v>
      </c>
      <c r="Q2579" s="36" t="s">
        <v>7541</v>
      </c>
      <c r="R2579" s="6" t="s">
        <v>7542</v>
      </c>
    </row>
    <row r="2580">
      <c r="A2580" s="6" t="s">
        <v>7537</v>
      </c>
      <c r="B2580" s="6" t="s">
        <v>7537</v>
      </c>
      <c r="C2580" s="6">
        <v>971.0</v>
      </c>
      <c r="D2580" s="9" t="str">
        <f>HYPERLINK("https://www.linkedin.com/ad-library/detail/1433141996","Open Ad")</f>
        <v>Open Ad</v>
      </c>
      <c r="E2580" s="6" t="s">
        <v>91</v>
      </c>
      <c r="F2580" s="6" t="s">
        <v>53</v>
      </c>
      <c r="G2580" s="6" t="s">
        <v>7728</v>
      </c>
      <c r="H2580" s="6" t="s">
        <v>55</v>
      </c>
      <c r="I2580" s="6" t="s">
        <v>7566</v>
      </c>
      <c r="J2580" s="6" t="s">
        <v>91</v>
      </c>
      <c r="K2580" s="9" t="str">
        <f t="shared" ref="K2580:K2581" si="101">HYPERLINK("https://media.licdn.com/dms/image/v2/D4E10AQFTSYvqK-P9Hw/image-shrink_1280/B4EZ6UU9pHIUAc-/0/1780604984584?e=2147483647&amp;v=beta&amp;t=asALE0FuY_22ywbCEcWrixVL5PJXMLy4zsMErBBIgMk","Open Creative")</f>
        <v>Open Creative</v>
      </c>
      <c r="L2580" s="6" t="s">
        <v>131</v>
      </c>
      <c r="M2580" s="6" t="s">
        <v>7537</v>
      </c>
      <c r="N2580" s="6" t="s">
        <v>132</v>
      </c>
      <c r="O2580" s="36" t="s">
        <v>132</v>
      </c>
      <c r="P2580" s="36">
        <v>1.433141996E9</v>
      </c>
      <c r="Q2580" s="36" t="s">
        <v>7541</v>
      </c>
      <c r="R2580" s="6" t="s">
        <v>7542</v>
      </c>
    </row>
    <row r="2581">
      <c r="A2581" s="6" t="s">
        <v>7537</v>
      </c>
      <c r="B2581" s="6" t="s">
        <v>7537</v>
      </c>
      <c r="C2581" s="6">
        <v>972.0</v>
      </c>
      <c r="D2581" s="9" t="str">
        <f>HYPERLINK("https://www.linkedin.com/ad-library/detail/1433062606","Open Ad")</f>
        <v>Open Ad</v>
      </c>
      <c r="E2581" s="6" t="s">
        <v>91</v>
      </c>
      <c r="F2581" s="6" t="s">
        <v>53</v>
      </c>
      <c r="G2581" s="6" t="s">
        <v>7728</v>
      </c>
      <c r="H2581" s="6" t="s">
        <v>55</v>
      </c>
      <c r="I2581" s="6" t="s">
        <v>7566</v>
      </c>
      <c r="J2581" s="6" t="s">
        <v>91</v>
      </c>
      <c r="K2581" s="9" t="str">
        <f t="shared" si="101"/>
        <v>Open Creative</v>
      </c>
      <c r="L2581" s="6" t="s">
        <v>131</v>
      </c>
      <c r="M2581" s="6" t="s">
        <v>7537</v>
      </c>
      <c r="N2581" s="6" t="s">
        <v>132</v>
      </c>
      <c r="O2581" s="36" t="s">
        <v>132</v>
      </c>
      <c r="P2581" s="36">
        <v>1.433062606E9</v>
      </c>
      <c r="Q2581" s="36" t="s">
        <v>7541</v>
      </c>
      <c r="R2581" s="6" t="s">
        <v>7542</v>
      </c>
    </row>
    <row r="2582">
      <c r="A2582" s="6" t="s">
        <v>7537</v>
      </c>
      <c r="B2582" s="6" t="s">
        <v>7537</v>
      </c>
      <c r="C2582" s="6">
        <v>973.0</v>
      </c>
      <c r="D2582" s="9" t="str">
        <f>HYPERLINK("https://www.linkedin.com/ad-library/detail/1431334506","Open Ad")</f>
        <v>Open Ad</v>
      </c>
      <c r="E2582" s="6" t="s">
        <v>154</v>
      </c>
      <c r="F2582" s="6" t="s">
        <v>53</v>
      </c>
      <c r="G2582" s="6" t="s">
        <v>7581</v>
      </c>
      <c r="H2582" s="6" t="s">
        <v>55</v>
      </c>
      <c r="I2582" s="6" t="s">
        <v>7566</v>
      </c>
      <c r="J2582" s="6" t="s">
        <v>154</v>
      </c>
      <c r="K2582" s="9" t="str">
        <f>HYPERLINK("https://dms.licdn.com/playlist/vid/v2/D4E10AQFbU42CgG1Z7g/mp4-720p-30fp-crf28/B4EZ6E1cjuIkBk-/0/1780345071320?e=2147483647&amp;v=beta&amp;t=lm4Raasi9Hn2k_Jca5TAGdFZZmL4wlksoW4hHU6e3XU","Open Creative")</f>
        <v>Open Creative</v>
      </c>
      <c r="L2582" s="6" t="s">
        <v>131</v>
      </c>
      <c r="M2582" s="6" t="s">
        <v>7537</v>
      </c>
      <c r="N2582" s="6" t="s">
        <v>132</v>
      </c>
      <c r="O2582" s="36" t="s">
        <v>132</v>
      </c>
      <c r="P2582" s="36">
        <v>1.431334506E9</v>
      </c>
      <c r="Q2582" s="36" t="s">
        <v>7541</v>
      </c>
      <c r="R2582" s="6" t="s">
        <v>7542</v>
      </c>
    </row>
    <row r="2583">
      <c r="A2583" s="6" t="s">
        <v>7537</v>
      </c>
      <c r="B2583" s="6" t="s">
        <v>7537</v>
      </c>
      <c r="C2583" s="6">
        <v>974.0</v>
      </c>
      <c r="D2583" s="9" t="str">
        <f>HYPERLINK("https://www.linkedin.com/ad-library/detail/1431371726","Open Ad")</f>
        <v>Open Ad</v>
      </c>
      <c r="E2583" s="6" t="s">
        <v>91</v>
      </c>
      <c r="F2583" s="6" t="s">
        <v>53</v>
      </c>
      <c r="G2583" s="6" t="s">
        <v>7729</v>
      </c>
      <c r="H2583" s="6" t="s">
        <v>55</v>
      </c>
      <c r="I2583" s="6" t="s">
        <v>7566</v>
      </c>
      <c r="J2583" s="6" t="s">
        <v>91</v>
      </c>
      <c r="K2583" s="9" t="str">
        <f>HYPERLINK("https://media.licdn.com/dms/image/v2/D4E22AQEiKuf6y_4noA/feedshare-shrink_1280/B4EZ6IhDsPGwAQ-/0/1780406828244?e=2147483647&amp;v=beta&amp;t=Z6zoH2fzRtxMaNxoRpqRJ9ZTwNBSrs0x-S4_VOnTKaM","Open Creative")</f>
        <v>Open Creative</v>
      </c>
      <c r="L2583" s="6" t="s">
        <v>131</v>
      </c>
      <c r="M2583" s="6" t="s">
        <v>7537</v>
      </c>
      <c r="N2583" s="6" t="s">
        <v>132</v>
      </c>
      <c r="O2583" s="36" t="s">
        <v>132</v>
      </c>
      <c r="P2583" s="36">
        <v>1.431371726E9</v>
      </c>
      <c r="Q2583" s="36" t="s">
        <v>7541</v>
      </c>
      <c r="R2583" s="6" t="s">
        <v>7542</v>
      </c>
    </row>
    <row r="2584">
      <c r="A2584" s="6" t="s">
        <v>7537</v>
      </c>
      <c r="B2584" s="6" t="s">
        <v>7537</v>
      </c>
      <c r="C2584" s="6">
        <v>975.0</v>
      </c>
      <c r="D2584" s="9" t="str">
        <f>HYPERLINK("https://www.linkedin.com/ad-library/detail/1433152286","Open Ad")</f>
        <v>Open Ad</v>
      </c>
      <c r="E2584" s="6" t="s">
        <v>91</v>
      </c>
      <c r="F2584" s="6" t="s">
        <v>53</v>
      </c>
      <c r="G2584" s="6" t="s">
        <v>7728</v>
      </c>
      <c r="H2584" s="6" t="s">
        <v>55</v>
      </c>
      <c r="I2584" s="6" t="s">
        <v>7566</v>
      </c>
      <c r="J2584" s="6" t="s">
        <v>91</v>
      </c>
      <c r="K2584" s="9" t="str">
        <f>HYPERLINK("https://media.licdn.com/dms/image/v2/D4E10AQFTSYvqK-P9Hw/image-shrink_1280/B4EZ6UU9pHIUAc-/0/1780604984584?e=2147483647&amp;v=beta&amp;t=asALE0FuY_22ywbCEcWrixVL5PJXMLy4zsMErBBIgMk","Open Creative")</f>
        <v>Open Creative</v>
      </c>
      <c r="L2584" s="6" t="s">
        <v>131</v>
      </c>
      <c r="M2584" s="6" t="s">
        <v>7537</v>
      </c>
      <c r="N2584" s="6" t="s">
        <v>132</v>
      </c>
      <c r="O2584" s="36" t="s">
        <v>132</v>
      </c>
      <c r="P2584" s="36">
        <v>1.433152286E9</v>
      </c>
      <c r="Q2584" s="36" t="s">
        <v>7541</v>
      </c>
      <c r="R2584" s="6" t="s">
        <v>7542</v>
      </c>
    </row>
    <row r="2585">
      <c r="A2585" s="6" t="s">
        <v>7537</v>
      </c>
      <c r="B2585" s="6" t="s">
        <v>7537</v>
      </c>
      <c r="C2585" s="6">
        <v>976.0</v>
      </c>
      <c r="D2585" s="9" t="str">
        <f>HYPERLINK("https://www.linkedin.com/ad-library/detail/1431289606","Open Ad")</f>
        <v>Open Ad</v>
      </c>
      <c r="E2585" s="6" t="s">
        <v>91</v>
      </c>
      <c r="F2585" s="6" t="s">
        <v>53</v>
      </c>
      <c r="G2585" s="6" t="s">
        <v>7729</v>
      </c>
      <c r="H2585" s="6" t="s">
        <v>55</v>
      </c>
      <c r="I2585" s="6" t="s">
        <v>7566</v>
      </c>
      <c r="J2585" s="6" t="s">
        <v>91</v>
      </c>
      <c r="K2585" s="9" t="str">
        <f t="shared" ref="K2585:K2586" si="102">HYPERLINK("https://media.licdn.com/dms/image/v2/D4E22AQEiKuf6y_4noA/feedshare-shrink_1280/B4EZ6IhDsPGwAQ-/0/1780406828244?e=2147483647&amp;v=beta&amp;t=Z6zoH2fzRtxMaNxoRpqRJ9ZTwNBSrs0x-S4_VOnTKaM","Open Creative")</f>
        <v>Open Creative</v>
      </c>
      <c r="L2585" s="6" t="s">
        <v>131</v>
      </c>
      <c r="M2585" s="6" t="s">
        <v>7537</v>
      </c>
      <c r="N2585" s="6" t="s">
        <v>132</v>
      </c>
      <c r="O2585" s="36" t="s">
        <v>132</v>
      </c>
      <c r="P2585" s="36">
        <v>1.431289606E9</v>
      </c>
      <c r="Q2585" s="36" t="s">
        <v>7541</v>
      </c>
      <c r="R2585" s="6" t="s">
        <v>7542</v>
      </c>
    </row>
    <row r="2586">
      <c r="A2586" s="6" t="s">
        <v>7537</v>
      </c>
      <c r="B2586" s="6" t="s">
        <v>7537</v>
      </c>
      <c r="C2586" s="6">
        <v>977.0</v>
      </c>
      <c r="D2586" s="9" t="str">
        <f>HYPERLINK("https://www.linkedin.com/ad-library/detail/1431352176","Open Ad")</f>
        <v>Open Ad</v>
      </c>
      <c r="E2586" s="6" t="s">
        <v>91</v>
      </c>
      <c r="F2586" s="6" t="s">
        <v>53</v>
      </c>
      <c r="G2586" s="6" t="s">
        <v>7729</v>
      </c>
      <c r="H2586" s="6" t="s">
        <v>55</v>
      </c>
      <c r="I2586" s="6" t="s">
        <v>7566</v>
      </c>
      <c r="J2586" s="6" t="s">
        <v>91</v>
      </c>
      <c r="K2586" s="9" t="str">
        <f t="shared" si="102"/>
        <v>Open Creative</v>
      </c>
      <c r="L2586" s="6" t="s">
        <v>131</v>
      </c>
      <c r="M2586" s="6" t="s">
        <v>7537</v>
      </c>
      <c r="N2586" s="6" t="s">
        <v>132</v>
      </c>
      <c r="O2586" s="36" t="s">
        <v>132</v>
      </c>
      <c r="P2586" s="36">
        <v>1.431352176E9</v>
      </c>
      <c r="Q2586" s="36" t="s">
        <v>7541</v>
      </c>
      <c r="R2586" s="6" t="s">
        <v>7542</v>
      </c>
    </row>
    <row r="2587">
      <c r="A2587" s="6" t="s">
        <v>7537</v>
      </c>
      <c r="B2587" s="6" t="s">
        <v>7537</v>
      </c>
      <c r="C2587" s="6">
        <v>978.0</v>
      </c>
      <c r="D2587" s="9" t="str">
        <f>HYPERLINK("https://www.linkedin.com/ad-library/detail/1431520236","Open Ad")</f>
        <v>Open Ad</v>
      </c>
      <c r="E2587" s="6" t="s">
        <v>154</v>
      </c>
      <c r="F2587" s="6" t="s">
        <v>53</v>
      </c>
      <c r="G2587" s="6" t="s">
        <v>7581</v>
      </c>
      <c r="H2587" s="6" t="s">
        <v>55</v>
      </c>
      <c r="I2587" s="6" t="s">
        <v>7566</v>
      </c>
      <c r="J2587" s="6" t="s">
        <v>154</v>
      </c>
      <c r="K2587" s="9" t="str">
        <f>HYPERLINK("https://dms.licdn.com/playlist/vid/v2/D4E10AQFbU42CgG1Z7g/mp4-720p-30fp-crf28/B4EZ6E1cjuIkBk-/0/1780345071320?e=2147483647&amp;v=beta&amp;t=lm4Raasi9Hn2k_Jca5TAGdFZZmL4wlksoW4hHU6e3XU","Open Creative")</f>
        <v>Open Creative</v>
      </c>
      <c r="L2587" s="6" t="s">
        <v>131</v>
      </c>
      <c r="M2587" s="6" t="s">
        <v>7537</v>
      </c>
      <c r="N2587" s="6" t="s">
        <v>132</v>
      </c>
      <c r="O2587" s="36" t="s">
        <v>132</v>
      </c>
      <c r="P2587" s="36">
        <v>1.431520236E9</v>
      </c>
      <c r="Q2587" s="36" t="s">
        <v>7541</v>
      </c>
      <c r="R2587" s="6" t="s">
        <v>7542</v>
      </c>
    </row>
    <row r="2588">
      <c r="A2588" s="6" t="s">
        <v>7537</v>
      </c>
      <c r="B2588" s="6" t="s">
        <v>7537</v>
      </c>
      <c r="C2588" s="6">
        <v>979.0</v>
      </c>
      <c r="D2588" s="9" t="str">
        <f>HYPERLINK("https://www.linkedin.com/ad-library/detail/1431289616","Open Ad")</f>
        <v>Open Ad</v>
      </c>
      <c r="E2588" s="6" t="s">
        <v>91</v>
      </c>
      <c r="F2588" s="6" t="s">
        <v>53</v>
      </c>
      <c r="G2588" s="6" t="s">
        <v>7729</v>
      </c>
      <c r="H2588" s="6" t="s">
        <v>55</v>
      </c>
      <c r="I2588" s="6" t="s">
        <v>7566</v>
      </c>
      <c r="J2588" s="6" t="s">
        <v>91</v>
      </c>
      <c r="K2588" s="9" t="str">
        <f>HYPERLINK("https://media.licdn.com/dms/image/v2/D4E22AQEiKuf6y_4noA/feedshare-shrink_1280/B4EZ6IhDsPGwAQ-/0/1780406828244?e=2147483647&amp;v=beta&amp;t=Z6zoH2fzRtxMaNxoRpqRJ9ZTwNBSrs0x-S4_VOnTKaM","Open Creative")</f>
        <v>Open Creative</v>
      </c>
      <c r="L2588" s="6" t="s">
        <v>131</v>
      </c>
      <c r="M2588" s="6" t="s">
        <v>7537</v>
      </c>
      <c r="N2588" s="6" t="s">
        <v>132</v>
      </c>
      <c r="O2588" s="36" t="s">
        <v>132</v>
      </c>
      <c r="P2588" s="36">
        <v>1.431289616E9</v>
      </c>
      <c r="Q2588" s="36" t="s">
        <v>7541</v>
      </c>
      <c r="R2588" s="6" t="s">
        <v>7542</v>
      </c>
    </row>
    <row r="2589">
      <c r="A2589" s="6" t="s">
        <v>7537</v>
      </c>
      <c r="B2589" s="6" t="s">
        <v>7537</v>
      </c>
      <c r="C2589" s="6">
        <v>980.0</v>
      </c>
      <c r="D2589" s="9" t="str">
        <f>HYPERLINK("https://www.linkedin.com/ad-library/detail/1426391286","Open Ad")</f>
        <v>Open Ad</v>
      </c>
      <c r="E2589" s="6" t="s">
        <v>91</v>
      </c>
      <c r="F2589" s="6" t="s">
        <v>53</v>
      </c>
      <c r="G2589" s="6" t="s">
        <v>7610</v>
      </c>
      <c r="H2589" s="6" t="s">
        <v>55</v>
      </c>
      <c r="I2589" s="6" t="s">
        <v>7566</v>
      </c>
      <c r="J2589" s="6" t="s">
        <v>91</v>
      </c>
      <c r="K2589" s="9" t="str">
        <f>HYPERLINK("https://media.licdn.com/dms/image/v2/D5610AQEC6uKodaP14A/image-shrink_1280/B56Z6AaqPKHwAg-/0/1780270933257/Ad201png?e=2147483647&amp;v=beta&amp;t=1A661kGu5AkvtoRboYevKI4nXl-sd3eUIKlZq0ouF78","Open Creative")</f>
        <v>Open Creative</v>
      </c>
      <c r="L2589" s="6" t="s">
        <v>131</v>
      </c>
      <c r="M2589" s="6" t="s">
        <v>7537</v>
      </c>
      <c r="N2589" s="6" t="s">
        <v>132</v>
      </c>
      <c r="O2589" s="36" t="s">
        <v>132</v>
      </c>
      <c r="P2589" s="36">
        <v>1.426391286E9</v>
      </c>
      <c r="Q2589" s="36" t="s">
        <v>7541</v>
      </c>
      <c r="R2589" s="6" t="s">
        <v>7542</v>
      </c>
    </row>
    <row r="2590">
      <c r="A2590" s="6" t="s">
        <v>7537</v>
      </c>
      <c r="B2590" s="6" t="s">
        <v>7537</v>
      </c>
      <c r="C2590" s="6">
        <v>981.0</v>
      </c>
      <c r="D2590" s="9" t="str">
        <f>HYPERLINK("https://www.linkedin.com/ad-library/detail/1430982896","Open Ad")</f>
        <v>Open Ad</v>
      </c>
      <c r="E2590" s="6" t="s">
        <v>154</v>
      </c>
      <c r="F2590" s="6" t="s">
        <v>53</v>
      </c>
      <c r="G2590" s="6" t="s">
        <v>7730</v>
      </c>
      <c r="H2590" s="6" t="s">
        <v>55</v>
      </c>
      <c r="I2590" s="6" t="s">
        <v>7566</v>
      </c>
      <c r="J2590" s="6" t="s">
        <v>154</v>
      </c>
      <c r="K2590" s="9" t="str">
        <f>HYPERLINK("https://dms.licdn.com/playlist/vid/v2/D4E10AQGSBAu5iYEFKg/mp4-640p-30fp-crf28/B4EZ506V9GK8BE-/0/1780077919574?e=2147483647&amp;v=beta&amp;t=sGJW5XiZY6_Cl2u_Tsg0hb5-Ul8JW8xMM0ssWI_NILA","Open Creative")</f>
        <v>Open Creative</v>
      </c>
      <c r="L2590" s="6" t="s">
        <v>131</v>
      </c>
      <c r="M2590" s="6" t="s">
        <v>7537</v>
      </c>
      <c r="N2590" s="6" t="s">
        <v>132</v>
      </c>
      <c r="O2590" s="36" t="s">
        <v>132</v>
      </c>
      <c r="P2590" s="36">
        <v>1.430982896E9</v>
      </c>
      <c r="Q2590" s="36" t="s">
        <v>7541</v>
      </c>
      <c r="R2590" s="6" t="s">
        <v>7542</v>
      </c>
    </row>
    <row r="2591">
      <c r="A2591" s="6" t="s">
        <v>7537</v>
      </c>
      <c r="B2591" s="6" t="s">
        <v>7537</v>
      </c>
      <c r="C2591" s="6">
        <v>982.0</v>
      </c>
      <c r="D2591" s="9" t="str">
        <f>HYPERLINK("https://www.linkedin.com/ad-library/detail/1431520216","Open Ad")</f>
        <v>Open Ad</v>
      </c>
      <c r="E2591" s="6" t="s">
        <v>91</v>
      </c>
      <c r="F2591" s="6" t="s">
        <v>53</v>
      </c>
      <c r="G2591" s="6" t="s">
        <v>7729</v>
      </c>
      <c r="H2591" s="6" t="s">
        <v>55</v>
      </c>
      <c r="I2591" s="6" t="s">
        <v>7566</v>
      </c>
      <c r="J2591" s="6" t="s">
        <v>91</v>
      </c>
      <c r="K2591" s="9" t="str">
        <f>HYPERLINK("https://media.licdn.com/dms/image/v2/D4E22AQEiKuf6y_4noA/feedshare-shrink_1280/B4EZ6IhDsPGwAQ-/0/1780406828244?e=2147483647&amp;v=beta&amp;t=Z6zoH2fzRtxMaNxoRpqRJ9ZTwNBSrs0x-S4_VOnTKaM","Open Creative")</f>
        <v>Open Creative</v>
      </c>
      <c r="L2591" s="6" t="s">
        <v>131</v>
      </c>
      <c r="M2591" s="6" t="s">
        <v>7537</v>
      </c>
      <c r="N2591" s="6" t="s">
        <v>132</v>
      </c>
      <c r="O2591" s="36" t="s">
        <v>132</v>
      </c>
      <c r="P2591" s="36">
        <v>1.431520216E9</v>
      </c>
      <c r="Q2591" s="36" t="s">
        <v>7541</v>
      </c>
      <c r="R2591" s="6" t="s">
        <v>7542</v>
      </c>
    </row>
    <row r="2592">
      <c r="A2592" s="6" t="s">
        <v>7537</v>
      </c>
      <c r="B2592" s="6" t="s">
        <v>7537</v>
      </c>
      <c r="C2592" s="6">
        <v>983.0</v>
      </c>
      <c r="D2592" s="9" t="str">
        <f>HYPERLINK("https://www.linkedin.com/ad-library/detail/1426500896","Open Ad")</f>
        <v>Open Ad</v>
      </c>
      <c r="E2592" s="6" t="s">
        <v>91</v>
      </c>
      <c r="F2592" s="6" t="s">
        <v>53</v>
      </c>
      <c r="G2592" s="6" t="s">
        <v>7658</v>
      </c>
      <c r="H2592" s="6" t="s">
        <v>55</v>
      </c>
      <c r="I2592" s="6" t="s">
        <v>7566</v>
      </c>
      <c r="J2592" s="6" t="s">
        <v>91</v>
      </c>
      <c r="K2592" s="9" t="str">
        <f>HYPERLINK("https://media.licdn.com/dms/image/v2/D5610AQERUevwH6cWPA/image-shrink_1280/B56Z6AaLIUKkAc-/0/1780270805756/Ad211png?e=2147483647&amp;v=beta&amp;t=EU-zb0V4Qt9I9Pmof6TxqYfN8i31tA-XtbaSSkHtjdY","Open Creative")</f>
        <v>Open Creative</v>
      </c>
      <c r="L2592" s="6" t="s">
        <v>131</v>
      </c>
      <c r="M2592" s="6" t="s">
        <v>7537</v>
      </c>
      <c r="N2592" s="6" t="s">
        <v>132</v>
      </c>
      <c r="O2592" s="36" t="s">
        <v>132</v>
      </c>
      <c r="P2592" s="36">
        <v>1.426500896E9</v>
      </c>
      <c r="Q2592" s="36" t="s">
        <v>7541</v>
      </c>
      <c r="R2592" s="6" t="s">
        <v>7542</v>
      </c>
    </row>
    <row r="2593">
      <c r="A2593" s="6" t="s">
        <v>7537</v>
      </c>
      <c r="B2593" s="6" t="s">
        <v>7537</v>
      </c>
      <c r="C2593" s="6">
        <v>984.0</v>
      </c>
      <c r="D2593" s="9" t="str">
        <f>HYPERLINK("https://www.linkedin.com/ad-library/detail/1433082686","Open Ad")</f>
        <v>Open Ad</v>
      </c>
      <c r="E2593" s="6" t="s">
        <v>91</v>
      </c>
      <c r="F2593" s="6" t="s">
        <v>53</v>
      </c>
      <c r="G2593" s="6" t="s">
        <v>7728</v>
      </c>
      <c r="H2593" s="6" t="s">
        <v>55</v>
      </c>
      <c r="I2593" s="6" t="s">
        <v>7566</v>
      </c>
      <c r="J2593" s="6" t="s">
        <v>91</v>
      </c>
      <c r="K2593" s="9" t="str">
        <f>HYPERLINK("https://media.licdn.com/dms/image/v2/D4E10AQFTSYvqK-P9Hw/image-shrink_1280/B4EZ6UU9pHIUAc-/0/1780604984584?e=2147483647&amp;v=beta&amp;t=asALE0FuY_22ywbCEcWrixVL5PJXMLy4zsMErBBIgMk","Open Creative")</f>
        <v>Open Creative</v>
      </c>
      <c r="L2593" s="6" t="s">
        <v>131</v>
      </c>
      <c r="M2593" s="6" t="s">
        <v>7537</v>
      </c>
      <c r="N2593" s="6" t="s">
        <v>132</v>
      </c>
      <c r="O2593" s="36" t="s">
        <v>132</v>
      </c>
      <c r="P2593" s="36">
        <v>1.433082686E9</v>
      </c>
      <c r="Q2593" s="36" t="s">
        <v>7541</v>
      </c>
      <c r="R2593" s="6" t="s">
        <v>7542</v>
      </c>
    </row>
    <row r="2594">
      <c r="A2594" s="6" t="s">
        <v>7537</v>
      </c>
      <c r="B2594" s="6" t="s">
        <v>7537</v>
      </c>
      <c r="C2594" s="6">
        <v>985.0</v>
      </c>
      <c r="D2594" s="9" t="str">
        <f>HYPERLINK("https://www.linkedin.com/ad-library/detail/1426500746","Open Ad")</f>
        <v>Open Ad</v>
      </c>
      <c r="E2594" s="6" t="s">
        <v>91</v>
      </c>
      <c r="F2594" s="6" t="s">
        <v>53</v>
      </c>
      <c r="G2594" s="6" t="s">
        <v>7607</v>
      </c>
      <c r="H2594" s="6" t="s">
        <v>55</v>
      </c>
      <c r="I2594" s="6" t="s">
        <v>7566</v>
      </c>
      <c r="J2594" s="6" t="s">
        <v>91</v>
      </c>
      <c r="K2594" s="6" t="s">
        <v>60</v>
      </c>
      <c r="L2594" s="6" t="s">
        <v>131</v>
      </c>
      <c r="M2594" s="6" t="s">
        <v>7537</v>
      </c>
      <c r="N2594" s="6" t="s">
        <v>132</v>
      </c>
      <c r="O2594" s="36" t="s">
        <v>132</v>
      </c>
      <c r="P2594" s="36">
        <v>1.426500746E9</v>
      </c>
      <c r="Q2594" s="36" t="s">
        <v>7541</v>
      </c>
      <c r="R2594" s="6" t="s">
        <v>7542</v>
      </c>
    </row>
    <row r="2595">
      <c r="A2595" s="6" t="s">
        <v>7537</v>
      </c>
      <c r="B2595" s="6" t="s">
        <v>7537</v>
      </c>
      <c r="C2595" s="6">
        <v>986.0</v>
      </c>
      <c r="D2595" s="9" t="str">
        <f>HYPERLINK("https://www.linkedin.com/ad-library/detail/1426490936","Open Ad")</f>
        <v>Open Ad</v>
      </c>
      <c r="E2595" s="6" t="s">
        <v>91</v>
      </c>
      <c r="F2595" s="6" t="s">
        <v>53</v>
      </c>
      <c r="G2595" s="6" t="s">
        <v>7610</v>
      </c>
      <c r="H2595" s="6" t="s">
        <v>55</v>
      </c>
      <c r="I2595" s="6" t="s">
        <v>7566</v>
      </c>
      <c r="J2595" s="6" t="s">
        <v>91</v>
      </c>
      <c r="K2595" s="9" t="str">
        <f t="shared" ref="K2595:K2596" si="103">HYPERLINK("https://media.licdn.com/dms/image/v2/D5610AQEC6uKodaP14A/image-shrink_1280/B56Z6AaqPKHwAg-/0/1780270933257/Ad201png?e=2147483647&amp;v=beta&amp;t=1A661kGu5AkvtoRboYevKI4nXl-sd3eUIKlZq0ouF78","Open Creative")</f>
        <v>Open Creative</v>
      </c>
      <c r="L2595" s="6" t="s">
        <v>131</v>
      </c>
      <c r="M2595" s="6" t="s">
        <v>7537</v>
      </c>
      <c r="N2595" s="6" t="s">
        <v>132</v>
      </c>
      <c r="O2595" s="36" t="s">
        <v>132</v>
      </c>
      <c r="P2595" s="36">
        <v>1.426490936E9</v>
      </c>
      <c r="Q2595" s="36" t="s">
        <v>7541</v>
      </c>
      <c r="R2595" s="6" t="s">
        <v>7542</v>
      </c>
    </row>
    <row r="2596">
      <c r="A2596" s="6" t="s">
        <v>7537</v>
      </c>
      <c r="B2596" s="6" t="s">
        <v>7537</v>
      </c>
      <c r="C2596" s="6">
        <v>987.0</v>
      </c>
      <c r="D2596" s="9" t="str">
        <f>HYPERLINK("https://www.linkedin.com/ad-library/detail/1426271266","Open Ad")</f>
        <v>Open Ad</v>
      </c>
      <c r="E2596" s="6" t="s">
        <v>91</v>
      </c>
      <c r="F2596" s="6" t="s">
        <v>53</v>
      </c>
      <c r="G2596" s="6" t="s">
        <v>7658</v>
      </c>
      <c r="H2596" s="6" t="s">
        <v>55</v>
      </c>
      <c r="I2596" s="6" t="s">
        <v>7566</v>
      </c>
      <c r="J2596" s="6" t="s">
        <v>91</v>
      </c>
      <c r="K2596" s="9" t="str">
        <f t="shared" si="103"/>
        <v>Open Creative</v>
      </c>
      <c r="L2596" s="6" t="s">
        <v>131</v>
      </c>
      <c r="M2596" s="6" t="s">
        <v>7537</v>
      </c>
      <c r="N2596" s="6" t="s">
        <v>132</v>
      </c>
      <c r="O2596" s="36" t="s">
        <v>132</v>
      </c>
      <c r="P2596" s="36">
        <v>1.426271266E9</v>
      </c>
      <c r="Q2596" s="36" t="s">
        <v>7541</v>
      </c>
      <c r="R2596" s="6" t="s">
        <v>7542</v>
      </c>
    </row>
    <row r="2597">
      <c r="A2597" s="6" t="s">
        <v>7537</v>
      </c>
      <c r="B2597" s="6" t="s">
        <v>7537</v>
      </c>
      <c r="C2597" s="6">
        <v>988.0</v>
      </c>
      <c r="D2597" s="9" t="str">
        <f>HYPERLINK("https://www.linkedin.com/ad-library/detail/1426461206","Open Ad")</f>
        <v>Open Ad</v>
      </c>
      <c r="E2597" s="6" t="s">
        <v>91</v>
      </c>
      <c r="F2597" s="6" t="s">
        <v>53</v>
      </c>
      <c r="G2597" s="6" t="s">
        <v>7610</v>
      </c>
      <c r="H2597" s="6" t="s">
        <v>55</v>
      </c>
      <c r="I2597" s="6" t="s">
        <v>7566</v>
      </c>
      <c r="J2597" s="6" t="s">
        <v>91</v>
      </c>
      <c r="K2597" s="9" t="str">
        <f>HYPERLINK("https://media.licdn.com/dms/image/v2/D5610AQERUevwH6cWPA/image-shrink_1280/B56Z6AaLIUKkAc-/0/1780270805756/Ad211png?e=2147483647&amp;v=beta&amp;t=EU-zb0V4Qt9I9Pmof6TxqYfN8i31tA-XtbaSSkHtjdY","Open Creative")</f>
        <v>Open Creative</v>
      </c>
      <c r="L2597" s="6" t="s">
        <v>131</v>
      </c>
      <c r="M2597" s="6" t="s">
        <v>7537</v>
      </c>
      <c r="N2597" s="6" t="s">
        <v>132</v>
      </c>
      <c r="O2597" s="36" t="s">
        <v>132</v>
      </c>
      <c r="P2597" s="36">
        <v>1.426461206E9</v>
      </c>
      <c r="Q2597" s="36" t="s">
        <v>7541</v>
      </c>
      <c r="R2597" s="6" t="s">
        <v>7542</v>
      </c>
    </row>
    <row r="2598">
      <c r="A2598" s="6" t="s">
        <v>7537</v>
      </c>
      <c r="B2598" s="6" t="s">
        <v>7537</v>
      </c>
      <c r="C2598" s="6">
        <v>989.0</v>
      </c>
      <c r="D2598" s="9" t="str">
        <f>HYPERLINK("https://www.linkedin.com/ad-library/detail/1426350796","Open Ad")</f>
        <v>Open Ad</v>
      </c>
      <c r="E2598" s="6" t="s">
        <v>91</v>
      </c>
      <c r="F2598" s="6" t="s">
        <v>53</v>
      </c>
      <c r="G2598" s="6" t="s">
        <v>7725</v>
      </c>
      <c r="H2598" s="6" t="s">
        <v>55</v>
      </c>
      <c r="I2598" s="6" t="s">
        <v>7566</v>
      </c>
      <c r="J2598" s="6" t="s">
        <v>91</v>
      </c>
      <c r="K2598" s="6" t="s">
        <v>60</v>
      </c>
      <c r="L2598" s="6" t="s">
        <v>131</v>
      </c>
      <c r="M2598" s="6" t="s">
        <v>7537</v>
      </c>
      <c r="N2598" s="6" t="s">
        <v>132</v>
      </c>
      <c r="O2598" s="36" t="s">
        <v>132</v>
      </c>
      <c r="P2598" s="36">
        <v>1.426350796E9</v>
      </c>
      <c r="Q2598" s="36" t="s">
        <v>7541</v>
      </c>
      <c r="R2598" s="6" t="s">
        <v>7542</v>
      </c>
    </row>
    <row r="2599">
      <c r="A2599" s="6" t="s">
        <v>7537</v>
      </c>
      <c r="B2599" s="6" t="s">
        <v>7537</v>
      </c>
      <c r="C2599" s="6">
        <v>990.0</v>
      </c>
      <c r="D2599" s="9" t="str">
        <f>HYPERLINK("https://www.linkedin.com/ad-library/detail/1426490896","Open Ad")</f>
        <v>Open Ad</v>
      </c>
      <c r="E2599" s="6" t="s">
        <v>91</v>
      </c>
      <c r="F2599" s="6" t="s">
        <v>53</v>
      </c>
      <c r="G2599" s="6" t="s">
        <v>7658</v>
      </c>
      <c r="H2599" s="6" t="s">
        <v>55</v>
      </c>
      <c r="I2599" s="6" t="s">
        <v>7566</v>
      </c>
      <c r="J2599" s="6" t="s">
        <v>91</v>
      </c>
      <c r="K2599" s="9" t="str">
        <f t="shared" ref="K2599:K2600" si="104">HYPERLINK("https://media.licdn.com/dms/image/v2/D5610AQERUevwH6cWPA/image-shrink_1280/B56Z6AaLIUKkAc-/0/1780270805756/Ad211png?e=2147483647&amp;v=beta&amp;t=EU-zb0V4Qt9I9Pmof6TxqYfN8i31tA-XtbaSSkHtjdY","Open Creative")</f>
        <v>Open Creative</v>
      </c>
      <c r="L2599" s="6" t="s">
        <v>131</v>
      </c>
      <c r="M2599" s="6" t="s">
        <v>7537</v>
      </c>
      <c r="N2599" s="6" t="s">
        <v>132</v>
      </c>
      <c r="O2599" s="36" t="s">
        <v>132</v>
      </c>
      <c r="P2599" s="36">
        <v>1.426490896E9</v>
      </c>
      <c r="Q2599" s="36" t="s">
        <v>7541</v>
      </c>
      <c r="R2599" s="6" t="s">
        <v>7542</v>
      </c>
    </row>
    <row r="2600">
      <c r="A2600" s="6" t="s">
        <v>7537</v>
      </c>
      <c r="B2600" s="6" t="s">
        <v>7537</v>
      </c>
      <c r="C2600" s="6">
        <v>991.0</v>
      </c>
      <c r="D2600" s="9" t="str">
        <f>HYPERLINK("https://www.linkedin.com/ad-library/detail/1426441136","Open Ad")</f>
        <v>Open Ad</v>
      </c>
      <c r="E2600" s="6" t="s">
        <v>91</v>
      </c>
      <c r="F2600" s="6" t="s">
        <v>53</v>
      </c>
      <c r="G2600" s="6" t="s">
        <v>7610</v>
      </c>
      <c r="H2600" s="6" t="s">
        <v>55</v>
      </c>
      <c r="I2600" s="6" t="s">
        <v>7566</v>
      </c>
      <c r="J2600" s="6" t="s">
        <v>91</v>
      </c>
      <c r="K2600" s="9" t="str">
        <f t="shared" si="104"/>
        <v>Open Creative</v>
      </c>
      <c r="L2600" s="6" t="s">
        <v>131</v>
      </c>
      <c r="M2600" s="6" t="s">
        <v>7537</v>
      </c>
      <c r="N2600" s="6" t="s">
        <v>132</v>
      </c>
      <c r="O2600" s="36" t="s">
        <v>132</v>
      </c>
      <c r="P2600" s="36">
        <v>1.426441136E9</v>
      </c>
      <c r="Q2600" s="36" t="s">
        <v>7541</v>
      </c>
      <c r="R2600" s="6" t="s">
        <v>7542</v>
      </c>
    </row>
    <row r="2601">
      <c r="A2601" s="6" t="s">
        <v>7537</v>
      </c>
      <c r="B2601" s="6" t="s">
        <v>7537</v>
      </c>
      <c r="C2601" s="6">
        <v>992.0</v>
      </c>
      <c r="D2601" s="9" t="str">
        <f>HYPERLINK("https://www.linkedin.com/ad-library/detail/1426330986","Open Ad")</f>
        <v>Open Ad</v>
      </c>
      <c r="E2601" s="6" t="s">
        <v>91</v>
      </c>
      <c r="F2601" s="6" t="s">
        <v>53</v>
      </c>
      <c r="G2601" s="6" t="s">
        <v>7719</v>
      </c>
      <c r="H2601" s="6" t="s">
        <v>55</v>
      </c>
      <c r="I2601" s="6" t="s">
        <v>7566</v>
      </c>
      <c r="J2601" s="6" t="s">
        <v>91</v>
      </c>
      <c r="K2601" s="6" t="s">
        <v>60</v>
      </c>
      <c r="L2601" s="6" t="s">
        <v>131</v>
      </c>
      <c r="M2601" s="6" t="s">
        <v>7537</v>
      </c>
      <c r="N2601" s="6" t="s">
        <v>132</v>
      </c>
      <c r="O2601" s="36" t="s">
        <v>132</v>
      </c>
      <c r="P2601" s="36">
        <v>1.426330986E9</v>
      </c>
      <c r="Q2601" s="36" t="s">
        <v>7541</v>
      </c>
      <c r="R2601" s="6" t="s">
        <v>7542</v>
      </c>
    </row>
    <row r="2602">
      <c r="A2602" s="6" t="s">
        <v>7537</v>
      </c>
      <c r="B2602" s="6" t="s">
        <v>7537</v>
      </c>
      <c r="C2602" s="6">
        <v>993.0</v>
      </c>
      <c r="D2602" s="9" t="str">
        <f>HYPERLINK("https://www.linkedin.com/ad-library/detail/1426291286","Open Ad")</f>
        <v>Open Ad</v>
      </c>
      <c r="E2602" s="6" t="s">
        <v>91</v>
      </c>
      <c r="F2602" s="6" t="s">
        <v>53</v>
      </c>
      <c r="G2602" s="6" t="s">
        <v>7658</v>
      </c>
      <c r="H2602" s="6" t="s">
        <v>55</v>
      </c>
      <c r="I2602" s="6" t="s">
        <v>7566</v>
      </c>
      <c r="J2602" s="6" t="s">
        <v>91</v>
      </c>
      <c r="K2602" s="9" t="str">
        <f>HYPERLINK("https://media.licdn.com/dms/image/v2/D5610AQERUevwH6cWPA/image-shrink_1280/B56Z6AaLIUKkAc-/0/1780270805756/Ad211png?e=2147483647&amp;v=beta&amp;t=EU-zb0V4Qt9I9Pmof6TxqYfN8i31tA-XtbaSSkHtjdY","Open Creative")</f>
        <v>Open Creative</v>
      </c>
      <c r="L2602" s="6" t="s">
        <v>131</v>
      </c>
      <c r="M2602" s="6" t="s">
        <v>7537</v>
      </c>
      <c r="N2602" s="6" t="s">
        <v>132</v>
      </c>
      <c r="O2602" s="36" t="s">
        <v>132</v>
      </c>
      <c r="P2602" s="36">
        <v>1.426291286E9</v>
      </c>
      <c r="Q2602" s="36" t="s">
        <v>7541</v>
      </c>
      <c r="R2602" s="6" t="s">
        <v>7542</v>
      </c>
    </row>
    <row r="2603">
      <c r="A2603" s="6" t="s">
        <v>7537</v>
      </c>
      <c r="B2603" s="6" t="s">
        <v>7537</v>
      </c>
      <c r="C2603" s="6">
        <v>994.0</v>
      </c>
      <c r="D2603" s="9" t="str">
        <f>HYPERLINK("https://www.linkedin.com/ad-library/detail/1426291066","Open Ad")</f>
        <v>Open Ad</v>
      </c>
      <c r="E2603" s="6" t="s">
        <v>91</v>
      </c>
      <c r="F2603" s="6" t="s">
        <v>53</v>
      </c>
      <c r="G2603" s="6" t="s">
        <v>7727</v>
      </c>
      <c r="H2603" s="6" t="s">
        <v>55</v>
      </c>
      <c r="I2603" s="6" t="s">
        <v>7566</v>
      </c>
      <c r="J2603" s="6" t="s">
        <v>91</v>
      </c>
      <c r="K2603" s="6" t="s">
        <v>60</v>
      </c>
      <c r="L2603" s="6" t="s">
        <v>131</v>
      </c>
      <c r="M2603" s="6" t="s">
        <v>7537</v>
      </c>
      <c r="N2603" s="6" t="s">
        <v>132</v>
      </c>
      <c r="O2603" s="36" t="s">
        <v>132</v>
      </c>
      <c r="P2603" s="36">
        <v>1.426291066E9</v>
      </c>
      <c r="Q2603" s="36" t="s">
        <v>7541</v>
      </c>
      <c r="R2603" s="6" t="s">
        <v>7542</v>
      </c>
    </row>
    <row r="2604">
      <c r="A2604" s="6" t="s">
        <v>7537</v>
      </c>
      <c r="B2604" s="6" t="s">
        <v>7537</v>
      </c>
      <c r="C2604" s="6">
        <v>995.0</v>
      </c>
      <c r="D2604" s="9" t="str">
        <f>HYPERLINK("https://www.linkedin.com/ad-library/detail/1426321156","Open Ad")</f>
        <v>Open Ad</v>
      </c>
      <c r="E2604" s="6" t="s">
        <v>91</v>
      </c>
      <c r="F2604" s="6" t="s">
        <v>53</v>
      </c>
      <c r="G2604" s="6" t="s">
        <v>7610</v>
      </c>
      <c r="H2604" s="6" t="s">
        <v>55</v>
      </c>
      <c r="I2604" s="6" t="s">
        <v>7566</v>
      </c>
      <c r="J2604" s="6" t="s">
        <v>91</v>
      </c>
      <c r="K2604" s="9" t="str">
        <f>HYPERLINK("https://media.licdn.com/dms/image/v2/D5610AQEC6uKodaP14A/image-shrink_1280/B56Z6AaqPKHwAg-/0/1780270933257/Ad201png?e=2147483647&amp;v=beta&amp;t=1A661kGu5AkvtoRboYevKI4nXl-sd3eUIKlZq0ouF78","Open Creative")</f>
        <v>Open Creative</v>
      </c>
      <c r="L2604" s="6" t="s">
        <v>131</v>
      </c>
      <c r="M2604" s="6" t="s">
        <v>7537</v>
      </c>
      <c r="N2604" s="6" t="s">
        <v>132</v>
      </c>
      <c r="O2604" s="36" t="s">
        <v>132</v>
      </c>
      <c r="P2604" s="36">
        <v>1.426321156E9</v>
      </c>
      <c r="Q2604" s="36" t="s">
        <v>7541</v>
      </c>
      <c r="R2604" s="6" t="s">
        <v>7542</v>
      </c>
    </row>
    <row r="2605">
      <c r="A2605" s="6" t="s">
        <v>7537</v>
      </c>
      <c r="B2605" s="6" t="s">
        <v>7537</v>
      </c>
      <c r="C2605" s="6">
        <v>996.0</v>
      </c>
      <c r="D2605" s="9" t="str">
        <f>HYPERLINK("https://www.linkedin.com/ad-library/detail/1426451006","Open Ad")</f>
        <v>Open Ad</v>
      </c>
      <c r="E2605" s="6" t="s">
        <v>91</v>
      </c>
      <c r="F2605" s="6" t="s">
        <v>53</v>
      </c>
      <c r="G2605" s="6" t="s">
        <v>7658</v>
      </c>
      <c r="H2605" s="6" t="s">
        <v>55</v>
      </c>
      <c r="I2605" s="6" t="s">
        <v>7566</v>
      </c>
      <c r="J2605" s="6" t="s">
        <v>91</v>
      </c>
      <c r="K2605" s="9" t="str">
        <f t="shared" ref="K2605:K2607" si="105">HYPERLINK("https://media.licdn.com/dms/image/v2/D5610AQERUevwH6cWPA/image-shrink_1280/B56Z6AaLIUKkAc-/0/1780270805756/Ad211png?e=2147483647&amp;v=beta&amp;t=EU-zb0V4Qt9I9Pmof6TxqYfN8i31tA-XtbaSSkHtjdY","Open Creative")</f>
        <v>Open Creative</v>
      </c>
      <c r="L2605" s="6" t="s">
        <v>131</v>
      </c>
      <c r="M2605" s="6" t="s">
        <v>7537</v>
      </c>
      <c r="N2605" s="6" t="s">
        <v>132</v>
      </c>
      <c r="O2605" s="36" t="s">
        <v>132</v>
      </c>
      <c r="P2605" s="36">
        <v>1.426451006E9</v>
      </c>
      <c r="Q2605" s="36" t="s">
        <v>7541</v>
      </c>
      <c r="R2605" s="6" t="s">
        <v>7542</v>
      </c>
    </row>
    <row r="2606">
      <c r="A2606" s="6" t="s">
        <v>7537</v>
      </c>
      <c r="B2606" s="6" t="s">
        <v>7537</v>
      </c>
      <c r="C2606" s="6">
        <v>997.0</v>
      </c>
      <c r="D2606" s="9" t="str">
        <f>HYPERLINK("https://www.linkedin.com/ad-library/detail/1426341016","Open Ad")</f>
        <v>Open Ad</v>
      </c>
      <c r="E2606" s="6" t="s">
        <v>91</v>
      </c>
      <c r="F2606" s="6" t="s">
        <v>53</v>
      </c>
      <c r="G2606" s="6" t="s">
        <v>7658</v>
      </c>
      <c r="H2606" s="6" t="s">
        <v>55</v>
      </c>
      <c r="I2606" s="6" t="s">
        <v>7566</v>
      </c>
      <c r="J2606" s="6" t="s">
        <v>91</v>
      </c>
      <c r="K2606" s="9" t="str">
        <f t="shared" si="105"/>
        <v>Open Creative</v>
      </c>
      <c r="L2606" s="6" t="s">
        <v>131</v>
      </c>
      <c r="M2606" s="6" t="s">
        <v>7537</v>
      </c>
      <c r="N2606" s="6" t="s">
        <v>132</v>
      </c>
      <c r="O2606" s="36" t="s">
        <v>132</v>
      </c>
      <c r="P2606" s="36">
        <v>1.426341016E9</v>
      </c>
      <c r="Q2606" s="36" t="s">
        <v>7541</v>
      </c>
      <c r="R2606" s="6" t="s">
        <v>7542</v>
      </c>
    </row>
    <row r="2607">
      <c r="A2607" s="6" t="s">
        <v>7537</v>
      </c>
      <c r="B2607" s="6" t="s">
        <v>7537</v>
      </c>
      <c r="C2607" s="6">
        <v>998.0</v>
      </c>
      <c r="D2607" s="9" t="str">
        <f>HYPERLINK("https://www.linkedin.com/ad-library/detail/1426471256","Open Ad")</f>
        <v>Open Ad</v>
      </c>
      <c r="E2607" s="6" t="s">
        <v>91</v>
      </c>
      <c r="F2607" s="6" t="s">
        <v>53</v>
      </c>
      <c r="G2607" s="6" t="s">
        <v>7610</v>
      </c>
      <c r="H2607" s="6" t="s">
        <v>55</v>
      </c>
      <c r="I2607" s="6" t="s">
        <v>7566</v>
      </c>
      <c r="J2607" s="6" t="s">
        <v>91</v>
      </c>
      <c r="K2607" s="9" t="str">
        <f t="shared" si="105"/>
        <v>Open Creative</v>
      </c>
      <c r="L2607" s="6" t="s">
        <v>131</v>
      </c>
      <c r="M2607" s="6" t="s">
        <v>7537</v>
      </c>
      <c r="N2607" s="6" t="s">
        <v>132</v>
      </c>
      <c r="O2607" s="36" t="s">
        <v>132</v>
      </c>
      <c r="P2607" s="36">
        <v>1.426471256E9</v>
      </c>
      <c r="Q2607" s="36" t="s">
        <v>7541</v>
      </c>
      <c r="R2607" s="6" t="s">
        <v>7542</v>
      </c>
    </row>
    <row r="2608">
      <c r="A2608" s="6" t="s">
        <v>7537</v>
      </c>
      <c r="B2608" s="6" t="s">
        <v>7537</v>
      </c>
      <c r="C2608" s="6">
        <v>999.0</v>
      </c>
      <c r="D2608" s="9" t="str">
        <f>HYPERLINK("https://www.linkedin.com/ad-library/detail/1426471236","Open Ad")</f>
        <v>Open Ad</v>
      </c>
      <c r="E2608" s="6" t="s">
        <v>91</v>
      </c>
      <c r="F2608" s="6" t="s">
        <v>53</v>
      </c>
      <c r="G2608" s="6" t="s">
        <v>7610</v>
      </c>
      <c r="H2608" s="6" t="s">
        <v>55</v>
      </c>
      <c r="I2608" s="6" t="s">
        <v>7566</v>
      </c>
      <c r="J2608" s="6" t="s">
        <v>91</v>
      </c>
      <c r="K2608" s="9" t="str">
        <f t="shared" ref="K2608:K2609" si="106">HYPERLINK("https://media.licdn.com/dms/image/v2/D5610AQEC6uKodaP14A/image-shrink_1280/B56Z6AaqPKHwAg-/0/1780270933257/Ad201png?e=2147483647&amp;v=beta&amp;t=1A661kGu5AkvtoRboYevKI4nXl-sd3eUIKlZq0ouF78","Open Creative")</f>
        <v>Open Creative</v>
      </c>
      <c r="L2608" s="6" t="s">
        <v>131</v>
      </c>
      <c r="M2608" s="6" t="s">
        <v>7537</v>
      </c>
      <c r="N2608" s="6" t="s">
        <v>132</v>
      </c>
      <c r="O2608" s="36" t="s">
        <v>132</v>
      </c>
      <c r="P2608" s="36">
        <v>1.426471236E9</v>
      </c>
      <c r="Q2608" s="36" t="s">
        <v>7541</v>
      </c>
      <c r="R2608" s="6" t="s">
        <v>7542</v>
      </c>
    </row>
    <row r="2609">
      <c r="A2609" s="6" t="s">
        <v>7537</v>
      </c>
      <c r="B2609" s="6" t="s">
        <v>7537</v>
      </c>
      <c r="C2609" s="6">
        <v>1000.0</v>
      </c>
      <c r="D2609" s="9" t="str">
        <f>HYPERLINK("https://www.linkedin.com/ad-library/detail/1426341006","Open Ad")</f>
        <v>Open Ad</v>
      </c>
      <c r="E2609" s="6" t="s">
        <v>91</v>
      </c>
      <c r="F2609" s="6" t="s">
        <v>53</v>
      </c>
      <c r="G2609" s="6" t="s">
        <v>7610</v>
      </c>
      <c r="H2609" s="6" t="s">
        <v>55</v>
      </c>
      <c r="I2609" s="6" t="s">
        <v>7566</v>
      </c>
      <c r="J2609" s="6" t="s">
        <v>91</v>
      </c>
      <c r="K2609" s="9" t="str">
        <f t="shared" si="106"/>
        <v>Open Creative</v>
      </c>
      <c r="L2609" s="6" t="s">
        <v>131</v>
      </c>
      <c r="M2609" s="6" t="s">
        <v>7537</v>
      </c>
      <c r="N2609" s="6" t="s">
        <v>132</v>
      </c>
      <c r="O2609" s="36" t="s">
        <v>132</v>
      </c>
      <c r="P2609" s="36">
        <v>1.426341006E9</v>
      </c>
      <c r="Q2609" s="36" t="s">
        <v>7541</v>
      </c>
      <c r="R2609" s="6" t="s">
        <v>7542</v>
      </c>
    </row>
    <row r="2610">
      <c r="A2610" s="6" t="s">
        <v>7537</v>
      </c>
      <c r="B2610" s="6" t="s">
        <v>7537</v>
      </c>
      <c r="C2610" s="6">
        <v>1001.0</v>
      </c>
      <c r="D2610" s="9" t="str">
        <f>HYPERLINK("https://www.linkedin.com/ad-library/detail/1426480876","Open Ad")</f>
        <v>Open Ad</v>
      </c>
      <c r="E2610" s="6" t="s">
        <v>91</v>
      </c>
      <c r="F2610" s="6" t="s">
        <v>53</v>
      </c>
      <c r="G2610" s="6" t="s">
        <v>7726</v>
      </c>
      <c r="H2610" s="6" t="s">
        <v>55</v>
      </c>
      <c r="I2610" s="6" t="s">
        <v>7566</v>
      </c>
      <c r="J2610" s="6" t="s">
        <v>91</v>
      </c>
      <c r="K2610" s="6" t="s">
        <v>60</v>
      </c>
      <c r="L2610" s="6" t="s">
        <v>131</v>
      </c>
      <c r="M2610" s="6" t="s">
        <v>7537</v>
      </c>
      <c r="N2610" s="6" t="s">
        <v>132</v>
      </c>
      <c r="O2610" s="36" t="s">
        <v>132</v>
      </c>
      <c r="P2610" s="36">
        <v>1.426480876E9</v>
      </c>
      <c r="Q2610" s="36" t="s">
        <v>7541</v>
      </c>
      <c r="R2610" s="6" t="s">
        <v>7542</v>
      </c>
    </row>
    <row r="2611">
      <c r="A2611" s="6" t="s">
        <v>7537</v>
      </c>
      <c r="B2611" s="6" t="s">
        <v>7537</v>
      </c>
      <c r="C2611" s="6">
        <v>1002.0</v>
      </c>
      <c r="D2611" s="9" t="str">
        <f>HYPERLINK("https://www.linkedin.com/ad-library/detail/1426471226","Open Ad")</f>
        <v>Open Ad</v>
      </c>
      <c r="E2611" s="6" t="s">
        <v>91</v>
      </c>
      <c r="F2611" s="6" t="s">
        <v>53</v>
      </c>
      <c r="G2611" s="6" t="s">
        <v>7658</v>
      </c>
      <c r="H2611" s="6" t="s">
        <v>55</v>
      </c>
      <c r="I2611" s="6" t="s">
        <v>7566</v>
      </c>
      <c r="J2611" s="6" t="s">
        <v>91</v>
      </c>
      <c r="K2611" s="9" t="str">
        <f t="shared" ref="K2611:K2613" si="107">HYPERLINK("https://media.licdn.com/dms/image/v2/D5610AQEC6uKodaP14A/image-shrink_1280/B56Z6AaqPKHwAg-/0/1780270933257/Ad201png?e=2147483647&amp;v=beta&amp;t=1A661kGu5AkvtoRboYevKI4nXl-sd3eUIKlZq0ouF78","Open Creative")</f>
        <v>Open Creative</v>
      </c>
      <c r="L2611" s="6" t="s">
        <v>131</v>
      </c>
      <c r="M2611" s="6" t="s">
        <v>7537</v>
      </c>
      <c r="N2611" s="6" t="s">
        <v>132</v>
      </c>
      <c r="O2611" s="36" t="s">
        <v>132</v>
      </c>
      <c r="P2611" s="36">
        <v>1.426471226E9</v>
      </c>
      <c r="Q2611" s="36" t="s">
        <v>7541</v>
      </c>
      <c r="R2611" s="6" t="s">
        <v>7542</v>
      </c>
    </row>
    <row r="2612">
      <c r="A2612" s="6" t="s">
        <v>7537</v>
      </c>
      <c r="B2612" s="6" t="s">
        <v>7537</v>
      </c>
      <c r="C2612" s="6">
        <v>1003.0</v>
      </c>
      <c r="D2612" s="9" t="str">
        <f>HYPERLINK("https://www.linkedin.com/ad-library/detail/1426340996","Open Ad")</f>
        <v>Open Ad</v>
      </c>
      <c r="E2612" s="6" t="s">
        <v>91</v>
      </c>
      <c r="F2612" s="6" t="s">
        <v>53</v>
      </c>
      <c r="G2612" s="6" t="s">
        <v>7658</v>
      </c>
      <c r="H2612" s="6" t="s">
        <v>55</v>
      </c>
      <c r="I2612" s="6" t="s">
        <v>7566</v>
      </c>
      <c r="J2612" s="6" t="s">
        <v>91</v>
      </c>
      <c r="K2612" s="9" t="str">
        <f t="shared" si="107"/>
        <v>Open Creative</v>
      </c>
      <c r="L2612" s="6" t="s">
        <v>131</v>
      </c>
      <c r="M2612" s="6" t="s">
        <v>7537</v>
      </c>
      <c r="N2612" s="6" t="s">
        <v>132</v>
      </c>
      <c r="O2612" s="36" t="s">
        <v>132</v>
      </c>
      <c r="P2612" s="36">
        <v>1.426340996E9</v>
      </c>
      <c r="Q2612" s="36" t="s">
        <v>7541</v>
      </c>
      <c r="R2612" s="6" t="s">
        <v>7542</v>
      </c>
    </row>
    <row r="2613">
      <c r="A2613" s="6" t="s">
        <v>7537</v>
      </c>
      <c r="B2613" s="6" t="s">
        <v>7537</v>
      </c>
      <c r="C2613" s="6">
        <v>1004.0</v>
      </c>
      <c r="D2613" s="9" t="str">
        <f>HYPERLINK("https://www.linkedin.com/ad-library/detail/1426261176","Open Ad")</f>
        <v>Open Ad</v>
      </c>
      <c r="E2613" s="6" t="s">
        <v>91</v>
      </c>
      <c r="F2613" s="6" t="s">
        <v>53</v>
      </c>
      <c r="G2613" s="6" t="s">
        <v>7658</v>
      </c>
      <c r="H2613" s="6" t="s">
        <v>55</v>
      </c>
      <c r="I2613" s="6" t="s">
        <v>7566</v>
      </c>
      <c r="J2613" s="6" t="s">
        <v>91</v>
      </c>
      <c r="K2613" s="9" t="str">
        <f t="shared" si="107"/>
        <v>Open Creative</v>
      </c>
      <c r="L2613" s="6" t="s">
        <v>131</v>
      </c>
      <c r="M2613" s="6" t="s">
        <v>7537</v>
      </c>
      <c r="N2613" s="6" t="s">
        <v>132</v>
      </c>
      <c r="O2613" s="36" t="s">
        <v>132</v>
      </c>
      <c r="P2613" s="36">
        <v>1.426261176E9</v>
      </c>
      <c r="Q2613" s="36" t="s">
        <v>7541</v>
      </c>
      <c r="R2613" s="6" t="s">
        <v>7542</v>
      </c>
    </row>
    <row r="2614">
      <c r="A2614" s="6" t="s">
        <v>7537</v>
      </c>
      <c r="B2614" s="6" t="s">
        <v>7537</v>
      </c>
      <c r="C2614" s="6">
        <v>1005.0</v>
      </c>
      <c r="D2614" s="9" t="str">
        <f>HYPERLINK("https://www.linkedin.com/ad-library/detail/1426441156","Open Ad")</f>
        <v>Open Ad</v>
      </c>
      <c r="E2614" s="6" t="s">
        <v>91</v>
      </c>
      <c r="F2614" s="6" t="s">
        <v>53</v>
      </c>
      <c r="G2614" s="6" t="s">
        <v>7610</v>
      </c>
      <c r="H2614" s="6" t="s">
        <v>55</v>
      </c>
      <c r="I2614" s="6" t="s">
        <v>7566</v>
      </c>
      <c r="J2614" s="6" t="s">
        <v>91</v>
      </c>
      <c r="K2614" s="9" t="str">
        <f>HYPERLINK("https://media.licdn.com/dms/image/v2/D5610AQERUevwH6cWPA/image-shrink_1280/B56Z6AaLIUKkAc-/0/1780270805756/Ad211png?e=2147483647&amp;v=beta&amp;t=EU-zb0V4Qt9I9Pmof6TxqYfN8i31tA-XtbaSSkHtjdY","Open Creative")</f>
        <v>Open Creative</v>
      </c>
      <c r="L2614" s="6" t="s">
        <v>131</v>
      </c>
      <c r="M2614" s="6" t="s">
        <v>7537</v>
      </c>
      <c r="N2614" s="6" t="s">
        <v>132</v>
      </c>
      <c r="O2614" s="36" t="s">
        <v>132</v>
      </c>
      <c r="P2614" s="36">
        <v>1.426441156E9</v>
      </c>
      <c r="Q2614" s="36" t="s">
        <v>7541</v>
      </c>
      <c r="R2614" s="6" t="s">
        <v>7542</v>
      </c>
    </row>
    <row r="2615">
      <c r="A2615" s="6" t="s">
        <v>7537</v>
      </c>
      <c r="B2615" s="6" t="s">
        <v>7537</v>
      </c>
      <c r="C2615" s="6">
        <v>1006.0</v>
      </c>
      <c r="D2615" s="9" t="str">
        <f>HYPERLINK("https://www.linkedin.com/ad-library/detail/1426371236","Open Ad")</f>
        <v>Open Ad</v>
      </c>
      <c r="E2615" s="6" t="s">
        <v>91</v>
      </c>
      <c r="F2615" s="6" t="s">
        <v>53</v>
      </c>
      <c r="G2615" s="6" t="s">
        <v>7610</v>
      </c>
      <c r="H2615" s="6" t="s">
        <v>55</v>
      </c>
      <c r="I2615" s="6" t="s">
        <v>7566</v>
      </c>
      <c r="J2615" s="6" t="s">
        <v>91</v>
      </c>
      <c r="K2615" s="9" t="str">
        <f>HYPERLINK("https://media.licdn.com/dms/image/v2/D5610AQEC6uKodaP14A/image-shrink_1280/B56Z6AaqPKHwAg-/0/1780270933257/Ad201png?e=2147483647&amp;v=beta&amp;t=1A661kGu5AkvtoRboYevKI4nXl-sd3eUIKlZq0ouF78","Open Creative")</f>
        <v>Open Creative</v>
      </c>
      <c r="L2615" s="6" t="s">
        <v>131</v>
      </c>
      <c r="M2615" s="6" t="s">
        <v>7537</v>
      </c>
      <c r="N2615" s="6" t="s">
        <v>132</v>
      </c>
      <c r="O2615" s="36" t="s">
        <v>132</v>
      </c>
      <c r="P2615" s="36">
        <v>1.426371236E9</v>
      </c>
      <c r="Q2615" s="36" t="s">
        <v>7541</v>
      </c>
      <c r="R2615" s="6" t="s">
        <v>7542</v>
      </c>
    </row>
    <row r="2616">
      <c r="A2616" s="6" t="s">
        <v>7537</v>
      </c>
      <c r="B2616" s="6" t="s">
        <v>7537</v>
      </c>
      <c r="C2616" s="6">
        <v>1007.0</v>
      </c>
      <c r="D2616" s="9" t="str">
        <f>HYPERLINK("https://www.linkedin.com/ad-library/detail/1426261166","Open Ad")</f>
        <v>Open Ad</v>
      </c>
      <c r="E2616" s="6" t="s">
        <v>91</v>
      </c>
      <c r="F2616" s="6" t="s">
        <v>53</v>
      </c>
      <c r="G2616" s="6" t="s">
        <v>7610</v>
      </c>
      <c r="H2616" s="6" t="s">
        <v>55</v>
      </c>
      <c r="I2616" s="6" t="s">
        <v>7566</v>
      </c>
      <c r="J2616" s="6" t="s">
        <v>91</v>
      </c>
      <c r="K2616" s="9" t="str">
        <f t="shared" ref="K2616:K2617" si="108">HYPERLINK("https://media.licdn.com/dms/image/v2/D5610AQERUevwH6cWPA/image-shrink_1280/B56Z6AaLIUKkAc-/0/1780270805756/Ad211png?e=2147483647&amp;v=beta&amp;t=EU-zb0V4Qt9I9Pmof6TxqYfN8i31tA-XtbaSSkHtjdY","Open Creative")</f>
        <v>Open Creative</v>
      </c>
      <c r="L2616" s="6" t="s">
        <v>131</v>
      </c>
      <c r="M2616" s="6" t="s">
        <v>7537</v>
      </c>
      <c r="N2616" s="6" t="s">
        <v>132</v>
      </c>
      <c r="O2616" s="36" t="s">
        <v>132</v>
      </c>
      <c r="P2616" s="36">
        <v>1.426261166E9</v>
      </c>
      <c r="Q2616" s="36" t="s">
        <v>7541</v>
      </c>
      <c r="R2616" s="6" t="s">
        <v>7542</v>
      </c>
    </row>
    <row r="2617">
      <c r="A2617" s="6" t="s">
        <v>7537</v>
      </c>
      <c r="B2617" s="6" t="s">
        <v>7537</v>
      </c>
      <c r="C2617" s="6">
        <v>1008.0</v>
      </c>
      <c r="D2617" s="9" t="str">
        <f>HYPERLINK("https://www.linkedin.com/ad-library/detail/1426391276","Open Ad")</f>
        <v>Open Ad</v>
      </c>
      <c r="E2617" s="6" t="s">
        <v>91</v>
      </c>
      <c r="F2617" s="6" t="s">
        <v>53</v>
      </c>
      <c r="G2617" s="6" t="s">
        <v>7658</v>
      </c>
      <c r="H2617" s="6" t="s">
        <v>55</v>
      </c>
      <c r="I2617" s="6" t="s">
        <v>7566</v>
      </c>
      <c r="J2617" s="6" t="s">
        <v>91</v>
      </c>
      <c r="K2617" s="9" t="str">
        <f t="shared" si="108"/>
        <v>Open Creative</v>
      </c>
      <c r="L2617" s="6" t="s">
        <v>131</v>
      </c>
      <c r="M2617" s="6" t="s">
        <v>7537</v>
      </c>
      <c r="N2617" s="6" t="s">
        <v>132</v>
      </c>
      <c r="O2617" s="36" t="s">
        <v>132</v>
      </c>
      <c r="P2617" s="36">
        <v>1.426391276E9</v>
      </c>
      <c r="Q2617" s="36" t="s">
        <v>7541</v>
      </c>
      <c r="R2617" s="6" t="s">
        <v>7542</v>
      </c>
    </row>
    <row r="2618">
      <c r="A2618" s="6" t="s">
        <v>7537</v>
      </c>
      <c r="B2618" s="6" t="s">
        <v>7537</v>
      </c>
      <c r="C2618" s="6">
        <v>1009.0</v>
      </c>
      <c r="D2618" s="9" t="str">
        <f>HYPERLINK("https://www.linkedin.com/ad-library/detail/1315982794","Open Ad")</f>
        <v>Open Ad</v>
      </c>
      <c r="E2618" s="6" t="s">
        <v>7543</v>
      </c>
      <c r="F2618" s="6" t="s">
        <v>53</v>
      </c>
      <c r="G2618" s="6" t="s">
        <v>7613</v>
      </c>
      <c r="H2618" s="6" t="s">
        <v>55</v>
      </c>
      <c r="I2618" s="6" t="s">
        <v>7566</v>
      </c>
      <c r="J2618" s="6" t="s">
        <v>7546</v>
      </c>
      <c r="K2618" s="6" t="s">
        <v>60</v>
      </c>
      <c r="L2618" s="6" t="s">
        <v>131</v>
      </c>
      <c r="M2618" s="6" t="s">
        <v>7537</v>
      </c>
      <c r="N2618" s="6" t="s">
        <v>132</v>
      </c>
      <c r="O2618" s="36" t="s">
        <v>132</v>
      </c>
      <c r="P2618" s="36">
        <v>1.315982794E9</v>
      </c>
      <c r="Q2618" s="36" t="s">
        <v>7541</v>
      </c>
      <c r="R2618" s="6" t="s">
        <v>7542</v>
      </c>
    </row>
    <row r="2619">
      <c r="A2619" s="6" t="s">
        <v>7537</v>
      </c>
      <c r="B2619" s="6" t="s">
        <v>7537</v>
      </c>
      <c r="C2619" s="6">
        <v>1010.0</v>
      </c>
      <c r="D2619" s="9" t="str">
        <f>HYPERLINK("https://www.linkedin.com/ad-library/detail/1426380346","Open Ad")</f>
        <v>Open Ad</v>
      </c>
      <c r="E2619" s="6" t="s">
        <v>7543</v>
      </c>
      <c r="F2619" s="6" t="s">
        <v>53</v>
      </c>
      <c r="G2619" s="6" t="s">
        <v>7612</v>
      </c>
      <c r="H2619" s="6" t="s">
        <v>55</v>
      </c>
      <c r="I2619" s="6" t="s">
        <v>7566</v>
      </c>
      <c r="J2619" s="6" t="s">
        <v>7546</v>
      </c>
      <c r="K2619" s="6" t="s">
        <v>60</v>
      </c>
      <c r="L2619" s="6" t="s">
        <v>131</v>
      </c>
      <c r="M2619" s="6" t="s">
        <v>7537</v>
      </c>
      <c r="N2619" s="6" t="s">
        <v>132</v>
      </c>
      <c r="O2619" s="36" t="s">
        <v>132</v>
      </c>
      <c r="P2619" s="36">
        <v>1.426380346E9</v>
      </c>
      <c r="Q2619" s="36" t="s">
        <v>7541</v>
      </c>
      <c r="R2619" s="6" t="s">
        <v>7542</v>
      </c>
    </row>
    <row r="2620">
      <c r="A2620" s="6" t="s">
        <v>7537</v>
      </c>
      <c r="B2620" s="6" t="s">
        <v>7537</v>
      </c>
      <c r="C2620" s="6">
        <v>1011.0</v>
      </c>
      <c r="D2620" s="9" t="str">
        <f>HYPERLINK("https://www.linkedin.com/ad-library/detail/1426500216","Open Ad")</f>
        <v>Open Ad</v>
      </c>
      <c r="E2620" s="6" t="s">
        <v>7543</v>
      </c>
      <c r="F2620" s="6" t="s">
        <v>53</v>
      </c>
      <c r="G2620" s="6" t="s">
        <v>7612</v>
      </c>
      <c r="H2620" s="6" t="s">
        <v>55</v>
      </c>
      <c r="I2620" s="6" t="s">
        <v>7566</v>
      </c>
      <c r="J2620" s="6" t="s">
        <v>7546</v>
      </c>
      <c r="K2620" s="6" t="s">
        <v>60</v>
      </c>
      <c r="L2620" s="6" t="s">
        <v>131</v>
      </c>
      <c r="M2620" s="6" t="s">
        <v>7537</v>
      </c>
      <c r="N2620" s="6" t="s">
        <v>132</v>
      </c>
      <c r="O2620" s="36" t="s">
        <v>132</v>
      </c>
      <c r="P2620" s="36">
        <v>1.426500216E9</v>
      </c>
      <c r="Q2620" s="36" t="s">
        <v>7541</v>
      </c>
      <c r="R2620" s="6" t="s">
        <v>7542</v>
      </c>
    </row>
    <row r="2621">
      <c r="A2621" s="6" t="s">
        <v>7537</v>
      </c>
      <c r="B2621" s="6" t="s">
        <v>7537</v>
      </c>
      <c r="C2621" s="6">
        <v>1012.0</v>
      </c>
      <c r="D2621" s="9" t="str">
        <f>HYPERLINK("https://www.linkedin.com/ad-library/detail/1426350346","Open Ad")</f>
        <v>Open Ad</v>
      </c>
      <c r="E2621" s="6" t="s">
        <v>7543</v>
      </c>
      <c r="F2621" s="6" t="s">
        <v>53</v>
      </c>
      <c r="G2621" s="6" t="s">
        <v>7572</v>
      </c>
      <c r="H2621" s="6" t="s">
        <v>55</v>
      </c>
      <c r="I2621" s="6" t="s">
        <v>7566</v>
      </c>
      <c r="J2621" s="6" t="s">
        <v>7546</v>
      </c>
      <c r="K2621" s="6" t="s">
        <v>60</v>
      </c>
      <c r="L2621" s="6" t="s">
        <v>131</v>
      </c>
      <c r="M2621" s="6" t="s">
        <v>7537</v>
      </c>
      <c r="N2621" s="6" t="s">
        <v>132</v>
      </c>
      <c r="O2621" s="36" t="s">
        <v>132</v>
      </c>
      <c r="P2621" s="36">
        <v>1.426350346E9</v>
      </c>
      <c r="Q2621" s="36" t="s">
        <v>7541</v>
      </c>
      <c r="R2621" s="6" t="s">
        <v>7542</v>
      </c>
    </row>
    <row r="2622">
      <c r="A2622" s="6" t="s">
        <v>7537</v>
      </c>
      <c r="B2622" s="6" t="s">
        <v>7537</v>
      </c>
      <c r="C2622" s="6">
        <v>1013.0</v>
      </c>
      <c r="D2622" s="9" t="str">
        <f>HYPERLINK("https://www.linkedin.com/ad-library/detail/1426300246","Open Ad")</f>
        <v>Open Ad</v>
      </c>
      <c r="E2622" s="6" t="s">
        <v>7543</v>
      </c>
      <c r="F2622" s="6" t="s">
        <v>53</v>
      </c>
      <c r="G2622" s="6" t="s">
        <v>7612</v>
      </c>
      <c r="H2622" s="6" t="s">
        <v>55</v>
      </c>
      <c r="I2622" s="6" t="s">
        <v>7566</v>
      </c>
      <c r="J2622" s="6" t="s">
        <v>7546</v>
      </c>
      <c r="K2622" s="6" t="s">
        <v>60</v>
      </c>
      <c r="L2622" s="6" t="s">
        <v>131</v>
      </c>
      <c r="M2622" s="6" t="s">
        <v>7537</v>
      </c>
      <c r="N2622" s="6" t="s">
        <v>132</v>
      </c>
      <c r="O2622" s="36" t="s">
        <v>132</v>
      </c>
      <c r="P2622" s="36">
        <v>1.426300246E9</v>
      </c>
      <c r="Q2622" s="36" t="s">
        <v>7541</v>
      </c>
      <c r="R2622" s="6" t="s">
        <v>7542</v>
      </c>
    </row>
    <row r="2623">
      <c r="A2623" s="6" t="s">
        <v>7537</v>
      </c>
      <c r="B2623" s="6" t="s">
        <v>7537</v>
      </c>
      <c r="C2623" s="6">
        <v>1014.0</v>
      </c>
      <c r="D2623" s="9" t="str">
        <f>HYPERLINK("https://www.linkedin.com/ad-library/detail/1426350336","Open Ad")</f>
        <v>Open Ad</v>
      </c>
      <c r="E2623" s="6" t="s">
        <v>7543</v>
      </c>
      <c r="F2623" s="6" t="s">
        <v>53</v>
      </c>
      <c r="G2623" s="6" t="s">
        <v>7612</v>
      </c>
      <c r="H2623" s="6" t="s">
        <v>55</v>
      </c>
      <c r="I2623" s="6" t="s">
        <v>7566</v>
      </c>
      <c r="J2623" s="6" t="s">
        <v>7546</v>
      </c>
      <c r="K2623" s="6" t="s">
        <v>60</v>
      </c>
      <c r="L2623" s="6" t="s">
        <v>131</v>
      </c>
      <c r="M2623" s="6" t="s">
        <v>7537</v>
      </c>
      <c r="N2623" s="6" t="s">
        <v>132</v>
      </c>
      <c r="O2623" s="36" t="s">
        <v>132</v>
      </c>
      <c r="P2623" s="36">
        <v>1.426350336E9</v>
      </c>
      <c r="Q2623" s="36" t="s">
        <v>7541</v>
      </c>
      <c r="R2623" s="6" t="s">
        <v>7542</v>
      </c>
    </row>
    <row r="2624">
      <c r="A2624" s="6" t="s">
        <v>7537</v>
      </c>
      <c r="B2624" s="6" t="s">
        <v>7537</v>
      </c>
      <c r="C2624" s="6">
        <v>1015.0</v>
      </c>
      <c r="D2624" s="9" t="str">
        <f>HYPERLINK("https://www.linkedin.com/ad-library/detail/1426420356","Open Ad")</f>
        <v>Open Ad</v>
      </c>
      <c r="E2624" s="6" t="s">
        <v>7543</v>
      </c>
      <c r="F2624" s="6" t="s">
        <v>53</v>
      </c>
      <c r="G2624" s="6" t="s">
        <v>7613</v>
      </c>
      <c r="H2624" s="6" t="s">
        <v>55</v>
      </c>
      <c r="I2624" s="6" t="s">
        <v>7566</v>
      </c>
      <c r="J2624" s="6" t="s">
        <v>7546</v>
      </c>
      <c r="K2624" s="6" t="s">
        <v>60</v>
      </c>
      <c r="L2624" s="6" t="s">
        <v>131</v>
      </c>
      <c r="M2624" s="6" t="s">
        <v>7537</v>
      </c>
      <c r="N2624" s="6" t="s">
        <v>132</v>
      </c>
      <c r="O2624" s="36" t="s">
        <v>132</v>
      </c>
      <c r="P2624" s="36">
        <v>1.426420356E9</v>
      </c>
      <c r="Q2624" s="36" t="s">
        <v>7541</v>
      </c>
      <c r="R2624" s="6" t="s">
        <v>7542</v>
      </c>
    </row>
    <row r="2625">
      <c r="A2625" s="6" t="s">
        <v>7537</v>
      </c>
      <c r="B2625" s="6" t="s">
        <v>7537</v>
      </c>
      <c r="C2625" s="6">
        <v>1016.0</v>
      </c>
      <c r="D2625" s="9" t="str">
        <f>HYPERLINK("https://www.linkedin.com/ad-library/detail/1426380246","Open Ad")</f>
        <v>Open Ad</v>
      </c>
      <c r="E2625" s="6" t="s">
        <v>7543</v>
      </c>
      <c r="F2625" s="6" t="s">
        <v>53</v>
      </c>
      <c r="G2625" s="6" t="s">
        <v>7612</v>
      </c>
      <c r="H2625" s="6" t="s">
        <v>55</v>
      </c>
      <c r="I2625" s="6" t="s">
        <v>7566</v>
      </c>
      <c r="J2625" s="6" t="s">
        <v>7546</v>
      </c>
      <c r="K2625" s="6" t="s">
        <v>60</v>
      </c>
      <c r="L2625" s="6" t="s">
        <v>131</v>
      </c>
      <c r="M2625" s="6" t="s">
        <v>7537</v>
      </c>
      <c r="N2625" s="6" t="s">
        <v>132</v>
      </c>
      <c r="O2625" s="36" t="s">
        <v>132</v>
      </c>
      <c r="P2625" s="36">
        <v>1.426380246E9</v>
      </c>
      <c r="Q2625" s="36" t="s">
        <v>7541</v>
      </c>
      <c r="R2625" s="6" t="s">
        <v>7542</v>
      </c>
    </row>
    <row r="2626">
      <c r="A2626" s="6" t="s">
        <v>7537</v>
      </c>
      <c r="B2626" s="6" t="s">
        <v>7537</v>
      </c>
      <c r="C2626" s="6">
        <v>1017.0</v>
      </c>
      <c r="D2626" s="9" t="str">
        <f>HYPERLINK("https://www.linkedin.com/ad-library/detail/1426340176","Open Ad")</f>
        <v>Open Ad</v>
      </c>
      <c r="E2626" s="6" t="s">
        <v>7543</v>
      </c>
      <c r="F2626" s="6" t="s">
        <v>53</v>
      </c>
      <c r="G2626" s="6" t="s">
        <v>7572</v>
      </c>
      <c r="H2626" s="6" t="s">
        <v>55</v>
      </c>
      <c r="I2626" s="6" t="s">
        <v>7566</v>
      </c>
      <c r="J2626" s="6" t="s">
        <v>7546</v>
      </c>
      <c r="K2626" s="6" t="s">
        <v>60</v>
      </c>
      <c r="L2626" s="6" t="s">
        <v>131</v>
      </c>
      <c r="M2626" s="6" t="s">
        <v>7537</v>
      </c>
      <c r="N2626" s="6" t="s">
        <v>132</v>
      </c>
      <c r="O2626" s="36" t="s">
        <v>132</v>
      </c>
      <c r="P2626" s="36">
        <v>1.426340176E9</v>
      </c>
      <c r="Q2626" s="36" t="s">
        <v>7541</v>
      </c>
      <c r="R2626" s="6" t="s">
        <v>7542</v>
      </c>
    </row>
    <row r="2627">
      <c r="A2627" s="6" t="s">
        <v>7537</v>
      </c>
      <c r="B2627" s="6" t="s">
        <v>7537</v>
      </c>
      <c r="C2627" s="6">
        <v>1018.0</v>
      </c>
      <c r="D2627" s="9" t="str">
        <f>HYPERLINK("https://www.linkedin.com/ad-library/detail/1426340186","Open Ad")</f>
        <v>Open Ad</v>
      </c>
      <c r="E2627" s="6" t="s">
        <v>7543</v>
      </c>
      <c r="F2627" s="6" t="s">
        <v>53</v>
      </c>
      <c r="G2627" s="6" t="s">
        <v>7572</v>
      </c>
      <c r="H2627" s="6" t="s">
        <v>55</v>
      </c>
      <c r="I2627" s="6" t="s">
        <v>7566</v>
      </c>
      <c r="J2627" s="6" t="s">
        <v>7546</v>
      </c>
      <c r="K2627" s="6" t="s">
        <v>60</v>
      </c>
      <c r="L2627" s="6" t="s">
        <v>131</v>
      </c>
      <c r="M2627" s="6" t="s">
        <v>7537</v>
      </c>
      <c r="N2627" s="6" t="s">
        <v>132</v>
      </c>
      <c r="O2627" s="36" t="s">
        <v>132</v>
      </c>
      <c r="P2627" s="36">
        <v>1.426340186E9</v>
      </c>
      <c r="Q2627" s="36" t="s">
        <v>7541</v>
      </c>
      <c r="R2627" s="6" t="s">
        <v>7542</v>
      </c>
    </row>
    <row r="2628">
      <c r="A2628" s="6" t="s">
        <v>7537</v>
      </c>
      <c r="B2628" s="6" t="s">
        <v>7537</v>
      </c>
      <c r="C2628" s="6">
        <v>1019.0</v>
      </c>
      <c r="D2628" s="9" t="str">
        <f>HYPERLINK("https://www.linkedin.com/ad-library/detail/1426270346","Open Ad")</f>
        <v>Open Ad</v>
      </c>
      <c r="E2628" s="6" t="s">
        <v>7543</v>
      </c>
      <c r="F2628" s="6" t="s">
        <v>53</v>
      </c>
      <c r="G2628" s="6" t="s">
        <v>7572</v>
      </c>
      <c r="H2628" s="6" t="s">
        <v>55</v>
      </c>
      <c r="I2628" s="6" t="s">
        <v>7566</v>
      </c>
      <c r="J2628" s="6" t="s">
        <v>7546</v>
      </c>
      <c r="K2628" s="6" t="s">
        <v>60</v>
      </c>
      <c r="L2628" s="6" t="s">
        <v>131</v>
      </c>
      <c r="M2628" s="6" t="s">
        <v>7537</v>
      </c>
      <c r="N2628" s="6" t="s">
        <v>132</v>
      </c>
      <c r="O2628" s="36" t="s">
        <v>132</v>
      </c>
      <c r="P2628" s="36">
        <v>1.426270346E9</v>
      </c>
      <c r="Q2628" s="36" t="s">
        <v>7541</v>
      </c>
      <c r="R2628" s="6" t="s">
        <v>7542</v>
      </c>
    </row>
    <row r="2629">
      <c r="A2629" s="6" t="s">
        <v>7537</v>
      </c>
      <c r="B2629" s="6" t="s">
        <v>7537</v>
      </c>
      <c r="C2629" s="6">
        <v>1020.0</v>
      </c>
      <c r="D2629" s="9" t="str">
        <f>HYPERLINK("https://www.linkedin.com/ad-library/detail/1426390326","Open Ad")</f>
        <v>Open Ad</v>
      </c>
      <c r="E2629" s="6" t="s">
        <v>7543</v>
      </c>
      <c r="F2629" s="6" t="s">
        <v>53</v>
      </c>
      <c r="G2629" s="6" t="s">
        <v>7612</v>
      </c>
      <c r="H2629" s="6" t="s">
        <v>55</v>
      </c>
      <c r="I2629" s="6" t="s">
        <v>7566</v>
      </c>
      <c r="J2629" s="6" t="s">
        <v>7546</v>
      </c>
      <c r="K2629" s="6" t="s">
        <v>60</v>
      </c>
      <c r="L2629" s="6" t="s">
        <v>131</v>
      </c>
      <c r="M2629" s="6" t="s">
        <v>7537</v>
      </c>
      <c r="N2629" s="6" t="s">
        <v>132</v>
      </c>
      <c r="O2629" s="36" t="s">
        <v>132</v>
      </c>
      <c r="P2629" s="36">
        <v>1.426390326E9</v>
      </c>
      <c r="Q2629" s="36" t="s">
        <v>7541</v>
      </c>
      <c r="R2629" s="6" t="s">
        <v>7542</v>
      </c>
    </row>
    <row r="2630">
      <c r="A2630" s="6" t="s">
        <v>7537</v>
      </c>
      <c r="B2630" s="6" t="s">
        <v>7537</v>
      </c>
      <c r="C2630" s="6">
        <v>1021.0</v>
      </c>
      <c r="D2630" s="9" t="str">
        <f>HYPERLINK("https://www.linkedin.com/ad-library/detail/1426390316","Open Ad")</f>
        <v>Open Ad</v>
      </c>
      <c r="E2630" s="6" t="s">
        <v>7543</v>
      </c>
      <c r="F2630" s="6" t="s">
        <v>53</v>
      </c>
      <c r="G2630" s="6" t="s">
        <v>7612</v>
      </c>
      <c r="H2630" s="6" t="s">
        <v>55</v>
      </c>
      <c r="I2630" s="6" t="s">
        <v>7566</v>
      </c>
      <c r="J2630" s="6" t="s">
        <v>7546</v>
      </c>
      <c r="K2630" s="6" t="s">
        <v>60</v>
      </c>
      <c r="L2630" s="6" t="s">
        <v>131</v>
      </c>
      <c r="M2630" s="6" t="s">
        <v>7537</v>
      </c>
      <c r="N2630" s="6" t="s">
        <v>132</v>
      </c>
      <c r="O2630" s="36" t="s">
        <v>132</v>
      </c>
      <c r="P2630" s="36">
        <v>1.426390316E9</v>
      </c>
      <c r="Q2630" s="36" t="s">
        <v>7541</v>
      </c>
      <c r="R2630" s="6" t="s">
        <v>7542</v>
      </c>
    </row>
    <row r="2631">
      <c r="A2631" s="6" t="s">
        <v>7537</v>
      </c>
      <c r="B2631" s="6" t="s">
        <v>7537</v>
      </c>
      <c r="C2631" s="6">
        <v>1022.0</v>
      </c>
      <c r="D2631" s="9" t="str">
        <f>HYPERLINK("https://www.linkedin.com/ad-library/detail/1426311046","Open Ad")</f>
        <v>Open Ad</v>
      </c>
      <c r="E2631" s="6" t="s">
        <v>7543</v>
      </c>
      <c r="F2631" s="6" t="s">
        <v>53</v>
      </c>
      <c r="G2631" s="6" t="s">
        <v>7612</v>
      </c>
      <c r="H2631" s="6" t="s">
        <v>55</v>
      </c>
      <c r="I2631" s="6" t="s">
        <v>7566</v>
      </c>
      <c r="J2631" s="6" t="s">
        <v>7546</v>
      </c>
      <c r="K2631" s="6" t="s">
        <v>60</v>
      </c>
      <c r="L2631" s="6" t="s">
        <v>131</v>
      </c>
      <c r="M2631" s="6" t="s">
        <v>7537</v>
      </c>
      <c r="N2631" s="6" t="s">
        <v>132</v>
      </c>
      <c r="O2631" s="36" t="s">
        <v>132</v>
      </c>
      <c r="P2631" s="36">
        <v>1.426311046E9</v>
      </c>
      <c r="Q2631" s="36" t="s">
        <v>7541</v>
      </c>
      <c r="R2631" s="6" t="s">
        <v>7542</v>
      </c>
    </row>
    <row r="2632">
      <c r="A2632" s="6" t="s">
        <v>7537</v>
      </c>
      <c r="B2632" s="6" t="s">
        <v>7537</v>
      </c>
      <c r="C2632" s="6">
        <v>1023.0</v>
      </c>
      <c r="D2632" s="9" t="str">
        <f>HYPERLINK("https://www.linkedin.com/ad-library/detail/1426470256","Open Ad")</f>
        <v>Open Ad</v>
      </c>
      <c r="E2632" s="6" t="s">
        <v>7543</v>
      </c>
      <c r="F2632" s="6" t="s">
        <v>53</v>
      </c>
      <c r="G2632" s="6" t="s">
        <v>7572</v>
      </c>
      <c r="H2632" s="6" t="s">
        <v>55</v>
      </c>
      <c r="I2632" s="6" t="s">
        <v>7566</v>
      </c>
      <c r="J2632" s="6" t="s">
        <v>7546</v>
      </c>
      <c r="K2632" s="6" t="s">
        <v>60</v>
      </c>
      <c r="L2632" s="6" t="s">
        <v>131</v>
      </c>
      <c r="M2632" s="6" t="s">
        <v>7537</v>
      </c>
      <c r="N2632" s="6" t="s">
        <v>132</v>
      </c>
      <c r="O2632" s="36" t="s">
        <v>132</v>
      </c>
      <c r="P2632" s="36">
        <v>1.426470256E9</v>
      </c>
      <c r="Q2632" s="36" t="s">
        <v>7541</v>
      </c>
      <c r="R2632" s="6" t="s">
        <v>7542</v>
      </c>
    </row>
    <row r="2633">
      <c r="A2633" s="6" t="s">
        <v>7537</v>
      </c>
      <c r="B2633" s="6" t="s">
        <v>7537</v>
      </c>
      <c r="C2633" s="6">
        <v>1024.0</v>
      </c>
      <c r="D2633" s="9" t="str">
        <f>HYPERLINK("https://www.linkedin.com/ad-library/detail/1426311036","Open Ad")</f>
        <v>Open Ad</v>
      </c>
      <c r="E2633" s="6" t="s">
        <v>7543</v>
      </c>
      <c r="F2633" s="6" t="s">
        <v>53</v>
      </c>
      <c r="G2633" s="6" t="s">
        <v>7613</v>
      </c>
      <c r="H2633" s="6" t="s">
        <v>55</v>
      </c>
      <c r="I2633" s="6" t="s">
        <v>7566</v>
      </c>
      <c r="J2633" s="6" t="s">
        <v>7546</v>
      </c>
      <c r="K2633" s="6" t="s">
        <v>60</v>
      </c>
      <c r="L2633" s="6" t="s">
        <v>131</v>
      </c>
      <c r="M2633" s="6" t="s">
        <v>7537</v>
      </c>
      <c r="N2633" s="6" t="s">
        <v>132</v>
      </c>
      <c r="O2633" s="36" t="s">
        <v>132</v>
      </c>
      <c r="P2633" s="36">
        <v>1.426311036E9</v>
      </c>
      <c r="Q2633" s="36" t="s">
        <v>7541</v>
      </c>
      <c r="R2633" s="6" t="s">
        <v>7542</v>
      </c>
    </row>
    <row r="2634">
      <c r="A2634" s="6" t="s">
        <v>7537</v>
      </c>
      <c r="B2634" s="6" t="s">
        <v>7537</v>
      </c>
      <c r="C2634" s="6">
        <v>1025.0</v>
      </c>
      <c r="D2634" s="9" t="str">
        <f>HYPERLINK("https://www.linkedin.com/ad-library/detail/1426311026","Open Ad")</f>
        <v>Open Ad</v>
      </c>
      <c r="E2634" s="6" t="s">
        <v>7543</v>
      </c>
      <c r="F2634" s="6" t="s">
        <v>53</v>
      </c>
      <c r="G2634" s="6" t="s">
        <v>7572</v>
      </c>
      <c r="H2634" s="6" t="s">
        <v>55</v>
      </c>
      <c r="I2634" s="6" t="s">
        <v>7566</v>
      </c>
      <c r="J2634" s="6" t="s">
        <v>7546</v>
      </c>
      <c r="K2634" s="6" t="s">
        <v>60</v>
      </c>
      <c r="L2634" s="6" t="s">
        <v>131</v>
      </c>
      <c r="M2634" s="6" t="s">
        <v>7537</v>
      </c>
      <c r="N2634" s="6" t="s">
        <v>132</v>
      </c>
      <c r="O2634" s="36" t="s">
        <v>132</v>
      </c>
      <c r="P2634" s="36">
        <v>1.426311026E9</v>
      </c>
      <c r="Q2634" s="36" t="s">
        <v>7541</v>
      </c>
      <c r="R2634" s="6" t="s">
        <v>7542</v>
      </c>
    </row>
    <row r="2635">
      <c r="A2635" s="6" t="s">
        <v>7537</v>
      </c>
      <c r="B2635" s="6" t="s">
        <v>7537</v>
      </c>
      <c r="C2635" s="6">
        <v>1026.0</v>
      </c>
      <c r="D2635" s="9" t="str">
        <f>HYPERLINK("https://www.linkedin.com/ad-library/detail/1426260296","Open Ad")</f>
        <v>Open Ad</v>
      </c>
      <c r="E2635" s="6" t="s">
        <v>7543</v>
      </c>
      <c r="F2635" s="6" t="s">
        <v>53</v>
      </c>
      <c r="G2635" s="6" t="s">
        <v>7572</v>
      </c>
      <c r="H2635" s="6" t="s">
        <v>55</v>
      </c>
      <c r="I2635" s="6" t="s">
        <v>7566</v>
      </c>
      <c r="J2635" s="6" t="s">
        <v>7546</v>
      </c>
      <c r="K2635" s="6" t="s">
        <v>60</v>
      </c>
      <c r="L2635" s="6" t="s">
        <v>131</v>
      </c>
      <c r="M2635" s="6" t="s">
        <v>7537</v>
      </c>
      <c r="N2635" s="6" t="s">
        <v>132</v>
      </c>
      <c r="O2635" s="36" t="s">
        <v>132</v>
      </c>
      <c r="P2635" s="36">
        <v>1.426260296E9</v>
      </c>
      <c r="Q2635" s="36" t="s">
        <v>7541</v>
      </c>
      <c r="R2635" s="6" t="s">
        <v>7542</v>
      </c>
    </row>
    <row r="2636">
      <c r="A2636" s="6" t="s">
        <v>7537</v>
      </c>
      <c r="B2636" s="6" t="s">
        <v>7537</v>
      </c>
      <c r="C2636" s="6">
        <v>1027.0</v>
      </c>
      <c r="D2636" s="9" t="str">
        <f>HYPERLINK("https://www.linkedin.com/ad-library/detail/1426430236","Open Ad")</f>
        <v>Open Ad</v>
      </c>
      <c r="E2636" s="6" t="s">
        <v>7543</v>
      </c>
      <c r="F2636" s="6" t="s">
        <v>53</v>
      </c>
      <c r="G2636" s="6" t="s">
        <v>7572</v>
      </c>
      <c r="H2636" s="6" t="s">
        <v>55</v>
      </c>
      <c r="I2636" s="6" t="s">
        <v>7566</v>
      </c>
      <c r="J2636" s="6" t="s">
        <v>7546</v>
      </c>
      <c r="K2636" s="6" t="s">
        <v>60</v>
      </c>
      <c r="L2636" s="6" t="s">
        <v>131</v>
      </c>
      <c r="M2636" s="6" t="s">
        <v>7537</v>
      </c>
      <c r="N2636" s="6" t="s">
        <v>132</v>
      </c>
      <c r="O2636" s="36" t="s">
        <v>132</v>
      </c>
      <c r="P2636" s="36">
        <v>1.426430236E9</v>
      </c>
      <c r="Q2636" s="36" t="s">
        <v>7541</v>
      </c>
      <c r="R2636" s="6" t="s">
        <v>7542</v>
      </c>
    </row>
    <row r="2637">
      <c r="A2637" s="6" t="s">
        <v>7537</v>
      </c>
      <c r="B2637" s="6" t="s">
        <v>7537</v>
      </c>
      <c r="C2637" s="6">
        <v>1028.0</v>
      </c>
      <c r="D2637" s="9" t="str">
        <f>HYPERLINK("https://www.linkedin.com/ad-library/detail/1426260286","Open Ad")</f>
        <v>Open Ad</v>
      </c>
      <c r="E2637" s="6" t="s">
        <v>7543</v>
      </c>
      <c r="F2637" s="6" t="s">
        <v>53</v>
      </c>
      <c r="G2637" s="6" t="s">
        <v>7572</v>
      </c>
      <c r="H2637" s="6" t="s">
        <v>55</v>
      </c>
      <c r="I2637" s="6" t="s">
        <v>7566</v>
      </c>
      <c r="J2637" s="6" t="s">
        <v>7546</v>
      </c>
      <c r="K2637" s="6" t="s">
        <v>60</v>
      </c>
      <c r="L2637" s="6" t="s">
        <v>131</v>
      </c>
      <c r="M2637" s="6" t="s">
        <v>7537</v>
      </c>
      <c r="N2637" s="6" t="s">
        <v>132</v>
      </c>
      <c r="O2637" s="36" t="s">
        <v>132</v>
      </c>
      <c r="P2637" s="36">
        <v>1.426260286E9</v>
      </c>
      <c r="Q2637" s="36" t="s">
        <v>7541</v>
      </c>
      <c r="R2637" s="6" t="s">
        <v>7542</v>
      </c>
    </row>
    <row r="2638">
      <c r="A2638" s="6" t="s">
        <v>7537</v>
      </c>
      <c r="B2638" s="6" t="s">
        <v>7537</v>
      </c>
      <c r="C2638" s="6">
        <v>1029.0</v>
      </c>
      <c r="D2638" s="9" t="str">
        <f>HYPERLINK("https://www.linkedin.com/ad-library/detail/1426470826","Open Ad")</f>
        <v>Open Ad</v>
      </c>
      <c r="E2638" s="6" t="s">
        <v>7543</v>
      </c>
      <c r="F2638" s="6" t="s">
        <v>53</v>
      </c>
      <c r="G2638" s="6" t="s">
        <v>7612</v>
      </c>
      <c r="H2638" s="6" t="s">
        <v>55</v>
      </c>
      <c r="I2638" s="6" t="s">
        <v>7566</v>
      </c>
      <c r="J2638" s="6" t="s">
        <v>7546</v>
      </c>
      <c r="K2638" s="6" t="s">
        <v>60</v>
      </c>
      <c r="L2638" s="6" t="s">
        <v>131</v>
      </c>
      <c r="M2638" s="6" t="s">
        <v>7537</v>
      </c>
      <c r="N2638" s="6" t="s">
        <v>132</v>
      </c>
      <c r="O2638" s="36" t="s">
        <v>132</v>
      </c>
      <c r="P2638" s="36">
        <v>1.426470826E9</v>
      </c>
      <c r="Q2638" s="36" t="s">
        <v>7541</v>
      </c>
      <c r="R2638" s="6" t="s">
        <v>7542</v>
      </c>
    </row>
    <row r="2639">
      <c r="A2639" s="6" t="s">
        <v>7537</v>
      </c>
      <c r="B2639" s="6" t="s">
        <v>7537</v>
      </c>
      <c r="C2639" s="6">
        <v>1030.0</v>
      </c>
      <c r="D2639" s="9" t="str">
        <f>HYPERLINK("https://www.linkedin.com/ad-library/detail/1426280786","Open Ad")</f>
        <v>Open Ad</v>
      </c>
      <c r="E2639" s="6" t="s">
        <v>7543</v>
      </c>
      <c r="F2639" s="6" t="s">
        <v>53</v>
      </c>
      <c r="G2639" s="6" t="s">
        <v>7613</v>
      </c>
      <c r="H2639" s="6" t="s">
        <v>55</v>
      </c>
      <c r="I2639" s="6" t="s">
        <v>7566</v>
      </c>
      <c r="J2639" s="6" t="s">
        <v>7546</v>
      </c>
      <c r="K2639" s="6" t="s">
        <v>60</v>
      </c>
      <c r="L2639" s="6" t="s">
        <v>131</v>
      </c>
      <c r="M2639" s="6" t="s">
        <v>7537</v>
      </c>
      <c r="N2639" s="6" t="s">
        <v>132</v>
      </c>
      <c r="O2639" s="36" t="s">
        <v>132</v>
      </c>
      <c r="P2639" s="36">
        <v>1.426280786E9</v>
      </c>
      <c r="Q2639" s="36" t="s">
        <v>7541</v>
      </c>
      <c r="R2639" s="6" t="s">
        <v>7542</v>
      </c>
    </row>
    <row r="2640">
      <c r="A2640" s="6" t="s">
        <v>7537</v>
      </c>
      <c r="B2640" s="6" t="s">
        <v>7537</v>
      </c>
      <c r="C2640" s="6">
        <v>1031.0</v>
      </c>
      <c r="D2640" s="9" t="str">
        <f>HYPERLINK("https://www.linkedin.com/ad-library/detail/1426480276","Open Ad")</f>
        <v>Open Ad</v>
      </c>
      <c r="E2640" s="6" t="s">
        <v>7543</v>
      </c>
      <c r="F2640" s="6" t="s">
        <v>53</v>
      </c>
      <c r="G2640" s="6" t="s">
        <v>7612</v>
      </c>
      <c r="H2640" s="6" t="s">
        <v>55</v>
      </c>
      <c r="I2640" s="6" t="s">
        <v>7566</v>
      </c>
      <c r="J2640" s="6" t="s">
        <v>7546</v>
      </c>
      <c r="K2640" s="6" t="s">
        <v>60</v>
      </c>
      <c r="L2640" s="6" t="s">
        <v>131</v>
      </c>
      <c r="M2640" s="6" t="s">
        <v>7537</v>
      </c>
      <c r="N2640" s="6" t="s">
        <v>132</v>
      </c>
      <c r="O2640" s="36" t="s">
        <v>132</v>
      </c>
      <c r="P2640" s="36">
        <v>1.426480276E9</v>
      </c>
      <c r="Q2640" s="36" t="s">
        <v>7541</v>
      </c>
      <c r="R2640" s="6" t="s">
        <v>7542</v>
      </c>
    </row>
    <row r="2641">
      <c r="A2641" s="6" t="s">
        <v>7537</v>
      </c>
      <c r="B2641" s="6" t="s">
        <v>7537</v>
      </c>
      <c r="C2641" s="6">
        <v>1032.0</v>
      </c>
      <c r="D2641" s="9" t="str">
        <f>HYPERLINK("https://www.linkedin.com/ad-library/detail/1426450626","Open Ad")</f>
        <v>Open Ad</v>
      </c>
      <c r="E2641" s="6" t="s">
        <v>7543</v>
      </c>
      <c r="F2641" s="6" t="s">
        <v>53</v>
      </c>
      <c r="G2641" s="6" t="s">
        <v>7572</v>
      </c>
      <c r="H2641" s="6" t="s">
        <v>55</v>
      </c>
      <c r="I2641" s="6" t="s">
        <v>7566</v>
      </c>
      <c r="J2641" s="6" t="s">
        <v>7546</v>
      </c>
      <c r="K2641" s="6" t="s">
        <v>60</v>
      </c>
      <c r="L2641" s="6" t="s">
        <v>131</v>
      </c>
      <c r="M2641" s="6" t="s">
        <v>7537</v>
      </c>
      <c r="N2641" s="6" t="s">
        <v>132</v>
      </c>
      <c r="O2641" s="36" t="s">
        <v>132</v>
      </c>
      <c r="P2641" s="36">
        <v>1.426450626E9</v>
      </c>
      <c r="Q2641" s="36" t="s">
        <v>7541</v>
      </c>
      <c r="R2641" s="6" t="s">
        <v>7542</v>
      </c>
    </row>
    <row r="2642">
      <c r="A2642" s="6" t="s">
        <v>7537</v>
      </c>
      <c r="B2642" s="6" t="s">
        <v>7537</v>
      </c>
      <c r="C2642" s="6">
        <v>1033.0</v>
      </c>
      <c r="D2642" s="9" t="str">
        <f>HYPERLINK("https://www.linkedin.com/ad-library/detail/1423851086","Open Ad")</f>
        <v>Open Ad</v>
      </c>
      <c r="E2642" s="6" t="s">
        <v>154</v>
      </c>
      <c r="F2642" s="6" t="s">
        <v>53</v>
      </c>
      <c r="G2642" s="6" t="s">
        <v>7731</v>
      </c>
      <c r="H2642" s="6" t="s">
        <v>55</v>
      </c>
      <c r="I2642" s="6" t="s">
        <v>7566</v>
      </c>
      <c r="J2642" s="6" t="s">
        <v>154</v>
      </c>
      <c r="K2642" s="9" t="str">
        <f>HYPERLINK("https://dms.licdn.com/playlist/vid/v2/D4E10AQFYomRXRrqDig/mp4-360p-30fp-crf28/B4EZ5QZctRKYBc-/0/1779465322075?e=2147483647&amp;v=beta&amp;t=Jt-2HVZBVeqp6g4HzNUwGTY5HgwNqHDWTXjCIHGj-Rs","Open Creative")</f>
        <v>Open Creative</v>
      </c>
      <c r="L2642" s="6" t="s">
        <v>131</v>
      </c>
      <c r="M2642" s="6" t="s">
        <v>7537</v>
      </c>
      <c r="N2642" s="6" t="s">
        <v>132</v>
      </c>
      <c r="O2642" s="36" t="s">
        <v>132</v>
      </c>
      <c r="P2642" s="36">
        <v>1.423851086E9</v>
      </c>
      <c r="Q2642" s="36" t="s">
        <v>7541</v>
      </c>
      <c r="R2642" s="6" t="s">
        <v>7542</v>
      </c>
    </row>
    <row r="2643">
      <c r="A2643" s="6" t="s">
        <v>7537</v>
      </c>
      <c r="B2643" s="6" t="s">
        <v>7537</v>
      </c>
      <c r="C2643" s="6">
        <v>1034.0</v>
      </c>
      <c r="D2643" s="9" t="str">
        <f>HYPERLINK("https://www.linkedin.com/ad-library/detail/1423668966","Open Ad")</f>
        <v>Open Ad</v>
      </c>
      <c r="E2643" s="6" t="s">
        <v>154</v>
      </c>
      <c r="F2643" s="6" t="s">
        <v>53</v>
      </c>
      <c r="G2643" s="6" t="s">
        <v>7732</v>
      </c>
      <c r="H2643" s="6" t="s">
        <v>55</v>
      </c>
      <c r="I2643" s="6" t="s">
        <v>7566</v>
      </c>
      <c r="J2643" s="6" t="s">
        <v>154</v>
      </c>
      <c r="K2643" s="9" t="str">
        <f>HYPERLINK("https://dms.licdn.com/playlist/vid/v2/D4E10AQErls9o1njF1A/mp4-640p-30fp-crf28/B4EZ5llp9DH0BE-/0/1779820840246?e=2147483647&amp;v=beta&amp;t=Z58UHC83cX-SqvQ5j-RNjZEi2LHiz5uABkXQ9D83RAI","Open Creative")</f>
        <v>Open Creative</v>
      </c>
      <c r="L2643" s="6" t="s">
        <v>131</v>
      </c>
      <c r="M2643" s="6" t="s">
        <v>7537</v>
      </c>
      <c r="N2643" s="6" t="s">
        <v>132</v>
      </c>
      <c r="O2643" s="36" t="s">
        <v>132</v>
      </c>
      <c r="P2643" s="36">
        <v>1.423668966E9</v>
      </c>
      <c r="Q2643" s="36" t="s">
        <v>7541</v>
      </c>
      <c r="R2643" s="6" t="s">
        <v>7542</v>
      </c>
    </row>
    <row r="2644">
      <c r="A2644" s="6" t="s">
        <v>7537</v>
      </c>
      <c r="B2644" s="6" t="s">
        <v>7537</v>
      </c>
      <c r="C2644" s="6">
        <v>1035.0</v>
      </c>
      <c r="D2644" s="9" t="str">
        <f>HYPERLINK("https://www.linkedin.com/ad-library/detail/1423755706","Open Ad")</f>
        <v>Open Ad</v>
      </c>
      <c r="E2644" s="6" t="s">
        <v>154</v>
      </c>
      <c r="F2644" s="6" t="s">
        <v>53</v>
      </c>
      <c r="G2644" s="6" t="s">
        <v>7731</v>
      </c>
      <c r="H2644" s="6" t="s">
        <v>55</v>
      </c>
      <c r="I2644" s="6" t="s">
        <v>7566</v>
      </c>
      <c r="J2644" s="6" t="s">
        <v>154</v>
      </c>
      <c r="K2644" s="9" t="str">
        <f>HYPERLINK("https://dms.licdn.com/playlist/vid/v2/D4E10AQFYomRXRrqDig/mp4-360p-30fp-crf28/B4EZ5QZctRKYBc-/0/1779465322075?e=2147483647&amp;v=beta&amp;t=Jt-2HVZBVeqp6g4HzNUwGTY5HgwNqHDWTXjCIHGj-Rs","Open Creative")</f>
        <v>Open Creative</v>
      </c>
      <c r="L2644" s="6" t="s">
        <v>131</v>
      </c>
      <c r="M2644" s="6" t="s">
        <v>7537</v>
      </c>
      <c r="N2644" s="6" t="s">
        <v>132</v>
      </c>
      <c r="O2644" s="36" t="s">
        <v>132</v>
      </c>
      <c r="P2644" s="36">
        <v>1.423755706E9</v>
      </c>
      <c r="Q2644" s="36" t="s">
        <v>7541</v>
      </c>
      <c r="R2644" s="6" t="s">
        <v>7542</v>
      </c>
    </row>
    <row r="2645">
      <c r="A2645" s="6" t="s">
        <v>7537</v>
      </c>
      <c r="B2645" s="6" t="s">
        <v>7537</v>
      </c>
      <c r="C2645" s="6">
        <v>1036.0</v>
      </c>
      <c r="D2645" s="9" t="str">
        <f>HYPERLINK("https://www.linkedin.com/ad-library/detail/1423812726","Open Ad")</f>
        <v>Open Ad</v>
      </c>
      <c r="E2645" s="6" t="s">
        <v>154</v>
      </c>
      <c r="F2645" s="6" t="s">
        <v>53</v>
      </c>
      <c r="G2645" s="6" t="s">
        <v>7733</v>
      </c>
      <c r="H2645" s="6" t="s">
        <v>55</v>
      </c>
      <c r="I2645" s="6" t="s">
        <v>7566</v>
      </c>
      <c r="J2645" s="6" t="s">
        <v>154</v>
      </c>
      <c r="K2645" s="9" t="str">
        <f>HYPERLINK("https://dms.licdn.com/playlist/vid/v2/D4E10AQGkpGy1geGEZg/mp4-720p-30fp-crf28/B4EZ5qm95uJ0Bg-/0/1779905071933?e=2147483647&amp;v=beta&amp;t=cxcbPmB28OTCjNNGl4521Jk1rOdYnSIrd-Sg7T_Vs8U","Open Creative")</f>
        <v>Open Creative</v>
      </c>
      <c r="L2645" s="6" t="s">
        <v>131</v>
      </c>
      <c r="M2645" s="6" t="s">
        <v>7537</v>
      </c>
      <c r="N2645" s="6" t="s">
        <v>132</v>
      </c>
      <c r="O2645" s="36" t="s">
        <v>132</v>
      </c>
      <c r="P2645" s="36">
        <v>1.423812726E9</v>
      </c>
      <c r="Q2645" s="36" t="s">
        <v>7541</v>
      </c>
      <c r="R2645" s="6" t="s">
        <v>7542</v>
      </c>
    </row>
    <row r="2646">
      <c r="A2646" s="6" t="s">
        <v>7537</v>
      </c>
      <c r="B2646" s="6" t="s">
        <v>7537</v>
      </c>
      <c r="C2646" s="6">
        <v>1037.0</v>
      </c>
      <c r="D2646" s="9" t="str">
        <f>HYPERLINK("https://www.linkedin.com/ad-library/detail/1423745686","Open Ad")</f>
        <v>Open Ad</v>
      </c>
      <c r="E2646" s="6" t="s">
        <v>154</v>
      </c>
      <c r="F2646" s="6" t="s">
        <v>53</v>
      </c>
      <c r="G2646" s="6" t="s">
        <v>7732</v>
      </c>
      <c r="H2646" s="6" t="s">
        <v>55</v>
      </c>
      <c r="I2646" s="6" t="s">
        <v>7566</v>
      </c>
      <c r="J2646" s="6" t="s">
        <v>154</v>
      </c>
      <c r="K2646" s="9" t="str">
        <f>HYPERLINK("https://dms.licdn.com/playlist/vid/v2/D4E10AQErls9o1njF1A/mp4-640p-30fp-crf28/B4EZ5llp9DH0BE-/0/1779820840246?e=2147483647&amp;v=beta&amp;t=Z58UHC83cX-SqvQ5j-RNjZEi2LHiz5uABkXQ9D83RAI","Open Creative")</f>
        <v>Open Creative</v>
      </c>
      <c r="L2646" s="6" t="s">
        <v>131</v>
      </c>
      <c r="M2646" s="6" t="s">
        <v>7537</v>
      </c>
      <c r="N2646" s="6" t="s">
        <v>132</v>
      </c>
      <c r="O2646" s="36" t="s">
        <v>132</v>
      </c>
      <c r="P2646" s="36">
        <v>1.423745686E9</v>
      </c>
      <c r="Q2646" s="36" t="s">
        <v>7541</v>
      </c>
      <c r="R2646" s="6" t="s">
        <v>7542</v>
      </c>
    </row>
    <row r="2647">
      <c r="A2647" s="6" t="s">
        <v>7537</v>
      </c>
      <c r="B2647" s="6" t="s">
        <v>7537</v>
      </c>
      <c r="C2647" s="6">
        <v>1038.0</v>
      </c>
      <c r="D2647" s="9" t="str">
        <f>HYPERLINK("https://www.linkedin.com/ad-library/detail/1423668726","Open Ad")</f>
        <v>Open Ad</v>
      </c>
      <c r="E2647" s="6" t="s">
        <v>154</v>
      </c>
      <c r="F2647" s="6" t="s">
        <v>53</v>
      </c>
      <c r="G2647" s="6" t="s">
        <v>7733</v>
      </c>
      <c r="H2647" s="6" t="s">
        <v>55</v>
      </c>
      <c r="I2647" s="6" t="s">
        <v>7566</v>
      </c>
      <c r="J2647" s="6" t="s">
        <v>154</v>
      </c>
      <c r="K2647" s="9" t="str">
        <f t="shared" ref="K2647:K2648" si="109">HYPERLINK("https://dms.licdn.com/playlist/vid/v2/D4E10AQGkpGy1geGEZg/mp4-720p-30fp-crf28/B4EZ5qm95uJ0Bg-/0/1779905071933?e=2147483647&amp;v=beta&amp;t=cxcbPmB28OTCjNNGl4521Jk1rOdYnSIrd-Sg7T_Vs8U","Open Creative")</f>
        <v>Open Creative</v>
      </c>
      <c r="L2647" s="6" t="s">
        <v>131</v>
      </c>
      <c r="M2647" s="6" t="s">
        <v>7537</v>
      </c>
      <c r="N2647" s="6" t="s">
        <v>132</v>
      </c>
      <c r="O2647" s="36" t="s">
        <v>132</v>
      </c>
      <c r="P2647" s="36">
        <v>1.423668726E9</v>
      </c>
      <c r="Q2647" s="36" t="s">
        <v>7541</v>
      </c>
      <c r="R2647" s="6" t="s">
        <v>7542</v>
      </c>
    </row>
    <row r="2648">
      <c r="A2648" s="6" t="s">
        <v>7537</v>
      </c>
      <c r="B2648" s="6" t="s">
        <v>7537</v>
      </c>
      <c r="C2648" s="6">
        <v>1039.0</v>
      </c>
      <c r="D2648" s="9" t="str">
        <f>HYPERLINK("https://www.linkedin.com/ad-library/detail/1423840936","Open Ad")</f>
        <v>Open Ad</v>
      </c>
      <c r="E2648" s="6" t="s">
        <v>154</v>
      </c>
      <c r="F2648" s="6" t="s">
        <v>53</v>
      </c>
      <c r="G2648" s="6" t="s">
        <v>7733</v>
      </c>
      <c r="H2648" s="6" t="s">
        <v>55</v>
      </c>
      <c r="I2648" s="6" t="s">
        <v>7566</v>
      </c>
      <c r="J2648" s="6" t="s">
        <v>154</v>
      </c>
      <c r="K2648" s="9" t="str">
        <f t="shared" si="109"/>
        <v>Open Creative</v>
      </c>
      <c r="L2648" s="6" t="s">
        <v>131</v>
      </c>
      <c r="M2648" s="6" t="s">
        <v>7537</v>
      </c>
      <c r="N2648" s="6" t="s">
        <v>132</v>
      </c>
      <c r="O2648" s="36" t="s">
        <v>132</v>
      </c>
      <c r="P2648" s="36">
        <v>1.423840936E9</v>
      </c>
      <c r="Q2648" s="36" t="s">
        <v>7541</v>
      </c>
      <c r="R2648" s="6" t="s">
        <v>7542</v>
      </c>
    </row>
    <row r="2649">
      <c r="A2649" s="6" t="s">
        <v>7537</v>
      </c>
      <c r="B2649" s="6" t="s">
        <v>7537</v>
      </c>
      <c r="C2649" s="6">
        <v>1040.0</v>
      </c>
      <c r="D2649" s="9" t="str">
        <f>HYPERLINK("https://www.linkedin.com/ad-library/detail/1315882524","Open Ad")</f>
        <v>Open Ad</v>
      </c>
      <c r="E2649" s="6" t="s">
        <v>7543</v>
      </c>
      <c r="F2649" s="6" t="s">
        <v>53</v>
      </c>
      <c r="G2649" s="6" t="s">
        <v>7734</v>
      </c>
      <c r="H2649" s="6" t="s">
        <v>55</v>
      </c>
      <c r="I2649" s="6" t="s">
        <v>7566</v>
      </c>
      <c r="J2649" s="6" t="s">
        <v>7546</v>
      </c>
      <c r="K2649" s="6" t="s">
        <v>60</v>
      </c>
      <c r="L2649" s="6" t="s">
        <v>131</v>
      </c>
      <c r="M2649" s="6" t="s">
        <v>7537</v>
      </c>
      <c r="N2649" s="6" t="s">
        <v>132</v>
      </c>
      <c r="O2649" s="36" t="s">
        <v>132</v>
      </c>
      <c r="P2649" s="36">
        <v>1.315882524E9</v>
      </c>
      <c r="Q2649" s="36" t="s">
        <v>7541</v>
      </c>
      <c r="R2649" s="6" t="s">
        <v>7542</v>
      </c>
    </row>
    <row r="2650">
      <c r="A2650" s="6" t="s">
        <v>7537</v>
      </c>
      <c r="B2650" s="6" t="s">
        <v>7537</v>
      </c>
      <c r="C2650" s="6">
        <v>1041.0</v>
      </c>
      <c r="D2650" s="9" t="str">
        <f>HYPERLINK("https://www.linkedin.com/ad-library/detail/1423793376","Open Ad")</f>
        <v>Open Ad</v>
      </c>
      <c r="E2650" s="6" t="s">
        <v>154</v>
      </c>
      <c r="F2650" s="6" t="s">
        <v>53</v>
      </c>
      <c r="G2650" s="6" t="s">
        <v>7731</v>
      </c>
      <c r="H2650" s="6" t="s">
        <v>55</v>
      </c>
      <c r="I2650" s="6" t="s">
        <v>7566</v>
      </c>
      <c r="J2650" s="6" t="s">
        <v>154</v>
      </c>
      <c r="K2650" s="9" t="str">
        <f>HYPERLINK("https://dms.licdn.com/playlist/vid/v2/D4E10AQFYomRXRrqDig/mp4-360p-30fp-crf28/B4EZ5QZctRKYBc-/0/1779465322075?e=2147483647&amp;v=beta&amp;t=Jt-2HVZBVeqp6g4HzNUwGTY5HgwNqHDWTXjCIHGj-Rs","Open Creative")</f>
        <v>Open Creative</v>
      </c>
      <c r="L2650" s="6" t="s">
        <v>131</v>
      </c>
      <c r="M2650" s="6" t="s">
        <v>7537</v>
      </c>
      <c r="N2650" s="6" t="s">
        <v>132</v>
      </c>
      <c r="O2650" s="36" t="s">
        <v>132</v>
      </c>
      <c r="P2650" s="36">
        <v>1.423793376E9</v>
      </c>
      <c r="Q2650" s="36" t="s">
        <v>7541</v>
      </c>
      <c r="R2650" s="6" t="s">
        <v>7542</v>
      </c>
    </row>
    <row r="2651">
      <c r="A2651" s="6" t="s">
        <v>7537</v>
      </c>
      <c r="B2651" s="6" t="s">
        <v>7537</v>
      </c>
      <c r="C2651" s="6">
        <v>1042.0</v>
      </c>
      <c r="D2651" s="9" t="str">
        <f>HYPERLINK("https://www.linkedin.com/ad-library/detail/1315882544","Open Ad")</f>
        <v>Open Ad</v>
      </c>
      <c r="E2651" s="6" t="s">
        <v>7543</v>
      </c>
      <c r="F2651" s="6" t="s">
        <v>53</v>
      </c>
      <c r="G2651" s="6" t="s">
        <v>7609</v>
      </c>
      <c r="H2651" s="6" t="s">
        <v>55</v>
      </c>
      <c r="I2651" s="6" t="s">
        <v>7566</v>
      </c>
      <c r="J2651" s="6" t="s">
        <v>7546</v>
      </c>
      <c r="K2651" s="6" t="s">
        <v>60</v>
      </c>
      <c r="L2651" s="6" t="s">
        <v>131</v>
      </c>
      <c r="M2651" s="6" t="s">
        <v>7537</v>
      </c>
      <c r="N2651" s="6" t="s">
        <v>132</v>
      </c>
      <c r="O2651" s="36" t="s">
        <v>132</v>
      </c>
      <c r="P2651" s="36">
        <v>1.315882544E9</v>
      </c>
      <c r="Q2651" s="36" t="s">
        <v>7541</v>
      </c>
      <c r="R2651" s="6" t="s">
        <v>7542</v>
      </c>
    </row>
    <row r="2652">
      <c r="A2652" s="6" t="s">
        <v>7537</v>
      </c>
      <c r="B2652" s="6" t="s">
        <v>7537</v>
      </c>
      <c r="C2652" s="6">
        <v>1043.0</v>
      </c>
      <c r="D2652" s="9" t="str">
        <f>HYPERLINK("https://www.linkedin.com/ad-library/detail/1423793366","Open Ad")</f>
        <v>Open Ad</v>
      </c>
      <c r="E2652" s="6" t="s">
        <v>154</v>
      </c>
      <c r="F2652" s="6" t="s">
        <v>53</v>
      </c>
      <c r="G2652" s="6" t="s">
        <v>7731</v>
      </c>
      <c r="H2652" s="6" t="s">
        <v>55</v>
      </c>
      <c r="I2652" s="6" t="s">
        <v>7566</v>
      </c>
      <c r="J2652" s="6" t="s">
        <v>154</v>
      </c>
      <c r="K2652" s="9" t="str">
        <f t="shared" ref="K2652:K2653" si="110">HYPERLINK("https://dms.licdn.com/playlist/vid/v2/D4E10AQFYomRXRrqDig/mp4-360p-30fp-crf28/B4EZ5QZctRKYBc-/0/1779465322075?e=2147483647&amp;v=beta&amp;t=Jt-2HVZBVeqp6g4HzNUwGTY5HgwNqHDWTXjCIHGj-Rs","Open Creative")</f>
        <v>Open Creative</v>
      </c>
      <c r="L2652" s="6" t="s">
        <v>131</v>
      </c>
      <c r="M2652" s="6" t="s">
        <v>7537</v>
      </c>
      <c r="N2652" s="6" t="s">
        <v>132</v>
      </c>
      <c r="O2652" s="36" t="s">
        <v>132</v>
      </c>
      <c r="P2652" s="36">
        <v>1.423793366E9</v>
      </c>
      <c r="Q2652" s="36" t="s">
        <v>7541</v>
      </c>
      <c r="R2652" s="6" t="s">
        <v>7542</v>
      </c>
    </row>
    <row r="2653">
      <c r="A2653" s="6" t="s">
        <v>7537</v>
      </c>
      <c r="B2653" s="6" t="s">
        <v>7537</v>
      </c>
      <c r="C2653" s="6">
        <v>1044.0</v>
      </c>
      <c r="D2653" s="9" t="str">
        <f>HYPERLINK("https://www.linkedin.com/ad-library/detail/1423727356","Open Ad")</f>
        <v>Open Ad</v>
      </c>
      <c r="E2653" s="6" t="s">
        <v>154</v>
      </c>
      <c r="F2653" s="6" t="s">
        <v>53</v>
      </c>
      <c r="G2653" s="6" t="s">
        <v>7731</v>
      </c>
      <c r="H2653" s="6" t="s">
        <v>55</v>
      </c>
      <c r="I2653" s="6" t="s">
        <v>7566</v>
      </c>
      <c r="J2653" s="6" t="s">
        <v>154</v>
      </c>
      <c r="K2653" s="9" t="str">
        <f t="shared" si="110"/>
        <v>Open Creative</v>
      </c>
      <c r="L2653" s="6" t="s">
        <v>131</v>
      </c>
      <c r="M2653" s="6" t="s">
        <v>7537</v>
      </c>
      <c r="N2653" s="6" t="s">
        <v>132</v>
      </c>
      <c r="O2653" s="36" t="s">
        <v>132</v>
      </c>
      <c r="P2653" s="36">
        <v>1.423727356E9</v>
      </c>
      <c r="Q2653" s="36" t="s">
        <v>7541</v>
      </c>
      <c r="R2653" s="6" t="s">
        <v>7542</v>
      </c>
    </row>
    <row r="2654">
      <c r="A2654" s="6" t="s">
        <v>7537</v>
      </c>
      <c r="B2654" s="6" t="s">
        <v>7537</v>
      </c>
      <c r="C2654" s="6">
        <v>1045.0</v>
      </c>
      <c r="D2654" s="9" t="str">
        <f>HYPERLINK("https://www.linkedin.com/ad-library/detail/1423802406","Open Ad")</f>
        <v>Open Ad</v>
      </c>
      <c r="E2654" s="6" t="s">
        <v>154</v>
      </c>
      <c r="F2654" s="6" t="s">
        <v>53</v>
      </c>
      <c r="G2654" s="6" t="s">
        <v>7733</v>
      </c>
      <c r="H2654" s="6" t="s">
        <v>55</v>
      </c>
      <c r="I2654" s="6" t="s">
        <v>7566</v>
      </c>
      <c r="J2654" s="6" t="s">
        <v>154</v>
      </c>
      <c r="K2654" s="9" t="str">
        <f>HYPERLINK("https://dms.licdn.com/playlist/vid/v2/D4E10AQGkpGy1geGEZg/mp4-720p-30fp-crf28/B4EZ5qm95uJ0Bg-/0/1779905071933?e=2147483647&amp;v=beta&amp;t=cxcbPmB28OTCjNNGl4521Jk1rOdYnSIrd-Sg7T_Vs8U","Open Creative")</f>
        <v>Open Creative</v>
      </c>
      <c r="L2654" s="6" t="s">
        <v>131</v>
      </c>
      <c r="M2654" s="6" t="s">
        <v>7537</v>
      </c>
      <c r="N2654" s="6" t="s">
        <v>132</v>
      </c>
      <c r="O2654" s="36" t="s">
        <v>132</v>
      </c>
      <c r="P2654" s="36">
        <v>1.423802406E9</v>
      </c>
      <c r="Q2654" s="36" t="s">
        <v>7541</v>
      </c>
      <c r="R2654" s="6" t="s">
        <v>7542</v>
      </c>
    </row>
    <row r="2655">
      <c r="A2655" s="6" t="s">
        <v>7537</v>
      </c>
      <c r="B2655" s="6" t="s">
        <v>7537</v>
      </c>
      <c r="C2655" s="6">
        <v>1046.0</v>
      </c>
      <c r="D2655" s="9" t="str">
        <f>HYPERLINK("https://www.linkedin.com/ad-library/detail/1415804086","Open Ad")</f>
        <v>Open Ad</v>
      </c>
      <c r="E2655" s="6" t="s">
        <v>154</v>
      </c>
      <c r="F2655" s="6" t="s">
        <v>53</v>
      </c>
      <c r="G2655" s="6" t="s">
        <v>7644</v>
      </c>
      <c r="H2655" s="6" t="s">
        <v>55</v>
      </c>
      <c r="I2655" s="6" t="s">
        <v>7566</v>
      </c>
      <c r="J2655" s="6" t="s">
        <v>154</v>
      </c>
      <c r="K2655" s="9" t="str">
        <f>HYPERLINK("https://dms.licdn.com/playlist/vid/v2/D4E10AQFvAgWztv-5Uw/mp4-640p-30fp-crf28/B4EZ5LQGtKJ0BI-/0/1779378998766?e=2147483647&amp;v=beta&amp;t=_8bKLKhlOLLcnEfsCY9wk5B2yEE3QM48LsyZd6MkCAQ","Open Creative")</f>
        <v>Open Creative</v>
      </c>
      <c r="L2655" s="6" t="s">
        <v>131</v>
      </c>
      <c r="M2655" s="6" t="s">
        <v>7537</v>
      </c>
      <c r="N2655" s="6" t="s">
        <v>132</v>
      </c>
      <c r="O2655" s="36" t="s">
        <v>132</v>
      </c>
      <c r="P2655" s="36">
        <v>1.415804086E9</v>
      </c>
      <c r="Q2655" s="36" t="s">
        <v>7541</v>
      </c>
      <c r="R2655" s="6" t="s">
        <v>7542</v>
      </c>
    </row>
    <row r="2656">
      <c r="A2656" s="6" t="s">
        <v>7537</v>
      </c>
      <c r="B2656" s="6" t="s">
        <v>7537</v>
      </c>
      <c r="C2656" s="6">
        <v>1047.0</v>
      </c>
      <c r="D2656" s="9" t="str">
        <f>HYPERLINK("https://www.linkedin.com/ad-library/detail/1423822716","Open Ad")</f>
        <v>Open Ad</v>
      </c>
      <c r="E2656" s="6" t="s">
        <v>154</v>
      </c>
      <c r="F2656" s="6" t="s">
        <v>53</v>
      </c>
      <c r="G2656" s="6" t="s">
        <v>7732</v>
      </c>
      <c r="H2656" s="6" t="s">
        <v>55</v>
      </c>
      <c r="I2656" s="6" t="s">
        <v>7566</v>
      </c>
      <c r="J2656" s="6" t="s">
        <v>154</v>
      </c>
      <c r="K2656" s="9" t="str">
        <f>HYPERLINK("https://dms.licdn.com/playlist/vid/v2/D4E10AQErls9o1njF1A/mp4-640p-30fp-crf28/B4EZ5llp9DH0BE-/0/1779820840246?e=2147483647&amp;v=beta&amp;t=Z58UHC83cX-SqvQ5j-RNjZEi2LHiz5uABkXQ9D83RAI","Open Creative")</f>
        <v>Open Creative</v>
      </c>
      <c r="L2656" s="6" t="s">
        <v>131</v>
      </c>
      <c r="M2656" s="6" t="s">
        <v>7537</v>
      </c>
      <c r="N2656" s="6" t="s">
        <v>132</v>
      </c>
      <c r="O2656" s="36" t="s">
        <v>132</v>
      </c>
      <c r="P2656" s="36">
        <v>1.423822716E9</v>
      </c>
      <c r="Q2656" s="36" t="s">
        <v>7541</v>
      </c>
      <c r="R2656" s="6" t="s">
        <v>7542</v>
      </c>
    </row>
    <row r="2657">
      <c r="A2657" s="6" t="s">
        <v>7537</v>
      </c>
      <c r="B2657" s="6" t="s">
        <v>7537</v>
      </c>
      <c r="C2657" s="6">
        <v>1048.0</v>
      </c>
      <c r="D2657" s="9" t="str">
        <f>HYPERLINK("https://www.linkedin.com/ad-library/detail/1415694416","Open Ad")</f>
        <v>Open Ad</v>
      </c>
      <c r="E2657" s="6" t="s">
        <v>154</v>
      </c>
      <c r="F2657" s="6" t="s">
        <v>53</v>
      </c>
      <c r="G2657" s="6" t="s">
        <v>7644</v>
      </c>
      <c r="H2657" s="6" t="s">
        <v>55</v>
      </c>
      <c r="I2657" s="6" t="s">
        <v>7566</v>
      </c>
      <c r="J2657" s="6" t="s">
        <v>154</v>
      </c>
      <c r="K2657" s="9" t="str">
        <f>HYPERLINK("https://dms.licdn.com/playlist/vid/v2/D4E10AQFvAgWztv-5Uw/mp4-640p-30fp-crf28/B4EZ5LQGtKJ0BI-/0/1779378998766?e=2147483647&amp;v=beta&amp;t=_8bKLKhlOLLcnEfsCY9wk5B2yEE3QM48LsyZd6MkCAQ","Open Creative")</f>
        <v>Open Creative</v>
      </c>
      <c r="L2657" s="6" t="s">
        <v>131</v>
      </c>
      <c r="M2657" s="6" t="s">
        <v>7537</v>
      </c>
      <c r="N2657" s="6" t="s">
        <v>132</v>
      </c>
      <c r="O2657" s="36" t="s">
        <v>132</v>
      </c>
      <c r="P2657" s="36">
        <v>1.415694416E9</v>
      </c>
      <c r="Q2657" s="36" t="s">
        <v>7541</v>
      </c>
      <c r="R2657" s="6" t="s">
        <v>7542</v>
      </c>
    </row>
    <row r="2658">
      <c r="A2658" s="6" t="s">
        <v>7537</v>
      </c>
      <c r="B2658" s="6" t="s">
        <v>7537</v>
      </c>
      <c r="C2658" s="6">
        <v>1049.0</v>
      </c>
      <c r="D2658" s="9" t="str">
        <f>HYPERLINK("https://www.linkedin.com/ad-library/detail/1315882564","Open Ad")</f>
        <v>Open Ad</v>
      </c>
      <c r="E2658" s="6" t="s">
        <v>7543</v>
      </c>
      <c r="F2658" s="6" t="s">
        <v>53</v>
      </c>
      <c r="G2658" s="6" t="s">
        <v>7609</v>
      </c>
      <c r="H2658" s="6" t="s">
        <v>55</v>
      </c>
      <c r="I2658" s="6" t="s">
        <v>7566</v>
      </c>
      <c r="J2658" s="6" t="s">
        <v>7546</v>
      </c>
      <c r="K2658" s="6" t="s">
        <v>60</v>
      </c>
      <c r="L2658" s="6" t="s">
        <v>131</v>
      </c>
      <c r="M2658" s="6" t="s">
        <v>7537</v>
      </c>
      <c r="N2658" s="6" t="s">
        <v>132</v>
      </c>
      <c r="O2658" s="36" t="s">
        <v>132</v>
      </c>
      <c r="P2658" s="36">
        <v>1.315882564E9</v>
      </c>
      <c r="Q2658" s="36" t="s">
        <v>7541</v>
      </c>
      <c r="R2658" s="6" t="s">
        <v>7542</v>
      </c>
    </row>
    <row r="2659">
      <c r="A2659" s="6" t="s">
        <v>7537</v>
      </c>
      <c r="B2659" s="6" t="s">
        <v>7537</v>
      </c>
      <c r="C2659" s="6">
        <v>1050.0</v>
      </c>
      <c r="D2659" s="9" t="str">
        <f>HYPERLINK("https://www.linkedin.com/ad-library/detail/1415754186","Open Ad")</f>
        <v>Open Ad</v>
      </c>
      <c r="E2659" s="6" t="s">
        <v>154</v>
      </c>
      <c r="F2659" s="6" t="s">
        <v>53</v>
      </c>
      <c r="G2659" s="6" t="s">
        <v>7644</v>
      </c>
      <c r="H2659" s="6" t="s">
        <v>55</v>
      </c>
      <c r="I2659" s="6" t="s">
        <v>7566</v>
      </c>
      <c r="J2659" s="6" t="s">
        <v>154</v>
      </c>
      <c r="K2659" s="9" t="str">
        <f>HYPERLINK("https://dms.licdn.com/playlist/vid/v2/D4E10AQFvAgWztv-5Uw/mp4-640p-30fp-crf28/B4EZ5LQGtKJ0BI-/0/1779378998766?e=2147483647&amp;v=beta&amp;t=_8bKLKhlOLLcnEfsCY9wk5B2yEE3QM48LsyZd6MkCAQ","Open Creative")</f>
        <v>Open Creative</v>
      </c>
      <c r="L2659" s="6" t="s">
        <v>131</v>
      </c>
      <c r="M2659" s="6" t="s">
        <v>7537</v>
      </c>
      <c r="N2659" s="6" t="s">
        <v>132</v>
      </c>
      <c r="O2659" s="36" t="s">
        <v>132</v>
      </c>
      <c r="P2659" s="36">
        <v>1.415754186E9</v>
      </c>
      <c r="Q2659" s="36" t="s">
        <v>7541</v>
      </c>
      <c r="R2659" s="6" t="s">
        <v>7542</v>
      </c>
    </row>
    <row r="2660">
      <c r="A2660" s="6" t="s">
        <v>7537</v>
      </c>
      <c r="B2660" s="6" t="s">
        <v>7537</v>
      </c>
      <c r="C2660" s="6">
        <v>1051.0</v>
      </c>
      <c r="D2660" s="9" t="str">
        <f>HYPERLINK("https://www.linkedin.com/ad-library/detail/1423678696","Open Ad")</f>
        <v>Open Ad</v>
      </c>
      <c r="E2660" s="6" t="s">
        <v>154</v>
      </c>
      <c r="F2660" s="6" t="s">
        <v>53</v>
      </c>
      <c r="G2660" s="6" t="s">
        <v>7733</v>
      </c>
      <c r="H2660" s="6" t="s">
        <v>55</v>
      </c>
      <c r="I2660" s="6" t="s">
        <v>7566</v>
      </c>
      <c r="J2660" s="6" t="s">
        <v>154</v>
      </c>
      <c r="K2660" s="9" t="str">
        <f>HYPERLINK("https://dms.licdn.com/playlist/vid/v2/D4E10AQGkpGy1geGEZg/mp4-720p-30fp-crf28/B4EZ5qm95uJ0Bg-/0/1779905071933?e=2147483647&amp;v=beta&amp;t=cxcbPmB28OTCjNNGl4521Jk1rOdYnSIrd-Sg7T_Vs8U","Open Creative")</f>
        <v>Open Creative</v>
      </c>
      <c r="L2660" s="6" t="s">
        <v>131</v>
      </c>
      <c r="M2660" s="6" t="s">
        <v>7537</v>
      </c>
      <c r="N2660" s="6" t="s">
        <v>132</v>
      </c>
      <c r="O2660" s="36" t="s">
        <v>132</v>
      </c>
      <c r="P2660" s="36">
        <v>1.423678696E9</v>
      </c>
      <c r="Q2660" s="36" t="s">
        <v>7541</v>
      </c>
      <c r="R2660" s="6" t="s">
        <v>7542</v>
      </c>
    </row>
    <row r="2661">
      <c r="A2661" s="6" t="s">
        <v>7537</v>
      </c>
      <c r="B2661" s="6" t="s">
        <v>7537</v>
      </c>
      <c r="C2661" s="6">
        <v>1052.0</v>
      </c>
      <c r="D2661" s="9" t="str">
        <f>HYPERLINK("https://www.linkedin.com/ad-library/detail/1415834116","Open Ad")</f>
        <v>Open Ad</v>
      </c>
      <c r="E2661" s="6" t="s">
        <v>154</v>
      </c>
      <c r="F2661" s="6" t="s">
        <v>53</v>
      </c>
      <c r="G2661" s="6" t="s">
        <v>7644</v>
      </c>
      <c r="H2661" s="6" t="s">
        <v>55</v>
      </c>
      <c r="I2661" s="6" t="s">
        <v>7566</v>
      </c>
      <c r="J2661" s="6" t="s">
        <v>154</v>
      </c>
      <c r="K2661" s="9" t="str">
        <f>HYPERLINK("https://dms.licdn.com/playlist/vid/v2/D4E10AQFvAgWztv-5Uw/mp4-640p-30fp-crf28/B4EZ5LQGtKJ0BI-/0/1779378998766?e=2147483647&amp;v=beta&amp;t=_8bKLKhlOLLcnEfsCY9wk5B2yEE3QM48LsyZd6MkCAQ","Open Creative")</f>
        <v>Open Creative</v>
      </c>
      <c r="L2661" s="6" t="s">
        <v>131</v>
      </c>
      <c r="M2661" s="6" t="s">
        <v>7537</v>
      </c>
      <c r="N2661" s="6" t="s">
        <v>132</v>
      </c>
      <c r="O2661" s="36" t="s">
        <v>132</v>
      </c>
      <c r="P2661" s="36">
        <v>1.415834116E9</v>
      </c>
      <c r="Q2661" s="36" t="s">
        <v>7541</v>
      </c>
      <c r="R2661" s="6" t="s">
        <v>7542</v>
      </c>
    </row>
    <row r="2662">
      <c r="A2662" s="6" t="s">
        <v>7537</v>
      </c>
      <c r="B2662" s="6" t="s">
        <v>7537</v>
      </c>
      <c r="C2662" s="6">
        <v>1053.0</v>
      </c>
      <c r="D2662" s="9" t="str">
        <f>HYPERLINK("https://www.linkedin.com/ad-library/detail/1316482664","Open Ad")</f>
        <v>Open Ad</v>
      </c>
      <c r="E2662" s="6" t="s">
        <v>7543</v>
      </c>
      <c r="F2662" s="6" t="s">
        <v>53</v>
      </c>
      <c r="G2662" s="6" t="s">
        <v>7613</v>
      </c>
      <c r="H2662" s="6" t="s">
        <v>55</v>
      </c>
      <c r="I2662" s="6" t="s">
        <v>7566</v>
      </c>
      <c r="J2662" s="6" t="s">
        <v>7546</v>
      </c>
      <c r="K2662" s="6" t="s">
        <v>60</v>
      </c>
      <c r="L2662" s="6" t="s">
        <v>131</v>
      </c>
      <c r="M2662" s="6" t="s">
        <v>7537</v>
      </c>
      <c r="N2662" s="6" t="s">
        <v>132</v>
      </c>
      <c r="O2662" s="36" t="s">
        <v>132</v>
      </c>
      <c r="P2662" s="36">
        <v>1.316482664E9</v>
      </c>
      <c r="Q2662" s="36" t="s">
        <v>7541</v>
      </c>
      <c r="R2662" s="6" t="s">
        <v>7542</v>
      </c>
    </row>
    <row r="2663">
      <c r="A2663" s="6" t="s">
        <v>7537</v>
      </c>
      <c r="B2663" s="6" t="s">
        <v>7537</v>
      </c>
      <c r="C2663" s="6">
        <v>1054.0</v>
      </c>
      <c r="D2663" s="9" t="str">
        <f>HYPERLINK("https://www.linkedin.com/ad-library/detail/1423860466","Open Ad")</f>
        <v>Open Ad</v>
      </c>
      <c r="E2663" s="6" t="s">
        <v>154</v>
      </c>
      <c r="F2663" s="6" t="s">
        <v>53</v>
      </c>
      <c r="G2663" s="6" t="s">
        <v>7732</v>
      </c>
      <c r="H2663" s="6" t="s">
        <v>55</v>
      </c>
      <c r="I2663" s="6" t="s">
        <v>7566</v>
      </c>
      <c r="J2663" s="6" t="s">
        <v>154</v>
      </c>
      <c r="K2663" s="9" t="str">
        <f>HYPERLINK("https://dms.licdn.com/playlist/vid/v2/D4E10AQErls9o1njF1A/mp4-640p-30fp-crf28/B4EZ5llp9DH0BE-/0/1779820840246?e=2147483647&amp;v=beta&amp;t=Z58UHC83cX-SqvQ5j-RNjZEi2LHiz5uABkXQ9D83RAI","Open Creative")</f>
        <v>Open Creative</v>
      </c>
      <c r="L2663" s="6" t="s">
        <v>131</v>
      </c>
      <c r="M2663" s="6" t="s">
        <v>7537</v>
      </c>
      <c r="N2663" s="6" t="s">
        <v>132</v>
      </c>
      <c r="O2663" s="36" t="s">
        <v>132</v>
      </c>
      <c r="P2663" s="36">
        <v>1.423860466E9</v>
      </c>
      <c r="Q2663" s="36" t="s">
        <v>7541</v>
      </c>
      <c r="R2663" s="6" t="s">
        <v>7542</v>
      </c>
    </row>
    <row r="2664">
      <c r="A2664" s="6" t="s">
        <v>7537</v>
      </c>
      <c r="B2664" s="6" t="s">
        <v>7537</v>
      </c>
      <c r="C2664" s="6">
        <v>1055.0</v>
      </c>
      <c r="D2664" s="9" t="str">
        <f>HYPERLINK("https://www.linkedin.com/ad-library/detail/1316782614","Open Ad")</f>
        <v>Open Ad</v>
      </c>
      <c r="E2664" s="6" t="s">
        <v>7543</v>
      </c>
      <c r="F2664" s="6" t="s">
        <v>53</v>
      </c>
      <c r="G2664" s="6" t="s">
        <v>7613</v>
      </c>
      <c r="H2664" s="6" t="s">
        <v>55</v>
      </c>
      <c r="I2664" s="6" t="s">
        <v>7566</v>
      </c>
      <c r="J2664" s="6" t="s">
        <v>7546</v>
      </c>
      <c r="K2664" s="6" t="s">
        <v>60</v>
      </c>
      <c r="L2664" s="6" t="s">
        <v>131</v>
      </c>
      <c r="M2664" s="6" t="s">
        <v>7537</v>
      </c>
      <c r="N2664" s="6" t="s">
        <v>132</v>
      </c>
      <c r="O2664" s="36" t="s">
        <v>132</v>
      </c>
      <c r="P2664" s="36">
        <v>1.316782614E9</v>
      </c>
      <c r="Q2664" s="36" t="s">
        <v>7541</v>
      </c>
      <c r="R2664" s="6" t="s">
        <v>7542</v>
      </c>
    </row>
    <row r="2665">
      <c r="A2665" s="6" t="s">
        <v>7537</v>
      </c>
      <c r="B2665" s="6" t="s">
        <v>7537</v>
      </c>
      <c r="C2665" s="6">
        <v>1056.0</v>
      </c>
      <c r="D2665" s="9" t="str">
        <f>HYPERLINK("https://www.linkedin.com/ad-library/detail/1423717776","Open Ad")</f>
        <v>Open Ad</v>
      </c>
      <c r="E2665" s="6" t="s">
        <v>154</v>
      </c>
      <c r="F2665" s="6" t="s">
        <v>53</v>
      </c>
      <c r="G2665" s="6" t="s">
        <v>7732</v>
      </c>
      <c r="H2665" s="6" t="s">
        <v>55</v>
      </c>
      <c r="I2665" s="6" t="s">
        <v>7566</v>
      </c>
      <c r="J2665" s="6" t="s">
        <v>154</v>
      </c>
      <c r="K2665" s="9" t="str">
        <f>HYPERLINK("https://dms.licdn.com/playlist/vid/v2/D4E10AQErls9o1njF1A/mp4-640p-30fp-crf28/B4EZ5llp9DH0BE-/0/1779820840246?e=2147483647&amp;v=beta&amp;t=Z58UHC83cX-SqvQ5j-RNjZEi2LHiz5uABkXQ9D83RAI","Open Creative")</f>
        <v>Open Creative</v>
      </c>
      <c r="L2665" s="6" t="s">
        <v>131</v>
      </c>
      <c r="M2665" s="6" t="s">
        <v>7537</v>
      </c>
      <c r="N2665" s="6" t="s">
        <v>132</v>
      </c>
      <c r="O2665" s="36" t="s">
        <v>132</v>
      </c>
      <c r="P2665" s="36">
        <v>1.423717776E9</v>
      </c>
      <c r="Q2665" s="36" t="s">
        <v>7541</v>
      </c>
      <c r="R2665" s="6" t="s">
        <v>7542</v>
      </c>
    </row>
    <row r="2666">
      <c r="A2666" s="6" t="s">
        <v>7537</v>
      </c>
      <c r="B2666" s="6" t="s">
        <v>7537</v>
      </c>
      <c r="C2666" s="6">
        <v>1057.0</v>
      </c>
      <c r="D2666" s="9" t="str">
        <f>HYPERLINK("https://www.linkedin.com/ad-library/detail/1415714476","Open Ad")</f>
        <v>Open Ad</v>
      </c>
      <c r="E2666" s="6" t="s">
        <v>91</v>
      </c>
      <c r="F2666" s="6" t="s">
        <v>53</v>
      </c>
      <c r="G2666" s="6" t="s">
        <v>7735</v>
      </c>
      <c r="H2666" s="6" t="s">
        <v>55</v>
      </c>
      <c r="I2666" s="6" t="s">
        <v>7566</v>
      </c>
      <c r="J2666" s="6" t="s">
        <v>91</v>
      </c>
      <c r="K2666" s="9" t="str">
        <f>HYPERLINK("https://media.licdn.com/dms/image/v2/D4E22AQHZmiYij9a5OA/feedshare-shrink_1280/B4EZ5FOEoOJAAM-/0/1779277777860?e=2147483647&amp;v=beta&amp;t=E7sP19NECiMMyWvfMFCVr8M4p8aMc-gEjOIdAHP9nEc","Open Creative")</f>
        <v>Open Creative</v>
      </c>
      <c r="L2666" s="6" t="s">
        <v>131</v>
      </c>
      <c r="M2666" s="6" t="s">
        <v>7537</v>
      </c>
      <c r="N2666" s="6" t="s">
        <v>132</v>
      </c>
      <c r="O2666" s="36" t="s">
        <v>132</v>
      </c>
      <c r="P2666" s="36">
        <v>1.415714476E9</v>
      </c>
      <c r="Q2666" s="36" t="s">
        <v>7541</v>
      </c>
      <c r="R2666" s="6" t="s">
        <v>7542</v>
      </c>
    </row>
    <row r="2667">
      <c r="A2667" s="6" t="s">
        <v>7537</v>
      </c>
      <c r="B2667" s="6" t="s">
        <v>7537</v>
      </c>
      <c r="C2667" s="6">
        <v>1058.0</v>
      </c>
      <c r="D2667" s="9" t="str">
        <f>HYPERLINK("https://www.linkedin.com/ad-library/detail/1415823896","Open Ad")</f>
        <v>Open Ad</v>
      </c>
      <c r="E2667" s="6" t="s">
        <v>91</v>
      </c>
      <c r="F2667" s="6" t="s">
        <v>53</v>
      </c>
      <c r="G2667" s="6" t="s">
        <v>7736</v>
      </c>
      <c r="H2667" s="6" t="s">
        <v>55</v>
      </c>
      <c r="I2667" s="6" t="s">
        <v>7566</v>
      </c>
      <c r="J2667" s="6" t="s">
        <v>91</v>
      </c>
      <c r="K2667" s="9" t="str">
        <f>HYPERLINK("https://media.licdn.com/dms/image/v2/D4E10AQH5KT8g0rrQoQ/image-shrink_1280/B4EZ5LpofQG8Ac-/0/1779385666333?e=2147483647&amp;v=beta&amp;t=bwt0AJ_bLpQ9QBffwxqimkRXKK0zpUYuux5-2IxdajI","Open Creative")</f>
        <v>Open Creative</v>
      </c>
      <c r="L2667" s="6" t="s">
        <v>131</v>
      </c>
      <c r="M2667" s="6" t="s">
        <v>7537</v>
      </c>
      <c r="N2667" s="6" t="s">
        <v>132</v>
      </c>
      <c r="O2667" s="36" t="s">
        <v>132</v>
      </c>
      <c r="P2667" s="36">
        <v>1.415823896E9</v>
      </c>
      <c r="Q2667" s="36" t="s">
        <v>7541</v>
      </c>
      <c r="R2667" s="6" t="s">
        <v>7542</v>
      </c>
    </row>
    <row r="2668">
      <c r="A2668" s="6" t="s">
        <v>7537</v>
      </c>
      <c r="B2668" s="6" t="s">
        <v>7537</v>
      </c>
      <c r="C2668" s="6">
        <v>1059.0</v>
      </c>
      <c r="D2668" s="9" t="str">
        <f>HYPERLINK("https://www.linkedin.com/ad-library/detail/1415893256","Open Ad")</f>
        <v>Open Ad</v>
      </c>
      <c r="E2668" s="6" t="s">
        <v>91</v>
      </c>
      <c r="F2668" s="6" t="s">
        <v>53</v>
      </c>
      <c r="G2668" s="6" t="s">
        <v>7735</v>
      </c>
      <c r="H2668" s="6" t="s">
        <v>55</v>
      </c>
      <c r="I2668" s="6" t="s">
        <v>7566</v>
      </c>
      <c r="J2668" s="6" t="s">
        <v>91</v>
      </c>
      <c r="K2668" s="9" t="str">
        <f>HYPERLINK("https://media.licdn.com/dms/image/v2/D4E22AQHZmiYij9a5OA/feedshare-shrink_1280/B4EZ5FOEoOJAAM-/0/1779277777860?e=2147483647&amp;v=beta&amp;t=E7sP19NECiMMyWvfMFCVr8M4p8aMc-gEjOIdAHP9nEc","Open Creative")</f>
        <v>Open Creative</v>
      </c>
      <c r="L2668" s="6" t="s">
        <v>131</v>
      </c>
      <c r="M2668" s="6" t="s">
        <v>7537</v>
      </c>
      <c r="N2668" s="6" t="s">
        <v>132</v>
      </c>
      <c r="O2668" s="36" t="s">
        <v>132</v>
      </c>
      <c r="P2668" s="36">
        <v>1.415893256E9</v>
      </c>
      <c r="Q2668" s="36" t="s">
        <v>7541</v>
      </c>
      <c r="R2668" s="6" t="s">
        <v>7542</v>
      </c>
    </row>
    <row r="2669">
      <c r="A2669" s="6" t="s">
        <v>7537</v>
      </c>
      <c r="B2669" s="6" t="s">
        <v>7537</v>
      </c>
      <c r="C2669" s="6">
        <v>1060.0</v>
      </c>
      <c r="D2669" s="9" t="str">
        <f>HYPERLINK("https://www.linkedin.com/ad-library/detail/1415903336","Open Ad")</f>
        <v>Open Ad</v>
      </c>
      <c r="E2669" s="6" t="s">
        <v>91</v>
      </c>
      <c r="F2669" s="6" t="s">
        <v>53</v>
      </c>
      <c r="G2669" s="6" t="s">
        <v>7737</v>
      </c>
      <c r="H2669" s="6" t="s">
        <v>55</v>
      </c>
      <c r="I2669" s="6" t="s">
        <v>7561</v>
      </c>
      <c r="J2669" s="6" t="s">
        <v>91</v>
      </c>
      <c r="K2669" s="9" t="str">
        <f>HYPERLINK("https://media.licdn.com/dms/image/v2/D4E10AQHjHTtJx4aTHw/image-shrink_1280/B4EZ5GIYx7HQAc-/0/1779293065016?e=2147483647&amp;v=beta&amp;t=DUVEju8dl8ghOMEW-kDpQyy8fVmulRcb3FRLgvqEYfg","Open Creative")</f>
        <v>Open Creative</v>
      </c>
      <c r="L2669" s="6" t="s">
        <v>131</v>
      </c>
      <c r="M2669" s="6" t="s">
        <v>7537</v>
      </c>
      <c r="N2669" s="6" t="s">
        <v>132</v>
      </c>
      <c r="O2669" s="36" t="s">
        <v>132</v>
      </c>
      <c r="P2669" s="36">
        <v>1.415903336E9</v>
      </c>
      <c r="Q2669" s="36" t="s">
        <v>68</v>
      </c>
      <c r="R2669" s="6" t="s">
        <v>7738</v>
      </c>
    </row>
    <row r="2670">
      <c r="A2670" s="6" t="s">
        <v>7537</v>
      </c>
      <c r="B2670" s="6" t="s">
        <v>7537</v>
      </c>
      <c r="C2670" s="6">
        <v>1061.0</v>
      </c>
      <c r="D2670" s="9" t="str">
        <f>HYPERLINK("https://www.linkedin.com/ad-library/detail/1415734256","Open Ad")</f>
        <v>Open Ad</v>
      </c>
      <c r="E2670" s="6" t="s">
        <v>91</v>
      </c>
      <c r="F2670" s="6" t="s">
        <v>53</v>
      </c>
      <c r="G2670" s="6" t="s">
        <v>7735</v>
      </c>
      <c r="H2670" s="6" t="s">
        <v>55</v>
      </c>
      <c r="I2670" s="6" t="s">
        <v>7566</v>
      </c>
      <c r="J2670" s="6" t="s">
        <v>91</v>
      </c>
      <c r="K2670" s="9" t="str">
        <f t="shared" ref="K2670:K2671" si="111">HYPERLINK("https://media.licdn.com/dms/image/v2/D4E22AQHZmiYij9a5OA/feedshare-shrink_1280/B4EZ5FOEoOJAAM-/0/1779277777860?e=2147483647&amp;v=beta&amp;t=E7sP19NECiMMyWvfMFCVr8M4p8aMc-gEjOIdAHP9nEc","Open Creative")</f>
        <v>Open Creative</v>
      </c>
      <c r="L2670" s="6" t="s">
        <v>131</v>
      </c>
      <c r="M2670" s="6" t="s">
        <v>7537</v>
      </c>
      <c r="N2670" s="6" t="s">
        <v>132</v>
      </c>
      <c r="O2670" s="36" t="s">
        <v>132</v>
      </c>
      <c r="P2670" s="36">
        <v>1.415734256E9</v>
      </c>
      <c r="Q2670" s="36" t="s">
        <v>7541</v>
      </c>
      <c r="R2670" s="6" t="s">
        <v>7542</v>
      </c>
    </row>
    <row r="2671">
      <c r="A2671" s="6" t="s">
        <v>7537</v>
      </c>
      <c r="B2671" s="6" t="s">
        <v>7537</v>
      </c>
      <c r="C2671" s="6">
        <v>1062.0</v>
      </c>
      <c r="D2671" s="9" t="str">
        <f>HYPERLINK("https://www.linkedin.com/ad-library/detail/1415813816","Open Ad")</f>
        <v>Open Ad</v>
      </c>
      <c r="E2671" s="6" t="s">
        <v>91</v>
      </c>
      <c r="F2671" s="6" t="s">
        <v>53</v>
      </c>
      <c r="G2671" s="6" t="s">
        <v>7735</v>
      </c>
      <c r="H2671" s="6" t="s">
        <v>55</v>
      </c>
      <c r="I2671" s="6" t="s">
        <v>7566</v>
      </c>
      <c r="J2671" s="6" t="s">
        <v>91</v>
      </c>
      <c r="K2671" s="9" t="str">
        <f t="shared" si="111"/>
        <v>Open Creative</v>
      </c>
      <c r="L2671" s="6" t="s">
        <v>131</v>
      </c>
      <c r="M2671" s="6" t="s">
        <v>7537</v>
      </c>
      <c r="N2671" s="6" t="s">
        <v>132</v>
      </c>
      <c r="O2671" s="36" t="s">
        <v>132</v>
      </c>
      <c r="P2671" s="36">
        <v>1.415813816E9</v>
      </c>
      <c r="Q2671" s="36" t="s">
        <v>7541</v>
      </c>
      <c r="R2671" s="6" t="s">
        <v>7542</v>
      </c>
    </row>
    <row r="2672">
      <c r="A2672" s="6" t="s">
        <v>7537</v>
      </c>
      <c r="B2672" s="6" t="s">
        <v>7537</v>
      </c>
      <c r="C2672" s="6">
        <v>1063.0</v>
      </c>
      <c r="D2672" s="9" t="str">
        <f>HYPERLINK("https://www.linkedin.com/ad-library/detail/1415684916","Open Ad")</f>
        <v>Open Ad</v>
      </c>
      <c r="E2672" s="6" t="s">
        <v>91</v>
      </c>
      <c r="F2672" s="6" t="s">
        <v>53</v>
      </c>
      <c r="G2672" s="6" t="s">
        <v>7736</v>
      </c>
      <c r="H2672" s="6" t="s">
        <v>55</v>
      </c>
      <c r="I2672" s="6" t="s">
        <v>7566</v>
      </c>
      <c r="J2672" s="6" t="s">
        <v>91</v>
      </c>
      <c r="K2672" s="9" t="str">
        <f>HYPERLINK("https://media.licdn.com/dms/image/v2/D4E10AQH5KT8g0rrQoQ/image-shrink_1280/B4EZ5LpofQG8Ac-/0/1779385666333?e=2147483647&amp;v=beta&amp;t=bwt0AJ_bLpQ9QBffwxqimkRXKK0zpUYuux5-2IxdajI","Open Creative")</f>
        <v>Open Creative</v>
      </c>
      <c r="L2672" s="6" t="s">
        <v>131</v>
      </c>
      <c r="M2672" s="6" t="s">
        <v>7537</v>
      </c>
      <c r="N2672" s="6" t="s">
        <v>132</v>
      </c>
      <c r="O2672" s="36" t="s">
        <v>132</v>
      </c>
      <c r="P2672" s="36">
        <v>1.415684916E9</v>
      </c>
      <c r="Q2672" s="36" t="s">
        <v>7541</v>
      </c>
      <c r="R2672" s="6" t="s">
        <v>7542</v>
      </c>
    </row>
    <row r="2673">
      <c r="A2673" s="6" t="s">
        <v>7537</v>
      </c>
      <c r="B2673" s="6" t="s">
        <v>7537</v>
      </c>
      <c r="C2673" s="6">
        <v>1064.0</v>
      </c>
      <c r="D2673" s="9" t="str">
        <f>HYPERLINK("https://www.linkedin.com/ad-library/detail/1415684926","Open Ad")</f>
        <v>Open Ad</v>
      </c>
      <c r="E2673" s="6" t="s">
        <v>91</v>
      </c>
      <c r="F2673" s="6" t="s">
        <v>53</v>
      </c>
      <c r="G2673" s="6" t="s">
        <v>7737</v>
      </c>
      <c r="H2673" s="6" t="s">
        <v>55</v>
      </c>
      <c r="I2673" s="6" t="s">
        <v>7566</v>
      </c>
      <c r="J2673" s="6" t="s">
        <v>91</v>
      </c>
      <c r="K2673" s="9" t="str">
        <f>HYPERLINK("https://media.licdn.com/dms/image/v2/D4E10AQHjHTtJx4aTHw/image-shrink_1280/B4EZ5GIYx7HQAc-/0/1779293065016?e=2147483647&amp;v=beta&amp;t=DUVEju8dl8ghOMEW-kDpQyy8fVmulRcb3FRLgvqEYfg","Open Creative")</f>
        <v>Open Creative</v>
      </c>
      <c r="L2673" s="6" t="s">
        <v>131</v>
      </c>
      <c r="M2673" s="6" t="s">
        <v>7537</v>
      </c>
      <c r="N2673" s="6" t="s">
        <v>132</v>
      </c>
      <c r="O2673" s="36" t="s">
        <v>132</v>
      </c>
      <c r="P2673" s="36">
        <v>1.415684926E9</v>
      </c>
      <c r="Q2673" s="36" t="s">
        <v>7541</v>
      </c>
      <c r="R2673" s="6" t="s">
        <v>7542</v>
      </c>
    </row>
    <row r="2674">
      <c r="A2674" s="6" t="s">
        <v>7537</v>
      </c>
      <c r="B2674" s="6" t="s">
        <v>7537</v>
      </c>
      <c r="C2674" s="6">
        <v>1065.0</v>
      </c>
      <c r="D2674" s="9" t="str">
        <f>HYPERLINK("https://www.linkedin.com/ad-library/detail/1415883726","Open Ad")</f>
        <v>Open Ad</v>
      </c>
      <c r="E2674" s="6" t="s">
        <v>91</v>
      </c>
      <c r="F2674" s="6" t="s">
        <v>53</v>
      </c>
      <c r="G2674" s="6" t="s">
        <v>7736</v>
      </c>
      <c r="H2674" s="6" t="s">
        <v>55</v>
      </c>
      <c r="I2674" s="6" t="s">
        <v>7566</v>
      </c>
      <c r="J2674" s="6" t="s">
        <v>91</v>
      </c>
      <c r="K2674" s="9" t="str">
        <f t="shared" ref="K2674:K2675" si="112">HYPERLINK("https://media.licdn.com/dms/image/v2/D4E10AQH5KT8g0rrQoQ/image-shrink_1280/B4EZ5LpofQG8Ac-/0/1779385666333?e=2147483647&amp;v=beta&amp;t=bwt0AJ_bLpQ9QBffwxqimkRXKK0zpUYuux5-2IxdajI","Open Creative")</f>
        <v>Open Creative</v>
      </c>
      <c r="L2674" s="6" t="s">
        <v>131</v>
      </c>
      <c r="M2674" s="6" t="s">
        <v>7537</v>
      </c>
      <c r="N2674" s="6" t="s">
        <v>132</v>
      </c>
      <c r="O2674" s="36" t="s">
        <v>132</v>
      </c>
      <c r="P2674" s="36">
        <v>1.415883726E9</v>
      </c>
      <c r="Q2674" s="36" t="s">
        <v>7541</v>
      </c>
      <c r="R2674" s="6" t="s">
        <v>7542</v>
      </c>
    </row>
    <row r="2675">
      <c r="A2675" s="6" t="s">
        <v>7537</v>
      </c>
      <c r="B2675" s="6" t="s">
        <v>7537</v>
      </c>
      <c r="C2675" s="6">
        <v>1066.0</v>
      </c>
      <c r="D2675" s="9" t="str">
        <f>HYPERLINK("https://www.linkedin.com/ad-library/detail/1415774436","Open Ad")</f>
        <v>Open Ad</v>
      </c>
      <c r="E2675" s="6" t="s">
        <v>91</v>
      </c>
      <c r="F2675" s="6" t="s">
        <v>53</v>
      </c>
      <c r="G2675" s="6" t="s">
        <v>7736</v>
      </c>
      <c r="H2675" s="6" t="s">
        <v>55</v>
      </c>
      <c r="I2675" s="6" t="s">
        <v>7566</v>
      </c>
      <c r="J2675" s="6" t="s">
        <v>91</v>
      </c>
      <c r="K2675" s="9" t="str">
        <f t="shared" si="112"/>
        <v>Open Creative</v>
      </c>
      <c r="L2675" s="6" t="s">
        <v>131</v>
      </c>
      <c r="M2675" s="6" t="s">
        <v>7537</v>
      </c>
      <c r="N2675" s="6" t="s">
        <v>132</v>
      </c>
      <c r="O2675" s="36" t="s">
        <v>132</v>
      </c>
      <c r="P2675" s="36">
        <v>1.415774436E9</v>
      </c>
      <c r="Q2675" s="36" t="s">
        <v>7541</v>
      </c>
      <c r="R2675" s="6" t="s">
        <v>7542</v>
      </c>
    </row>
    <row r="2676">
      <c r="A2676" s="6" t="s">
        <v>7537</v>
      </c>
      <c r="B2676" s="6" t="s">
        <v>7537</v>
      </c>
      <c r="C2676" s="6">
        <v>1067.0</v>
      </c>
      <c r="D2676" s="9" t="str">
        <f>HYPERLINK("https://www.linkedin.com/ad-library/detail/1415863796","Open Ad")</f>
        <v>Open Ad</v>
      </c>
      <c r="E2676" s="6" t="s">
        <v>91</v>
      </c>
      <c r="F2676" s="6" t="s">
        <v>53</v>
      </c>
      <c r="G2676" s="6" t="s">
        <v>7737</v>
      </c>
      <c r="H2676" s="6" t="s">
        <v>55</v>
      </c>
      <c r="I2676" s="6" t="s">
        <v>7566</v>
      </c>
      <c r="J2676" s="6" t="s">
        <v>91</v>
      </c>
      <c r="K2676" s="9" t="str">
        <f>HYPERLINK("https://media.licdn.com/dms/image/v2/D4E10AQHjHTtJx4aTHw/image-shrink_1280/B4EZ5GIYx7HQAc-/0/1779293065016?e=2147483647&amp;v=beta&amp;t=DUVEju8dl8ghOMEW-kDpQyy8fVmulRcb3FRLgvqEYfg","Open Creative")</f>
        <v>Open Creative</v>
      </c>
      <c r="L2676" s="6" t="s">
        <v>131</v>
      </c>
      <c r="M2676" s="6" t="s">
        <v>7537</v>
      </c>
      <c r="N2676" s="6" t="s">
        <v>132</v>
      </c>
      <c r="O2676" s="36" t="s">
        <v>132</v>
      </c>
      <c r="P2676" s="36">
        <v>1.415863796E9</v>
      </c>
      <c r="Q2676" s="36" t="s">
        <v>7541</v>
      </c>
      <c r="R2676" s="6" t="s">
        <v>7542</v>
      </c>
    </row>
    <row r="2677">
      <c r="A2677" s="6" t="s">
        <v>7537</v>
      </c>
      <c r="B2677" s="6" t="s">
        <v>7537</v>
      </c>
      <c r="C2677" s="6">
        <v>1068.0</v>
      </c>
      <c r="D2677" s="9" t="str">
        <f>HYPERLINK("https://www.linkedin.com/ad-library/detail/1415754126","Open Ad")</f>
        <v>Open Ad</v>
      </c>
      <c r="E2677" s="6" t="s">
        <v>91</v>
      </c>
      <c r="F2677" s="6" t="s">
        <v>53</v>
      </c>
      <c r="G2677" s="6" t="s">
        <v>7735</v>
      </c>
      <c r="H2677" s="6" t="s">
        <v>55</v>
      </c>
      <c r="I2677" s="6" t="s">
        <v>7566</v>
      </c>
      <c r="J2677" s="6" t="s">
        <v>91</v>
      </c>
      <c r="K2677" s="9" t="str">
        <f>HYPERLINK("https://media.licdn.com/dms/image/v2/D4E22AQHZmiYij9a5OA/feedshare-shrink_1280/B4EZ5FOEoOJAAM-/0/1779277777860?e=2147483647&amp;v=beta&amp;t=E7sP19NECiMMyWvfMFCVr8M4p8aMc-gEjOIdAHP9nEc","Open Creative")</f>
        <v>Open Creative</v>
      </c>
      <c r="L2677" s="6" t="s">
        <v>131</v>
      </c>
      <c r="M2677" s="6" t="s">
        <v>7537</v>
      </c>
      <c r="N2677" s="6" t="s">
        <v>132</v>
      </c>
      <c r="O2677" s="36" t="s">
        <v>132</v>
      </c>
      <c r="P2677" s="36">
        <v>1.415754126E9</v>
      </c>
      <c r="Q2677" s="36" t="s">
        <v>7541</v>
      </c>
      <c r="R2677" s="6" t="s">
        <v>7542</v>
      </c>
    </row>
    <row r="2678">
      <c r="A2678" s="6" t="s">
        <v>7537</v>
      </c>
      <c r="B2678" s="6" t="s">
        <v>7537</v>
      </c>
      <c r="C2678" s="6">
        <v>1069.0</v>
      </c>
      <c r="D2678" s="9" t="str">
        <f>HYPERLINK("https://www.linkedin.com/ad-library/detail/1415694336","Open Ad")</f>
        <v>Open Ad</v>
      </c>
      <c r="E2678" s="6" t="s">
        <v>91</v>
      </c>
      <c r="F2678" s="6" t="s">
        <v>53</v>
      </c>
      <c r="G2678" s="6" t="s">
        <v>7607</v>
      </c>
      <c r="H2678" s="6" t="s">
        <v>55</v>
      </c>
      <c r="I2678" s="6" t="s">
        <v>7566</v>
      </c>
      <c r="J2678" s="6" t="s">
        <v>91</v>
      </c>
      <c r="K2678" s="6" t="s">
        <v>60</v>
      </c>
      <c r="L2678" s="6" t="s">
        <v>131</v>
      </c>
      <c r="M2678" s="6" t="s">
        <v>7537</v>
      </c>
      <c r="N2678" s="6" t="s">
        <v>132</v>
      </c>
      <c r="O2678" s="36" t="s">
        <v>132</v>
      </c>
      <c r="P2678" s="36">
        <v>1.415694336E9</v>
      </c>
      <c r="Q2678" s="36" t="s">
        <v>7541</v>
      </c>
      <c r="R2678" s="6" t="s">
        <v>7542</v>
      </c>
    </row>
    <row r="2679">
      <c r="A2679" s="6" t="s">
        <v>7537</v>
      </c>
      <c r="B2679" s="6" t="s">
        <v>7537</v>
      </c>
      <c r="C2679" s="6">
        <v>1070.0</v>
      </c>
      <c r="D2679" s="9" t="str">
        <f>HYPERLINK("https://www.linkedin.com/ad-library/detail/1415694346","Open Ad")</f>
        <v>Open Ad</v>
      </c>
      <c r="E2679" s="6" t="s">
        <v>91</v>
      </c>
      <c r="F2679" s="6" t="s">
        <v>53</v>
      </c>
      <c r="G2679" s="6" t="s">
        <v>7736</v>
      </c>
      <c r="H2679" s="6" t="s">
        <v>55</v>
      </c>
      <c r="I2679" s="6" t="s">
        <v>7566</v>
      </c>
      <c r="J2679" s="6" t="s">
        <v>91</v>
      </c>
      <c r="K2679" s="9" t="str">
        <f>HYPERLINK("https://media.licdn.com/dms/image/v2/D4E10AQH5KT8g0rrQoQ/image-shrink_1280/B4EZ5LpofQG8Ac-/0/1779385666333?e=2147483647&amp;v=beta&amp;t=bwt0AJ_bLpQ9QBffwxqimkRXKK0zpUYuux5-2IxdajI","Open Creative")</f>
        <v>Open Creative</v>
      </c>
      <c r="L2679" s="6" t="s">
        <v>131</v>
      </c>
      <c r="M2679" s="6" t="s">
        <v>7537</v>
      </c>
      <c r="N2679" s="6" t="s">
        <v>132</v>
      </c>
      <c r="O2679" s="36" t="s">
        <v>132</v>
      </c>
      <c r="P2679" s="36">
        <v>1.415694346E9</v>
      </c>
      <c r="Q2679" s="36" t="s">
        <v>7541</v>
      </c>
      <c r="R2679" s="6" t="s">
        <v>7542</v>
      </c>
    </row>
    <row r="2680">
      <c r="A2680" s="6" t="s">
        <v>7537</v>
      </c>
      <c r="B2680" s="6" t="s">
        <v>7537</v>
      </c>
      <c r="C2680" s="6">
        <v>1071.0</v>
      </c>
      <c r="D2680" s="9" t="str">
        <f>HYPERLINK("https://www.linkedin.com/ad-library/detail/1415694406","Open Ad")</f>
        <v>Open Ad</v>
      </c>
      <c r="E2680" s="6" t="s">
        <v>91</v>
      </c>
      <c r="F2680" s="6" t="s">
        <v>53</v>
      </c>
      <c r="G2680" s="6" t="s">
        <v>7737</v>
      </c>
      <c r="H2680" s="6" t="s">
        <v>55</v>
      </c>
      <c r="I2680" s="6" t="s">
        <v>7566</v>
      </c>
      <c r="J2680" s="6" t="s">
        <v>91</v>
      </c>
      <c r="K2680" s="9" t="str">
        <f>HYPERLINK("https://media.licdn.com/dms/image/v2/D4E10AQHjHTtJx4aTHw/image-shrink_1280/B4EZ5GIYx7HQAc-/0/1779293065016?e=2147483647&amp;v=beta&amp;t=DUVEju8dl8ghOMEW-kDpQyy8fVmulRcb3FRLgvqEYfg","Open Creative")</f>
        <v>Open Creative</v>
      </c>
      <c r="L2680" s="6" t="s">
        <v>131</v>
      </c>
      <c r="M2680" s="6" t="s">
        <v>7537</v>
      </c>
      <c r="N2680" s="6" t="s">
        <v>132</v>
      </c>
      <c r="O2680" s="36" t="s">
        <v>132</v>
      </c>
      <c r="P2680" s="36">
        <v>1.415694406E9</v>
      </c>
      <c r="Q2680" s="36" t="s">
        <v>7541</v>
      </c>
      <c r="R2680" s="6" t="s">
        <v>7542</v>
      </c>
    </row>
    <row r="2681">
      <c r="A2681" s="6" t="s">
        <v>7537</v>
      </c>
      <c r="B2681" s="6" t="s">
        <v>7537</v>
      </c>
      <c r="C2681" s="6">
        <v>1072.0</v>
      </c>
      <c r="D2681" s="9" t="str">
        <f>HYPERLINK("https://www.linkedin.com/ad-library/detail/1415675536","Open Ad")</f>
        <v>Open Ad</v>
      </c>
      <c r="E2681" s="6" t="s">
        <v>91</v>
      </c>
      <c r="F2681" s="6" t="s">
        <v>53</v>
      </c>
      <c r="G2681" s="6" t="s">
        <v>7736</v>
      </c>
      <c r="H2681" s="6" t="s">
        <v>55</v>
      </c>
      <c r="I2681" s="6" t="s">
        <v>7566</v>
      </c>
      <c r="J2681" s="6" t="s">
        <v>91</v>
      </c>
      <c r="K2681" s="9" t="str">
        <f t="shared" ref="K2681:K2683" si="113">HYPERLINK("https://media.licdn.com/dms/image/v2/D4E10AQH5KT8g0rrQoQ/image-shrink_1280/B4EZ5LpofQG8Ac-/0/1779385666333?e=2147483647&amp;v=beta&amp;t=bwt0AJ_bLpQ9QBffwxqimkRXKK0zpUYuux5-2IxdajI","Open Creative")</f>
        <v>Open Creative</v>
      </c>
      <c r="L2681" s="6" t="s">
        <v>131</v>
      </c>
      <c r="M2681" s="6" t="s">
        <v>7537</v>
      </c>
      <c r="N2681" s="6" t="s">
        <v>132</v>
      </c>
      <c r="O2681" s="36" t="s">
        <v>132</v>
      </c>
      <c r="P2681" s="36">
        <v>1.415675536E9</v>
      </c>
      <c r="Q2681" s="36" t="s">
        <v>7541</v>
      </c>
      <c r="R2681" s="6" t="s">
        <v>7542</v>
      </c>
    </row>
    <row r="2682">
      <c r="A2682" s="6" t="s">
        <v>7537</v>
      </c>
      <c r="B2682" s="6" t="s">
        <v>7537</v>
      </c>
      <c r="C2682" s="6">
        <v>1073.0</v>
      </c>
      <c r="D2682" s="9" t="str">
        <f>HYPERLINK("https://www.linkedin.com/ad-library/detail/1415754096","Open Ad")</f>
        <v>Open Ad</v>
      </c>
      <c r="E2682" s="6" t="s">
        <v>91</v>
      </c>
      <c r="F2682" s="6" t="s">
        <v>53</v>
      </c>
      <c r="G2682" s="6" t="s">
        <v>7736</v>
      </c>
      <c r="H2682" s="6" t="s">
        <v>55</v>
      </c>
      <c r="I2682" s="6" t="s">
        <v>7566</v>
      </c>
      <c r="J2682" s="6" t="s">
        <v>91</v>
      </c>
      <c r="K2682" s="9" t="str">
        <f t="shared" si="113"/>
        <v>Open Creative</v>
      </c>
      <c r="L2682" s="6" t="s">
        <v>131</v>
      </c>
      <c r="M2682" s="6" t="s">
        <v>7537</v>
      </c>
      <c r="N2682" s="6" t="s">
        <v>132</v>
      </c>
      <c r="O2682" s="36" t="s">
        <v>132</v>
      </c>
      <c r="P2682" s="36">
        <v>1.415754096E9</v>
      </c>
      <c r="Q2682" s="36" t="s">
        <v>7541</v>
      </c>
      <c r="R2682" s="6" t="s">
        <v>7542</v>
      </c>
    </row>
    <row r="2683">
      <c r="A2683" s="6" t="s">
        <v>7537</v>
      </c>
      <c r="B2683" s="6" t="s">
        <v>7537</v>
      </c>
      <c r="C2683" s="6">
        <v>1074.0</v>
      </c>
      <c r="D2683" s="9" t="str">
        <f>HYPERLINK("https://www.linkedin.com/ad-library/detail/1415893226","Open Ad")</f>
        <v>Open Ad</v>
      </c>
      <c r="E2683" s="6" t="s">
        <v>91</v>
      </c>
      <c r="F2683" s="6" t="s">
        <v>53</v>
      </c>
      <c r="G2683" s="6" t="s">
        <v>7736</v>
      </c>
      <c r="H2683" s="6" t="s">
        <v>55</v>
      </c>
      <c r="I2683" s="6" t="s">
        <v>7566</v>
      </c>
      <c r="J2683" s="6" t="s">
        <v>91</v>
      </c>
      <c r="K2683" s="9" t="str">
        <f t="shared" si="113"/>
        <v>Open Creative</v>
      </c>
      <c r="L2683" s="6" t="s">
        <v>131</v>
      </c>
      <c r="M2683" s="6" t="s">
        <v>7537</v>
      </c>
      <c r="N2683" s="6" t="s">
        <v>132</v>
      </c>
      <c r="O2683" s="36" t="s">
        <v>132</v>
      </c>
      <c r="P2683" s="36">
        <v>1.415893226E9</v>
      </c>
      <c r="Q2683" s="36" t="s">
        <v>7541</v>
      </c>
      <c r="R2683" s="6" t="s">
        <v>7542</v>
      </c>
    </row>
    <row r="2684">
      <c r="A2684" s="6" t="s">
        <v>7537</v>
      </c>
      <c r="B2684" s="6" t="s">
        <v>7537</v>
      </c>
      <c r="C2684" s="6">
        <v>1075.0</v>
      </c>
      <c r="D2684" s="9" t="str">
        <f>HYPERLINK("https://www.linkedin.com/ad-library/detail/1415743916","Open Ad")</f>
        <v>Open Ad</v>
      </c>
      <c r="E2684" s="6" t="s">
        <v>91</v>
      </c>
      <c r="F2684" s="6" t="s">
        <v>53</v>
      </c>
      <c r="G2684" s="6" t="s">
        <v>7719</v>
      </c>
      <c r="H2684" s="6" t="s">
        <v>55</v>
      </c>
      <c r="I2684" s="6" t="s">
        <v>7566</v>
      </c>
      <c r="J2684" s="6" t="s">
        <v>91</v>
      </c>
      <c r="K2684" s="6" t="s">
        <v>60</v>
      </c>
      <c r="L2684" s="6" t="s">
        <v>131</v>
      </c>
      <c r="M2684" s="6" t="s">
        <v>7537</v>
      </c>
      <c r="N2684" s="6" t="s">
        <v>132</v>
      </c>
      <c r="O2684" s="36" t="s">
        <v>132</v>
      </c>
      <c r="P2684" s="36">
        <v>1.415743916E9</v>
      </c>
      <c r="Q2684" s="36" t="s">
        <v>7541</v>
      </c>
      <c r="R2684" s="6" t="s">
        <v>7542</v>
      </c>
    </row>
    <row r="2685">
      <c r="A2685" s="6" t="s">
        <v>7537</v>
      </c>
      <c r="B2685" s="6" t="s">
        <v>7537</v>
      </c>
      <c r="C2685" s="6">
        <v>1076.0</v>
      </c>
      <c r="D2685" s="9" t="str">
        <f>HYPERLINK("https://www.linkedin.com/ad-library/detail/1415823916","Open Ad")</f>
        <v>Open Ad</v>
      </c>
      <c r="E2685" s="6" t="s">
        <v>91</v>
      </c>
      <c r="F2685" s="6" t="s">
        <v>53</v>
      </c>
      <c r="G2685" s="6" t="s">
        <v>7735</v>
      </c>
      <c r="H2685" s="6" t="s">
        <v>55</v>
      </c>
      <c r="I2685" s="6" t="s">
        <v>7566</v>
      </c>
      <c r="J2685" s="6" t="s">
        <v>91</v>
      </c>
      <c r="K2685" s="9" t="str">
        <f>HYPERLINK("https://media.licdn.com/dms/image/v2/D4E22AQHZmiYij9a5OA/feedshare-shrink_1280/B4EZ5FOEoOJAAM-/0/1779277777860?e=2147483647&amp;v=beta&amp;t=E7sP19NECiMMyWvfMFCVr8M4p8aMc-gEjOIdAHP9nEc","Open Creative")</f>
        <v>Open Creative</v>
      </c>
      <c r="L2685" s="6" t="s">
        <v>131</v>
      </c>
      <c r="M2685" s="6" t="s">
        <v>7537</v>
      </c>
      <c r="N2685" s="6" t="s">
        <v>132</v>
      </c>
      <c r="O2685" s="36" t="s">
        <v>132</v>
      </c>
      <c r="P2685" s="36">
        <v>1.415823916E9</v>
      </c>
      <c r="Q2685" s="36" t="s">
        <v>7541</v>
      </c>
      <c r="R2685" s="6" t="s">
        <v>7542</v>
      </c>
    </row>
    <row r="2686">
      <c r="A2686" s="6" t="s">
        <v>7537</v>
      </c>
      <c r="B2686" s="6" t="s">
        <v>7537</v>
      </c>
      <c r="C2686" s="6">
        <v>1077.0</v>
      </c>
      <c r="D2686" s="9" t="str">
        <f>HYPERLINK("https://www.linkedin.com/ad-library/detail/1415754086","Open Ad")</f>
        <v>Open Ad</v>
      </c>
      <c r="E2686" s="6" t="s">
        <v>91</v>
      </c>
      <c r="F2686" s="6" t="s">
        <v>53</v>
      </c>
      <c r="G2686" s="6" t="s">
        <v>7736</v>
      </c>
      <c r="H2686" s="6" t="s">
        <v>55</v>
      </c>
      <c r="I2686" s="6" t="s">
        <v>7566</v>
      </c>
      <c r="J2686" s="6" t="s">
        <v>91</v>
      </c>
      <c r="K2686" s="9" t="str">
        <f>HYPERLINK("https://media.licdn.com/dms/image/v2/D4E10AQH5KT8g0rrQoQ/image-shrink_1280/B4EZ5LpofQG8Ac-/0/1779385666333?e=2147483647&amp;v=beta&amp;t=bwt0AJ_bLpQ9QBffwxqimkRXKK0zpUYuux5-2IxdajI","Open Creative")</f>
        <v>Open Creative</v>
      </c>
      <c r="L2686" s="6" t="s">
        <v>131</v>
      </c>
      <c r="M2686" s="6" t="s">
        <v>7537</v>
      </c>
      <c r="N2686" s="6" t="s">
        <v>132</v>
      </c>
      <c r="O2686" s="36" t="s">
        <v>132</v>
      </c>
      <c r="P2686" s="36">
        <v>1.415754086E9</v>
      </c>
      <c r="Q2686" s="36" t="s">
        <v>7541</v>
      </c>
      <c r="R2686" s="6" t="s">
        <v>7542</v>
      </c>
    </row>
    <row r="2687">
      <c r="A2687" s="6" t="s">
        <v>7537</v>
      </c>
      <c r="B2687" s="6" t="s">
        <v>7537</v>
      </c>
      <c r="C2687" s="6">
        <v>1078.0</v>
      </c>
      <c r="D2687" s="9" t="str">
        <f>HYPERLINK("https://www.linkedin.com/ad-library/detail/1415704536","Open Ad")</f>
        <v>Open Ad</v>
      </c>
      <c r="E2687" s="6" t="s">
        <v>91</v>
      </c>
      <c r="F2687" s="6" t="s">
        <v>53</v>
      </c>
      <c r="G2687" s="6" t="s">
        <v>7737</v>
      </c>
      <c r="H2687" s="6" t="s">
        <v>55</v>
      </c>
      <c r="I2687" s="6" t="s">
        <v>7566</v>
      </c>
      <c r="J2687" s="6" t="s">
        <v>91</v>
      </c>
      <c r="K2687" s="9" t="str">
        <f>HYPERLINK("https://media.licdn.com/dms/image/v2/D4E10AQHjHTtJx4aTHw/image-shrink_1280/B4EZ5GIYx7HQAc-/0/1779293065016?e=2147483647&amp;v=beta&amp;t=DUVEju8dl8ghOMEW-kDpQyy8fVmulRcb3FRLgvqEYfg","Open Creative")</f>
        <v>Open Creative</v>
      </c>
      <c r="L2687" s="6" t="s">
        <v>131</v>
      </c>
      <c r="M2687" s="6" t="s">
        <v>7537</v>
      </c>
      <c r="N2687" s="6" t="s">
        <v>132</v>
      </c>
      <c r="O2687" s="36" t="s">
        <v>132</v>
      </c>
      <c r="P2687" s="36">
        <v>1.415704536E9</v>
      </c>
      <c r="Q2687" s="36" t="s">
        <v>7541</v>
      </c>
      <c r="R2687" s="6" t="s">
        <v>7542</v>
      </c>
    </row>
    <row r="2688">
      <c r="A2688" s="6" t="s">
        <v>7537</v>
      </c>
      <c r="B2688" s="6" t="s">
        <v>7537</v>
      </c>
      <c r="C2688" s="6">
        <v>1079.0</v>
      </c>
      <c r="D2688" s="9" t="str">
        <f>HYPERLINK("https://www.linkedin.com/ad-library/detail/1415823906","Open Ad")</f>
        <v>Open Ad</v>
      </c>
      <c r="E2688" s="6" t="s">
        <v>91</v>
      </c>
      <c r="F2688" s="6" t="s">
        <v>53</v>
      </c>
      <c r="G2688" s="6" t="s">
        <v>7735</v>
      </c>
      <c r="H2688" s="6" t="s">
        <v>55</v>
      </c>
      <c r="I2688" s="6" t="s">
        <v>7566</v>
      </c>
      <c r="J2688" s="6" t="s">
        <v>91</v>
      </c>
      <c r="K2688" s="9" t="str">
        <f>HYPERLINK("https://media.licdn.com/dms/image/v2/D4E22AQHZmiYij9a5OA/feedshare-shrink_1280/B4EZ5FOEoOJAAM-/0/1779277777860?e=2147483647&amp;v=beta&amp;t=E7sP19NECiMMyWvfMFCVr8M4p8aMc-gEjOIdAHP9nEc","Open Creative")</f>
        <v>Open Creative</v>
      </c>
      <c r="L2688" s="6" t="s">
        <v>131</v>
      </c>
      <c r="M2688" s="6" t="s">
        <v>7537</v>
      </c>
      <c r="N2688" s="6" t="s">
        <v>132</v>
      </c>
      <c r="O2688" s="36" t="s">
        <v>132</v>
      </c>
      <c r="P2688" s="36">
        <v>1.415823906E9</v>
      </c>
      <c r="Q2688" s="36" t="s">
        <v>7541</v>
      </c>
      <c r="R2688" s="6" t="s">
        <v>7542</v>
      </c>
    </row>
    <row r="2689">
      <c r="A2689" s="6" t="s">
        <v>7537</v>
      </c>
      <c r="B2689" s="6" t="s">
        <v>7537</v>
      </c>
      <c r="C2689" s="6">
        <v>1080.0</v>
      </c>
      <c r="D2689" s="9" t="str">
        <f>HYPERLINK("https://www.linkedin.com/ad-library/detail/1415743956","Open Ad")</f>
        <v>Open Ad</v>
      </c>
      <c r="E2689" s="6" t="s">
        <v>91</v>
      </c>
      <c r="F2689" s="6" t="s">
        <v>53</v>
      </c>
      <c r="G2689" s="6" t="s">
        <v>7737</v>
      </c>
      <c r="H2689" s="6" t="s">
        <v>55</v>
      </c>
      <c r="I2689" s="6" t="s">
        <v>7566</v>
      </c>
      <c r="J2689" s="6" t="s">
        <v>91</v>
      </c>
      <c r="K2689" s="9" t="str">
        <f>HYPERLINK("https://media.licdn.com/dms/image/v2/D4E10AQHjHTtJx4aTHw/image-shrink_1280/B4EZ5GIYx7HQAc-/0/1779293065016?e=2147483647&amp;v=beta&amp;t=DUVEju8dl8ghOMEW-kDpQyy8fVmulRcb3FRLgvqEYfg","Open Creative")</f>
        <v>Open Creative</v>
      </c>
      <c r="L2689" s="6" t="s">
        <v>131</v>
      </c>
      <c r="M2689" s="6" t="s">
        <v>7537</v>
      </c>
      <c r="N2689" s="6" t="s">
        <v>132</v>
      </c>
      <c r="O2689" s="36" t="s">
        <v>132</v>
      </c>
      <c r="P2689" s="36">
        <v>1.415743956E9</v>
      </c>
      <c r="Q2689" s="36" t="s">
        <v>7541</v>
      </c>
      <c r="R2689" s="6" t="s">
        <v>7542</v>
      </c>
    </row>
    <row r="2690">
      <c r="A2690" s="6" t="s">
        <v>7537</v>
      </c>
      <c r="B2690" s="6" t="s">
        <v>7537</v>
      </c>
      <c r="C2690" s="6">
        <v>1081.0</v>
      </c>
      <c r="D2690" s="9" t="str">
        <f>HYPERLINK("https://www.linkedin.com/ad-library/detail/1412692386","Open Ad")</f>
        <v>Open Ad</v>
      </c>
      <c r="E2690" s="6" t="s">
        <v>154</v>
      </c>
      <c r="F2690" s="6" t="s">
        <v>53</v>
      </c>
      <c r="G2690" s="6" t="s">
        <v>7739</v>
      </c>
      <c r="H2690" s="6" t="s">
        <v>55</v>
      </c>
      <c r="I2690" s="6" t="s">
        <v>7566</v>
      </c>
      <c r="J2690" s="6" t="s">
        <v>154</v>
      </c>
      <c r="K2690" s="9" t="str">
        <f>HYPERLINK("https://dms.licdn.com/playlist/vid/v2/D4E10AQHaVnlTZWO5lQ/mp4-640p-30fp-crf28/B4EZ4EDxT1IABE-/0/1778184568233?e=2147483647&amp;v=beta&amp;t=jeKB-nUJMbPs44wNiftahuqppmxwQaFreN02VRMJGkw","Open Creative")</f>
        <v>Open Creative</v>
      </c>
      <c r="L2690" s="6" t="s">
        <v>131</v>
      </c>
      <c r="M2690" s="6" t="s">
        <v>7537</v>
      </c>
      <c r="N2690" s="6" t="s">
        <v>132</v>
      </c>
      <c r="O2690" s="36" t="s">
        <v>132</v>
      </c>
      <c r="P2690" s="36">
        <v>1.412692386E9</v>
      </c>
      <c r="Q2690" s="36" t="s">
        <v>7541</v>
      </c>
      <c r="R2690" s="6" t="s">
        <v>7542</v>
      </c>
    </row>
    <row r="2691">
      <c r="A2691" s="6" t="s">
        <v>7537</v>
      </c>
      <c r="B2691" s="6" t="s">
        <v>7537</v>
      </c>
      <c r="C2691" s="6">
        <v>1082.0</v>
      </c>
      <c r="D2691" s="9" t="str">
        <f>HYPERLINK("https://www.linkedin.com/ad-library/detail/1413075626","Open Ad")</f>
        <v>Open Ad</v>
      </c>
      <c r="E2691" s="6" t="s">
        <v>91</v>
      </c>
      <c r="F2691" s="6" t="s">
        <v>53</v>
      </c>
      <c r="G2691" s="6" t="s">
        <v>7597</v>
      </c>
      <c r="H2691" s="6" t="s">
        <v>55</v>
      </c>
      <c r="I2691" s="6" t="s">
        <v>7566</v>
      </c>
      <c r="J2691" s="6" t="s">
        <v>91</v>
      </c>
      <c r="K2691" s="9" t="str">
        <f>HYPERLINK("https://media.licdn.com/dms/image/v2/D5610AQHboNfHfdoMGg/image-shrink_1280/B56Z39lJVLH4Ag-/0/1778075866691/Ad13png?e=2147483647&amp;v=beta&amp;t=w47eH2aNcVt5nGxpOUSqt9WGlOcn-OqTBTg2vMGSkLA","Open Creative")</f>
        <v>Open Creative</v>
      </c>
      <c r="L2691" s="6" t="s">
        <v>131</v>
      </c>
      <c r="M2691" s="6" t="s">
        <v>7537</v>
      </c>
      <c r="N2691" s="6" t="s">
        <v>7740</v>
      </c>
      <c r="O2691" s="36" t="s">
        <v>67</v>
      </c>
      <c r="P2691" s="36">
        <v>1.413075626E9</v>
      </c>
      <c r="Q2691" s="36" t="s">
        <v>7541</v>
      </c>
      <c r="R2691" s="6" t="s">
        <v>7542</v>
      </c>
    </row>
    <row r="2692">
      <c r="A2692" s="6" t="s">
        <v>7537</v>
      </c>
      <c r="B2692" s="6" t="s">
        <v>7537</v>
      </c>
      <c r="C2692" s="6">
        <v>1083.0</v>
      </c>
      <c r="D2692" s="9" t="str">
        <f>HYPERLINK("https://www.linkedin.com/ad-library/detail/1412997656","Open Ad")</f>
        <v>Open Ad</v>
      </c>
      <c r="E2692" s="6" t="s">
        <v>91</v>
      </c>
      <c r="F2692" s="6" t="s">
        <v>53</v>
      </c>
      <c r="G2692" s="6" t="s">
        <v>7597</v>
      </c>
      <c r="H2692" s="6" t="s">
        <v>55</v>
      </c>
      <c r="I2692" s="6" t="s">
        <v>7566</v>
      </c>
      <c r="J2692" s="6" t="s">
        <v>91</v>
      </c>
      <c r="K2692" s="9" t="str">
        <f>HYPERLINK("https://media.licdn.com/dms/image/v2/D5610AQH-q8Kfz-YVbQ/image-shrink_1280/B56Z3WDoOFKgAc-/0/1777412768916/Adpng?e=2147483647&amp;v=beta&amp;t=Lvt6Go03KIs4rRA12hIMu8l80ejL9dzwHdp0rAwmuTM","Open Creative")</f>
        <v>Open Creative</v>
      </c>
      <c r="L2692" s="6" t="s">
        <v>131</v>
      </c>
      <c r="M2692" s="6" t="s">
        <v>7537</v>
      </c>
      <c r="N2692" s="6" t="s">
        <v>132</v>
      </c>
      <c r="O2692" s="36" t="s">
        <v>132</v>
      </c>
      <c r="P2692" s="36">
        <v>1.412997656E9</v>
      </c>
      <c r="Q2692" s="36" t="s">
        <v>7541</v>
      </c>
      <c r="R2692" s="6" t="s">
        <v>7542</v>
      </c>
    </row>
    <row r="2693">
      <c r="A2693" s="6" t="s">
        <v>7537</v>
      </c>
      <c r="B2693" s="6" t="s">
        <v>7537</v>
      </c>
      <c r="C2693" s="6">
        <v>1084.0</v>
      </c>
      <c r="D2693" s="9" t="str">
        <f>HYPERLINK("https://www.linkedin.com/ad-library/detail/1412648916","Open Ad")</f>
        <v>Open Ad</v>
      </c>
      <c r="E2693" s="6" t="s">
        <v>91</v>
      </c>
      <c r="F2693" s="6" t="s">
        <v>53</v>
      </c>
      <c r="G2693" s="6" t="s">
        <v>7741</v>
      </c>
      <c r="H2693" s="6" t="s">
        <v>55</v>
      </c>
      <c r="I2693" s="6" t="s">
        <v>7566</v>
      </c>
      <c r="J2693" s="6" t="s">
        <v>91</v>
      </c>
      <c r="K2693" s="9" t="str">
        <f>HYPERLINK("https://media.licdn.com/dms/image/v2/D5622AQEEgLlTMdzorw/feedshare-image-high-res/B56Z2My4h9KwAU-/0/1776183644784?e=2147483647&amp;v=beta&amp;t=UnX_74qXI_CDX3CCDjND1x0Ikckb3vCRMxgfEkG-fvM","Open Creative")</f>
        <v>Open Creative</v>
      </c>
      <c r="L2693" s="6" t="s">
        <v>131</v>
      </c>
      <c r="M2693" s="6" t="s">
        <v>7537</v>
      </c>
      <c r="N2693" s="6" t="s">
        <v>132</v>
      </c>
      <c r="O2693" s="36" t="s">
        <v>132</v>
      </c>
      <c r="P2693" s="36">
        <v>1.412648916E9</v>
      </c>
      <c r="Q2693" s="36" t="s">
        <v>7541</v>
      </c>
      <c r="R2693" s="6" t="s">
        <v>7542</v>
      </c>
    </row>
    <row r="2694">
      <c r="A2694" s="6" t="s">
        <v>7537</v>
      </c>
      <c r="B2694" s="6" t="s">
        <v>7537</v>
      </c>
      <c r="C2694" s="6">
        <v>1085.0</v>
      </c>
      <c r="D2694" s="9" t="str">
        <f>HYPERLINK("https://www.linkedin.com/ad-library/detail/1412729976","Open Ad")</f>
        <v>Open Ad</v>
      </c>
      <c r="E2694" s="6" t="s">
        <v>154</v>
      </c>
      <c r="F2694" s="6" t="s">
        <v>53</v>
      </c>
      <c r="G2694" s="6" t="s">
        <v>7742</v>
      </c>
      <c r="H2694" s="6" t="s">
        <v>55</v>
      </c>
      <c r="I2694" s="6" t="s">
        <v>7566</v>
      </c>
      <c r="J2694" s="6" t="s">
        <v>154</v>
      </c>
      <c r="K2694" s="9" t="str">
        <f>HYPERLINK("https://dms.licdn.com/playlist/vid/v2/D4E10AQEIiLiyO-KGMw/mp4-640p-30fp-crf28/B4EZ4drQ6rHsBE-/0/1778614350812?e=2147483647&amp;v=beta&amp;t=EK_t5ZorYF5dYEL7zXTGiFxzf9T_L_tVfDHN5SfibwY","Open Creative")</f>
        <v>Open Creative</v>
      </c>
      <c r="L2694" s="6" t="s">
        <v>131</v>
      </c>
      <c r="M2694" s="6" t="s">
        <v>7537</v>
      </c>
      <c r="N2694" s="6" t="s">
        <v>132</v>
      </c>
      <c r="O2694" s="36" t="s">
        <v>132</v>
      </c>
      <c r="P2694" s="36">
        <v>1.412729976E9</v>
      </c>
      <c r="Q2694" s="36" t="s">
        <v>7541</v>
      </c>
      <c r="R2694" s="6" t="s">
        <v>7542</v>
      </c>
    </row>
    <row r="2695">
      <c r="A2695" s="6" t="s">
        <v>7537</v>
      </c>
      <c r="B2695" s="6" t="s">
        <v>7537</v>
      </c>
      <c r="C2695" s="6">
        <v>1086.0</v>
      </c>
      <c r="D2695" s="9" t="str">
        <f>HYPERLINK("https://www.linkedin.com/ad-library/detail/1415823846","Open Ad")</f>
        <v>Open Ad</v>
      </c>
      <c r="E2695" s="6" t="s">
        <v>91</v>
      </c>
      <c r="F2695" s="6" t="s">
        <v>53</v>
      </c>
      <c r="G2695" s="6" t="s">
        <v>7727</v>
      </c>
      <c r="H2695" s="6" t="s">
        <v>55</v>
      </c>
      <c r="I2695" s="6" t="s">
        <v>7566</v>
      </c>
      <c r="J2695" s="6" t="s">
        <v>91</v>
      </c>
      <c r="K2695" s="6" t="s">
        <v>60</v>
      </c>
      <c r="L2695" s="6" t="s">
        <v>131</v>
      </c>
      <c r="M2695" s="6" t="s">
        <v>7537</v>
      </c>
      <c r="N2695" s="6" t="s">
        <v>132</v>
      </c>
      <c r="O2695" s="36" t="s">
        <v>132</v>
      </c>
      <c r="P2695" s="36">
        <v>1.415823846E9</v>
      </c>
      <c r="Q2695" s="36" t="s">
        <v>7541</v>
      </c>
      <c r="R2695" s="6" t="s">
        <v>7542</v>
      </c>
    </row>
    <row r="2696">
      <c r="A2696" s="6" t="s">
        <v>7537</v>
      </c>
      <c r="B2696" s="6" t="s">
        <v>7537</v>
      </c>
      <c r="C2696" s="6">
        <v>1087.0</v>
      </c>
      <c r="D2696" s="9" t="str">
        <f>HYPERLINK("https://www.linkedin.com/ad-library/detail/1413151716","Open Ad")</f>
        <v>Open Ad</v>
      </c>
      <c r="E2696" s="6" t="s">
        <v>91</v>
      </c>
      <c r="F2696" s="6" t="s">
        <v>53</v>
      </c>
      <c r="G2696" s="6" t="s">
        <v>7597</v>
      </c>
      <c r="H2696" s="6" t="s">
        <v>55</v>
      </c>
      <c r="I2696" s="6" t="s">
        <v>7566</v>
      </c>
      <c r="J2696" s="6" t="s">
        <v>91</v>
      </c>
      <c r="K2696" s="9" t="str">
        <f>HYPERLINK("https://media.licdn.com/dms/image/v2/D5610AQFwlPh9OuqQ4A/image-shrink_1280/B56Z39k5SxIkAc-/0/1778075801026/Ad10png?e=2147483647&amp;v=beta&amp;t=LZdF-LfuEKTiB836HBLNFhI94910PU_-tRMjp3lZxJE","Open Creative")</f>
        <v>Open Creative</v>
      </c>
      <c r="L2696" s="6" t="s">
        <v>131</v>
      </c>
      <c r="M2696" s="6" t="s">
        <v>7537</v>
      </c>
      <c r="N2696" s="6" t="s">
        <v>132</v>
      </c>
      <c r="O2696" s="36" t="s">
        <v>132</v>
      </c>
      <c r="P2696" s="36">
        <v>1.413151716E9</v>
      </c>
      <c r="Q2696" s="36" t="s">
        <v>7541</v>
      </c>
      <c r="R2696" s="6" t="s">
        <v>7542</v>
      </c>
    </row>
    <row r="2697">
      <c r="A2697" s="6" t="s">
        <v>7537</v>
      </c>
      <c r="B2697" s="6" t="s">
        <v>7537</v>
      </c>
      <c r="C2697" s="6">
        <v>1088.0</v>
      </c>
      <c r="D2697" s="9" t="str">
        <f>HYPERLINK("https://www.linkedin.com/ad-library/detail/1412598406","Open Ad")</f>
        <v>Open Ad</v>
      </c>
      <c r="E2697" s="6" t="s">
        <v>91</v>
      </c>
      <c r="F2697" s="6" t="s">
        <v>53</v>
      </c>
      <c r="G2697" s="6" t="s">
        <v>7743</v>
      </c>
      <c r="H2697" s="6" t="s">
        <v>55</v>
      </c>
      <c r="I2697" s="6" t="s">
        <v>7566</v>
      </c>
      <c r="J2697" s="6" t="s">
        <v>91</v>
      </c>
      <c r="K2697" s="9" t="str">
        <f>HYPERLINK("https://media.licdn.com/dms/image/v2/D4E22AQGD81oz3FYM1Q/feedshare-shrink_1280/B4EZ4XQU_HJAAM-/0/1778506617358?e=2147483647&amp;v=beta&amp;t=OdTpu75_XH7oT3LVL22UyGlqQZPOznFr4UZO9OyLEa0","Open Creative")</f>
        <v>Open Creative</v>
      </c>
      <c r="L2697" s="6" t="s">
        <v>131</v>
      </c>
      <c r="M2697" s="6" t="s">
        <v>7537</v>
      </c>
      <c r="N2697" s="6" t="s">
        <v>132</v>
      </c>
      <c r="O2697" s="36" t="s">
        <v>132</v>
      </c>
      <c r="P2697" s="36">
        <v>1.412598406E9</v>
      </c>
      <c r="Q2697" s="36" t="s">
        <v>7541</v>
      </c>
      <c r="R2697" s="6" t="s">
        <v>7542</v>
      </c>
    </row>
    <row r="2698">
      <c r="A2698" s="6" t="s">
        <v>7537</v>
      </c>
      <c r="B2698" s="6" t="s">
        <v>7537</v>
      </c>
      <c r="C2698" s="6">
        <v>1089.0</v>
      </c>
      <c r="D2698" s="9" t="str">
        <f>HYPERLINK("https://www.linkedin.com/ad-library/detail/1415675466","Open Ad")</f>
        <v>Open Ad</v>
      </c>
      <c r="E2698" s="6" t="s">
        <v>91</v>
      </c>
      <c r="F2698" s="6" t="s">
        <v>53</v>
      </c>
      <c r="G2698" s="6" t="s">
        <v>7722</v>
      </c>
      <c r="H2698" s="6" t="s">
        <v>55</v>
      </c>
      <c r="I2698" s="6" t="s">
        <v>7566</v>
      </c>
      <c r="J2698" s="6" t="s">
        <v>91</v>
      </c>
      <c r="K2698" s="6" t="s">
        <v>60</v>
      </c>
      <c r="L2698" s="6" t="s">
        <v>131</v>
      </c>
      <c r="M2698" s="6" t="s">
        <v>7537</v>
      </c>
      <c r="N2698" s="6" t="s">
        <v>132</v>
      </c>
      <c r="O2698" s="36" t="s">
        <v>132</v>
      </c>
      <c r="P2698" s="36">
        <v>1.415675466E9</v>
      </c>
      <c r="Q2698" s="36" t="s">
        <v>7541</v>
      </c>
      <c r="R2698" s="6" t="s">
        <v>7542</v>
      </c>
    </row>
    <row r="2699">
      <c r="A2699" s="6" t="s">
        <v>7537</v>
      </c>
      <c r="B2699" s="6" t="s">
        <v>7537</v>
      </c>
      <c r="C2699" s="6">
        <v>1090.0</v>
      </c>
      <c r="D2699" s="9" t="str">
        <f>HYPERLINK("https://www.linkedin.com/ad-library/detail/1412519376","Open Ad")</f>
        <v>Open Ad</v>
      </c>
      <c r="E2699" s="6" t="s">
        <v>154</v>
      </c>
      <c r="F2699" s="6" t="s">
        <v>53</v>
      </c>
      <c r="G2699" s="6" t="s">
        <v>7744</v>
      </c>
      <c r="H2699" s="6" t="s">
        <v>55</v>
      </c>
      <c r="I2699" s="6" t="s">
        <v>7566</v>
      </c>
      <c r="J2699" s="6" t="s">
        <v>154</v>
      </c>
      <c r="K2699" s="9" t="str">
        <f>HYPERLINK("https://dms.licdn.com/playlist/vid/v2/D4E05AQGgDq87Idj5yQ/mp4-720p-30fp-crf28/B4EZ2SOfNBIkCI-/0/1776274785729?e=2147483647&amp;v=beta&amp;t=GlzWHH2t1SJHcYYhlaMPGa_26MZmEbr1GAGR0HyZh70","Open Creative")</f>
        <v>Open Creative</v>
      </c>
      <c r="L2699" s="6" t="s">
        <v>131</v>
      </c>
      <c r="M2699" s="6" t="s">
        <v>7537</v>
      </c>
      <c r="N2699" s="6" t="s">
        <v>132</v>
      </c>
      <c r="O2699" s="36" t="s">
        <v>132</v>
      </c>
      <c r="P2699" s="36">
        <v>1.412519376E9</v>
      </c>
      <c r="Q2699" s="36" t="s">
        <v>7541</v>
      </c>
      <c r="R2699" s="6" t="s">
        <v>7542</v>
      </c>
    </row>
    <row r="2700">
      <c r="A2700" s="6" t="s">
        <v>7537</v>
      </c>
      <c r="B2700" s="6" t="s">
        <v>7537</v>
      </c>
      <c r="C2700" s="6">
        <v>1091.0</v>
      </c>
      <c r="D2700" s="9" t="str">
        <f>HYPERLINK("https://www.linkedin.com/ad-library/detail/1412578706","Open Ad")</f>
        <v>Open Ad</v>
      </c>
      <c r="E2700" s="6" t="s">
        <v>91</v>
      </c>
      <c r="F2700" s="6" t="s">
        <v>53</v>
      </c>
      <c r="G2700" s="6" t="s">
        <v>7745</v>
      </c>
      <c r="H2700" s="6" t="s">
        <v>55</v>
      </c>
      <c r="I2700" s="6" t="s">
        <v>7566</v>
      </c>
      <c r="J2700" s="6" t="s">
        <v>91</v>
      </c>
      <c r="K2700" s="9" t="str">
        <f>HYPERLINK("https://media.licdn.com/dms/image/v2/D4E10AQFxOL9nLqs70A/image-shrink_1280/B4EZ4ianU2HQAc-/0/1778693863094?e=2147483647&amp;v=beta&amp;t=Kek_CvI7J64DQujymdrphqZ0971IksfKM8-LPcA7u1g","Open Creative")</f>
        <v>Open Creative</v>
      </c>
      <c r="L2700" s="6" t="s">
        <v>131</v>
      </c>
      <c r="M2700" s="6" t="s">
        <v>7537</v>
      </c>
      <c r="N2700" s="6" t="s">
        <v>132</v>
      </c>
      <c r="O2700" s="36" t="s">
        <v>132</v>
      </c>
      <c r="P2700" s="36">
        <v>1.412578706E9</v>
      </c>
      <c r="Q2700" s="36" t="s">
        <v>7541</v>
      </c>
      <c r="R2700" s="6" t="s">
        <v>7542</v>
      </c>
    </row>
    <row r="2701">
      <c r="A2701" s="6" t="s">
        <v>7537</v>
      </c>
      <c r="B2701" s="6" t="s">
        <v>7537</v>
      </c>
      <c r="C2701" s="6">
        <v>1092.0</v>
      </c>
      <c r="D2701" s="9" t="str">
        <f>HYPERLINK("https://www.linkedin.com/ad-library/detail/1412608266","Open Ad")</f>
        <v>Open Ad</v>
      </c>
      <c r="E2701" s="6" t="s">
        <v>154</v>
      </c>
      <c r="F2701" s="6" t="s">
        <v>53</v>
      </c>
      <c r="G2701" s="6" t="s">
        <v>7746</v>
      </c>
      <c r="H2701" s="6" t="s">
        <v>55</v>
      </c>
      <c r="I2701" s="6" t="s">
        <v>7566</v>
      </c>
      <c r="J2701" s="6" t="s">
        <v>154</v>
      </c>
      <c r="K2701" s="9" t="str">
        <f>HYPERLINK("https://dms.licdn.com/playlist/vid/v2/D4E10AQG2UpRhHOuMCw/mp4-360p-30fp-crf28/B4EZ3gFVQtKQBc-/0/1777580992778?e=2147483647&amp;v=beta&amp;t=f4WJja1TUP7dpfZlQSH5mijwN80xWRScl9vgdNUiVYY","Open Creative")</f>
        <v>Open Creative</v>
      </c>
      <c r="L2701" s="6" t="s">
        <v>131</v>
      </c>
      <c r="M2701" s="6" t="s">
        <v>7537</v>
      </c>
      <c r="N2701" s="6" t="s">
        <v>132</v>
      </c>
      <c r="O2701" s="36" t="s">
        <v>132</v>
      </c>
      <c r="P2701" s="36">
        <v>1.412608266E9</v>
      </c>
      <c r="Q2701" s="36" t="s">
        <v>7541</v>
      </c>
      <c r="R2701" s="6" t="s">
        <v>7542</v>
      </c>
    </row>
    <row r="2702">
      <c r="A2702" s="6" t="s">
        <v>7537</v>
      </c>
      <c r="B2702" s="6" t="s">
        <v>7537</v>
      </c>
      <c r="C2702" s="6">
        <v>1093.0</v>
      </c>
      <c r="D2702" s="9" t="str">
        <f>HYPERLINK("https://www.linkedin.com/ad-library/detail/1413035966","Open Ad")</f>
        <v>Open Ad</v>
      </c>
      <c r="E2702" s="6" t="s">
        <v>91</v>
      </c>
      <c r="F2702" s="6" t="s">
        <v>53</v>
      </c>
      <c r="G2702" s="6" t="s">
        <v>7597</v>
      </c>
      <c r="H2702" s="6" t="s">
        <v>55</v>
      </c>
      <c r="I2702" s="6" t="s">
        <v>7566</v>
      </c>
      <c r="J2702" s="6" t="s">
        <v>91</v>
      </c>
      <c r="K2702" s="9" t="str">
        <f>HYPERLINK("https://media.licdn.com/dms/image/v2/D5610AQGMVMBywOZTRA/image-shrink_1280/B56Z3WD4I4GsAc-/0/1777412834072/Ad11png?e=2147483647&amp;v=beta&amp;t=wEwvt57CmhCwh8mjwxDAOwifwJjctZBli8J_4VPqXQ0","Open Creative")</f>
        <v>Open Creative</v>
      </c>
      <c r="L2702" s="6" t="s">
        <v>131</v>
      </c>
      <c r="M2702" s="6" t="s">
        <v>7537</v>
      </c>
      <c r="N2702" s="6" t="s">
        <v>132</v>
      </c>
      <c r="O2702" s="36" t="s">
        <v>132</v>
      </c>
      <c r="P2702" s="36">
        <v>1.413035966E9</v>
      </c>
      <c r="Q2702" s="36" t="s">
        <v>7541</v>
      </c>
      <c r="R2702" s="6" t="s">
        <v>7542</v>
      </c>
    </row>
    <row r="2703">
      <c r="A2703" s="6" t="s">
        <v>7537</v>
      </c>
      <c r="B2703" s="6" t="s">
        <v>7537</v>
      </c>
      <c r="C2703" s="6">
        <v>1094.0</v>
      </c>
      <c r="D2703" s="9" t="str">
        <f>HYPERLINK("https://www.linkedin.com/ad-library/detail/1412719946","Open Ad")</f>
        <v>Open Ad</v>
      </c>
      <c r="E2703" s="6" t="s">
        <v>154</v>
      </c>
      <c r="F2703" s="6" t="s">
        <v>53</v>
      </c>
      <c r="G2703" s="6" t="s">
        <v>7747</v>
      </c>
      <c r="H2703" s="6" t="s">
        <v>55</v>
      </c>
      <c r="I2703" s="6" t="s">
        <v>7566</v>
      </c>
      <c r="J2703" s="6" t="s">
        <v>154</v>
      </c>
      <c r="K2703" s="9" t="str">
        <f>HYPERLINK("https://dms.licdn.com/playlist/vid/v2/D4E10AQHquBM6CRwRLg/mp4-720p-30fp-crf28/B4EZ4Y836cIwBo-/0/1778535076118?e=2147483647&amp;v=beta&amp;t=S5BdaHRMxcbrYKRiNigEZ8fnuBM2nr09EtW-wtwsuTI","Open Creative")</f>
        <v>Open Creative</v>
      </c>
      <c r="L2703" s="6" t="s">
        <v>131</v>
      </c>
      <c r="M2703" s="6" t="s">
        <v>7537</v>
      </c>
      <c r="N2703" s="6" t="s">
        <v>132</v>
      </c>
      <c r="O2703" s="36" t="s">
        <v>132</v>
      </c>
      <c r="P2703" s="36">
        <v>1.412719946E9</v>
      </c>
      <c r="Q2703" s="36" t="s">
        <v>7541</v>
      </c>
      <c r="R2703" s="6" t="s">
        <v>7542</v>
      </c>
    </row>
    <row r="2704">
      <c r="A2704" s="6" t="s">
        <v>7537</v>
      </c>
      <c r="B2704" s="6" t="s">
        <v>7537</v>
      </c>
      <c r="C2704" s="6">
        <v>1095.0</v>
      </c>
      <c r="D2704" s="9" t="str">
        <f>HYPERLINK("https://www.linkedin.com/ad-library/detail/1412558816","Open Ad")</f>
        <v>Open Ad</v>
      </c>
      <c r="E2704" s="6" t="s">
        <v>91</v>
      </c>
      <c r="F2704" s="6" t="s">
        <v>53</v>
      </c>
      <c r="G2704" s="6" t="s">
        <v>7748</v>
      </c>
      <c r="H2704" s="6" t="s">
        <v>55</v>
      </c>
      <c r="I2704" s="6" t="s">
        <v>7566</v>
      </c>
      <c r="J2704" s="6" t="s">
        <v>91</v>
      </c>
      <c r="K2704" s="9" t="str">
        <f>HYPERLINK("https://media.licdn.com/dms/image/v2/D4E22AQHbFCQCDCGG3g/feedshare-image-high-res/B4EZpOeqO1HgAw-/0/1762253252103?e=2147483647&amp;v=beta&amp;t=Br5vflKeqacS-e7vktti7ZfaCAL9Qm6QJloy5pf7CYw","Open Creative")</f>
        <v>Open Creative</v>
      </c>
      <c r="L2704" s="6" t="s">
        <v>131</v>
      </c>
      <c r="M2704" s="6" t="s">
        <v>7537</v>
      </c>
      <c r="N2704" s="6" t="s">
        <v>132</v>
      </c>
      <c r="O2704" s="36" t="s">
        <v>132</v>
      </c>
      <c r="P2704" s="36">
        <v>1.412558816E9</v>
      </c>
      <c r="Q2704" s="36" t="s">
        <v>7541</v>
      </c>
      <c r="R2704" s="6" t="s">
        <v>7542</v>
      </c>
    </row>
    <row r="2705">
      <c r="A2705" s="6" t="s">
        <v>7537</v>
      </c>
      <c r="B2705" s="6" t="s">
        <v>7537</v>
      </c>
      <c r="C2705" s="6">
        <v>1096.0</v>
      </c>
      <c r="D2705" s="9" t="str">
        <f>HYPERLINK("https://www.linkedin.com/ad-library/detail/1412598426","Open Ad")</f>
        <v>Open Ad</v>
      </c>
      <c r="E2705" s="6" t="s">
        <v>91</v>
      </c>
      <c r="F2705" s="6" t="s">
        <v>53</v>
      </c>
      <c r="G2705" s="6" t="s">
        <v>7749</v>
      </c>
      <c r="H2705" s="6" t="s">
        <v>55</v>
      </c>
      <c r="I2705" s="6" t="s">
        <v>7566</v>
      </c>
      <c r="J2705" s="6" t="s">
        <v>91</v>
      </c>
      <c r="K2705" s="9" t="str">
        <f>HYPERLINK("https://media.licdn.com/dms/image/v2/D4E10AQHDXlmtjKyj5A/image-shrink_1280/B4EZ5AZvOOIIAk-/0/1779196950051?e=2147483647&amp;v=beta&amp;t=Vhm01rhLWWhvjCaJa2tuncQmcHCNQWpm2nfup_kGCoQ","Open Creative")</f>
        <v>Open Creative</v>
      </c>
      <c r="L2705" s="6" t="s">
        <v>131</v>
      </c>
      <c r="M2705" s="6" t="s">
        <v>7537</v>
      </c>
      <c r="N2705" s="6" t="s">
        <v>132</v>
      </c>
      <c r="O2705" s="36" t="s">
        <v>132</v>
      </c>
      <c r="P2705" s="36">
        <v>1.412598426E9</v>
      </c>
      <c r="Q2705" s="36" t="s">
        <v>7541</v>
      </c>
      <c r="R2705" s="6" t="s">
        <v>7542</v>
      </c>
    </row>
    <row r="2706">
      <c r="A2706" s="6" t="s">
        <v>7537</v>
      </c>
      <c r="B2706" s="6" t="s">
        <v>7537</v>
      </c>
      <c r="C2706" s="6">
        <v>1097.0</v>
      </c>
      <c r="D2706" s="9" t="str">
        <f>HYPERLINK("https://www.linkedin.com/ad-library/detail/1412658406","Open Ad")</f>
        <v>Open Ad</v>
      </c>
      <c r="E2706" s="6" t="s">
        <v>91</v>
      </c>
      <c r="F2706" s="6" t="s">
        <v>53</v>
      </c>
      <c r="G2706" s="6" t="s">
        <v>7588</v>
      </c>
      <c r="H2706" s="6" t="s">
        <v>55</v>
      </c>
      <c r="I2706" s="6" t="s">
        <v>7566</v>
      </c>
      <c r="J2706" s="6" t="s">
        <v>91</v>
      </c>
      <c r="K2706" s="9" t="str">
        <f>HYPERLINK("https://media.licdn.com/dms/image/v2/D4E10AQEqECWLz8eLfg/image-shrink_1280/B4EZ3UsZ.CGkAc-/0/1777389904287?e=2147483647&amp;v=beta&amp;t=0Mbfqk_hLfichGIBXrMjoO2DeoHez5SeK866pI13xWU","Open Creative")</f>
        <v>Open Creative</v>
      </c>
      <c r="L2706" s="6" t="s">
        <v>131</v>
      </c>
      <c r="M2706" s="6" t="s">
        <v>7537</v>
      </c>
      <c r="N2706" s="6" t="s">
        <v>132</v>
      </c>
      <c r="O2706" s="36" t="s">
        <v>132</v>
      </c>
      <c r="P2706" s="36">
        <v>1.412658406E9</v>
      </c>
      <c r="Q2706" s="36" t="s">
        <v>7541</v>
      </c>
      <c r="R2706" s="6" t="s">
        <v>7542</v>
      </c>
    </row>
    <row r="2707">
      <c r="A2707" s="6" t="s">
        <v>7537</v>
      </c>
      <c r="B2707" s="6" t="s">
        <v>7537</v>
      </c>
      <c r="C2707" s="6">
        <v>1098.0</v>
      </c>
      <c r="D2707" s="9" t="str">
        <f>HYPERLINK("https://www.linkedin.com/ad-library/detail/1413141036","Open Ad")</f>
        <v>Open Ad</v>
      </c>
      <c r="E2707" s="6" t="s">
        <v>91</v>
      </c>
      <c r="F2707" s="6" t="s">
        <v>53</v>
      </c>
      <c r="G2707" s="6" t="s">
        <v>7597</v>
      </c>
      <c r="H2707" s="6" t="s">
        <v>55</v>
      </c>
      <c r="I2707" s="6" t="s">
        <v>7566</v>
      </c>
      <c r="J2707" s="6" t="s">
        <v>91</v>
      </c>
      <c r="K2707" s="9" t="str">
        <f>HYPERLINK("https://media.licdn.com/dms/image/v2/D5610AQHwfvEneIqQpg/image-shrink_1280/B56Z3WDTp1G0Ac-/0/1777412684628/Ad9png?e=2147483647&amp;v=beta&amp;t=aYxtFLgpOksdc2sW2JhFfLdBL1lU2G76XPJ-90sIZlk","Open Creative")</f>
        <v>Open Creative</v>
      </c>
      <c r="L2707" s="6" t="s">
        <v>131</v>
      </c>
      <c r="M2707" s="6" t="s">
        <v>7537</v>
      </c>
      <c r="N2707" s="6" t="s">
        <v>132</v>
      </c>
      <c r="O2707" s="36" t="s">
        <v>132</v>
      </c>
      <c r="P2707" s="36">
        <v>1.413141036E9</v>
      </c>
      <c r="Q2707" s="36" t="s">
        <v>7541</v>
      </c>
      <c r="R2707" s="6" t="s">
        <v>7542</v>
      </c>
    </row>
    <row r="2708">
      <c r="A2708" s="6" t="s">
        <v>7537</v>
      </c>
      <c r="B2708" s="6" t="s">
        <v>7537</v>
      </c>
      <c r="C2708" s="6">
        <v>1099.0</v>
      </c>
      <c r="D2708" s="9" t="str">
        <f>HYPERLINK("https://www.linkedin.com/ad-library/detail/1307917384","Open Ad")</f>
        <v>Open Ad</v>
      </c>
      <c r="E2708" s="6" t="s">
        <v>91</v>
      </c>
      <c r="F2708" s="6" t="s">
        <v>53</v>
      </c>
      <c r="G2708" s="6" t="s">
        <v>7618</v>
      </c>
      <c r="H2708" s="6" t="s">
        <v>55</v>
      </c>
      <c r="I2708" s="6" t="s">
        <v>7566</v>
      </c>
      <c r="J2708" s="6" t="s">
        <v>91</v>
      </c>
      <c r="K2708" s="9" t="str">
        <f>HYPERLINK("https://media.licdn.com/dms/image/v2/D4E22AQGUgWvCy3EsCA/feedshare-image-high-res/B4EZ5MfammIIAU-/0/1779399764662?e=2147483647&amp;v=beta&amp;t=RDqRNBrhkZWz3rWfPv8WhtKpVkgRrzMA6KFe_K4nRWM","Open Creative")</f>
        <v>Open Creative</v>
      </c>
      <c r="L2708" s="6" t="s">
        <v>131</v>
      </c>
      <c r="M2708" s="6" t="s">
        <v>7537</v>
      </c>
      <c r="N2708" s="6" t="s">
        <v>132</v>
      </c>
      <c r="O2708" s="36" t="s">
        <v>132</v>
      </c>
      <c r="P2708" s="36">
        <v>1.307917384E9</v>
      </c>
      <c r="Q2708" s="36" t="s">
        <v>7541</v>
      </c>
      <c r="R2708" s="6" t="s">
        <v>7542</v>
      </c>
    </row>
    <row r="2709">
      <c r="A2709" s="6" t="s">
        <v>7537</v>
      </c>
      <c r="B2709" s="6" t="s">
        <v>7537</v>
      </c>
      <c r="C2709" s="6">
        <v>1100.0</v>
      </c>
      <c r="D2709" s="9" t="str">
        <f>HYPERLINK("https://www.linkedin.com/ad-library/detail/1412608306","Open Ad")</f>
        <v>Open Ad</v>
      </c>
      <c r="E2709" s="6" t="s">
        <v>91</v>
      </c>
      <c r="F2709" s="6" t="s">
        <v>53</v>
      </c>
      <c r="G2709" s="6" t="s">
        <v>7750</v>
      </c>
      <c r="H2709" s="6" t="s">
        <v>55</v>
      </c>
      <c r="I2709" s="6" t="s">
        <v>7566</v>
      </c>
      <c r="J2709" s="6" t="s">
        <v>91</v>
      </c>
      <c r="K2709" s="9" t="str">
        <f>HYPERLINK("https://media.licdn.com/dms/image/v2/D4E10AQFu8KZz_7vc0g/image-shrink_1280/B4EZ4EWOD4JsAc-/0/1778189395117?e=2147483647&amp;v=beta&amp;t=MFHh8ZziJJ66eADx3_Yp_sCjThDVa31duNVTpQCBmRg","Open Creative")</f>
        <v>Open Creative</v>
      </c>
      <c r="L2709" s="6" t="s">
        <v>131</v>
      </c>
      <c r="M2709" s="6" t="s">
        <v>7537</v>
      </c>
      <c r="N2709" s="6" t="s">
        <v>7751</v>
      </c>
      <c r="O2709" s="36" t="s">
        <v>67</v>
      </c>
      <c r="P2709" s="36">
        <v>1.412608306E9</v>
      </c>
      <c r="Q2709" s="36" t="s">
        <v>7541</v>
      </c>
      <c r="R2709" s="6" t="s">
        <v>7542</v>
      </c>
    </row>
    <row r="2710">
      <c r="A2710" s="6" t="s">
        <v>7537</v>
      </c>
      <c r="B2710" s="6" t="s">
        <v>7537</v>
      </c>
      <c r="C2710" s="6">
        <v>1101.0</v>
      </c>
      <c r="D2710" s="9" t="str">
        <f>HYPERLINK("https://www.linkedin.com/ad-library/detail/1412675366","Open Ad")</f>
        <v>Open Ad</v>
      </c>
      <c r="E2710" s="6" t="s">
        <v>154</v>
      </c>
      <c r="F2710" s="6" t="s">
        <v>53</v>
      </c>
      <c r="G2710" s="6" t="s">
        <v>7752</v>
      </c>
      <c r="H2710" s="6" t="s">
        <v>55</v>
      </c>
      <c r="I2710" s="6" t="s">
        <v>7566</v>
      </c>
      <c r="J2710" s="6" t="s">
        <v>154</v>
      </c>
      <c r="K2710" s="9" t="str">
        <f>HYPERLINK("https://dms.licdn.com/playlist/vid/v2/D4E10AQHUrI2j9Xlm-g/mp4-360p-30fp-crf28/B4EZ3gCy9GHUBc-/0/1777580327951?e=2147483647&amp;v=beta&amp;t=o0Yf6I3v44oAb3XWlcouRtGT8_n1n1Q3iyFdqJ3i4ew","Open Creative")</f>
        <v>Open Creative</v>
      </c>
      <c r="L2710" s="6" t="s">
        <v>131</v>
      </c>
      <c r="M2710" s="6" t="s">
        <v>7537</v>
      </c>
      <c r="N2710" s="6" t="s">
        <v>132</v>
      </c>
      <c r="O2710" s="36" t="s">
        <v>132</v>
      </c>
      <c r="P2710" s="36">
        <v>1.412675366E9</v>
      </c>
      <c r="Q2710" s="36" t="s">
        <v>7541</v>
      </c>
      <c r="R2710" s="6" t="s">
        <v>7542</v>
      </c>
    </row>
    <row r="2711">
      <c r="A2711" s="6" t="s">
        <v>7537</v>
      </c>
      <c r="B2711" s="6" t="s">
        <v>7537</v>
      </c>
      <c r="C2711" s="6">
        <v>1102.0</v>
      </c>
      <c r="D2711" s="9" t="str">
        <f>HYPERLINK("https://www.linkedin.com/ad-library/detail/1415853476","Open Ad")</f>
        <v>Open Ad</v>
      </c>
      <c r="E2711" s="6" t="s">
        <v>91</v>
      </c>
      <c r="F2711" s="6" t="s">
        <v>53</v>
      </c>
      <c r="G2711" s="6" t="s">
        <v>7726</v>
      </c>
      <c r="H2711" s="6" t="s">
        <v>55</v>
      </c>
      <c r="I2711" s="6" t="s">
        <v>7566</v>
      </c>
      <c r="J2711" s="6" t="s">
        <v>91</v>
      </c>
      <c r="K2711" s="6" t="s">
        <v>60</v>
      </c>
      <c r="L2711" s="6" t="s">
        <v>131</v>
      </c>
      <c r="M2711" s="6" t="s">
        <v>7537</v>
      </c>
      <c r="N2711" s="6" t="s">
        <v>132</v>
      </c>
      <c r="O2711" s="36" t="s">
        <v>132</v>
      </c>
      <c r="P2711" s="36">
        <v>1.415853476E9</v>
      </c>
      <c r="Q2711" s="36" t="s">
        <v>7541</v>
      </c>
      <c r="R2711" s="6" t="s">
        <v>7542</v>
      </c>
    </row>
    <row r="2712">
      <c r="A2712" s="6" t="s">
        <v>7537</v>
      </c>
      <c r="B2712" s="6" t="s">
        <v>7537</v>
      </c>
      <c r="C2712" s="6">
        <v>1103.0</v>
      </c>
      <c r="D2712" s="9" t="str">
        <f>HYPERLINK("https://www.linkedin.com/ad-library/detail/1415873446","Open Ad")</f>
        <v>Open Ad</v>
      </c>
      <c r="E2712" s="6" t="s">
        <v>91</v>
      </c>
      <c r="F2712" s="6" t="s">
        <v>53</v>
      </c>
      <c r="G2712" s="6" t="s">
        <v>7725</v>
      </c>
      <c r="H2712" s="6" t="s">
        <v>55</v>
      </c>
      <c r="I2712" s="6" t="s">
        <v>7566</v>
      </c>
      <c r="J2712" s="6" t="s">
        <v>91</v>
      </c>
      <c r="K2712" s="6" t="s">
        <v>60</v>
      </c>
      <c r="L2712" s="6" t="s">
        <v>131</v>
      </c>
      <c r="M2712" s="6" t="s">
        <v>7537</v>
      </c>
      <c r="N2712" s="6" t="s">
        <v>132</v>
      </c>
      <c r="O2712" s="36" t="s">
        <v>132</v>
      </c>
      <c r="P2712" s="36">
        <v>1.415873446E9</v>
      </c>
      <c r="Q2712" s="36" t="s">
        <v>7541</v>
      </c>
      <c r="R2712" s="6" t="s">
        <v>7542</v>
      </c>
    </row>
    <row r="2713">
      <c r="A2713" s="6" t="s">
        <v>7537</v>
      </c>
      <c r="B2713" s="6" t="s">
        <v>7537</v>
      </c>
      <c r="C2713" s="6">
        <v>1104.0</v>
      </c>
      <c r="D2713" s="9" t="str">
        <f>HYPERLINK("https://www.linkedin.com/ad-library/detail/1412675336","Open Ad")</f>
        <v>Open Ad</v>
      </c>
      <c r="E2713" s="6" t="s">
        <v>154</v>
      </c>
      <c r="F2713" s="6" t="s">
        <v>53</v>
      </c>
      <c r="G2713" s="6" t="s">
        <v>7640</v>
      </c>
      <c r="H2713" s="6" t="s">
        <v>55</v>
      </c>
      <c r="I2713" s="6" t="s">
        <v>7566</v>
      </c>
      <c r="J2713" s="6" t="s">
        <v>154</v>
      </c>
      <c r="K2713" s="9" t="str">
        <f>HYPERLINK("https://dms.licdn.com/playlist/vid/v2/D4E05AQEZIBMQ5dvMiw/mp4-640p-30fp-crf28/B4EZq7fWtpGcB0-/0/1764082160741?e=2147483647&amp;v=beta&amp;t=XFL1jBqfg-_iulKKPx99xtiUuPTR1oKXosCHSzSTLSs","Open Creative")</f>
        <v>Open Creative</v>
      </c>
      <c r="L2713" s="6" t="s">
        <v>131</v>
      </c>
      <c r="M2713" s="6" t="s">
        <v>7537</v>
      </c>
      <c r="N2713" s="6" t="s">
        <v>7753</v>
      </c>
      <c r="O2713" s="36" t="s">
        <v>1713</v>
      </c>
      <c r="P2713" s="36">
        <v>1.412675336E9</v>
      </c>
      <c r="Q2713" s="36" t="s">
        <v>7541</v>
      </c>
      <c r="R2713" s="6" t="s">
        <v>7542</v>
      </c>
    </row>
    <row r="2714">
      <c r="A2714" s="6" t="s">
        <v>7537</v>
      </c>
      <c r="B2714" s="6" t="s">
        <v>7537</v>
      </c>
      <c r="C2714" s="6">
        <v>1105.0</v>
      </c>
      <c r="D2714" s="9" t="str">
        <f>HYPERLINK("https://www.linkedin.com/ad-library/detail/1411519656","Open Ad")</f>
        <v>Open Ad</v>
      </c>
      <c r="E2714" s="6" t="s">
        <v>91</v>
      </c>
      <c r="F2714" s="6" t="s">
        <v>53</v>
      </c>
      <c r="G2714" s="6" t="s">
        <v>7754</v>
      </c>
      <c r="H2714" s="6" t="s">
        <v>55</v>
      </c>
      <c r="I2714" s="6" t="s">
        <v>7566</v>
      </c>
      <c r="J2714" s="6" t="s">
        <v>91</v>
      </c>
      <c r="K2714" s="9" t="str">
        <f t="shared" ref="K2714:K2715" si="114">HYPERLINK("https://media.licdn.com/dms/image/v2/D4E10AQH2PAwG3WpztQ/image-shrink_1280/B4EZ484HvnG8Ac-/0/1779137805700?e=2147483647&amp;v=beta&amp;t=pGqFJJO6RwNSFk17_p855nqFqUjYy3-1ppvlx9nvguI","Open Creative")</f>
        <v>Open Creative</v>
      </c>
      <c r="L2714" s="6" t="s">
        <v>131</v>
      </c>
      <c r="M2714" s="6" t="s">
        <v>7537</v>
      </c>
      <c r="N2714" s="6" t="s">
        <v>132</v>
      </c>
      <c r="O2714" s="36" t="s">
        <v>132</v>
      </c>
      <c r="P2714" s="36">
        <v>1.411519656E9</v>
      </c>
      <c r="Q2714" s="36" t="s">
        <v>7541</v>
      </c>
      <c r="R2714" s="6" t="s">
        <v>7542</v>
      </c>
    </row>
    <row r="2715">
      <c r="A2715" s="6" t="s">
        <v>7537</v>
      </c>
      <c r="B2715" s="6" t="s">
        <v>7537</v>
      </c>
      <c r="C2715" s="6">
        <v>1106.0</v>
      </c>
      <c r="D2715" s="9" t="str">
        <f>HYPERLINK("https://www.linkedin.com/ad-library/detail/1411548636","Open Ad")</f>
        <v>Open Ad</v>
      </c>
      <c r="E2715" s="6" t="s">
        <v>91</v>
      </c>
      <c r="F2715" s="6" t="s">
        <v>53</v>
      </c>
      <c r="G2715" s="6" t="s">
        <v>7754</v>
      </c>
      <c r="H2715" s="6" t="s">
        <v>55</v>
      </c>
      <c r="I2715" s="6" t="s">
        <v>7566</v>
      </c>
      <c r="J2715" s="6" t="s">
        <v>91</v>
      </c>
      <c r="K2715" s="9" t="str">
        <f t="shared" si="114"/>
        <v>Open Creative</v>
      </c>
      <c r="L2715" s="6" t="s">
        <v>131</v>
      </c>
      <c r="M2715" s="6" t="s">
        <v>7537</v>
      </c>
      <c r="N2715" s="6" t="s">
        <v>132</v>
      </c>
      <c r="O2715" s="36" t="s">
        <v>132</v>
      </c>
      <c r="P2715" s="36">
        <v>1.411548636E9</v>
      </c>
      <c r="Q2715" s="36" t="s">
        <v>7541</v>
      </c>
      <c r="R2715" s="6" t="s">
        <v>7542</v>
      </c>
    </row>
    <row r="2716">
      <c r="A2716" s="6" t="s">
        <v>7537</v>
      </c>
      <c r="B2716" s="6" t="s">
        <v>7537</v>
      </c>
      <c r="C2716" s="6">
        <v>1107.0</v>
      </c>
      <c r="D2716" s="9" t="str">
        <f>HYPERLINK("https://www.linkedin.com/ad-library/detail/1411715956","Open Ad")</f>
        <v>Open Ad</v>
      </c>
      <c r="E2716" s="6" t="s">
        <v>91</v>
      </c>
      <c r="F2716" s="6" t="s">
        <v>53</v>
      </c>
      <c r="G2716" s="6" t="s">
        <v>7755</v>
      </c>
      <c r="H2716" s="6" t="s">
        <v>55</v>
      </c>
      <c r="I2716" s="6" t="s">
        <v>7566</v>
      </c>
      <c r="J2716" s="6" t="s">
        <v>91</v>
      </c>
      <c r="K2716" s="9" t="str">
        <f>HYPERLINK("https://media.licdn.com/dms/image/v2/D4E10AQHO-Mixcdp73g/image-shrink_1280/B4EZ483.HpJEAc-/0/1779137766258?e=2147483647&amp;v=beta&amp;t=cMEn_VXDnO5UPXzYpF0GGukQKEXgrOl1vSr793sCZtw","Open Creative")</f>
        <v>Open Creative</v>
      </c>
      <c r="L2716" s="6" t="s">
        <v>131</v>
      </c>
      <c r="M2716" s="6" t="s">
        <v>7537</v>
      </c>
      <c r="N2716" s="6" t="s">
        <v>132</v>
      </c>
      <c r="O2716" s="36" t="s">
        <v>132</v>
      </c>
      <c r="P2716" s="36">
        <v>1.411715956E9</v>
      </c>
      <c r="Q2716" s="36" t="s">
        <v>7541</v>
      </c>
      <c r="R2716" s="6" t="s">
        <v>7542</v>
      </c>
    </row>
    <row r="2717">
      <c r="A2717" s="6" t="s">
        <v>7537</v>
      </c>
      <c r="B2717" s="6" t="s">
        <v>7537</v>
      </c>
      <c r="C2717" s="6">
        <v>1108.0</v>
      </c>
      <c r="D2717" s="9" t="str">
        <f>HYPERLINK("https://www.linkedin.com/ad-library/detail/1408923276","Open Ad")</f>
        <v>Open Ad</v>
      </c>
      <c r="E2717" s="6" t="s">
        <v>154</v>
      </c>
      <c r="F2717" s="6" t="s">
        <v>53</v>
      </c>
      <c r="G2717" s="6" t="s">
        <v>7756</v>
      </c>
      <c r="H2717" s="6" t="s">
        <v>55</v>
      </c>
      <c r="I2717" s="6" t="s">
        <v>7566</v>
      </c>
      <c r="J2717" s="6" t="s">
        <v>154</v>
      </c>
      <c r="K2717" s="9" t="str">
        <f>HYPERLINK("https://dms.licdn.com/playlist/vid/v2/D4E10AQGjGISKu4gVew/mp4-720p-30fp-crf28/B4EZ4imKVhKkBo-/0/1778696894361?e=2147483647&amp;v=beta&amp;t=K4OxFqMN6aCp2ezZswmS8szByQ6IKvCyOo6xiWdgT3Y","Open Creative")</f>
        <v>Open Creative</v>
      </c>
      <c r="L2717" s="6" t="s">
        <v>131</v>
      </c>
      <c r="M2717" s="6" t="s">
        <v>7537</v>
      </c>
      <c r="N2717" s="6" t="s">
        <v>132</v>
      </c>
      <c r="O2717" s="36" t="s">
        <v>132</v>
      </c>
      <c r="P2717" s="36">
        <v>1.408923276E9</v>
      </c>
      <c r="Q2717" s="36" t="s">
        <v>7541</v>
      </c>
      <c r="R2717" s="6" t="s">
        <v>7542</v>
      </c>
    </row>
    <row r="2718">
      <c r="A2718" s="6" t="s">
        <v>7537</v>
      </c>
      <c r="B2718" s="6" t="s">
        <v>7537</v>
      </c>
      <c r="C2718" s="6">
        <v>1109.0</v>
      </c>
      <c r="D2718" s="9" t="str">
        <f>HYPERLINK("https://www.linkedin.com/ad-library/detail/1410800376","Open Ad")</f>
        <v>Open Ad</v>
      </c>
      <c r="E2718" s="6" t="s">
        <v>91</v>
      </c>
      <c r="F2718" s="6" t="s">
        <v>53</v>
      </c>
      <c r="G2718" s="6" t="s">
        <v>7597</v>
      </c>
      <c r="H2718" s="6" t="s">
        <v>55</v>
      </c>
      <c r="I2718" s="6" t="s">
        <v>7566</v>
      </c>
      <c r="J2718" s="6" t="s">
        <v>91</v>
      </c>
      <c r="K2718" s="9" t="str">
        <f>HYPERLINK("https://media.licdn.com/dms/image/v2/D5610AQGMVMBywOZTRA/image-shrink_1280/B56Z3WD4I4GsAc-/0/1777412834072/Ad11png?e=2147483647&amp;v=beta&amp;t=wEwvt57CmhCwh8mjwxDAOwifwJjctZBli8J_4VPqXQ0","Open Creative")</f>
        <v>Open Creative</v>
      </c>
      <c r="L2718" s="6" t="s">
        <v>131</v>
      </c>
      <c r="M2718" s="6" t="s">
        <v>7537</v>
      </c>
      <c r="N2718" s="6" t="s">
        <v>132</v>
      </c>
      <c r="O2718" s="36" t="s">
        <v>132</v>
      </c>
      <c r="P2718" s="36">
        <v>1.410800376E9</v>
      </c>
      <c r="Q2718" s="36" t="s">
        <v>7541</v>
      </c>
      <c r="R2718" s="6" t="s">
        <v>7542</v>
      </c>
    </row>
    <row r="2719">
      <c r="A2719" s="6" t="s">
        <v>7537</v>
      </c>
      <c r="B2719" s="6" t="s">
        <v>7537</v>
      </c>
      <c r="C2719" s="6">
        <v>1110.0</v>
      </c>
      <c r="D2719" s="9" t="str">
        <f>HYPERLINK("https://www.linkedin.com/ad-library/detail/1411678056","Open Ad")</f>
        <v>Open Ad</v>
      </c>
      <c r="E2719" s="6" t="s">
        <v>91</v>
      </c>
      <c r="F2719" s="6" t="s">
        <v>53</v>
      </c>
      <c r="G2719" s="6" t="s">
        <v>7754</v>
      </c>
      <c r="H2719" s="6" t="s">
        <v>55</v>
      </c>
      <c r="I2719" s="6" t="s">
        <v>7566</v>
      </c>
      <c r="J2719" s="6" t="s">
        <v>91</v>
      </c>
      <c r="K2719" s="9" t="str">
        <f>HYPERLINK("https://media.licdn.com/dms/image/v2/D4E10AQH2PAwG3WpztQ/image-shrink_1280/B4EZ484HvnG8Ac-/0/1779137805700?e=2147483647&amp;v=beta&amp;t=pGqFJJO6RwNSFk17_p855nqFqUjYy3-1ppvlx9nvguI","Open Creative")</f>
        <v>Open Creative</v>
      </c>
      <c r="L2719" s="6" t="s">
        <v>131</v>
      </c>
      <c r="M2719" s="6" t="s">
        <v>7537</v>
      </c>
      <c r="N2719" s="6" t="s">
        <v>132</v>
      </c>
      <c r="O2719" s="36" t="s">
        <v>132</v>
      </c>
      <c r="P2719" s="36">
        <v>1.411678056E9</v>
      </c>
      <c r="Q2719" s="36" t="s">
        <v>7541</v>
      </c>
      <c r="R2719" s="6" t="s">
        <v>7542</v>
      </c>
    </row>
    <row r="2720">
      <c r="A2720" s="6" t="s">
        <v>7537</v>
      </c>
      <c r="B2720" s="6" t="s">
        <v>7537</v>
      </c>
      <c r="C2720" s="6">
        <v>1111.0</v>
      </c>
      <c r="D2720" s="9" t="str">
        <f>HYPERLINK("https://www.linkedin.com/ad-library/detail/1410950326","Open Ad")</f>
        <v>Open Ad</v>
      </c>
      <c r="E2720" s="6" t="s">
        <v>91</v>
      </c>
      <c r="F2720" s="6" t="s">
        <v>53</v>
      </c>
      <c r="G2720" s="6" t="s">
        <v>7597</v>
      </c>
      <c r="H2720" s="6" t="s">
        <v>55</v>
      </c>
      <c r="I2720" s="6" t="s">
        <v>7566</v>
      </c>
      <c r="J2720" s="6" t="s">
        <v>91</v>
      </c>
      <c r="K2720" s="9" t="str">
        <f>HYPERLINK("https://media.licdn.com/dms/image/v2/D5610AQGMVMBywOZTRA/image-shrink_1280/B56Z3WD4I4GsAc-/0/1777412834072/Ad11png?e=2147483647&amp;v=beta&amp;t=wEwvt57CmhCwh8mjwxDAOwifwJjctZBli8J_4VPqXQ0","Open Creative")</f>
        <v>Open Creative</v>
      </c>
      <c r="L2720" s="6" t="s">
        <v>131</v>
      </c>
      <c r="M2720" s="6" t="s">
        <v>7537</v>
      </c>
      <c r="N2720" s="6" t="s">
        <v>132</v>
      </c>
      <c r="O2720" s="36" t="s">
        <v>132</v>
      </c>
      <c r="P2720" s="36">
        <v>1.410950326E9</v>
      </c>
      <c r="Q2720" s="36" t="s">
        <v>7541</v>
      </c>
      <c r="R2720" s="6" t="s">
        <v>7542</v>
      </c>
    </row>
    <row r="2721">
      <c r="A2721" s="6" t="s">
        <v>7537</v>
      </c>
      <c r="B2721" s="6" t="s">
        <v>7537</v>
      </c>
      <c r="C2721" s="6">
        <v>1112.0</v>
      </c>
      <c r="D2721" s="9" t="str">
        <f>HYPERLINK("https://www.linkedin.com/ad-library/detail/1411587656","Open Ad")</f>
        <v>Open Ad</v>
      </c>
      <c r="E2721" s="6" t="s">
        <v>91</v>
      </c>
      <c r="F2721" s="6" t="s">
        <v>53</v>
      </c>
      <c r="G2721" s="6" t="s">
        <v>7749</v>
      </c>
      <c r="H2721" s="6" t="s">
        <v>55</v>
      </c>
      <c r="I2721" s="6" t="s">
        <v>7566</v>
      </c>
      <c r="J2721" s="6" t="s">
        <v>91</v>
      </c>
      <c r="K2721" s="9" t="str">
        <f>HYPERLINK("https://media.licdn.com/dms/image/v2/D4E10AQHDXlmtjKyj5A/image-shrink_1280/B4EZ5AZvOOIIAk-/0/1779196950051?e=2147483647&amp;v=beta&amp;t=Vhm01rhLWWhvjCaJa2tuncQmcHCNQWpm2nfup_kGCoQ","Open Creative")</f>
        <v>Open Creative</v>
      </c>
      <c r="L2721" s="6" t="s">
        <v>131</v>
      </c>
      <c r="M2721" s="6" t="s">
        <v>7537</v>
      </c>
      <c r="N2721" s="6" t="s">
        <v>132</v>
      </c>
      <c r="O2721" s="36" t="s">
        <v>132</v>
      </c>
      <c r="P2721" s="36">
        <v>1.411587656E9</v>
      </c>
      <c r="Q2721" s="36" t="s">
        <v>7541</v>
      </c>
      <c r="R2721" s="6" t="s">
        <v>7542</v>
      </c>
    </row>
    <row r="2722">
      <c r="A2722" s="6" t="s">
        <v>7537</v>
      </c>
      <c r="B2722" s="6" t="s">
        <v>7537</v>
      </c>
      <c r="C2722" s="6">
        <v>1113.0</v>
      </c>
      <c r="D2722" s="9" t="str">
        <f>HYPERLINK("https://www.linkedin.com/ad-library/detail/1411627716","Open Ad")</f>
        <v>Open Ad</v>
      </c>
      <c r="E2722" s="6" t="s">
        <v>91</v>
      </c>
      <c r="F2722" s="6" t="s">
        <v>53</v>
      </c>
      <c r="G2722" s="6" t="s">
        <v>7755</v>
      </c>
      <c r="H2722" s="6" t="s">
        <v>55</v>
      </c>
      <c r="I2722" s="6" t="s">
        <v>7566</v>
      </c>
      <c r="J2722" s="6" t="s">
        <v>91</v>
      </c>
      <c r="K2722" s="9" t="str">
        <f>HYPERLINK("https://media.licdn.com/dms/image/v2/D4E10AQHO-Mixcdp73g/image-shrink_1280/B4EZ483.HpJEAc-/0/1779137766258?e=2147483647&amp;v=beta&amp;t=cMEn_VXDnO5UPXzYpF0GGukQKEXgrOl1vSr793sCZtw","Open Creative")</f>
        <v>Open Creative</v>
      </c>
      <c r="L2722" s="6" t="s">
        <v>131</v>
      </c>
      <c r="M2722" s="6" t="s">
        <v>7537</v>
      </c>
      <c r="N2722" s="6" t="s">
        <v>132</v>
      </c>
      <c r="O2722" s="36" t="s">
        <v>132</v>
      </c>
      <c r="P2722" s="36">
        <v>1.411627716E9</v>
      </c>
      <c r="Q2722" s="36" t="s">
        <v>7541</v>
      </c>
      <c r="R2722" s="6" t="s">
        <v>7542</v>
      </c>
    </row>
    <row r="2723">
      <c r="A2723" s="6" t="s">
        <v>7537</v>
      </c>
      <c r="B2723" s="6" t="s">
        <v>7537</v>
      </c>
      <c r="C2723" s="6">
        <v>1114.0</v>
      </c>
      <c r="D2723" s="9" t="str">
        <f>HYPERLINK("https://www.linkedin.com/ad-library/detail/1298590214","Open Ad")</f>
        <v>Open Ad</v>
      </c>
      <c r="E2723" s="6" t="s">
        <v>91</v>
      </c>
      <c r="F2723" s="6" t="s">
        <v>53</v>
      </c>
      <c r="G2723" s="6" t="s">
        <v>7620</v>
      </c>
      <c r="H2723" s="6" t="s">
        <v>55</v>
      </c>
      <c r="I2723" s="6" t="s">
        <v>7566</v>
      </c>
      <c r="J2723" s="6" t="s">
        <v>91</v>
      </c>
      <c r="K2723" s="9" t="str">
        <f>HYPERLINK("https://media.licdn.com/dms/image/v2/D4E22AQGpcCW171s7XQ/feedshare-image-high-res/B4EZ48NEUUKQAU-/0/1779126519344?e=2147483647&amp;v=beta&amp;t=qtKlxqfofONgIfGH2M0a_hcnI2zE1Cnk944xMnVrZkY","Open Creative")</f>
        <v>Open Creative</v>
      </c>
      <c r="L2723" s="6" t="s">
        <v>131</v>
      </c>
      <c r="M2723" s="6" t="s">
        <v>7537</v>
      </c>
      <c r="N2723" s="6" t="s">
        <v>132</v>
      </c>
      <c r="O2723" s="36" t="s">
        <v>132</v>
      </c>
      <c r="P2723" s="36">
        <v>1.298590214E9</v>
      </c>
      <c r="Q2723" s="36" t="s">
        <v>7541</v>
      </c>
      <c r="R2723" s="6" t="s">
        <v>7542</v>
      </c>
    </row>
    <row r="2724">
      <c r="A2724" s="6" t="s">
        <v>7537</v>
      </c>
      <c r="B2724" s="6" t="s">
        <v>7537</v>
      </c>
      <c r="C2724" s="6">
        <v>1115.0</v>
      </c>
      <c r="D2724" s="9" t="str">
        <f>HYPERLINK("https://www.linkedin.com/ad-library/detail/1411678066","Open Ad")</f>
        <v>Open Ad</v>
      </c>
      <c r="E2724" s="6" t="s">
        <v>91</v>
      </c>
      <c r="F2724" s="6" t="s">
        <v>53</v>
      </c>
      <c r="G2724" s="6" t="s">
        <v>7754</v>
      </c>
      <c r="H2724" s="6" t="s">
        <v>55</v>
      </c>
      <c r="I2724" s="6" t="s">
        <v>7566</v>
      </c>
      <c r="J2724" s="6" t="s">
        <v>91</v>
      </c>
      <c r="K2724" s="9" t="str">
        <f>HYPERLINK("https://media.licdn.com/dms/image/v2/D4E10AQH2PAwG3WpztQ/image-shrink_1280/B4EZ484HvnG8Ac-/0/1779137805700?e=2147483647&amp;v=beta&amp;t=pGqFJJO6RwNSFk17_p855nqFqUjYy3-1ppvlx9nvguI","Open Creative")</f>
        <v>Open Creative</v>
      </c>
      <c r="L2724" s="6" t="s">
        <v>131</v>
      </c>
      <c r="M2724" s="6" t="s">
        <v>7537</v>
      </c>
      <c r="N2724" s="6" t="s">
        <v>132</v>
      </c>
      <c r="O2724" s="36" t="s">
        <v>132</v>
      </c>
      <c r="P2724" s="36">
        <v>1.411678066E9</v>
      </c>
      <c r="Q2724" s="36" t="s">
        <v>7541</v>
      </c>
      <c r="R2724" s="6" t="s">
        <v>7542</v>
      </c>
    </row>
    <row r="2725">
      <c r="A2725" s="6" t="s">
        <v>7537</v>
      </c>
      <c r="B2725" s="6" t="s">
        <v>7537</v>
      </c>
      <c r="C2725" s="6">
        <v>1116.0</v>
      </c>
      <c r="D2725" s="9" t="str">
        <f>HYPERLINK("https://www.linkedin.com/ad-library/detail/1411750776","Open Ad")</f>
        <v>Open Ad</v>
      </c>
      <c r="E2725" s="6" t="s">
        <v>91</v>
      </c>
      <c r="F2725" s="6" t="s">
        <v>53</v>
      </c>
      <c r="G2725" s="6" t="s">
        <v>7749</v>
      </c>
      <c r="H2725" s="6" t="s">
        <v>55</v>
      </c>
      <c r="I2725" s="6" t="s">
        <v>7566</v>
      </c>
      <c r="J2725" s="6" t="s">
        <v>91</v>
      </c>
      <c r="K2725" s="9" t="str">
        <f>HYPERLINK("https://media.licdn.com/dms/image/v2/D4E10AQHDXlmtjKyj5A/image-shrink_1280/B4EZ5AZvOOIIAk-/0/1779196950051?e=2147483647&amp;v=beta&amp;t=Vhm01rhLWWhvjCaJa2tuncQmcHCNQWpm2nfup_kGCoQ","Open Creative")</f>
        <v>Open Creative</v>
      </c>
      <c r="L2725" s="6" t="s">
        <v>131</v>
      </c>
      <c r="M2725" s="6" t="s">
        <v>7537</v>
      </c>
      <c r="N2725" s="6" t="s">
        <v>132</v>
      </c>
      <c r="O2725" s="36" t="s">
        <v>132</v>
      </c>
      <c r="P2725" s="36">
        <v>1.411750776E9</v>
      </c>
      <c r="Q2725" s="36" t="s">
        <v>7541</v>
      </c>
      <c r="R2725" s="6" t="s">
        <v>7542</v>
      </c>
    </row>
    <row r="2726">
      <c r="A2726" s="6" t="s">
        <v>7537</v>
      </c>
      <c r="B2726" s="6" t="s">
        <v>7537</v>
      </c>
      <c r="C2726" s="6">
        <v>1117.0</v>
      </c>
      <c r="D2726" s="9" t="str">
        <f>HYPERLINK("https://www.linkedin.com/ad-library/detail/1411743146","Open Ad")</f>
        <v>Open Ad</v>
      </c>
      <c r="E2726" s="6" t="s">
        <v>91</v>
      </c>
      <c r="F2726" s="6" t="s">
        <v>53</v>
      </c>
      <c r="G2726" s="6" t="s">
        <v>7754</v>
      </c>
      <c r="H2726" s="6" t="s">
        <v>55</v>
      </c>
      <c r="I2726" s="6" t="s">
        <v>7566</v>
      </c>
      <c r="J2726" s="6" t="s">
        <v>91</v>
      </c>
      <c r="K2726" s="9" t="str">
        <f>HYPERLINK("https://media.licdn.com/dms/image/v2/D4E10AQH2PAwG3WpztQ/image-shrink_1280/B4EZ484HvnG8Ac-/0/1779137805700?e=2147483647&amp;v=beta&amp;t=pGqFJJO6RwNSFk17_p855nqFqUjYy3-1ppvlx9nvguI","Open Creative")</f>
        <v>Open Creative</v>
      </c>
      <c r="L2726" s="6" t="s">
        <v>131</v>
      </c>
      <c r="M2726" s="6" t="s">
        <v>7537</v>
      </c>
      <c r="N2726" s="6" t="s">
        <v>132</v>
      </c>
      <c r="O2726" s="36" t="s">
        <v>132</v>
      </c>
      <c r="P2726" s="36">
        <v>1.411743146E9</v>
      </c>
      <c r="Q2726" s="36" t="s">
        <v>7541</v>
      </c>
      <c r="R2726" s="6" t="s">
        <v>7542</v>
      </c>
    </row>
    <row r="2727">
      <c r="A2727" s="6" t="s">
        <v>7537</v>
      </c>
      <c r="B2727" s="6" t="s">
        <v>7537</v>
      </c>
      <c r="C2727" s="6">
        <v>1118.0</v>
      </c>
      <c r="D2727" s="9" t="str">
        <f>HYPERLINK("https://www.linkedin.com/ad-library/detail/1411638236","Open Ad")</f>
        <v>Open Ad</v>
      </c>
      <c r="E2727" s="6" t="s">
        <v>91</v>
      </c>
      <c r="F2727" s="6" t="s">
        <v>53</v>
      </c>
      <c r="G2727" s="6" t="s">
        <v>7755</v>
      </c>
      <c r="H2727" s="6" t="s">
        <v>55</v>
      </c>
      <c r="I2727" s="6" t="s">
        <v>7566</v>
      </c>
      <c r="J2727" s="6" t="s">
        <v>91</v>
      </c>
      <c r="K2727" s="9" t="str">
        <f>HYPERLINK("https://media.licdn.com/dms/image/v2/D4E10AQHO-Mixcdp73g/image-shrink_1280/B4EZ483.HpJEAc-/0/1779137766258?e=2147483647&amp;v=beta&amp;t=cMEn_VXDnO5UPXzYpF0GGukQKEXgrOl1vSr793sCZtw","Open Creative")</f>
        <v>Open Creative</v>
      </c>
      <c r="L2727" s="6" t="s">
        <v>131</v>
      </c>
      <c r="M2727" s="6" t="s">
        <v>7537</v>
      </c>
      <c r="N2727" s="6" t="s">
        <v>132</v>
      </c>
      <c r="O2727" s="36" t="s">
        <v>132</v>
      </c>
      <c r="P2727" s="36">
        <v>1.411638236E9</v>
      </c>
      <c r="Q2727" s="36" t="s">
        <v>7541</v>
      </c>
      <c r="R2727" s="6" t="s">
        <v>7542</v>
      </c>
    </row>
    <row r="2728">
      <c r="A2728" s="6" t="s">
        <v>7537</v>
      </c>
      <c r="B2728" s="6" t="s">
        <v>7537</v>
      </c>
      <c r="C2728" s="6">
        <v>1119.0</v>
      </c>
      <c r="D2728" s="9" t="str">
        <f>HYPERLINK("https://www.linkedin.com/ad-library/detail/1410750556","Open Ad")</f>
        <v>Open Ad</v>
      </c>
      <c r="E2728" s="6" t="s">
        <v>91</v>
      </c>
      <c r="F2728" s="6" t="s">
        <v>53</v>
      </c>
      <c r="G2728" s="6" t="s">
        <v>7597</v>
      </c>
      <c r="H2728" s="6" t="s">
        <v>55</v>
      </c>
      <c r="I2728" s="6" t="s">
        <v>7566</v>
      </c>
      <c r="J2728" s="6" t="s">
        <v>91</v>
      </c>
      <c r="K2728" s="9" t="str">
        <f>HYPERLINK("https://media.licdn.com/dms/image/v2/D5610AQHwfvEneIqQpg/image-shrink_1280/B56Z3WDTp1G0Ac-/0/1777412684628/Ad9png?e=2147483647&amp;v=beta&amp;t=aYxtFLgpOksdc2sW2JhFfLdBL1lU2G76XPJ-90sIZlk","Open Creative")</f>
        <v>Open Creative</v>
      </c>
      <c r="L2728" s="6" t="s">
        <v>131</v>
      </c>
      <c r="M2728" s="6" t="s">
        <v>7537</v>
      </c>
      <c r="N2728" s="6" t="s">
        <v>132</v>
      </c>
      <c r="O2728" s="36" t="s">
        <v>132</v>
      </c>
      <c r="P2728" s="36">
        <v>1.410750556E9</v>
      </c>
      <c r="Q2728" s="36" t="s">
        <v>7541</v>
      </c>
      <c r="R2728" s="6" t="s">
        <v>7542</v>
      </c>
    </row>
    <row r="2729">
      <c r="A2729" s="6" t="s">
        <v>7537</v>
      </c>
      <c r="B2729" s="6" t="s">
        <v>7537</v>
      </c>
      <c r="C2729" s="6">
        <v>1120.0</v>
      </c>
      <c r="D2729" s="9" t="str">
        <f>HYPERLINK("https://www.linkedin.com/ad-library/detail/1410750546","Open Ad")</f>
        <v>Open Ad</v>
      </c>
      <c r="E2729" s="6" t="s">
        <v>91</v>
      </c>
      <c r="F2729" s="6" t="s">
        <v>53</v>
      </c>
      <c r="G2729" s="6" t="s">
        <v>7597</v>
      </c>
      <c r="H2729" s="6" t="s">
        <v>55</v>
      </c>
      <c r="I2729" s="6" t="s">
        <v>7566</v>
      </c>
      <c r="J2729" s="6" t="s">
        <v>91</v>
      </c>
      <c r="K2729" s="9" t="str">
        <f>HYPERLINK("https://media.licdn.com/dms/image/v2/D5610AQGMVMBywOZTRA/image-shrink_1280/B56Z3WD4I4GsAc-/0/1777412834072/Ad11png?e=2147483647&amp;v=beta&amp;t=wEwvt57CmhCwh8mjwxDAOwifwJjctZBli8J_4VPqXQ0","Open Creative")</f>
        <v>Open Creative</v>
      </c>
      <c r="L2729" s="6" t="s">
        <v>131</v>
      </c>
      <c r="M2729" s="6" t="s">
        <v>7537</v>
      </c>
      <c r="N2729" s="6" t="s">
        <v>132</v>
      </c>
      <c r="O2729" s="36" t="s">
        <v>132</v>
      </c>
      <c r="P2729" s="36">
        <v>1.410750546E9</v>
      </c>
      <c r="Q2729" s="36" t="s">
        <v>7541</v>
      </c>
      <c r="R2729" s="6" t="s">
        <v>7542</v>
      </c>
    </row>
    <row r="2730">
      <c r="A2730" s="6" t="s">
        <v>7537</v>
      </c>
      <c r="B2730" s="6" t="s">
        <v>7537</v>
      </c>
      <c r="C2730" s="6">
        <v>1121.0</v>
      </c>
      <c r="D2730" s="9" t="str">
        <f>HYPERLINK("https://www.linkedin.com/ad-library/detail/1411578746","Open Ad")</f>
        <v>Open Ad</v>
      </c>
      <c r="E2730" s="6" t="s">
        <v>91</v>
      </c>
      <c r="F2730" s="6" t="s">
        <v>53</v>
      </c>
      <c r="G2730" s="6" t="s">
        <v>7754</v>
      </c>
      <c r="H2730" s="6" t="s">
        <v>55</v>
      </c>
      <c r="I2730" s="6" t="s">
        <v>7566</v>
      </c>
      <c r="J2730" s="6" t="s">
        <v>91</v>
      </c>
      <c r="K2730" s="9" t="str">
        <f>HYPERLINK("https://media.licdn.com/dms/image/v2/D4E10AQH2PAwG3WpztQ/image-shrink_1280/B4EZ484HvnG8Ac-/0/1779137805700?e=2147483647&amp;v=beta&amp;t=pGqFJJO6RwNSFk17_p855nqFqUjYy3-1ppvlx9nvguI","Open Creative")</f>
        <v>Open Creative</v>
      </c>
      <c r="L2730" s="6" t="s">
        <v>131</v>
      </c>
      <c r="M2730" s="6" t="s">
        <v>7537</v>
      </c>
      <c r="N2730" s="6" t="s">
        <v>132</v>
      </c>
      <c r="O2730" s="36" t="s">
        <v>132</v>
      </c>
      <c r="P2730" s="36">
        <v>1.411578746E9</v>
      </c>
      <c r="Q2730" s="36" t="s">
        <v>7541</v>
      </c>
      <c r="R2730" s="6" t="s">
        <v>7542</v>
      </c>
    </row>
    <row r="2731">
      <c r="A2731" s="6" t="s">
        <v>7537</v>
      </c>
      <c r="B2731" s="6" t="s">
        <v>7537</v>
      </c>
      <c r="C2731" s="6">
        <v>1122.0</v>
      </c>
      <c r="D2731" s="9" t="str">
        <f>HYPERLINK("https://www.linkedin.com/ad-library/detail/1411706976","Open Ad")</f>
        <v>Open Ad</v>
      </c>
      <c r="E2731" s="6" t="s">
        <v>91</v>
      </c>
      <c r="F2731" s="6" t="s">
        <v>53</v>
      </c>
      <c r="G2731" s="6" t="s">
        <v>7755</v>
      </c>
      <c r="H2731" s="6" t="s">
        <v>55</v>
      </c>
      <c r="I2731" s="6" t="s">
        <v>7566</v>
      </c>
      <c r="J2731" s="6" t="s">
        <v>91</v>
      </c>
      <c r="K2731" s="9" t="str">
        <f>HYPERLINK("https://media.licdn.com/dms/image/v2/D4E10AQHO-Mixcdp73g/image-shrink_1280/B4EZ483.HpJEAc-/0/1779137766258?e=2147483647&amp;v=beta&amp;t=cMEn_VXDnO5UPXzYpF0GGukQKEXgrOl1vSr793sCZtw","Open Creative")</f>
        <v>Open Creative</v>
      </c>
      <c r="L2731" s="6" t="s">
        <v>131</v>
      </c>
      <c r="M2731" s="6" t="s">
        <v>7537</v>
      </c>
      <c r="N2731" s="6" t="s">
        <v>132</v>
      </c>
      <c r="O2731" s="36" t="s">
        <v>132</v>
      </c>
      <c r="P2731" s="36">
        <v>1.411706976E9</v>
      </c>
      <c r="Q2731" s="36" t="s">
        <v>7541</v>
      </c>
      <c r="R2731" s="6" t="s">
        <v>7542</v>
      </c>
    </row>
    <row r="2732">
      <c r="A2732" s="6" t="s">
        <v>7537</v>
      </c>
      <c r="B2732" s="6" t="s">
        <v>7537</v>
      </c>
      <c r="C2732" s="6">
        <v>1123.0</v>
      </c>
      <c r="D2732" s="9" t="str">
        <f>HYPERLINK("https://www.linkedin.com/ad-library/detail/1411597986","Open Ad")</f>
        <v>Open Ad</v>
      </c>
      <c r="E2732" s="6" t="s">
        <v>91</v>
      </c>
      <c r="F2732" s="6" t="s">
        <v>53</v>
      </c>
      <c r="G2732" s="6" t="s">
        <v>7749</v>
      </c>
      <c r="H2732" s="6" t="s">
        <v>55</v>
      </c>
      <c r="I2732" s="6" t="s">
        <v>7566</v>
      </c>
      <c r="J2732" s="6" t="s">
        <v>91</v>
      </c>
      <c r="K2732" s="9" t="str">
        <f>HYPERLINK("https://media.licdn.com/dms/image/v2/D4E10AQHDXlmtjKyj5A/image-shrink_1280/B4EZ5AZvOOIIAk-/0/1779196950051?e=2147483647&amp;v=beta&amp;t=Vhm01rhLWWhvjCaJa2tuncQmcHCNQWpm2nfup_kGCoQ","Open Creative")</f>
        <v>Open Creative</v>
      </c>
      <c r="L2732" s="6" t="s">
        <v>131</v>
      </c>
      <c r="M2732" s="6" t="s">
        <v>7537</v>
      </c>
      <c r="N2732" s="6" t="s">
        <v>132</v>
      </c>
      <c r="O2732" s="36" t="s">
        <v>132</v>
      </c>
      <c r="P2732" s="36">
        <v>1.411597986E9</v>
      </c>
      <c r="Q2732" s="36" t="s">
        <v>7541</v>
      </c>
      <c r="R2732" s="6" t="s">
        <v>7542</v>
      </c>
    </row>
    <row r="2733">
      <c r="A2733" s="6" t="s">
        <v>7537</v>
      </c>
      <c r="B2733" s="6" t="s">
        <v>7537</v>
      </c>
      <c r="C2733" s="6">
        <v>1124.0</v>
      </c>
      <c r="D2733" s="9" t="str">
        <f>HYPERLINK("https://www.linkedin.com/ad-library/detail/1411558186","Open Ad")</f>
        <v>Open Ad</v>
      </c>
      <c r="E2733" s="6" t="s">
        <v>91</v>
      </c>
      <c r="F2733" s="6" t="s">
        <v>53</v>
      </c>
      <c r="G2733" s="6" t="s">
        <v>7755</v>
      </c>
      <c r="H2733" s="6" t="s">
        <v>55</v>
      </c>
      <c r="I2733" s="6" t="s">
        <v>7566</v>
      </c>
      <c r="J2733" s="6" t="s">
        <v>91</v>
      </c>
      <c r="K2733" s="9" t="str">
        <f>HYPERLINK("https://media.licdn.com/dms/image/v2/D4E10AQHO-Mixcdp73g/image-shrink_1280/B4EZ483.HpJEAc-/0/1779137766258?e=2147483647&amp;v=beta&amp;t=cMEn_VXDnO5UPXzYpF0GGukQKEXgrOl1vSr793sCZtw","Open Creative")</f>
        <v>Open Creative</v>
      </c>
      <c r="L2733" s="6" t="s">
        <v>131</v>
      </c>
      <c r="M2733" s="6" t="s">
        <v>7537</v>
      </c>
      <c r="N2733" s="6" t="s">
        <v>132</v>
      </c>
      <c r="O2733" s="36" t="s">
        <v>132</v>
      </c>
      <c r="P2733" s="36">
        <v>1.411558186E9</v>
      </c>
      <c r="Q2733" s="36" t="s">
        <v>7541</v>
      </c>
      <c r="R2733" s="6" t="s">
        <v>7542</v>
      </c>
    </row>
    <row r="2734">
      <c r="A2734" s="6" t="s">
        <v>7537</v>
      </c>
      <c r="B2734" s="6" t="s">
        <v>7537</v>
      </c>
      <c r="C2734" s="6">
        <v>1125.0</v>
      </c>
      <c r="D2734" s="9" t="str">
        <f>HYPERLINK("https://www.linkedin.com/ad-library/detail/1298289964","Open Ad")</f>
        <v>Open Ad</v>
      </c>
      <c r="E2734" s="6" t="s">
        <v>91</v>
      </c>
      <c r="F2734" s="6" t="s">
        <v>53</v>
      </c>
      <c r="G2734" s="6" t="s">
        <v>7620</v>
      </c>
      <c r="H2734" s="6" t="s">
        <v>55</v>
      </c>
      <c r="I2734" s="6" t="s">
        <v>7566</v>
      </c>
      <c r="J2734" s="6" t="s">
        <v>91</v>
      </c>
      <c r="K2734" s="9" t="str">
        <f>HYPERLINK("https://media.licdn.com/dms/image/v2/D4E22AQGpcCW171s7XQ/feedshare-image-high-res/B4EZ48NEUUKQAU-/0/1779126519344?e=2147483647&amp;v=beta&amp;t=qtKlxqfofONgIfGH2M0a_hcnI2zE1Cnk944xMnVrZkY","Open Creative")</f>
        <v>Open Creative</v>
      </c>
      <c r="L2734" s="6" t="s">
        <v>131</v>
      </c>
      <c r="M2734" s="6" t="s">
        <v>7537</v>
      </c>
      <c r="N2734" s="6" t="s">
        <v>132</v>
      </c>
      <c r="O2734" s="36" t="s">
        <v>132</v>
      </c>
      <c r="P2734" s="36">
        <v>1.298289964E9</v>
      </c>
      <c r="Q2734" s="36" t="s">
        <v>7541</v>
      </c>
      <c r="R2734" s="6" t="s">
        <v>7542</v>
      </c>
    </row>
    <row r="2735">
      <c r="A2735" s="6" t="s">
        <v>7537</v>
      </c>
      <c r="B2735" s="6" t="s">
        <v>7537</v>
      </c>
      <c r="C2735" s="6">
        <v>1126.0</v>
      </c>
      <c r="D2735" s="9" t="str">
        <f>HYPERLINK("https://www.linkedin.com/ad-library/detail/1410830216","Open Ad")</f>
        <v>Open Ad</v>
      </c>
      <c r="E2735" s="6" t="s">
        <v>91</v>
      </c>
      <c r="F2735" s="6" t="s">
        <v>53</v>
      </c>
      <c r="G2735" s="6" t="s">
        <v>7597</v>
      </c>
      <c r="H2735" s="6" t="s">
        <v>55</v>
      </c>
      <c r="I2735" s="6" t="s">
        <v>7566</v>
      </c>
      <c r="J2735" s="6" t="s">
        <v>91</v>
      </c>
      <c r="K2735" s="9" t="str">
        <f>HYPERLINK("https://media.licdn.com/dms/image/v2/D5610AQHwfvEneIqQpg/image-shrink_1280/B56Z3WDTp1G0Ac-/0/1777412684628/Ad9png?e=2147483647&amp;v=beta&amp;t=aYxtFLgpOksdc2sW2JhFfLdBL1lU2G76XPJ-90sIZlk","Open Creative")</f>
        <v>Open Creative</v>
      </c>
      <c r="L2735" s="6" t="s">
        <v>131</v>
      </c>
      <c r="M2735" s="6" t="s">
        <v>7537</v>
      </c>
      <c r="N2735" s="6" t="s">
        <v>132</v>
      </c>
      <c r="O2735" s="36" t="s">
        <v>132</v>
      </c>
      <c r="P2735" s="36">
        <v>1.410830216E9</v>
      </c>
      <c r="Q2735" s="36" t="s">
        <v>7541</v>
      </c>
      <c r="R2735" s="6" t="s">
        <v>7542</v>
      </c>
    </row>
    <row r="2736">
      <c r="A2736" s="6" t="s">
        <v>7537</v>
      </c>
      <c r="B2736" s="6" t="s">
        <v>7537</v>
      </c>
      <c r="C2736" s="6">
        <v>1127.0</v>
      </c>
      <c r="D2736" s="9" t="str">
        <f>HYPERLINK("https://www.linkedin.com/ad-library/detail/1411578486","Open Ad")</f>
        <v>Open Ad</v>
      </c>
      <c r="E2736" s="6" t="s">
        <v>91</v>
      </c>
      <c r="F2736" s="6" t="s">
        <v>53</v>
      </c>
      <c r="G2736" s="6" t="s">
        <v>7755</v>
      </c>
      <c r="H2736" s="6" t="s">
        <v>55</v>
      </c>
      <c r="I2736" s="6" t="s">
        <v>7566</v>
      </c>
      <c r="J2736" s="6" t="s">
        <v>91</v>
      </c>
      <c r="K2736" s="9" t="str">
        <f>HYPERLINK("https://media.licdn.com/dms/image/v2/D4E10AQHO-Mixcdp73g/image-shrink_1280/B4EZ483.HpJEAc-/0/1779137766258?e=2147483647&amp;v=beta&amp;t=cMEn_VXDnO5UPXzYpF0GGukQKEXgrOl1vSr793sCZtw","Open Creative")</f>
        <v>Open Creative</v>
      </c>
      <c r="L2736" s="6" t="s">
        <v>131</v>
      </c>
      <c r="M2736" s="6" t="s">
        <v>7537</v>
      </c>
      <c r="N2736" s="6" t="s">
        <v>132</v>
      </c>
      <c r="O2736" s="36" t="s">
        <v>132</v>
      </c>
      <c r="P2736" s="36">
        <v>1.411578486E9</v>
      </c>
      <c r="Q2736" s="36" t="s">
        <v>7541</v>
      </c>
      <c r="R2736" s="6" t="s">
        <v>7542</v>
      </c>
    </row>
    <row r="2737">
      <c r="A2737" s="6" t="s">
        <v>7537</v>
      </c>
      <c r="B2737" s="6" t="s">
        <v>7537</v>
      </c>
      <c r="C2737" s="6">
        <v>1128.0</v>
      </c>
      <c r="D2737" s="9" t="str">
        <f>HYPERLINK("https://www.linkedin.com/ad-library/detail/1410920276","Open Ad")</f>
        <v>Open Ad</v>
      </c>
      <c r="E2737" s="6" t="s">
        <v>91</v>
      </c>
      <c r="F2737" s="6" t="s">
        <v>53</v>
      </c>
      <c r="G2737" s="6" t="s">
        <v>7597</v>
      </c>
      <c r="H2737" s="6" t="s">
        <v>55</v>
      </c>
      <c r="I2737" s="6" t="s">
        <v>7566</v>
      </c>
      <c r="J2737" s="6" t="s">
        <v>91</v>
      </c>
      <c r="K2737" s="9" t="str">
        <f>HYPERLINK("https://media.licdn.com/dms/image/v2/D5610AQGMVMBywOZTRA/image-shrink_1280/B56Z3WD4I4GsAc-/0/1777412834072/Ad11png?e=2147483647&amp;v=beta&amp;t=wEwvt57CmhCwh8mjwxDAOwifwJjctZBli8J_4VPqXQ0","Open Creative")</f>
        <v>Open Creative</v>
      </c>
      <c r="L2737" s="6" t="s">
        <v>131</v>
      </c>
      <c r="M2737" s="6" t="s">
        <v>7537</v>
      </c>
      <c r="N2737" s="6" t="s">
        <v>132</v>
      </c>
      <c r="O2737" s="36" t="s">
        <v>132</v>
      </c>
      <c r="P2737" s="36">
        <v>1.410920276E9</v>
      </c>
      <c r="Q2737" s="36" t="s">
        <v>7541</v>
      </c>
      <c r="R2737" s="6" t="s">
        <v>7542</v>
      </c>
    </row>
    <row r="2738">
      <c r="A2738" s="6" t="s">
        <v>7537</v>
      </c>
      <c r="B2738" s="6" t="s">
        <v>7537</v>
      </c>
      <c r="C2738" s="6">
        <v>1129.0</v>
      </c>
      <c r="D2738" s="9" t="str">
        <f>HYPERLINK("https://www.linkedin.com/ad-library/detail/1408863236","Open Ad")</f>
        <v>Open Ad</v>
      </c>
      <c r="E2738" s="6" t="s">
        <v>154</v>
      </c>
      <c r="F2738" s="6" t="s">
        <v>53</v>
      </c>
      <c r="G2738" s="6" t="s">
        <v>7756</v>
      </c>
      <c r="H2738" s="6" t="s">
        <v>55</v>
      </c>
      <c r="I2738" s="6" t="s">
        <v>7566</v>
      </c>
      <c r="J2738" s="6" t="s">
        <v>154</v>
      </c>
      <c r="K2738" s="9" t="str">
        <f>HYPERLINK("https://dms.licdn.com/playlist/vid/v2/D4E10AQGjGISKu4gVew/mp4-720p-30fp-crf28/B4EZ4imKVhKkBo-/0/1778696894361?e=2147483647&amp;v=beta&amp;t=K4OxFqMN6aCp2ezZswmS8szByQ6IKvCyOo6xiWdgT3Y","Open Creative")</f>
        <v>Open Creative</v>
      </c>
      <c r="L2738" s="6" t="s">
        <v>131</v>
      </c>
      <c r="M2738" s="6" t="s">
        <v>7537</v>
      </c>
      <c r="N2738" s="6" t="s">
        <v>132</v>
      </c>
      <c r="O2738" s="36" t="s">
        <v>132</v>
      </c>
      <c r="P2738" s="36">
        <v>1.408863236E9</v>
      </c>
      <c r="Q2738" s="36" t="s">
        <v>7541</v>
      </c>
      <c r="R2738" s="6" t="s">
        <v>7542</v>
      </c>
    </row>
    <row r="2739">
      <c r="A2739" s="6" t="s">
        <v>7537</v>
      </c>
      <c r="B2739" s="6" t="s">
        <v>7537</v>
      </c>
      <c r="C2739" s="6">
        <v>1130.0</v>
      </c>
      <c r="D2739" s="9" t="str">
        <f>HYPERLINK("https://www.linkedin.com/ad-library/detail/1408943136","Open Ad")</f>
        <v>Open Ad</v>
      </c>
      <c r="E2739" s="6" t="s">
        <v>91</v>
      </c>
      <c r="F2739" s="6" t="s">
        <v>53</v>
      </c>
      <c r="G2739" s="6" t="s">
        <v>7757</v>
      </c>
      <c r="H2739" s="6" t="s">
        <v>55</v>
      </c>
      <c r="I2739" s="6" t="s">
        <v>7566</v>
      </c>
      <c r="J2739" s="6" t="s">
        <v>91</v>
      </c>
      <c r="K2739" s="9" t="str">
        <f>HYPERLINK("https://media.licdn.com/dms/image/v2/D4E22AQEQFx2gWKEzqw/feedshare-shrink_1280/B4EZ4mvVZWKgAM-/0/1778766403519?e=2147483647&amp;v=beta&amp;t=paHpE8wb74Dwbe8caaokUOFdcadDEjXQFKkt1x8dXg4","Open Creative")</f>
        <v>Open Creative</v>
      </c>
      <c r="L2739" s="6" t="s">
        <v>131</v>
      </c>
      <c r="M2739" s="6" t="s">
        <v>7537</v>
      </c>
      <c r="N2739" s="6" t="s">
        <v>132</v>
      </c>
      <c r="O2739" s="36" t="s">
        <v>132</v>
      </c>
      <c r="P2739" s="36">
        <v>1.408943136E9</v>
      </c>
      <c r="Q2739" s="36" t="s">
        <v>7541</v>
      </c>
      <c r="R2739" s="6" t="s">
        <v>7542</v>
      </c>
    </row>
    <row r="2740">
      <c r="A2740" s="6" t="s">
        <v>7537</v>
      </c>
      <c r="B2740" s="6" t="s">
        <v>7537</v>
      </c>
      <c r="C2740" s="6">
        <v>1131.0</v>
      </c>
      <c r="D2740" s="9" t="str">
        <f>HYPERLINK("https://www.linkedin.com/ad-library/detail/1408706426","Open Ad")</f>
        <v>Open Ad</v>
      </c>
      <c r="E2740" s="6" t="s">
        <v>91</v>
      </c>
      <c r="F2740" s="6" t="s">
        <v>53</v>
      </c>
      <c r="G2740" s="6" t="s">
        <v>7597</v>
      </c>
      <c r="H2740" s="6" t="s">
        <v>55</v>
      </c>
      <c r="I2740" s="6" t="s">
        <v>7566</v>
      </c>
      <c r="J2740" s="6" t="s">
        <v>91</v>
      </c>
      <c r="K2740" s="9" t="str">
        <f>HYPERLINK("https://media.licdn.com/dms/image/v2/D5610AQHboNfHfdoMGg/image-shrink_1280/B56Z39lJVLH4Ag-/0/1778075866691/Ad13png?e=2147483647&amp;v=beta&amp;t=w47eH2aNcVt5nGxpOUSqt9WGlOcn-OqTBTg2vMGSkLA","Open Creative")</f>
        <v>Open Creative</v>
      </c>
      <c r="L2740" s="6" t="s">
        <v>131</v>
      </c>
      <c r="M2740" s="6" t="s">
        <v>7537</v>
      </c>
      <c r="N2740" s="6" t="s">
        <v>132</v>
      </c>
      <c r="O2740" s="36" t="s">
        <v>132</v>
      </c>
      <c r="P2740" s="36">
        <v>1.408706426E9</v>
      </c>
      <c r="Q2740" s="36" t="s">
        <v>7541</v>
      </c>
      <c r="R2740" s="6" t="s">
        <v>7542</v>
      </c>
    </row>
    <row r="2741">
      <c r="A2741" s="6" t="s">
        <v>7537</v>
      </c>
      <c r="B2741" s="6" t="s">
        <v>7537</v>
      </c>
      <c r="C2741" s="6">
        <v>1132.0</v>
      </c>
      <c r="D2741" s="9" t="str">
        <f>HYPERLINK("https://www.linkedin.com/ad-library/detail/1408706436","Open Ad")</f>
        <v>Open Ad</v>
      </c>
      <c r="E2741" s="6" t="s">
        <v>91</v>
      </c>
      <c r="F2741" s="6" t="s">
        <v>53</v>
      </c>
      <c r="G2741" s="6" t="s">
        <v>7597</v>
      </c>
      <c r="H2741" s="6" t="s">
        <v>55</v>
      </c>
      <c r="I2741" s="6" t="s">
        <v>7566</v>
      </c>
      <c r="J2741" s="6" t="s">
        <v>91</v>
      </c>
      <c r="K2741" s="9" t="str">
        <f>HYPERLINK("https://media.licdn.com/dms/image/v2/D5610AQGMVMBywOZTRA/image-shrink_1280/B56Z3WD4I4GsAc-/0/1777412834072/Ad11png?e=2147483647&amp;v=beta&amp;t=wEwvt57CmhCwh8mjwxDAOwifwJjctZBli8J_4VPqXQ0","Open Creative")</f>
        <v>Open Creative</v>
      </c>
      <c r="L2741" s="6" t="s">
        <v>131</v>
      </c>
      <c r="M2741" s="6" t="s">
        <v>7537</v>
      </c>
      <c r="N2741" s="6" t="s">
        <v>132</v>
      </c>
      <c r="O2741" s="36" t="s">
        <v>132</v>
      </c>
      <c r="P2741" s="36">
        <v>1.408706436E9</v>
      </c>
      <c r="Q2741" s="36" t="s">
        <v>7541</v>
      </c>
      <c r="R2741" s="6" t="s">
        <v>7542</v>
      </c>
    </row>
    <row r="2742">
      <c r="A2742" s="6" t="s">
        <v>7537</v>
      </c>
      <c r="B2742" s="6" t="s">
        <v>7537</v>
      </c>
      <c r="C2742" s="6">
        <v>1133.0</v>
      </c>
      <c r="D2742" s="9" t="str">
        <f>HYPERLINK("https://www.linkedin.com/ad-library/detail/1408871966","Open Ad")</f>
        <v>Open Ad</v>
      </c>
      <c r="E2742" s="6" t="s">
        <v>91</v>
      </c>
      <c r="F2742" s="6" t="s">
        <v>53</v>
      </c>
      <c r="G2742" s="6" t="s">
        <v>7745</v>
      </c>
      <c r="H2742" s="6" t="s">
        <v>55</v>
      </c>
      <c r="I2742" s="6" t="s">
        <v>7566</v>
      </c>
      <c r="J2742" s="6" t="s">
        <v>91</v>
      </c>
      <c r="K2742" s="9" t="str">
        <f t="shared" ref="K2742:K2743" si="115">HYPERLINK("https://media.licdn.com/dms/image/v2/D4E10AQFxOL9nLqs70A/image-shrink_1280/B4EZ4ianU2HQAc-/0/1778693863094?e=2147483647&amp;v=beta&amp;t=Kek_CvI7J64DQujymdrphqZ0971IksfKM8-LPcA7u1g","Open Creative")</f>
        <v>Open Creative</v>
      </c>
      <c r="L2742" s="6" t="s">
        <v>131</v>
      </c>
      <c r="M2742" s="6" t="s">
        <v>7537</v>
      </c>
      <c r="N2742" s="6" t="s">
        <v>132</v>
      </c>
      <c r="O2742" s="36" t="s">
        <v>132</v>
      </c>
      <c r="P2742" s="36">
        <v>1.408871966E9</v>
      </c>
      <c r="Q2742" s="36" t="s">
        <v>7541</v>
      </c>
      <c r="R2742" s="6" t="s">
        <v>7542</v>
      </c>
    </row>
    <row r="2743">
      <c r="A2743" s="6" t="s">
        <v>7537</v>
      </c>
      <c r="B2743" s="6" t="s">
        <v>7537</v>
      </c>
      <c r="C2743" s="6">
        <v>1134.0</v>
      </c>
      <c r="D2743" s="9" t="str">
        <f>HYPERLINK("https://www.linkedin.com/ad-library/detail/1408812036","Open Ad")</f>
        <v>Open Ad</v>
      </c>
      <c r="E2743" s="6" t="s">
        <v>91</v>
      </c>
      <c r="F2743" s="6" t="s">
        <v>53</v>
      </c>
      <c r="G2743" s="6" t="s">
        <v>7745</v>
      </c>
      <c r="H2743" s="6" t="s">
        <v>55</v>
      </c>
      <c r="I2743" s="6" t="s">
        <v>7566</v>
      </c>
      <c r="J2743" s="6" t="s">
        <v>91</v>
      </c>
      <c r="K2743" s="9" t="str">
        <f t="shared" si="115"/>
        <v>Open Creative</v>
      </c>
      <c r="L2743" s="6" t="s">
        <v>131</v>
      </c>
      <c r="M2743" s="6" t="s">
        <v>7537</v>
      </c>
      <c r="N2743" s="6" t="s">
        <v>132</v>
      </c>
      <c r="O2743" s="36" t="s">
        <v>132</v>
      </c>
      <c r="P2743" s="36">
        <v>1.408812036E9</v>
      </c>
      <c r="Q2743" s="36" t="s">
        <v>7541</v>
      </c>
      <c r="R2743" s="6" t="s">
        <v>7542</v>
      </c>
    </row>
    <row r="2744">
      <c r="A2744" s="6" t="s">
        <v>7537</v>
      </c>
      <c r="B2744" s="6" t="s">
        <v>7537</v>
      </c>
      <c r="C2744" s="6">
        <v>1135.0</v>
      </c>
      <c r="D2744" s="9" t="str">
        <f>HYPERLINK("https://www.linkedin.com/ad-library/detail/1408993206","Open Ad")</f>
        <v>Open Ad</v>
      </c>
      <c r="E2744" s="6" t="s">
        <v>154</v>
      </c>
      <c r="F2744" s="6" t="s">
        <v>53</v>
      </c>
      <c r="G2744" s="6" t="s">
        <v>7756</v>
      </c>
      <c r="H2744" s="6" t="s">
        <v>55</v>
      </c>
      <c r="I2744" s="6" t="s">
        <v>7566</v>
      </c>
      <c r="J2744" s="6" t="s">
        <v>154</v>
      </c>
      <c r="K2744" s="9" t="str">
        <f>HYPERLINK("https://dms.licdn.com/playlist/vid/v2/D4E10AQGjGISKu4gVew/mp4-720p-30fp-crf28/B4EZ4imKVhKkBo-/0/1778696894361?e=2147483647&amp;v=beta&amp;t=K4OxFqMN6aCp2ezZswmS8szByQ6IKvCyOo6xiWdgT3Y","Open Creative")</f>
        <v>Open Creative</v>
      </c>
      <c r="L2744" s="6" t="s">
        <v>131</v>
      </c>
      <c r="M2744" s="6" t="s">
        <v>7537</v>
      </c>
      <c r="N2744" s="6" t="s">
        <v>132</v>
      </c>
      <c r="O2744" s="36" t="s">
        <v>132</v>
      </c>
      <c r="P2744" s="36">
        <v>1.408993206E9</v>
      </c>
      <c r="Q2744" s="36" t="s">
        <v>7541</v>
      </c>
      <c r="R2744" s="6" t="s">
        <v>7542</v>
      </c>
    </row>
    <row r="2745">
      <c r="A2745" s="6" t="s">
        <v>7537</v>
      </c>
      <c r="B2745" s="6" t="s">
        <v>7537</v>
      </c>
      <c r="C2745" s="6">
        <v>1136.0</v>
      </c>
      <c r="D2745" s="9" t="str">
        <f>HYPERLINK("https://www.linkedin.com/ad-library/detail/1408842006","Open Ad")</f>
        <v>Open Ad</v>
      </c>
      <c r="E2745" s="6" t="s">
        <v>91</v>
      </c>
      <c r="F2745" s="6" t="s">
        <v>53</v>
      </c>
      <c r="G2745" s="6" t="s">
        <v>7745</v>
      </c>
      <c r="H2745" s="6" t="s">
        <v>55</v>
      </c>
      <c r="I2745" s="6" t="s">
        <v>7566</v>
      </c>
      <c r="J2745" s="6" t="s">
        <v>91</v>
      </c>
      <c r="K2745" s="9" t="str">
        <f>HYPERLINK("https://media.licdn.com/dms/image/v2/D4E10AQFxOL9nLqs70A/image-shrink_1280/B4EZ4ianU2HQAc-/0/1778693863094?e=2147483647&amp;v=beta&amp;t=Kek_CvI7J64DQujymdrphqZ0971IksfKM8-LPcA7u1g","Open Creative")</f>
        <v>Open Creative</v>
      </c>
      <c r="L2745" s="6" t="s">
        <v>131</v>
      </c>
      <c r="M2745" s="6" t="s">
        <v>7537</v>
      </c>
      <c r="N2745" s="6" t="s">
        <v>132</v>
      </c>
      <c r="O2745" s="36" t="s">
        <v>132</v>
      </c>
      <c r="P2745" s="36">
        <v>1.408842006E9</v>
      </c>
      <c r="Q2745" s="36" t="s">
        <v>7541</v>
      </c>
      <c r="R2745" s="6" t="s">
        <v>7542</v>
      </c>
    </row>
    <row r="2746">
      <c r="A2746" s="6" t="s">
        <v>7537</v>
      </c>
      <c r="B2746" s="6" t="s">
        <v>7537</v>
      </c>
      <c r="C2746" s="6">
        <v>1137.0</v>
      </c>
      <c r="D2746" s="9" t="str">
        <f>HYPERLINK("https://www.linkedin.com/ad-library/detail/1408823646","Open Ad")</f>
        <v>Open Ad</v>
      </c>
      <c r="E2746" s="6" t="s">
        <v>154</v>
      </c>
      <c r="F2746" s="6" t="s">
        <v>53</v>
      </c>
      <c r="G2746" s="6" t="s">
        <v>7756</v>
      </c>
      <c r="H2746" s="6" t="s">
        <v>55</v>
      </c>
      <c r="I2746" s="6" t="s">
        <v>7566</v>
      </c>
      <c r="J2746" s="6" t="s">
        <v>154</v>
      </c>
      <c r="K2746" s="9" t="str">
        <f>HYPERLINK("https://dms.licdn.com/playlist/vid/v2/D4E10AQGjGISKu4gVew/mp4-720p-30fp-crf28/B4EZ4imKVhKkBo-/0/1778696894361?e=2147483647&amp;v=beta&amp;t=K4OxFqMN6aCp2ezZswmS8szByQ6IKvCyOo6xiWdgT3Y","Open Creative")</f>
        <v>Open Creative</v>
      </c>
      <c r="L2746" s="6" t="s">
        <v>131</v>
      </c>
      <c r="M2746" s="6" t="s">
        <v>7537</v>
      </c>
      <c r="N2746" s="6" t="s">
        <v>132</v>
      </c>
      <c r="O2746" s="36" t="s">
        <v>132</v>
      </c>
      <c r="P2746" s="36">
        <v>1.408823646E9</v>
      </c>
      <c r="Q2746" s="36" t="s">
        <v>7541</v>
      </c>
      <c r="R2746" s="6" t="s">
        <v>7542</v>
      </c>
    </row>
    <row r="2747">
      <c r="A2747" s="6" t="s">
        <v>7537</v>
      </c>
      <c r="B2747" s="6" t="s">
        <v>7537</v>
      </c>
      <c r="C2747" s="6">
        <v>1138.0</v>
      </c>
      <c r="D2747" s="9" t="str">
        <f>HYPERLINK("https://www.linkedin.com/ad-library/detail/1408963186","Open Ad")</f>
        <v>Open Ad</v>
      </c>
      <c r="E2747" s="6" t="s">
        <v>91</v>
      </c>
      <c r="F2747" s="6" t="s">
        <v>53</v>
      </c>
      <c r="G2747" s="6" t="s">
        <v>7757</v>
      </c>
      <c r="H2747" s="6" t="s">
        <v>55</v>
      </c>
      <c r="I2747" s="6" t="s">
        <v>7566</v>
      </c>
      <c r="J2747" s="6" t="s">
        <v>91</v>
      </c>
      <c r="K2747" s="9" t="str">
        <f>HYPERLINK("https://media.licdn.com/dms/image/v2/D4E22AQEQFx2gWKEzqw/feedshare-shrink_1280/B4EZ4mvVZWKgAM-/0/1778766403519?e=2147483647&amp;v=beta&amp;t=paHpE8wb74Dwbe8caaokUOFdcadDEjXQFKkt1x8dXg4","Open Creative")</f>
        <v>Open Creative</v>
      </c>
      <c r="L2747" s="6" t="s">
        <v>131</v>
      </c>
      <c r="M2747" s="6" t="s">
        <v>7537</v>
      </c>
      <c r="N2747" s="6" t="s">
        <v>132</v>
      </c>
      <c r="O2747" s="36" t="s">
        <v>132</v>
      </c>
      <c r="P2747" s="36">
        <v>1.408963186E9</v>
      </c>
      <c r="Q2747" s="36" t="s">
        <v>7541</v>
      </c>
      <c r="R2747" s="6" t="s">
        <v>7542</v>
      </c>
    </row>
    <row r="2748">
      <c r="A2748" s="6" t="s">
        <v>7537</v>
      </c>
      <c r="B2748" s="6" t="s">
        <v>7537</v>
      </c>
      <c r="C2748" s="6">
        <v>1139.0</v>
      </c>
      <c r="D2748" s="9" t="str">
        <f>HYPERLINK("https://www.linkedin.com/ad-library/detail/1408852166","Open Ad")</f>
        <v>Open Ad</v>
      </c>
      <c r="E2748" s="6" t="s">
        <v>91</v>
      </c>
      <c r="F2748" s="6" t="s">
        <v>53</v>
      </c>
      <c r="G2748" s="6" t="s">
        <v>7745</v>
      </c>
      <c r="H2748" s="6" t="s">
        <v>55</v>
      </c>
      <c r="I2748" s="6" t="s">
        <v>7566</v>
      </c>
      <c r="J2748" s="6" t="s">
        <v>91</v>
      </c>
      <c r="K2748" s="9" t="str">
        <f>HYPERLINK("https://media.licdn.com/dms/image/v2/D4E10AQFxOL9nLqs70A/image-shrink_1280/B4EZ4ianU2HQAc-/0/1778693863094?e=2147483647&amp;v=beta&amp;t=Kek_CvI7J64DQujymdrphqZ0971IksfKM8-LPcA7u1g","Open Creative")</f>
        <v>Open Creative</v>
      </c>
      <c r="L2748" s="6" t="s">
        <v>131</v>
      </c>
      <c r="M2748" s="6" t="s">
        <v>7537</v>
      </c>
      <c r="N2748" s="6" t="s">
        <v>132</v>
      </c>
      <c r="O2748" s="36" t="s">
        <v>132</v>
      </c>
      <c r="P2748" s="36">
        <v>1.408852166E9</v>
      </c>
      <c r="Q2748" s="36" t="s">
        <v>7541</v>
      </c>
      <c r="R2748" s="6" t="s">
        <v>7542</v>
      </c>
    </row>
    <row r="2749">
      <c r="A2749" s="6" t="s">
        <v>7537</v>
      </c>
      <c r="B2749" s="6" t="s">
        <v>7537</v>
      </c>
      <c r="C2749" s="6">
        <v>1140.0</v>
      </c>
      <c r="D2749" s="9" t="str">
        <f>HYPERLINK("https://www.linkedin.com/ad-library/detail/1408410826","Open Ad")</f>
        <v>Open Ad</v>
      </c>
      <c r="E2749" s="6" t="s">
        <v>91</v>
      </c>
      <c r="F2749" s="6" t="s">
        <v>53</v>
      </c>
      <c r="G2749" s="6" t="s">
        <v>7758</v>
      </c>
      <c r="H2749" s="6" t="s">
        <v>55</v>
      </c>
      <c r="I2749" s="6" t="s">
        <v>7566</v>
      </c>
      <c r="J2749" s="6" t="s">
        <v>91</v>
      </c>
      <c r="K2749" s="9" t="str">
        <f>HYPERLINK("https://media.licdn.com/dms/image/v2/D4E10AQF_Fk0brjoPdQ/image-shrink_1280/B4EZ4Iq9_fHUAc-/0/1778261943357?e=2147483647&amp;v=beta&amp;t=MWh4rs9Tkkq6B1q1NSdd0gIhwtP85MAweNfC5p7gKwQ","Open Creative")</f>
        <v>Open Creative</v>
      </c>
      <c r="L2749" s="6" t="s">
        <v>131</v>
      </c>
      <c r="M2749" s="6" t="s">
        <v>7537</v>
      </c>
      <c r="N2749" s="6" t="s">
        <v>132</v>
      </c>
      <c r="O2749" s="36" t="s">
        <v>132</v>
      </c>
      <c r="P2749" s="36">
        <v>1.408410826E9</v>
      </c>
      <c r="Q2749" s="36" t="s">
        <v>7541</v>
      </c>
      <c r="R2749" s="6" t="s">
        <v>7542</v>
      </c>
    </row>
    <row r="2750">
      <c r="A2750" s="6" t="s">
        <v>7537</v>
      </c>
      <c r="B2750" s="6" t="s">
        <v>7537</v>
      </c>
      <c r="C2750" s="6">
        <v>1141.0</v>
      </c>
      <c r="D2750" s="9" t="str">
        <f>HYPERLINK("https://www.linkedin.com/ad-library/detail/1408598476","Open Ad")</f>
        <v>Open Ad</v>
      </c>
      <c r="E2750" s="6" t="s">
        <v>91</v>
      </c>
      <c r="F2750" s="6" t="s">
        <v>53</v>
      </c>
      <c r="G2750" s="6" t="s">
        <v>7597</v>
      </c>
      <c r="H2750" s="6" t="s">
        <v>55</v>
      </c>
      <c r="I2750" s="6" t="s">
        <v>7566</v>
      </c>
      <c r="J2750" s="6" t="s">
        <v>91</v>
      </c>
      <c r="K2750" s="9" t="str">
        <f>HYPERLINK("https://media.licdn.com/dms/image/v2/D5610AQHwfvEneIqQpg/image-shrink_1280/B56Z3WDTp1G0Ac-/0/1777412684628/Ad9png?e=2147483647&amp;v=beta&amp;t=aYxtFLgpOksdc2sW2JhFfLdBL1lU2G76XPJ-90sIZlk","Open Creative")</f>
        <v>Open Creative</v>
      </c>
      <c r="L2750" s="6" t="s">
        <v>131</v>
      </c>
      <c r="M2750" s="6" t="s">
        <v>7537</v>
      </c>
      <c r="N2750" s="6" t="s">
        <v>132</v>
      </c>
      <c r="O2750" s="36" t="s">
        <v>132</v>
      </c>
      <c r="P2750" s="36">
        <v>1.408598476E9</v>
      </c>
      <c r="Q2750" s="36" t="s">
        <v>7541</v>
      </c>
      <c r="R2750" s="6" t="s">
        <v>7542</v>
      </c>
    </row>
    <row r="2751">
      <c r="A2751" s="6" t="s">
        <v>7537</v>
      </c>
      <c r="B2751" s="6" t="s">
        <v>7537</v>
      </c>
      <c r="C2751" s="6">
        <v>1142.0</v>
      </c>
      <c r="D2751" s="9" t="str">
        <f>HYPERLINK("https://www.linkedin.com/ad-library/detail/1408853176","Open Ad")</f>
        <v>Open Ad</v>
      </c>
      <c r="E2751" s="6" t="s">
        <v>91</v>
      </c>
      <c r="F2751" s="6" t="s">
        <v>53</v>
      </c>
      <c r="G2751" s="6" t="s">
        <v>7757</v>
      </c>
      <c r="H2751" s="6" t="s">
        <v>55</v>
      </c>
      <c r="I2751" s="6" t="s">
        <v>7566</v>
      </c>
      <c r="J2751" s="6" t="s">
        <v>91</v>
      </c>
      <c r="K2751" s="9" t="str">
        <f t="shared" ref="K2751:K2752" si="116">HYPERLINK("https://media.licdn.com/dms/image/v2/D4E22AQEQFx2gWKEzqw/feedshare-shrink_1280/B4EZ4mvVZWKgAM-/0/1778766403519?e=2147483647&amp;v=beta&amp;t=paHpE8wb74Dwbe8caaokUOFdcadDEjXQFKkt1x8dXg4","Open Creative")</f>
        <v>Open Creative</v>
      </c>
      <c r="L2751" s="6" t="s">
        <v>131</v>
      </c>
      <c r="M2751" s="6" t="s">
        <v>7537</v>
      </c>
      <c r="N2751" s="6" t="s">
        <v>132</v>
      </c>
      <c r="O2751" s="36" t="s">
        <v>132</v>
      </c>
      <c r="P2751" s="36">
        <v>1.408853176E9</v>
      </c>
      <c r="Q2751" s="36" t="s">
        <v>7541</v>
      </c>
      <c r="R2751" s="6" t="s">
        <v>7542</v>
      </c>
    </row>
    <row r="2752">
      <c r="A2752" s="6" t="s">
        <v>7537</v>
      </c>
      <c r="B2752" s="6" t="s">
        <v>7537</v>
      </c>
      <c r="C2752" s="6">
        <v>1143.0</v>
      </c>
      <c r="D2752" s="9" t="str">
        <f>HYPERLINK("https://www.linkedin.com/ad-library/detail/1408803336","Open Ad")</f>
        <v>Open Ad</v>
      </c>
      <c r="E2752" s="6" t="s">
        <v>91</v>
      </c>
      <c r="F2752" s="6" t="s">
        <v>53</v>
      </c>
      <c r="G2752" s="6" t="s">
        <v>7757</v>
      </c>
      <c r="H2752" s="6" t="s">
        <v>55</v>
      </c>
      <c r="I2752" s="6" t="s">
        <v>7566</v>
      </c>
      <c r="J2752" s="6" t="s">
        <v>91</v>
      </c>
      <c r="K2752" s="9" t="str">
        <f t="shared" si="116"/>
        <v>Open Creative</v>
      </c>
      <c r="L2752" s="6" t="s">
        <v>131</v>
      </c>
      <c r="M2752" s="6" t="s">
        <v>7537</v>
      </c>
      <c r="N2752" s="6" t="s">
        <v>132</v>
      </c>
      <c r="O2752" s="36" t="s">
        <v>132</v>
      </c>
      <c r="P2752" s="36">
        <v>1.408803336E9</v>
      </c>
      <c r="Q2752" s="36" t="s">
        <v>7541</v>
      </c>
      <c r="R2752" s="6" t="s">
        <v>7542</v>
      </c>
    </row>
    <row r="2753">
      <c r="A2753" s="6" t="s">
        <v>7537</v>
      </c>
      <c r="B2753" s="6" t="s">
        <v>7537</v>
      </c>
      <c r="C2753" s="6">
        <v>1144.0</v>
      </c>
      <c r="D2753" s="9" t="str">
        <f>HYPERLINK("https://www.linkedin.com/ad-library/detail/1408715286","Open Ad")</f>
        <v>Open Ad</v>
      </c>
      <c r="E2753" s="6" t="s">
        <v>91</v>
      </c>
      <c r="F2753" s="6" t="s">
        <v>53</v>
      </c>
      <c r="G2753" s="6" t="s">
        <v>7597</v>
      </c>
      <c r="H2753" s="6" t="s">
        <v>55</v>
      </c>
      <c r="I2753" s="6" t="s">
        <v>7566</v>
      </c>
      <c r="J2753" s="6" t="s">
        <v>91</v>
      </c>
      <c r="K2753" s="9" t="str">
        <f>HYPERLINK("https://media.licdn.com/dms/image/v2/D5610AQEaAP2ePthrkg/image-shrink_1280/B56Z3WEHN.KkAc-/0/1777412895878/Ad12png?e=2147483647&amp;v=beta&amp;t=T2wKzNoxIXKU0UU_eFAjRvI7gkBs3J8l1XJINIpnIvs","Open Creative")</f>
        <v>Open Creative</v>
      </c>
      <c r="L2753" s="6" t="s">
        <v>131</v>
      </c>
      <c r="M2753" s="6" t="s">
        <v>7537</v>
      </c>
      <c r="N2753" s="6" t="s">
        <v>132</v>
      </c>
      <c r="O2753" s="36" t="s">
        <v>132</v>
      </c>
      <c r="P2753" s="36">
        <v>1.408715286E9</v>
      </c>
      <c r="Q2753" s="36" t="s">
        <v>7541</v>
      </c>
      <c r="R2753" s="6" t="s">
        <v>7542</v>
      </c>
    </row>
    <row r="2754">
      <c r="A2754" s="6" t="s">
        <v>7537</v>
      </c>
      <c r="B2754" s="6" t="s">
        <v>7537</v>
      </c>
      <c r="C2754" s="6">
        <v>1145.0</v>
      </c>
      <c r="D2754" s="9" t="str">
        <f>HYPERLINK("https://www.linkedin.com/ad-library/detail/1408852126","Open Ad")</f>
        <v>Open Ad</v>
      </c>
      <c r="E2754" s="6" t="s">
        <v>91</v>
      </c>
      <c r="F2754" s="6" t="s">
        <v>53</v>
      </c>
      <c r="G2754" s="6" t="s">
        <v>7745</v>
      </c>
      <c r="H2754" s="6" t="s">
        <v>55</v>
      </c>
      <c r="I2754" s="6" t="s">
        <v>7566</v>
      </c>
      <c r="J2754" s="6" t="s">
        <v>91</v>
      </c>
      <c r="K2754" s="9" t="str">
        <f t="shared" ref="K2754:K2755" si="117">HYPERLINK("https://media.licdn.com/dms/image/v2/D4E10AQFxOL9nLqs70A/image-shrink_1280/B4EZ4ianU2HQAc-/0/1778693863094?e=2147483647&amp;v=beta&amp;t=Kek_CvI7J64DQujymdrphqZ0971IksfKM8-LPcA7u1g","Open Creative")</f>
        <v>Open Creative</v>
      </c>
      <c r="L2754" s="6" t="s">
        <v>131</v>
      </c>
      <c r="M2754" s="6" t="s">
        <v>7537</v>
      </c>
      <c r="N2754" s="6" t="s">
        <v>132</v>
      </c>
      <c r="O2754" s="36" t="s">
        <v>132</v>
      </c>
      <c r="P2754" s="36">
        <v>1.408852126E9</v>
      </c>
      <c r="Q2754" s="36" t="s">
        <v>7541</v>
      </c>
      <c r="R2754" s="6" t="s">
        <v>7542</v>
      </c>
    </row>
    <row r="2755">
      <c r="A2755" s="6" t="s">
        <v>7537</v>
      </c>
      <c r="B2755" s="6" t="s">
        <v>7537</v>
      </c>
      <c r="C2755" s="6">
        <v>1146.0</v>
      </c>
      <c r="D2755" s="9" t="str">
        <f>HYPERLINK("https://www.linkedin.com/ad-library/detail/1408932086","Open Ad")</f>
        <v>Open Ad</v>
      </c>
      <c r="E2755" s="6" t="s">
        <v>91</v>
      </c>
      <c r="F2755" s="6" t="s">
        <v>53</v>
      </c>
      <c r="G2755" s="6" t="s">
        <v>7745</v>
      </c>
      <c r="H2755" s="6" t="s">
        <v>55</v>
      </c>
      <c r="I2755" s="6" t="s">
        <v>7566</v>
      </c>
      <c r="J2755" s="6" t="s">
        <v>91</v>
      </c>
      <c r="K2755" s="9" t="str">
        <f t="shared" si="117"/>
        <v>Open Creative</v>
      </c>
      <c r="L2755" s="6" t="s">
        <v>131</v>
      </c>
      <c r="M2755" s="6" t="s">
        <v>7537</v>
      </c>
      <c r="N2755" s="6" t="s">
        <v>132</v>
      </c>
      <c r="O2755" s="36" t="s">
        <v>132</v>
      </c>
      <c r="P2755" s="36">
        <v>1.408932086E9</v>
      </c>
      <c r="Q2755" s="36" t="s">
        <v>7541</v>
      </c>
      <c r="R2755" s="6" t="s">
        <v>7542</v>
      </c>
    </row>
    <row r="2756">
      <c r="A2756" s="6" t="s">
        <v>7537</v>
      </c>
      <c r="B2756" s="6" t="s">
        <v>7537</v>
      </c>
      <c r="C2756" s="6">
        <v>1147.0</v>
      </c>
      <c r="D2756" s="9" t="str">
        <f>HYPERLINK("https://www.linkedin.com/ad-library/detail/1408933296","Open Ad")</f>
        <v>Open Ad</v>
      </c>
      <c r="E2756" s="6" t="s">
        <v>91</v>
      </c>
      <c r="F2756" s="6" t="s">
        <v>53</v>
      </c>
      <c r="G2756" s="6" t="s">
        <v>7757</v>
      </c>
      <c r="H2756" s="6" t="s">
        <v>55</v>
      </c>
      <c r="I2756" s="6" t="s">
        <v>7566</v>
      </c>
      <c r="J2756" s="6" t="s">
        <v>91</v>
      </c>
      <c r="K2756" s="9" t="str">
        <f t="shared" ref="K2756:K2757" si="118">HYPERLINK("https://media.licdn.com/dms/image/v2/D4E22AQEQFx2gWKEzqw/feedshare-shrink_1280/B4EZ4mvVZWKgAM-/0/1778766403519?e=2147483647&amp;v=beta&amp;t=paHpE8wb74Dwbe8caaokUOFdcadDEjXQFKkt1x8dXg4","Open Creative")</f>
        <v>Open Creative</v>
      </c>
      <c r="L2756" s="6" t="s">
        <v>131</v>
      </c>
      <c r="M2756" s="6" t="s">
        <v>7537</v>
      </c>
      <c r="N2756" s="6" t="s">
        <v>132</v>
      </c>
      <c r="O2756" s="36" t="s">
        <v>132</v>
      </c>
      <c r="P2756" s="36">
        <v>1.408933296E9</v>
      </c>
      <c r="Q2756" s="36" t="s">
        <v>7541</v>
      </c>
      <c r="R2756" s="6" t="s">
        <v>7542</v>
      </c>
    </row>
    <row r="2757">
      <c r="A2757" s="6" t="s">
        <v>7537</v>
      </c>
      <c r="B2757" s="6" t="s">
        <v>7537</v>
      </c>
      <c r="C2757" s="6">
        <v>1148.0</v>
      </c>
      <c r="D2757" s="9" t="str">
        <f>HYPERLINK("https://www.linkedin.com/ad-library/detail/1409051186","Open Ad")</f>
        <v>Open Ad</v>
      </c>
      <c r="E2757" s="6" t="s">
        <v>91</v>
      </c>
      <c r="F2757" s="6" t="s">
        <v>53</v>
      </c>
      <c r="G2757" s="6" t="s">
        <v>7757</v>
      </c>
      <c r="H2757" s="6" t="s">
        <v>55</v>
      </c>
      <c r="I2757" s="6" t="s">
        <v>7566</v>
      </c>
      <c r="J2757" s="6" t="s">
        <v>91</v>
      </c>
      <c r="K2757" s="9" t="str">
        <f t="shared" si="118"/>
        <v>Open Creative</v>
      </c>
      <c r="L2757" s="6" t="s">
        <v>131</v>
      </c>
      <c r="M2757" s="6" t="s">
        <v>7537</v>
      </c>
      <c r="N2757" s="6" t="s">
        <v>132</v>
      </c>
      <c r="O2757" s="36" t="s">
        <v>132</v>
      </c>
      <c r="P2757" s="36">
        <v>1.409051186E9</v>
      </c>
      <c r="Q2757" s="36" t="s">
        <v>7541</v>
      </c>
      <c r="R2757" s="6" t="s">
        <v>7542</v>
      </c>
    </row>
    <row r="2758">
      <c r="A2758" s="6" t="s">
        <v>7537</v>
      </c>
      <c r="B2758" s="6" t="s">
        <v>7537</v>
      </c>
      <c r="C2758" s="6">
        <v>1149.0</v>
      </c>
      <c r="D2758" s="9" t="str">
        <f>HYPERLINK("https://www.linkedin.com/ad-library/detail/1408686676","Open Ad")</f>
        <v>Open Ad</v>
      </c>
      <c r="E2758" s="6" t="s">
        <v>91</v>
      </c>
      <c r="F2758" s="6" t="s">
        <v>53</v>
      </c>
      <c r="G2758" s="6" t="s">
        <v>7597</v>
      </c>
      <c r="H2758" s="6" t="s">
        <v>55</v>
      </c>
      <c r="I2758" s="6" t="s">
        <v>7566</v>
      </c>
      <c r="J2758" s="6" t="s">
        <v>91</v>
      </c>
      <c r="K2758" s="9" t="str">
        <f>HYPERLINK("https://media.licdn.com/dms/image/v2/D5610AQGMVMBywOZTRA/image-shrink_1280/B56Z3WD4I4GsAc-/0/1777412834072/Ad11png?e=2147483647&amp;v=beta&amp;t=wEwvt57CmhCwh8mjwxDAOwifwJjctZBli8J_4VPqXQ0","Open Creative")</f>
        <v>Open Creative</v>
      </c>
      <c r="L2758" s="6" t="s">
        <v>131</v>
      </c>
      <c r="M2758" s="6" t="s">
        <v>7537</v>
      </c>
      <c r="N2758" s="6" t="s">
        <v>132</v>
      </c>
      <c r="O2758" s="36" t="s">
        <v>132</v>
      </c>
      <c r="P2758" s="36">
        <v>1.408686676E9</v>
      </c>
      <c r="Q2758" s="36" t="s">
        <v>7541</v>
      </c>
      <c r="R2758" s="6" t="s">
        <v>7542</v>
      </c>
    </row>
    <row r="2759">
      <c r="A2759" s="6" t="s">
        <v>7537</v>
      </c>
      <c r="B2759" s="6" t="s">
        <v>7537</v>
      </c>
      <c r="C2759" s="6">
        <v>1150.0</v>
      </c>
      <c r="D2759" s="9" t="str">
        <f>HYPERLINK("https://www.linkedin.com/ad-library/detail/1408961906","Open Ad")</f>
        <v>Open Ad</v>
      </c>
      <c r="E2759" s="6" t="s">
        <v>91</v>
      </c>
      <c r="F2759" s="6" t="s">
        <v>53</v>
      </c>
      <c r="G2759" s="6" t="s">
        <v>7745</v>
      </c>
      <c r="H2759" s="6" t="s">
        <v>55</v>
      </c>
      <c r="I2759" s="6" t="s">
        <v>7566</v>
      </c>
      <c r="J2759" s="6" t="s">
        <v>91</v>
      </c>
      <c r="K2759" s="9" t="str">
        <f>HYPERLINK("https://media.licdn.com/dms/image/v2/D4E10AQFxOL9nLqs70A/image-shrink_1280/B4EZ4ianU2HQAc-/0/1778693863094?e=2147483647&amp;v=beta&amp;t=Kek_CvI7J64DQujymdrphqZ0971IksfKM8-LPcA7u1g","Open Creative")</f>
        <v>Open Creative</v>
      </c>
      <c r="L2759" s="6" t="s">
        <v>131</v>
      </c>
      <c r="M2759" s="6" t="s">
        <v>7537</v>
      </c>
      <c r="N2759" s="6" t="s">
        <v>132</v>
      </c>
      <c r="O2759" s="36" t="s">
        <v>132</v>
      </c>
      <c r="P2759" s="36">
        <v>1.408961906E9</v>
      </c>
      <c r="Q2759" s="36" t="s">
        <v>7541</v>
      </c>
      <c r="R2759" s="6" t="s">
        <v>7542</v>
      </c>
    </row>
    <row r="2760">
      <c r="A2760" s="6" t="s">
        <v>7537</v>
      </c>
      <c r="B2760" s="6" t="s">
        <v>7537</v>
      </c>
      <c r="C2760" s="6">
        <v>1151.0</v>
      </c>
      <c r="D2760" s="9" t="str">
        <f>HYPERLINK("https://www.linkedin.com/ad-library/detail/1408607736","Open Ad")</f>
        <v>Open Ad</v>
      </c>
      <c r="E2760" s="6" t="s">
        <v>91</v>
      </c>
      <c r="F2760" s="6" t="s">
        <v>53</v>
      </c>
      <c r="G2760" s="6" t="s">
        <v>7597</v>
      </c>
      <c r="H2760" s="6" t="s">
        <v>55</v>
      </c>
      <c r="I2760" s="6" t="s">
        <v>7566</v>
      </c>
      <c r="J2760" s="6" t="s">
        <v>91</v>
      </c>
      <c r="K2760" s="9" t="str">
        <f>HYPERLINK("https://media.licdn.com/dms/image/v2/D5610AQGMVMBywOZTRA/image-shrink_1280/B56Z3WD4I4GsAc-/0/1777412834072/Ad11png?e=2147483647&amp;v=beta&amp;t=wEwvt57CmhCwh8mjwxDAOwifwJjctZBli8J_4VPqXQ0","Open Creative")</f>
        <v>Open Creative</v>
      </c>
      <c r="L2760" s="6" t="s">
        <v>131</v>
      </c>
      <c r="M2760" s="6" t="s">
        <v>7537</v>
      </c>
      <c r="N2760" s="6" t="s">
        <v>132</v>
      </c>
      <c r="O2760" s="36" t="s">
        <v>132</v>
      </c>
      <c r="P2760" s="36">
        <v>1.408607736E9</v>
      </c>
      <c r="Q2760" s="36" t="s">
        <v>7541</v>
      </c>
      <c r="R2760" s="6" t="s">
        <v>7542</v>
      </c>
    </row>
    <row r="2761">
      <c r="A2761" s="6" t="s">
        <v>7537</v>
      </c>
      <c r="B2761" s="6" t="s">
        <v>7537</v>
      </c>
      <c r="C2761" s="6">
        <v>1152.0</v>
      </c>
      <c r="D2761" s="9" t="str">
        <f>HYPERLINK("https://www.linkedin.com/ad-library/detail/1408381636","Open Ad")</f>
        <v>Open Ad</v>
      </c>
      <c r="E2761" s="6" t="s">
        <v>91</v>
      </c>
      <c r="F2761" s="6" t="s">
        <v>53</v>
      </c>
      <c r="G2761" s="6" t="s">
        <v>7758</v>
      </c>
      <c r="H2761" s="6" t="s">
        <v>55</v>
      </c>
      <c r="I2761" s="6" t="s">
        <v>7566</v>
      </c>
      <c r="J2761" s="6" t="s">
        <v>91</v>
      </c>
      <c r="K2761" s="9" t="str">
        <f>HYPERLINK("https://media.licdn.com/dms/image/v2/D4E10AQF_Fk0brjoPdQ/image-shrink_1280/B4EZ4Iq9_fHUAc-/0/1778261943357?e=2147483647&amp;v=beta&amp;t=MWh4rs9Tkkq6B1q1NSdd0gIhwtP85MAweNfC5p7gKwQ","Open Creative")</f>
        <v>Open Creative</v>
      </c>
      <c r="L2761" s="6" t="s">
        <v>131</v>
      </c>
      <c r="M2761" s="6" t="s">
        <v>7537</v>
      </c>
      <c r="N2761" s="6" t="s">
        <v>132</v>
      </c>
      <c r="O2761" s="36" t="s">
        <v>132</v>
      </c>
      <c r="P2761" s="36">
        <v>1.408381636E9</v>
      </c>
      <c r="Q2761" s="36" t="s">
        <v>7541</v>
      </c>
      <c r="R2761" s="6" t="s">
        <v>7542</v>
      </c>
    </row>
    <row r="2762">
      <c r="A2762" s="6" t="s">
        <v>7537</v>
      </c>
      <c r="B2762" s="6" t="s">
        <v>7537</v>
      </c>
      <c r="C2762" s="6">
        <v>1153.0</v>
      </c>
      <c r="D2762" s="9" t="str">
        <f>HYPERLINK("https://www.linkedin.com/ad-library/detail/1408460746","Open Ad")</f>
        <v>Open Ad</v>
      </c>
      <c r="E2762" s="6" t="s">
        <v>154</v>
      </c>
      <c r="F2762" s="6" t="s">
        <v>53</v>
      </c>
      <c r="G2762" s="6" t="s">
        <v>7759</v>
      </c>
      <c r="H2762" s="6" t="s">
        <v>55</v>
      </c>
      <c r="I2762" s="6" t="s">
        <v>7566</v>
      </c>
      <c r="J2762" s="6" t="s">
        <v>154</v>
      </c>
      <c r="K2762" s="9" t="str">
        <f t="shared" ref="K2762:K2763" si="119">HYPERLINK("https://dms.licdn.com/playlist/vid/v2/D4E10AQEE5OmenyQyxA/mp4-720p-30fp-crf28/B4EZ4XJK7fHQBk-/0/1778504746008?e=2147483647&amp;v=beta&amp;t=l_-VtHGStiIHyoAcA0tEXArY77Tfpolv7dQugYws6wk","Open Creative")</f>
        <v>Open Creative</v>
      </c>
      <c r="L2762" s="6" t="s">
        <v>131</v>
      </c>
      <c r="M2762" s="6" t="s">
        <v>7537</v>
      </c>
      <c r="N2762" s="6" t="s">
        <v>132</v>
      </c>
      <c r="O2762" s="36" t="s">
        <v>132</v>
      </c>
      <c r="P2762" s="36">
        <v>1.408460746E9</v>
      </c>
      <c r="Q2762" s="36" t="s">
        <v>7541</v>
      </c>
      <c r="R2762" s="6" t="s">
        <v>7542</v>
      </c>
    </row>
    <row r="2763">
      <c r="A2763" s="6" t="s">
        <v>7537</v>
      </c>
      <c r="B2763" s="6" t="s">
        <v>7537</v>
      </c>
      <c r="C2763" s="6">
        <v>1154.0</v>
      </c>
      <c r="D2763" s="9" t="str">
        <f>HYPERLINK("https://www.linkedin.com/ad-library/detail/1408410786","Open Ad")</f>
        <v>Open Ad</v>
      </c>
      <c r="E2763" s="6" t="s">
        <v>154</v>
      </c>
      <c r="F2763" s="6" t="s">
        <v>53</v>
      </c>
      <c r="G2763" s="6" t="s">
        <v>7759</v>
      </c>
      <c r="H2763" s="6" t="s">
        <v>55</v>
      </c>
      <c r="I2763" s="6" t="s">
        <v>7566</v>
      </c>
      <c r="J2763" s="6" t="s">
        <v>154</v>
      </c>
      <c r="K2763" s="9" t="str">
        <f t="shared" si="119"/>
        <v>Open Creative</v>
      </c>
      <c r="L2763" s="6" t="s">
        <v>131</v>
      </c>
      <c r="M2763" s="6" t="s">
        <v>7537</v>
      </c>
      <c r="N2763" s="6" t="s">
        <v>132</v>
      </c>
      <c r="O2763" s="36" t="s">
        <v>132</v>
      </c>
      <c r="P2763" s="36">
        <v>1.408410786E9</v>
      </c>
      <c r="Q2763" s="36" t="s">
        <v>7541</v>
      </c>
      <c r="R2763" s="6" t="s">
        <v>7542</v>
      </c>
    </row>
    <row r="2764">
      <c r="A2764" s="6" t="s">
        <v>7537</v>
      </c>
      <c r="B2764" s="6" t="s">
        <v>7537</v>
      </c>
      <c r="C2764" s="6">
        <v>1155.0</v>
      </c>
      <c r="D2764" s="9" t="str">
        <f>HYPERLINK("https://www.linkedin.com/ad-library/detail/1408322796","Open Ad")</f>
        <v>Open Ad</v>
      </c>
      <c r="E2764" s="6" t="s">
        <v>154</v>
      </c>
      <c r="F2764" s="6" t="s">
        <v>53</v>
      </c>
      <c r="G2764" s="6" t="s">
        <v>7747</v>
      </c>
      <c r="H2764" s="6" t="s">
        <v>55</v>
      </c>
      <c r="I2764" s="6" t="s">
        <v>7566</v>
      </c>
      <c r="J2764" s="6" t="s">
        <v>154</v>
      </c>
      <c r="K2764" s="9" t="str">
        <f>HYPERLINK("https://dms.licdn.com/playlist/vid/v2/D4E10AQHquBM6CRwRLg/mp4-720p-30fp-crf28/B4EZ4Y836cIwBo-/0/1778535076118?e=2147483647&amp;v=beta&amp;t=S5BdaHRMxcbrYKRiNigEZ8fnuBM2nr09EtW-wtwsuTI","Open Creative")</f>
        <v>Open Creative</v>
      </c>
      <c r="L2764" s="6" t="s">
        <v>131</v>
      </c>
      <c r="M2764" s="6" t="s">
        <v>7537</v>
      </c>
      <c r="N2764" s="6" t="s">
        <v>132</v>
      </c>
      <c r="O2764" s="36" t="s">
        <v>132</v>
      </c>
      <c r="P2764" s="36">
        <v>1.408322796E9</v>
      </c>
      <c r="Q2764" s="36" t="s">
        <v>7541</v>
      </c>
      <c r="R2764" s="6" t="s">
        <v>7542</v>
      </c>
    </row>
    <row r="2765">
      <c r="A2765" s="6" t="s">
        <v>7537</v>
      </c>
      <c r="B2765" s="6" t="s">
        <v>7537</v>
      </c>
      <c r="C2765" s="6">
        <v>1156.0</v>
      </c>
      <c r="D2765" s="9" t="str">
        <f>HYPERLINK("https://www.linkedin.com/ad-library/detail/1408322776","Open Ad")</f>
        <v>Open Ad</v>
      </c>
      <c r="E2765" s="6" t="s">
        <v>154</v>
      </c>
      <c r="F2765" s="6" t="s">
        <v>53</v>
      </c>
      <c r="G2765" s="6" t="s">
        <v>7742</v>
      </c>
      <c r="H2765" s="6" t="s">
        <v>55</v>
      </c>
      <c r="I2765" s="6" t="s">
        <v>7566</v>
      </c>
      <c r="J2765" s="6" t="s">
        <v>154</v>
      </c>
      <c r="K2765" s="9" t="str">
        <f>HYPERLINK("https://dms.licdn.com/playlist/vid/v2/D4E10AQEIiLiyO-KGMw/mp4-640p-30fp-crf28/B4EZ4drQ6rHsBE-/0/1778614350812?e=2147483647&amp;v=beta&amp;t=EK_t5ZorYF5dYEL7zXTGiFxzf9T_L_tVfDHN5SfibwY","Open Creative")</f>
        <v>Open Creative</v>
      </c>
      <c r="L2765" s="6" t="s">
        <v>131</v>
      </c>
      <c r="M2765" s="6" t="s">
        <v>7537</v>
      </c>
      <c r="N2765" s="6" t="s">
        <v>132</v>
      </c>
      <c r="O2765" s="36" t="s">
        <v>132</v>
      </c>
      <c r="P2765" s="36">
        <v>1.408322776E9</v>
      </c>
      <c r="Q2765" s="36" t="s">
        <v>7541</v>
      </c>
      <c r="R2765" s="6" t="s">
        <v>7542</v>
      </c>
    </row>
    <row r="2766">
      <c r="A2766" s="6" t="s">
        <v>7537</v>
      </c>
      <c r="B2766" s="6" t="s">
        <v>7537</v>
      </c>
      <c r="C2766" s="6">
        <v>1157.0</v>
      </c>
      <c r="D2766" s="9" t="str">
        <f>HYPERLINK("https://www.linkedin.com/ad-library/detail/1408293256","Open Ad")</f>
        <v>Open Ad</v>
      </c>
      <c r="E2766" s="6" t="s">
        <v>91</v>
      </c>
      <c r="F2766" s="6" t="s">
        <v>53</v>
      </c>
      <c r="G2766" s="6" t="s">
        <v>7758</v>
      </c>
      <c r="H2766" s="6" t="s">
        <v>55</v>
      </c>
      <c r="I2766" s="6" t="s">
        <v>7566</v>
      </c>
      <c r="J2766" s="6" t="s">
        <v>91</v>
      </c>
      <c r="K2766" s="9" t="str">
        <f>HYPERLINK("https://media.licdn.com/dms/image/v2/D4E10AQF_Fk0brjoPdQ/image-shrink_1280/B4EZ4Iq9_fHUAc-/0/1778261943357?e=2147483647&amp;v=beta&amp;t=MWh4rs9Tkkq6B1q1NSdd0gIhwtP85MAweNfC5p7gKwQ","Open Creative")</f>
        <v>Open Creative</v>
      </c>
      <c r="L2766" s="6" t="s">
        <v>131</v>
      </c>
      <c r="M2766" s="6" t="s">
        <v>7537</v>
      </c>
      <c r="N2766" s="6" t="s">
        <v>132</v>
      </c>
      <c r="O2766" s="36" t="s">
        <v>132</v>
      </c>
      <c r="P2766" s="36">
        <v>1.408293256E9</v>
      </c>
      <c r="Q2766" s="36" t="s">
        <v>7541</v>
      </c>
      <c r="R2766" s="6" t="s">
        <v>7542</v>
      </c>
    </row>
    <row r="2767">
      <c r="A2767" s="6" t="s">
        <v>7537</v>
      </c>
      <c r="B2767" s="6" t="s">
        <v>7537</v>
      </c>
      <c r="C2767" s="6">
        <v>1158.0</v>
      </c>
      <c r="D2767" s="9" t="str">
        <f>HYPERLINK("https://www.linkedin.com/ad-library/detail/1408460656","Open Ad")</f>
        <v>Open Ad</v>
      </c>
      <c r="E2767" s="6" t="s">
        <v>154</v>
      </c>
      <c r="F2767" s="6" t="s">
        <v>53</v>
      </c>
      <c r="G2767" s="6" t="s">
        <v>7742</v>
      </c>
      <c r="H2767" s="6" t="s">
        <v>55</v>
      </c>
      <c r="I2767" s="6" t="s">
        <v>7566</v>
      </c>
      <c r="J2767" s="6" t="s">
        <v>154</v>
      </c>
      <c r="K2767" s="9" t="str">
        <f>HYPERLINK("https://dms.licdn.com/playlist/vid/v2/D4E10AQEIiLiyO-KGMw/mp4-640p-30fp-crf28/B4EZ4drQ6rHsBE-/0/1778614350812?e=2147483647&amp;v=beta&amp;t=EK_t5ZorYF5dYEL7zXTGiFxzf9T_L_tVfDHN5SfibwY","Open Creative")</f>
        <v>Open Creative</v>
      </c>
      <c r="L2767" s="6" t="s">
        <v>131</v>
      </c>
      <c r="M2767" s="6" t="s">
        <v>7537</v>
      </c>
      <c r="N2767" s="6" t="s">
        <v>132</v>
      </c>
      <c r="O2767" s="36" t="s">
        <v>132</v>
      </c>
      <c r="P2767" s="36">
        <v>1.408460656E9</v>
      </c>
      <c r="Q2767" s="36" t="s">
        <v>7541</v>
      </c>
      <c r="R2767" s="6" t="s">
        <v>7542</v>
      </c>
    </row>
    <row r="2768">
      <c r="A2768" s="6" t="s">
        <v>7537</v>
      </c>
      <c r="B2768" s="6" t="s">
        <v>7537</v>
      </c>
      <c r="C2768" s="6">
        <v>1159.0</v>
      </c>
      <c r="D2768" s="9" t="str">
        <f>HYPERLINK("https://www.linkedin.com/ad-library/detail/1408283476","Open Ad")</f>
        <v>Open Ad</v>
      </c>
      <c r="E2768" s="6" t="s">
        <v>154</v>
      </c>
      <c r="F2768" s="6" t="s">
        <v>53</v>
      </c>
      <c r="G2768" s="6" t="s">
        <v>7759</v>
      </c>
      <c r="H2768" s="6" t="s">
        <v>55</v>
      </c>
      <c r="I2768" s="6" t="s">
        <v>7566</v>
      </c>
      <c r="J2768" s="6" t="s">
        <v>154</v>
      </c>
      <c r="K2768" s="9" t="str">
        <f>HYPERLINK("https://dms.licdn.com/playlist/vid/v2/D4E10AQEE5OmenyQyxA/mp4-720p-30fp-crf28/B4EZ4XJK7fHQBk-/0/1778504746008?e=2147483647&amp;v=beta&amp;t=l_-VtHGStiIHyoAcA0tEXArY77Tfpolv7dQugYws6wk","Open Creative")</f>
        <v>Open Creative</v>
      </c>
      <c r="L2768" s="6" t="s">
        <v>131</v>
      </c>
      <c r="M2768" s="6" t="s">
        <v>7537</v>
      </c>
      <c r="N2768" s="6" t="s">
        <v>132</v>
      </c>
      <c r="O2768" s="36" t="s">
        <v>132</v>
      </c>
      <c r="P2768" s="36">
        <v>1.408283476E9</v>
      </c>
      <c r="Q2768" s="36" t="s">
        <v>7541</v>
      </c>
      <c r="R2768" s="6" t="s">
        <v>7542</v>
      </c>
    </row>
    <row r="2769">
      <c r="A2769" s="6" t="s">
        <v>7537</v>
      </c>
      <c r="B2769" s="6" t="s">
        <v>7537</v>
      </c>
      <c r="C2769" s="6">
        <v>1160.0</v>
      </c>
      <c r="D2769" s="9" t="str">
        <f>HYPERLINK("https://www.linkedin.com/ad-library/detail/1408283456","Open Ad")</f>
        <v>Open Ad</v>
      </c>
      <c r="E2769" s="6" t="s">
        <v>154</v>
      </c>
      <c r="F2769" s="6" t="s">
        <v>53</v>
      </c>
      <c r="G2769" s="6" t="s">
        <v>7747</v>
      </c>
      <c r="H2769" s="6" t="s">
        <v>55</v>
      </c>
      <c r="I2769" s="6" t="s">
        <v>7566</v>
      </c>
      <c r="J2769" s="6" t="s">
        <v>154</v>
      </c>
      <c r="K2769" s="9" t="str">
        <f>HYPERLINK("https://dms.licdn.com/playlist/vid/v2/D4E10AQHquBM6CRwRLg/mp4-720p-30fp-crf28/B4EZ4Y836cIwBo-/0/1778535076118?e=2147483647&amp;v=beta&amp;t=S5BdaHRMxcbrYKRiNigEZ8fnuBM2nr09EtW-wtwsuTI","Open Creative")</f>
        <v>Open Creative</v>
      </c>
      <c r="L2769" s="6" t="s">
        <v>131</v>
      </c>
      <c r="M2769" s="6" t="s">
        <v>7537</v>
      </c>
      <c r="N2769" s="6" t="s">
        <v>132</v>
      </c>
      <c r="O2769" s="36" t="s">
        <v>132</v>
      </c>
      <c r="P2769" s="36">
        <v>1.408283456E9</v>
      </c>
      <c r="Q2769" s="36" t="s">
        <v>7541</v>
      </c>
      <c r="R2769" s="6" t="s">
        <v>7542</v>
      </c>
    </row>
    <row r="2770">
      <c r="A2770" s="6" t="s">
        <v>7537</v>
      </c>
      <c r="B2770" s="6" t="s">
        <v>7537</v>
      </c>
      <c r="C2770" s="6">
        <v>1161.0</v>
      </c>
      <c r="D2770" s="9" t="str">
        <f>HYPERLINK("https://www.linkedin.com/ad-library/detail/1408371646","Open Ad")</f>
        <v>Open Ad</v>
      </c>
      <c r="E2770" s="6" t="s">
        <v>154</v>
      </c>
      <c r="F2770" s="6" t="s">
        <v>53</v>
      </c>
      <c r="G2770" s="6" t="s">
        <v>7742</v>
      </c>
      <c r="H2770" s="6" t="s">
        <v>55</v>
      </c>
      <c r="I2770" s="6" t="s">
        <v>7566</v>
      </c>
      <c r="J2770" s="6" t="s">
        <v>154</v>
      </c>
      <c r="K2770" s="9" t="str">
        <f>HYPERLINK("https://dms.licdn.com/playlist/vid/v2/D4E10AQEIiLiyO-KGMw/mp4-640p-30fp-crf28/B4EZ4drQ6rHsBE-/0/1778614350812?e=2147483647&amp;v=beta&amp;t=EK_t5ZorYF5dYEL7zXTGiFxzf9T_L_tVfDHN5SfibwY","Open Creative")</f>
        <v>Open Creative</v>
      </c>
      <c r="L2770" s="6" t="s">
        <v>131</v>
      </c>
      <c r="M2770" s="6" t="s">
        <v>7537</v>
      </c>
      <c r="N2770" s="6" t="s">
        <v>132</v>
      </c>
      <c r="O2770" s="36" t="s">
        <v>132</v>
      </c>
      <c r="P2770" s="36">
        <v>1.408371646E9</v>
      </c>
      <c r="Q2770" s="36" t="s">
        <v>7541</v>
      </c>
      <c r="R2770" s="6" t="s">
        <v>7542</v>
      </c>
    </row>
    <row r="2771">
      <c r="A2771" s="6" t="s">
        <v>7537</v>
      </c>
      <c r="B2771" s="6" t="s">
        <v>7537</v>
      </c>
      <c r="C2771" s="6">
        <v>1162.0</v>
      </c>
      <c r="D2771" s="9" t="str">
        <f>HYPERLINK("https://www.linkedin.com/ad-library/detail/1408322816","Open Ad")</f>
        <v>Open Ad</v>
      </c>
      <c r="E2771" s="6" t="s">
        <v>154</v>
      </c>
      <c r="F2771" s="6" t="s">
        <v>53</v>
      </c>
      <c r="G2771" s="6" t="s">
        <v>7759</v>
      </c>
      <c r="H2771" s="6" t="s">
        <v>55</v>
      </c>
      <c r="I2771" s="6" t="s">
        <v>7566</v>
      </c>
      <c r="J2771" s="6" t="s">
        <v>154</v>
      </c>
      <c r="K2771" s="9" t="str">
        <f>HYPERLINK("https://dms.licdn.com/playlist/vid/v2/D4E10AQEE5OmenyQyxA/mp4-720p-30fp-crf28/B4EZ4XJK7fHQBk-/0/1778504746008?e=2147483647&amp;v=beta&amp;t=l_-VtHGStiIHyoAcA0tEXArY77Tfpolv7dQugYws6wk","Open Creative")</f>
        <v>Open Creative</v>
      </c>
      <c r="L2771" s="6" t="s">
        <v>131</v>
      </c>
      <c r="M2771" s="6" t="s">
        <v>7537</v>
      </c>
      <c r="N2771" s="6" t="s">
        <v>132</v>
      </c>
      <c r="O2771" s="36" t="s">
        <v>132</v>
      </c>
      <c r="P2771" s="36">
        <v>1.408322816E9</v>
      </c>
      <c r="Q2771" s="36" t="s">
        <v>7541</v>
      </c>
      <c r="R2771" s="6" t="s">
        <v>7542</v>
      </c>
    </row>
    <row r="2772">
      <c r="A2772" s="6" t="s">
        <v>7537</v>
      </c>
      <c r="B2772" s="6" t="s">
        <v>7537</v>
      </c>
      <c r="C2772" s="6">
        <v>1163.0</v>
      </c>
      <c r="D2772" s="9" t="str">
        <f>HYPERLINK("https://www.linkedin.com/ad-library/detail/1408302716","Open Ad")</f>
        <v>Open Ad</v>
      </c>
      <c r="E2772" s="6" t="s">
        <v>154</v>
      </c>
      <c r="F2772" s="6" t="s">
        <v>53</v>
      </c>
      <c r="G2772" s="6" t="s">
        <v>7742</v>
      </c>
      <c r="H2772" s="6" t="s">
        <v>55</v>
      </c>
      <c r="I2772" s="6" t="s">
        <v>7566</v>
      </c>
      <c r="J2772" s="6" t="s">
        <v>154</v>
      </c>
      <c r="K2772" s="9" t="str">
        <f>HYPERLINK("https://dms.licdn.com/playlist/vid/v2/D4E10AQEIiLiyO-KGMw/mp4-640p-30fp-crf28/B4EZ4drQ6rHsBE-/0/1778614350812?e=2147483647&amp;v=beta&amp;t=EK_t5ZorYF5dYEL7zXTGiFxzf9T_L_tVfDHN5SfibwY","Open Creative")</f>
        <v>Open Creative</v>
      </c>
      <c r="L2772" s="6" t="s">
        <v>131</v>
      </c>
      <c r="M2772" s="6" t="s">
        <v>7537</v>
      </c>
      <c r="N2772" s="6" t="s">
        <v>132</v>
      </c>
      <c r="O2772" s="36" t="s">
        <v>132</v>
      </c>
      <c r="P2772" s="36">
        <v>1.408302716E9</v>
      </c>
      <c r="Q2772" s="36" t="s">
        <v>7541</v>
      </c>
      <c r="R2772" s="6" t="s">
        <v>7542</v>
      </c>
    </row>
    <row r="2773">
      <c r="A2773" s="6" t="s">
        <v>7537</v>
      </c>
      <c r="B2773" s="6" t="s">
        <v>7537</v>
      </c>
      <c r="C2773" s="6">
        <v>1164.0</v>
      </c>
      <c r="D2773" s="9" t="str">
        <f>HYPERLINK("https://www.linkedin.com/ad-library/detail/1407853426","Open Ad")</f>
        <v>Open Ad</v>
      </c>
      <c r="E2773" s="6" t="s">
        <v>91</v>
      </c>
      <c r="F2773" s="6" t="s">
        <v>53</v>
      </c>
      <c r="G2773" s="6" t="s">
        <v>7597</v>
      </c>
      <c r="H2773" s="6" t="s">
        <v>55</v>
      </c>
      <c r="I2773" s="6" t="s">
        <v>7566</v>
      </c>
      <c r="J2773" s="6" t="s">
        <v>91</v>
      </c>
      <c r="K2773" s="9" t="str">
        <f>HYPERLINK("https://media.licdn.com/dms/image/v2/D5610AQHwfvEneIqQpg/image-shrink_1280/B56Z3WDTp1G0Ac-/0/1777412684628/Ad9png?e=2147483647&amp;v=beta&amp;t=aYxtFLgpOksdc2sW2JhFfLdBL1lU2G76XPJ-90sIZlk","Open Creative")</f>
        <v>Open Creative</v>
      </c>
      <c r="L2773" s="6" t="s">
        <v>131</v>
      </c>
      <c r="M2773" s="6" t="s">
        <v>7537</v>
      </c>
      <c r="N2773" s="6" t="s">
        <v>132</v>
      </c>
      <c r="O2773" s="36" t="s">
        <v>132</v>
      </c>
      <c r="P2773" s="36">
        <v>1.407853426E9</v>
      </c>
      <c r="Q2773" s="36" t="s">
        <v>7541</v>
      </c>
      <c r="R2773" s="6" t="s">
        <v>7542</v>
      </c>
    </row>
    <row r="2774">
      <c r="A2774" s="6" t="s">
        <v>7537</v>
      </c>
      <c r="B2774" s="6" t="s">
        <v>7537</v>
      </c>
      <c r="C2774" s="6">
        <v>1165.0</v>
      </c>
      <c r="D2774" s="9" t="str">
        <f>HYPERLINK("https://www.linkedin.com/ad-library/detail/1407853436","Open Ad")</f>
        <v>Open Ad</v>
      </c>
      <c r="E2774" s="6" t="s">
        <v>91</v>
      </c>
      <c r="F2774" s="6" t="s">
        <v>53</v>
      </c>
      <c r="G2774" s="6" t="s">
        <v>7597</v>
      </c>
      <c r="H2774" s="6" t="s">
        <v>55</v>
      </c>
      <c r="I2774" s="6" t="s">
        <v>7566</v>
      </c>
      <c r="J2774" s="6" t="s">
        <v>91</v>
      </c>
      <c r="K2774" s="9" t="str">
        <f>HYPERLINK("https://media.licdn.com/dms/image/v2/D5610AQEaAP2ePthrkg/image-shrink_1280/B56Z3WEHN.KkAc-/0/1777412895878/Ad12png?e=2147483647&amp;v=beta&amp;t=T2wKzNoxIXKU0UU_eFAjRvI7gkBs3J8l1XJINIpnIvs","Open Creative")</f>
        <v>Open Creative</v>
      </c>
      <c r="L2774" s="6" t="s">
        <v>131</v>
      </c>
      <c r="M2774" s="6" t="s">
        <v>7537</v>
      </c>
      <c r="N2774" s="6" t="s">
        <v>132</v>
      </c>
      <c r="O2774" s="36" t="s">
        <v>132</v>
      </c>
      <c r="P2774" s="36">
        <v>1.407853436E9</v>
      </c>
      <c r="Q2774" s="36" t="s">
        <v>7541</v>
      </c>
      <c r="R2774" s="6" t="s">
        <v>7542</v>
      </c>
    </row>
    <row r="2775">
      <c r="A2775" s="6" t="s">
        <v>7537</v>
      </c>
      <c r="B2775" s="6" t="s">
        <v>7537</v>
      </c>
      <c r="C2775" s="6">
        <v>1166.0</v>
      </c>
      <c r="D2775" s="9" t="str">
        <f>HYPERLINK("https://www.linkedin.com/ad-library/detail/1407962036","Open Ad")</f>
        <v>Open Ad</v>
      </c>
      <c r="E2775" s="6" t="s">
        <v>91</v>
      </c>
      <c r="F2775" s="6" t="s">
        <v>53</v>
      </c>
      <c r="G2775" s="6" t="s">
        <v>7597</v>
      </c>
      <c r="H2775" s="6" t="s">
        <v>55</v>
      </c>
      <c r="I2775" s="6" t="s">
        <v>7566</v>
      </c>
      <c r="J2775" s="6" t="s">
        <v>91</v>
      </c>
      <c r="K2775" s="9" t="str">
        <f>HYPERLINK("https://media.licdn.com/dms/image/v2/D5610AQFwlPh9OuqQ4A/image-shrink_1280/B56Z39k5SxIkAc-/0/1778075801026/Ad10png?e=2147483647&amp;v=beta&amp;t=LZdF-LfuEKTiB836HBLNFhI94910PU_-tRMjp3lZxJE","Open Creative")</f>
        <v>Open Creative</v>
      </c>
      <c r="L2775" s="6" t="s">
        <v>131</v>
      </c>
      <c r="M2775" s="6" t="s">
        <v>7537</v>
      </c>
      <c r="N2775" s="6" t="s">
        <v>132</v>
      </c>
      <c r="O2775" s="36" t="s">
        <v>132</v>
      </c>
      <c r="P2775" s="36">
        <v>1.407962036E9</v>
      </c>
      <c r="Q2775" s="36" t="s">
        <v>7541</v>
      </c>
      <c r="R2775" s="6" t="s">
        <v>7542</v>
      </c>
    </row>
    <row r="2776">
      <c r="A2776" s="6" t="s">
        <v>7537</v>
      </c>
      <c r="B2776" s="6" t="s">
        <v>7537</v>
      </c>
      <c r="C2776" s="6">
        <v>1167.0</v>
      </c>
      <c r="D2776" s="9" t="str">
        <f>HYPERLINK("https://www.linkedin.com/ad-library/detail/1408255886","Open Ad")</f>
        <v>Open Ad</v>
      </c>
      <c r="E2776" s="6" t="s">
        <v>91</v>
      </c>
      <c r="F2776" s="6" t="s">
        <v>53</v>
      </c>
      <c r="G2776" s="6" t="s">
        <v>7758</v>
      </c>
      <c r="H2776" s="6" t="s">
        <v>55</v>
      </c>
      <c r="I2776" s="6" t="s">
        <v>7566</v>
      </c>
      <c r="J2776" s="6" t="s">
        <v>91</v>
      </c>
      <c r="K2776" s="9" t="str">
        <f>HYPERLINK("https://media.licdn.com/dms/image/v2/D4E10AQF_Fk0brjoPdQ/image-shrink_1280/B4EZ4Iq9_fHUAc-/0/1778261943357?e=2147483647&amp;v=beta&amp;t=MWh4rs9Tkkq6B1q1NSdd0gIhwtP85MAweNfC5p7gKwQ","Open Creative")</f>
        <v>Open Creative</v>
      </c>
      <c r="L2776" s="6" t="s">
        <v>131</v>
      </c>
      <c r="M2776" s="6" t="s">
        <v>7537</v>
      </c>
      <c r="N2776" s="6" t="s">
        <v>132</v>
      </c>
      <c r="O2776" s="36" t="s">
        <v>132</v>
      </c>
      <c r="P2776" s="36">
        <v>1.408255886E9</v>
      </c>
      <c r="Q2776" s="36" t="s">
        <v>7541</v>
      </c>
      <c r="R2776" s="6" t="s">
        <v>7542</v>
      </c>
    </row>
    <row r="2777">
      <c r="A2777" s="6" t="s">
        <v>7537</v>
      </c>
      <c r="B2777" s="6" t="s">
        <v>7537</v>
      </c>
      <c r="C2777" s="6">
        <v>1168.0</v>
      </c>
      <c r="D2777" s="9" t="str">
        <f>HYPERLINK("https://www.linkedin.com/ad-library/detail/1408450516","Open Ad")</f>
        <v>Open Ad</v>
      </c>
      <c r="E2777" s="6" t="s">
        <v>154</v>
      </c>
      <c r="F2777" s="6" t="s">
        <v>53</v>
      </c>
      <c r="G2777" s="6" t="s">
        <v>7742</v>
      </c>
      <c r="H2777" s="6" t="s">
        <v>55</v>
      </c>
      <c r="I2777" s="6" t="s">
        <v>7566</v>
      </c>
      <c r="J2777" s="6" t="s">
        <v>154</v>
      </c>
      <c r="K2777" s="9" t="str">
        <f>HYPERLINK("https://dms.licdn.com/playlist/vid/v2/D4E10AQEIiLiyO-KGMw/mp4-640p-30fp-crf28/B4EZ4drQ6rHsBE-/0/1778614350812?e=2147483647&amp;v=beta&amp;t=EK_t5ZorYF5dYEL7zXTGiFxzf9T_L_tVfDHN5SfibwY","Open Creative")</f>
        <v>Open Creative</v>
      </c>
      <c r="L2777" s="6" t="s">
        <v>131</v>
      </c>
      <c r="M2777" s="6" t="s">
        <v>7537</v>
      </c>
      <c r="N2777" s="6" t="s">
        <v>132</v>
      </c>
      <c r="O2777" s="36" t="s">
        <v>132</v>
      </c>
      <c r="P2777" s="36">
        <v>1.408450516E9</v>
      </c>
      <c r="Q2777" s="36" t="s">
        <v>7541</v>
      </c>
      <c r="R2777" s="6" t="s">
        <v>7542</v>
      </c>
    </row>
    <row r="2778">
      <c r="A2778" s="6" t="s">
        <v>7537</v>
      </c>
      <c r="B2778" s="6" t="s">
        <v>7537</v>
      </c>
      <c r="C2778" s="6">
        <v>1169.0</v>
      </c>
      <c r="D2778" s="9" t="str">
        <f>HYPERLINK("https://www.linkedin.com/ad-library/detail/1407912696","Open Ad")</f>
        <v>Open Ad</v>
      </c>
      <c r="E2778" s="6" t="s">
        <v>91</v>
      </c>
      <c r="F2778" s="6" t="s">
        <v>53</v>
      </c>
      <c r="G2778" s="6" t="s">
        <v>7597</v>
      </c>
      <c r="H2778" s="6" t="s">
        <v>55</v>
      </c>
      <c r="I2778" s="6" t="s">
        <v>7566</v>
      </c>
      <c r="J2778" s="6" t="s">
        <v>91</v>
      </c>
      <c r="K2778" s="9" t="str">
        <f>HYPERLINK("https://media.licdn.com/dms/image/v2/D5610AQGMVMBywOZTRA/image-shrink_1280/B56Z3WD4I4GsAc-/0/1777412834072/Ad11png?e=2147483647&amp;v=beta&amp;t=wEwvt57CmhCwh8mjwxDAOwifwJjctZBli8J_4VPqXQ0","Open Creative")</f>
        <v>Open Creative</v>
      </c>
      <c r="L2778" s="6" t="s">
        <v>131</v>
      </c>
      <c r="M2778" s="6" t="s">
        <v>7537</v>
      </c>
      <c r="N2778" s="6" t="s">
        <v>132</v>
      </c>
      <c r="O2778" s="36" t="s">
        <v>132</v>
      </c>
      <c r="P2778" s="36">
        <v>1.407912696E9</v>
      </c>
      <c r="Q2778" s="36" t="s">
        <v>7541</v>
      </c>
      <c r="R2778" s="6" t="s">
        <v>7542</v>
      </c>
    </row>
    <row r="2779">
      <c r="A2779" s="6" t="s">
        <v>7537</v>
      </c>
      <c r="B2779" s="6" t="s">
        <v>7537</v>
      </c>
      <c r="C2779" s="6">
        <v>1170.0</v>
      </c>
      <c r="D2779" s="9" t="str">
        <f>HYPERLINK("https://www.linkedin.com/ad-library/detail/1407922736","Open Ad")</f>
        <v>Open Ad</v>
      </c>
      <c r="E2779" s="6" t="s">
        <v>7543</v>
      </c>
      <c r="F2779" s="6" t="s">
        <v>53</v>
      </c>
      <c r="G2779" s="6" t="s">
        <v>7613</v>
      </c>
      <c r="H2779" s="6" t="s">
        <v>55</v>
      </c>
      <c r="I2779" s="6" t="s">
        <v>7545</v>
      </c>
      <c r="J2779" s="6" t="s">
        <v>7546</v>
      </c>
      <c r="K2779" s="6" t="s">
        <v>60</v>
      </c>
      <c r="L2779" s="6" t="s">
        <v>131</v>
      </c>
      <c r="M2779" s="6" t="s">
        <v>7537</v>
      </c>
      <c r="N2779" s="6" t="s">
        <v>132</v>
      </c>
      <c r="O2779" s="36" t="s">
        <v>132</v>
      </c>
      <c r="P2779" s="36">
        <v>1.407922736E9</v>
      </c>
      <c r="Q2779" s="36" t="s">
        <v>7541</v>
      </c>
      <c r="R2779" s="6" t="s">
        <v>7542</v>
      </c>
    </row>
    <row r="2780">
      <c r="A2780" s="6" t="s">
        <v>7537</v>
      </c>
      <c r="B2780" s="6" t="s">
        <v>7537</v>
      </c>
      <c r="C2780" s="6">
        <v>1171.0</v>
      </c>
      <c r="D2780" s="9" t="str">
        <f>HYPERLINK("https://www.linkedin.com/ad-library/detail/1408440676","Open Ad")</f>
        <v>Open Ad</v>
      </c>
      <c r="E2780" s="6" t="s">
        <v>154</v>
      </c>
      <c r="F2780" s="6" t="s">
        <v>53</v>
      </c>
      <c r="G2780" s="6" t="s">
        <v>7759</v>
      </c>
      <c r="H2780" s="6" t="s">
        <v>55</v>
      </c>
      <c r="I2780" s="6" t="s">
        <v>7566</v>
      </c>
      <c r="J2780" s="6" t="s">
        <v>154</v>
      </c>
      <c r="K2780" s="9" t="str">
        <f>HYPERLINK("https://dms.licdn.com/playlist/vid/v2/D4E10AQEE5OmenyQyxA/mp4-720p-30fp-crf28/B4EZ4XJK7fHQBk-/0/1778504746008?e=2147483647&amp;v=beta&amp;t=l_-VtHGStiIHyoAcA0tEXArY77Tfpolv7dQugYws6wk","Open Creative")</f>
        <v>Open Creative</v>
      </c>
      <c r="L2780" s="6" t="s">
        <v>131</v>
      </c>
      <c r="M2780" s="6" t="s">
        <v>7537</v>
      </c>
      <c r="N2780" s="6" t="s">
        <v>132</v>
      </c>
      <c r="O2780" s="36" t="s">
        <v>132</v>
      </c>
      <c r="P2780" s="36">
        <v>1.408440676E9</v>
      </c>
      <c r="Q2780" s="36" t="s">
        <v>7541</v>
      </c>
      <c r="R2780" s="6" t="s">
        <v>7542</v>
      </c>
    </row>
    <row r="2781">
      <c r="A2781" s="6" t="s">
        <v>7537</v>
      </c>
      <c r="B2781" s="6" t="s">
        <v>7537</v>
      </c>
      <c r="C2781" s="6">
        <v>1172.0</v>
      </c>
      <c r="D2781" s="9" t="str">
        <f>HYPERLINK("https://www.linkedin.com/ad-library/detail/1408420926","Open Ad")</f>
        <v>Open Ad</v>
      </c>
      <c r="E2781" s="6" t="s">
        <v>91</v>
      </c>
      <c r="F2781" s="6" t="s">
        <v>53</v>
      </c>
      <c r="G2781" s="6" t="s">
        <v>7758</v>
      </c>
      <c r="H2781" s="6" t="s">
        <v>55</v>
      </c>
      <c r="I2781" s="6" t="s">
        <v>7566</v>
      </c>
      <c r="J2781" s="6" t="s">
        <v>91</v>
      </c>
      <c r="K2781" s="9" t="str">
        <f>HYPERLINK("https://media.licdn.com/dms/image/v2/D4E10AQF_Fk0brjoPdQ/image-shrink_1280/B4EZ4Iq9_fHUAc-/0/1778261943357?e=2147483647&amp;v=beta&amp;t=MWh4rs9Tkkq6B1q1NSdd0gIhwtP85MAweNfC5p7gKwQ","Open Creative")</f>
        <v>Open Creative</v>
      </c>
      <c r="L2781" s="6" t="s">
        <v>131</v>
      </c>
      <c r="M2781" s="6" t="s">
        <v>7537</v>
      </c>
      <c r="N2781" s="6" t="s">
        <v>7760</v>
      </c>
      <c r="O2781" s="36" t="s">
        <v>67</v>
      </c>
      <c r="P2781" s="36">
        <v>1.408420926E9</v>
      </c>
      <c r="Q2781" s="36" t="s">
        <v>7541</v>
      </c>
      <c r="R2781" s="6" t="s">
        <v>7542</v>
      </c>
    </row>
    <row r="2782">
      <c r="A2782" s="6" t="s">
        <v>7537</v>
      </c>
      <c r="B2782" s="6" t="s">
        <v>7537</v>
      </c>
      <c r="C2782" s="6">
        <v>1173.0</v>
      </c>
      <c r="D2782" s="9" t="str">
        <f>HYPERLINK("https://www.linkedin.com/ad-library/detail/1408255806","Open Ad")</f>
        <v>Open Ad</v>
      </c>
      <c r="E2782" s="6" t="s">
        <v>154</v>
      </c>
      <c r="F2782" s="6" t="s">
        <v>53</v>
      </c>
      <c r="G2782" s="6" t="s">
        <v>7747</v>
      </c>
      <c r="H2782" s="6" t="s">
        <v>55</v>
      </c>
      <c r="I2782" s="6" t="s">
        <v>7566</v>
      </c>
      <c r="J2782" s="6" t="s">
        <v>154</v>
      </c>
      <c r="K2782" s="9" t="str">
        <f>HYPERLINK("https://dms.licdn.com/playlist/vid/v2/D4E10AQHquBM6CRwRLg/mp4-720p-30fp-crf28/B4EZ4Y836cIwBo-/0/1778535076118?e=2147483647&amp;v=beta&amp;t=S5BdaHRMxcbrYKRiNigEZ8fnuBM2nr09EtW-wtwsuTI","Open Creative")</f>
        <v>Open Creative</v>
      </c>
      <c r="L2782" s="6" t="s">
        <v>131</v>
      </c>
      <c r="M2782" s="6" t="s">
        <v>7537</v>
      </c>
      <c r="N2782" s="6" t="s">
        <v>132</v>
      </c>
      <c r="O2782" s="36" t="s">
        <v>132</v>
      </c>
      <c r="P2782" s="36">
        <v>1.408255806E9</v>
      </c>
      <c r="Q2782" s="36" t="s">
        <v>7541</v>
      </c>
      <c r="R2782" s="6" t="s">
        <v>7542</v>
      </c>
    </row>
    <row r="2783">
      <c r="A2783" s="6" t="s">
        <v>7537</v>
      </c>
      <c r="B2783" s="6" t="s">
        <v>7537</v>
      </c>
      <c r="C2783" s="6">
        <v>1174.0</v>
      </c>
      <c r="D2783" s="9" t="str">
        <f>HYPERLINK("https://www.linkedin.com/ad-library/detail/1408460816","Open Ad")</f>
        <v>Open Ad</v>
      </c>
      <c r="E2783" s="6" t="s">
        <v>91</v>
      </c>
      <c r="F2783" s="6" t="s">
        <v>53</v>
      </c>
      <c r="G2783" s="6" t="s">
        <v>7758</v>
      </c>
      <c r="H2783" s="6" t="s">
        <v>55</v>
      </c>
      <c r="I2783" s="6" t="s">
        <v>7566</v>
      </c>
      <c r="J2783" s="6" t="s">
        <v>91</v>
      </c>
      <c r="K2783" s="9" t="str">
        <f>HYPERLINK("https://media.licdn.com/dms/image/v2/D4E10AQF_Fk0brjoPdQ/image-shrink_1280/B4EZ4Iq9_fHUAc-/0/1778261943357?e=2147483647&amp;v=beta&amp;t=MWh4rs9Tkkq6B1q1NSdd0gIhwtP85MAweNfC5p7gKwQ","Open Creative")</f>
        <v>Open Creative</v>
      </c>
      <c r="L2783" s="6" t="s">
        <v>131</v>
      </c>
      <c r="M2783" s="6" t="s">
        <v>7537</v>
      </c>
      <c r="N2783" s="6" t="s">
        <v>132</v>
      </c>
      <c r="O2783" s="36" t="s">
        <v>132</v>
      </c>
      <c r="P2783" s="36">
        <v>1.408460816E9</v>
      </c>
      <c r="Q2783" s="36" t="s">
        <v>7541</v>
      </c>
      <c r="R2783" s="6" t="s">
        <v>7542</v>
      </c>
    </row>
    <row r="2784">
      <c r="A2784" s="6" t="s">
        <v>7537</v>
      </c>
      <c r="B2784" s="6" t="s">
        <v>7537</v>
      </c>
      <c r="C2784" s="6">
        <v>1175.0</v>
      </c>
      <c r="D2784" s="9" t="str">
        <f>HYPERLINK("https://www.linkedin.com/ad-library/detail/1408420856","Open Ad")</f>
        <v>Open Ad</v>
      </c>
      <c r="E2784" s="6" t="s">
        <v>154</v>
      </c>
      <c r="F2784" s="6" t="s">
        <v>53</v>
      </c>
      <c r="G2784" s="6" t="s">
        <v>7747</v>
      </c>
      <c r="H2784" s="6" t="s">
        <v>55</v>
      </c>
      <c r="I2784" s="6" t="s">
        <v>7566</v>
      </c>
      <c r="J2784" s="6" t="s">
        <v>154</v>
      </c>
      <c r="K2784" s="9" t="str">
        <f t="shared" ref="K2784:K2785" si="120">HYPERLINK("https://dms.licdn.com/playlist/vid/v2/D4E10AQHquBM6CRwRLg/mp4-720p-30fp-crf28/B4EZ4Y836cIwBo-/0/1778535076118?e=2147483647&amp;v=beta&amp;t=S5BdaHRMxcbrYKRiNigEZ8fnuBM2nr09EtW-wtwsuTI","Open Creative")</f>
        <v>Open Creative</v>
      </c>
      <c r="L2784" s="6" t="s">
        <v>131</v>
      </c>
      <c r="M2784" s="6" t="s">
        <v>7537</v>
      </c>
      <c r="N2784" s="6" t="s">
        <v>132</v>
      </c>
      <c r="O2784" s="36" t="s">
        <v>132</v>
      </c>
      <c r="P2784" s="36">
        <v>1.408420856E9</v>
      </c>
      <c r="Q2784" s="36" t="s">
        <v>7541</v>
      </c>
      <c r="R2784" s="6" t="s">
        <v>7542</v>
      </c>
    </row>
    <row r="2785">
      <c r="A2785" s="6" t="s">
        <v>7537</v>
      </c>
      <c r="B2785" s="6" t="s">
        <v>7537</v>
      </c>
      <c r="C2785" s="6">
        <v>1176.0</v>
      </c>
      <c r="D2785" s="9" t="str">
        <f>HYPERLINK("https://www.linkedin.com/ad-library/detail/1408273966","Open Ad")</f>
        <v>Open Ad</v>
      </c>
      <c r="E2785" s="6" t="s">
        <v>154</v>
      </c>
      <c r="F2785" s="6" t="s">
        <v>53</v>
      </c>
      <c r="G2785" s="6" t="s">
        <v>7747</v>
      </c>
      <c r="H2785" s="6" t="s">
        <v>55</v>
      </c>
      <c r="I2785" s="6" t="s">
        <v>7566</v>
      </c>
      <c r="J2785" s="6" t="s">
        <v>154</v>
      </c>
      <c r="K2785" s="9" t="str">
        <f t="shared" si="120"/>
        <v>Open Creative</v>
      </c>
      <c r="L2785" s="6" t="s">
        <v>131</v>
      </c>
      <c r="M2785" s="6" t="s">
        <v>7537</v>
      </c>
      <c r="N2785" s="6" t="s">
        <v>132</v>
      </c>
      <c r="O2785" s="36" t="s">
        <v>132</v>
      </c>
      <c r="P2785" s="36">
        <v>1.408273966E9</v>
      </c>
      <c r="Q2785" s="36" t="s">
        <v>7541</v>
      </c>
      <c r="R2785" s="6" t="s">
        <v>7542</v>
      </c>
    </row>
    <row r="2786">
      <c r="A2786" s="6" t="s">
        <v>7537</v>
      </c>
      <c r="B2786" s="6" t="s">
        <v>7537</v>
      </c>
      <c r="C2786" s="6">
        <v>1177.0</v>
      </c>
      <c r="D2786" s="9" t="str">
        <f>HYPERLINK("https://www.linkedin.com/ad-library/detail/1407843476","Open Ad")</f>
        <v>Open Ad</v>
      </c>
      <c r="E2786" s="6" t="s">
        <v>91</v>
      </c>
      <c r="F2786" s="6" t="s">
        <v>53</v>
      </c>
      <c r="G2786" s="6" t="s">
        <v>7597</v>
      </c>
      <c r="H2786" s="6" t="s">
        <v>55</v>
      </c>
      <c r="I2786" s="6" t="s">
        <v>7566</v>
      </c>
      <c r="J2786" s="6" t="s">
        <v>91</v>
      </c>
      <c r="K2786" s="9" t="str">
        <f>HYPERLINK("https://media.licdn.com/dms/image/v2/D5610AQH-q8Kfz-YVbQ/image-shrink_1280/B56Z3WDoOFKgAc-/0/1777412768916/Adpng?e=2147483647&amp;v=beta&amp;t=Lvt6Go03KIs4rRA12hIMu8l80ejL9dzwHdp0rAwmuTM","Open Creative")</f>
        <v>Open Creative</v>
      </c>
      <c r="L2786" s="6" t="s">
        <v>131</v>
      </c>
      <c r="M2786" s="6" t="s">
        <v>7537</v>
      </c>
      <c r="N2786" s="6" t="s">
        <v>132</v>
      </c>
      <c r="O2786" s="36" t="s">
        <v>132</v>
      </c>
      <c r="P2786" s="36">
        <v>1.407843476E9</v>
      </c>
      <c r="Q2786" s="36" t="s">
        <v>7541</v>
      </c>
      <c r="R2786" s="6" t="s">
        <v>7542</v>
      </c>
    </row>
    <row r="2787">
      <c r="A2787" s="6" t="s">
        <v>7537</v>
      </c>
      <c r="B2787" s="6" t="s">
        <v>7537</v>
      </c>
      <c r="C2787" s="6">
        <v>1178.0</v>
      </c>
      <c r="D2787" s="9" t="str">
        <f>HYPERLINK("https://www.linkedin.com/ad-library/detail/1407902476","Open Ad")</f>
        <v>Open Ad</v>
      </c>
      <c r="E2787" s="6" t="s">
        <v>91</v>
      </c>
      <c r="F2787" s="6" t="s">
        <v>53</v>
      </c>
      <c r="G2787" s="6" t="s">
        <v>7597</v>
      </c>
      <c r="H2787" s="6" t="s">
        <v>55</v>
      </c>
      <c r="I2787" s="6" t="s">
        <v>7566</v>
      </c>
      <c r="J2787" s="6" t="s">
        <v>91</v>
      </c>
      <c r="K2787" s="9" t="str">
        <f t="shared" ref="K2787:K2788" si="121">HYPERLINK("https://media.licdn.com/dms/image/v2/D5610AQHboNfHfdoMGg/image-shrink_1280/B56Z39lJVLH4Ag-/0/1778075866691/Ad13png?e=2147483647&amp;v=beta&amp;t=w47eH2aNcVt5nGxpOUSqt9WGlOcn-OqTBTg2vMGSkLA","Open Creative")</f>
        <v>Open Creative</v>
      </c>
      <c r="L2787" s="6" t="s">
        <v>131</v>
      </c>
      <c r="M2787" s="6" t="s">
        <v>7537</v>
      </c>
      <c r="N2787" s="6" t="s">
        <v>132</v>
      </c>
      <c r="O2787" s="36" t="s">
        <v>132</v>
      </c>
      <c r="P2787" s="36">
        <v>1.407902476E9</v>
      </c>
      <c r="Q2787" s="36" t="s">
        <v>7541</v>
      </c>
      <c r="R2787" s="6" t="s">
        <v>7542</v>
      </c>
    </row>
    <row r="2788">
      <c r="A2788" s="6" t="s">
        <v>7537</v>
      </c>
      <c r="B2788" s="6" t="s">
        <v>7537</v>
      </c>
      <c r="C2788" s="6">
        <v>1179.0</v>
      </c>
      <c r="D2788" s="9" t="str">
        <f>HYPERLINK("https://www.linkedin.com/ad-library/detail/1407863366","Open Ad")</f>
        <v>Open Ad</v>
      </c>
      <c r="E2788" s="6" t="s">
        <v>91</v>
      </c>
      <c r="F2788" s="6" t="s">
        <v>53</v>
      </c>
      <c r="G2788" s="6" t="s">
        <v>7597</v>
      </c>
      <c r="H2788" s="6" t="s">
        <v>55</v>
      </c>
      <c r="I2788" s="6" t="s">
        <v>7566</v>
      </c>
      <c r="J2788" s="6" t="s">
        <v>91</v>
      </c>
      <c r="K2788" s="9" t="str">
        <f t="shared" si="121"/>
        <v>Open Creative</v>
      </c>
      <c r="L2788" s="6" t="s">
        <v>131</v>
      </c>
      <c r="M2788" s="6" t="s">
        <v>7537</v>
      </c>
      <c r="N2788" s="6" t="s">
        <v>132</v>
      </c>
      <c r="O2788" s="36" t="s">
        <v>132</v>
      </c>
      <c r="P2788" s="36">
        <v>1.407863366E9</v>
      </c>
      <c r="Q2788" s="36" t="s">
        <v>7541</v>
      </c>
      <c r="R2788" s="6" t="s">
        <v>7542</v>
      </c>
    </row>
    <row r="2789">
      <c r="A2789" s="6" t="s">
        <v>7537</v>
      </c>
      <c r="B2789" s="6" t="s">
        <v>7537</v>
      </c>
      <c r="C2789" s="6">
        <v>1180.0</v>
      </c>
      <c r="D2789" s="9" t="str">
        <f>HYPERLINK("https://www.linkedin.com/ad-library/detail/1407893246","Open Ad")</f>
        <v>Open Ad</v>
      </c>
      <c r="E2789" s="6" t="s">
        <v>91</v>
      </c>
      <c r="F2789" s="6" t="s">
        <v>53</v>
      </c>
      <c r="G2789" s="6" t="s">
        <v>7597</v>
      </c>
      <c r="H2789" s="6" t="s">
        <v>55</v>
      </c>
      <c r="I2789" s="6" t="s">
        <v>7566</v>
      </c>
      <c r="J2789" s="6" t="s">
        <v>91</v>
      </c>
      <c r="K2789" s="9" t="str">
        <f>HYPERLINK("https://media.licdn.com/dms/image/v2/D5610AQGMVMBywOZTRA/image-shrink_1280/B56Z3WD4I4GsAc-/0/1777412834072/Ad11png?e=2147483647&amp;v=beta&amp;t=wEwvt57CmhCwh8mjwxDAOwifwJjctZBli8J_4VPqXQ0","Open Creative")</f>
        <v>Open Creative</v>
      </c>
      <c r="L2789" s="6" t="s">
        <v>131</v>
      </c>
      <c r="M2789" s="6" t="s">
        <v>7537</v>
      </c>
      <c r="N2789" s="6" t="s">
        <v>132</v>
      </c>
      <c r="O2789" s="36" t="s">
        <v>132</v>
      </c>
      <c r="P2789" s="36">
        <v>1.407893246E9</v>
      </c>
      <c r="Q2789" s="36" t="s">
        <v>7541</v>
      </c>
      <c r="R2789" s="6" t="s">
        <v>7542</v>
      </c>
    </row>
    <row r="2790">
      <c r="A2790" s="6" t="s">
        <v>7537</v>
      </c>
      <c r="B2790" s="6" t="s">
        <v>7537</v>
      </c>
      <c r="C2790" s="6">
        <v>1181.0</v>
      </c>
      <c r="D2790" s="9" t="str">
        <f>HYPERLINK("https://www.linkedin.com/ad-library/detail/1407940296","Open Ad")</f>
        <v>Open Ad</v>
      </c>
      <c r="E2790" s="6" t="s">
        <v>91</v>
      </c>
      <c r="F2790" s="6" t="s">
        <v>53</v>
      </c>
      <c r="G2790" s="6" t="s">
        <v>7743</v>
      </c>
      <c r="H2790" s="6" t="s">
        <v>55</v>
      </c>
      <c r="I2790" s="6" t="s">
        <v>7566</v>
      </c>
      <c r="J2790" s="6" t="s">
        <v>91</v>
      </c>
      <c r="K2790" s="9" t="str">
        <f>HYPERLINK("https://media.licdn.com/dms/image/v2/D4E22AQGD81oz3FYM1Q/feedshare-shrink_1280/B4EZ4XQU_HJAAM-/0/1778506617358?e=2147483647&amp;v=beta&amp;t=OdTpu75_XH7oT3LVL22UyGlqQZPOznFr4UZO9OyLEa0","Open Creative")</f>
        <v>Open Creative</v>
      </c>
      <c r="L2790" s="6" t="s">
        <v>131</v>
      </c>
      <c r="M2790" s="6" t="s">
        <v>7537</v>
      </c>
      <c r="N2790" s="6" t="s">
        <v>132</v>
      </c>
      <c r="O2790" s="36" t="s">
        <v>132</v>
      </c>
      <c r="P2790" s="36">
        <v>1.407940296E9</v>
      </c>
      <c r="Q2790" s="36" t="s">
        <v>7541</v>
      </c>
      <c r="R2790" s="6" t="s">
        <v>7542</v>
      </c>
    </row>
    <row r="2791">
      <c r="A2791" s="6" t="s">
        <v>7537</v>
      </c>
      <c r="B2791" s="6" t="s">
        <v>7537</v>
      </c>
      <c r="C2791" s="6">
        <v>1182.0</v>
      </c>
      <c r="D2791" s="9" t="str">
        <f>HYPERLINK("https://www.linkedin.com/ad-library/detail/1407942076","Open Ad")</f>
        <v>Open Ad</v>
      </c>
      <c r="E2791" s="6" t="s">
        <v>91</v>
      </c>
      <c r="F2791" s="6" t="s">
        <v>53</v>
      </c>
      <c r="G2791" s="6" t="s">
        <v>7597</v>
      </c>
      <c r="H2791" s="6" t="s">
        <v>55</v>
      </c>
      <c r="I2791" s="6" t="s">
        <v>7566</v>
      </c>
      <c r="J2791" s="6" t="s">
        <v>91</v>
      </c>
      <c r="K2791" s="9" t="str">
        <f>HYPERLINK("https://media.licdn.com/dms/image/v2/D5610AQFwlPh9OuqQ4A/image-shrink_1280/B56Z39k5SxIkAc-/0/1778075801026/Ad10png?e=2147483647&amp;v=beta&amp;t=LZdF-LfuEKTiB836HBLNFhI94910PU_-tRMjp3lZxJE","Open Creative")</f>
        <v>Open Creative</v>
      </c>
      <c r="L2791" s="6" t="s">
        <v>131</v>
      </c>
      <c r="M2791" s="6" t="s">
        <v>7537</v>
      </c>
      <c r="N2791" s="6" t="s">
        <v>132</v>
      </c>
      <c r="O2791" s="36" t="s">
        <v>132</v>
      </c>
      <c r="P2791" s="36">
        <v>1.407942076E9</v>
      </c>
      <c r="Q2791" s="36" t="s">
        <v>7541</v>
      </c>
      <c r="R2791" s="6" t="s">
        <v>7542</v>
      </c>
    </row>
    <row r="2792">
      <c r="A2792" s="6" t="s">
        <v>7537</v>
      </c>
      <c r="B2792" s="6" t="s">
        <v>7537</v>
      </c>
      <c r="C2792" s="6">
        <v>1183.0</v>
      </c>
      <c r="D2792" s="9" t="str">
        <f>HYPERLINK("https://www.linkedin.com/ad-library/detail/1407942086","Open Ad")</f>
        <v>Open Ad</v>
      </c>
      <c r="E2792" s="6" t="s">
        <v>91</v>
      </c>
      <c r="F2792" s="6" t="s">
        <v>53</v>
      </c>
      <c r="G2792" s="6" t="s">
        <v>7597</v>
      </c>
      <c r="H2792" s="6" t="s">
        <v>55</v>
      </c>
      <c r="I2792" s="6" t="s">
        <v>7566</v>
      </c>
      <c r="J2792" s="6" t="s">
        <v>91</v>
      </c>
      <c r="K2792" s="9" t="str">
        <f>HYPERLINK("https://media.licdn.com/dms/image/v2/D5610AQGMVMBywOZTRA/image-shrink_1280/B56Z3WD4I4GsAc-/0/1777412834072/Ad11png?e=2147483647&amp;v=beta&amp;t=wEwvt57CmhCwh8mjwxDAOwifwJjctZBli8J_4VPqXQ0","Open Creative")</f>
        <v>Open Creative</v>
      </c>
      <c r="L2792" s="6" t="s">
        <v>131</v>
      </c>
      <c r="M2792" s="6" t="s">
        <v>7537</v>
      </c>
      <c r="N2792" s="6" t="s">
        <v>132</v>
      </c>
      <c r="O2792" s="36" t="s">
        <v>132</v>
      </c>
      <c r="P2792" s="36">
        <v>1.407942086E9</v>
      </c>
      <c r="Q2792" s="36" t="s">
        <v>7541</v>
      </c>
      <c r="R2792" s="6" t="s">
        <v>7542</v>
      </c>
    </row>
    <row r="2793">
      <c r="A2793" s="6" t="s">
        <v>7537</v>
      </c>
      <c r="B2793" s="6" t="s">
        <v>7537</v>
      </c>
      <c r="C2793" s="6">
        <v>1184.0</v>
      </c>
      <c r="D2793" s="9" t="str">
        <f>HYPERLINK("https://www.linkedin.com/ad-library/detail/1407634416","Open Ad")</f>
        <v>Open Ad</v>
      </c>
      <c r="E2793" s="6" t="s">
        <v>7543</v>
      </c>
      <c r="F2793" s="6" t="s">
        <v>53</v>
      </c>
      <c r="G2793" s="6" t="s">
        <v>7761</v>
      </c>
      <c r="H2793" s="6" t="s">
        <v>55</v>
      </c>
      <c r="I2793" s="6" t="s">
        <v>7566</v>
      </c>
      <c r="J2793" s="6" t="s">
        <v>7546</v>
      </c>
      <c r="K2793" s="6" t="s">
        <v>60</v>
      </c>
      <c r="L2793" s="6" t="s">
        <v>131</v>
      </c>
      <c r="M2793" s="6" t="s">
        <v>7537</v>
      </c>
      <c r="N2793" s="6" t="s">
        <v>132</v>
      </c>
      <c r="O2793" s="36" t="s">
        <v>132</v>
      </c>
      <c r="P2793" s="36">
        <v>1.407634416E9</v>
      </c>
      <c r="Q2793" s="36" t="s">
        <v>7541</v>
      </c>
      <c r="R2793" s="6" t="s">
        <v>7542</v>
      </c>
    </row>
    <row r="2794">
      <c r="A2794" s="6" t="s">
        <v>7537</v>
      </c>
      <c r="B2794" s="6" t="s">
        <v>7537</v>
      </c>
      <c r="C2794" s="6">
        <v>1185.0</v>
      </c>
      <c r="D2794" s="9" t="str">
        <f>HYPERLINK("https://www.linkedin.com/ad-library/detail/1407910616","Open Ad")</f>
        <v>Open Ad</v>
      </c>
      <c r="E2794" s="6" t="s">
        <v>91</v>
      </c>
      <c r="F2794" s="6" t="s">
        <v>53</v>
      </c>
      <c r="G2794" s="6" t="s">
        <v>7743</v>
      </c>
      <c r="H2794" s="6" t="s">
        <v>55</v>
      </c>
      <c r="I2794" s="6" t="s">
        <v>7566</v>
      </c>
      <c r="J2794" s="6" t="s">
        <v>91</v>
      </c>
      <c r="K2794" s="9" t="str">
        <f>HYPERLINK("https://media.licdn.com/dms/image/v2/D4E22AQGD81oz3FYM1Q/feedshare-shrink_1280/B4EZ4XQU_HJAAM-/0/1778506617358?e=2147483647&amp;v=beta&amp;t=OdTpu75_XH7oT3LVL22UyGlqQZPOznFr4UZO9OyLEa0","Open Creative")</f>
        <v>Open Creative</v>
      </c>
      <c r="L2794" s="6" t="s">
        <v>131</v>
      </c>
      <c r="M2794" s="6" t="s">
        <v>7537</v>
      </c>
      <c r="N2794" s="6" t="s">
        <v>132</v>
      </c>
      <c r="O2794" s="36" t="s">
        <v>132</v>
      </c>
      <c r="P2794" s="36">
        <v>1.407910616E9</v>
      </c>
      <c r="Q2794" s="36" t="s">
        <v>7541</v>
      </c>
      <c r="R2794" s="6" t="s">
        <v>7542</v>
      </c>
    </row>
    <row r="2795">
      <c r="A2795" s="6" t="s">
        <v>7537</v>
      </c>
      <c r="B2795" s="6" t="s">
        <v>7537</v>
      </c>
      <c r="C2795" s="6">
        <v>1186.0</v>
      </c>
      <c r="D2795" s="9" t="str">
        <f>HYPERLINK("https://www.linkedin.com/ad-library/detail/1407673916","Open Ad")</f>
        <v>Open Ad</v>
      </c>
      <c r="E2795" s="6" t="s">
        <v>91</v>
      </c>
      <c r="F2795" s="6" t="s">
        <v>53</v>
      </c>
      <c r="G2795" s="6" t="s">
        <v>7762</v>
      </c>
      <c r="H2795" s="6" t="s">
        <v>55</v>
      </c>
      <c r="I2795" s="6" t="s">
        <v>7566</v>
      </c>
      <c r="J2795" s="6" t="s">
        <v>91</v>
      </c>
      <c r="K2795" s="6" t="s">
        <v>60</v>
      </c>
      <c r="L2795" s="6" t="s">
        <v>131</v>
      </c>
      <c r="M2795" s="6" t="s">
        <v>7537</v>
      </c>
      <c r="N2795" s="6" t="s">
        <v>132</v>
      </c>
      <c r="O2795" s="36" t="s">
        <v>132</v>
      </c>
      <c r="P2795" s="36">
        <v>1.407673916E9</v>
      </c>
      <c r="Q2795" s="36" t="s">
        <v>7541</v>
      </c>
      <c r="R2795" s="6" t="s">
        <v>7542</v>
      </c>
    </row>
    <row r="2796">
      <c r="A2796" s="6" t="s">
        <v>7537</v>
      </c>
      <c r="B2796" s="6" t="s">
        <v>7537</v>
      </c>
      <c r="C2796" s="6">
        <v>1187.0</v>
      </c>
      <c r="D2796" s="9" t="str">
        <f>HYPERLINK("https://www.linkedin.com/ad-library/detail/1407614806","Open Ad")</f>
        <v>Open Ad</v>
      </c>
      <c r="E2796" s="6" t="s">
        <v>7543</v>
      </c>
      <c r="F2796" s="6" t="s">
        <v>53</v>
      </c>
      <c r="G2796" s="6" t="s">
        <v>7761</v>
      </c>
      <c r="H2796" s="6" t="s">
        <v>55</v>
      </c>
      <c r="I2796" s="6" t="s">
        <v>7566</v>
      </c>
      <c r="J2796" s="6" t="s">
        <v>7546</v>
      </c>
      <c r="K2796" s="6" t="s">
        <v>60</v>
      </c>
      <c r="L2796" s="6" t="s">
        <v>131</v>
      </c>
      <c r="M2796" s="6" t="s">
        <v>7537</v>
      </c>
      <c r="N2796" s="6" t="s">
        <v>132</v>
      </c>
      <c r="O2796" s="36" t="s">
        <v>132</v>
      </c>
      <c r="P2796" s="36">
        <v>1.407614806E9</v>
      </c>
      <c r="Q2796" s="36" t="s">
        <v>7541</v>
      </c>
      <c r="R2796" s="6" t="s">
        <v>7542</v>
      </c>
    </row>
    <row r="2797">
      <c r="A2797" s="6" t="s">
        <v>7537</v>
      </c>
      <c r="B2797" s="6" t="s">
        <v>7537</v>
      </c>
      <c r="C2797" s="6">
        <v>1188.0</v>
      </c>
      <c r="D2797" s="9" t="str">
        <f>HYPERLINK("https://www.linkedin.com/ad-library/detail/1407794486","Open Ad")</f>
        <v>Open Ad</v>
      </c>
      <c r="E2797" s="6" t="s">
        <v>91</v>
      </c>
      <c r="F2797" s="6" t="s">
        <v>53</v>
      </c>
      <c r="G2797" s="6" t="s">
        <v>7597</v>
      </c>
      <c r="H2797" s="6" t="s">
        <v>55</v>
      </c>
      <c r="I2797" s="6" t="s">
        <v>7566</v>
      </c>
      <c r="J2797" s="6" t="s">
        <v>91</v>
      </c>
      <c r="K2797" s="9" t="str">
        <f>HYPERLINK("https://media.licdn.com/dms/image/v2/D5610AQHwfvEneIqQpg/image-shrink_1280/B56Z3WDTp1G0Ac-/0/1777412684628/Ad9png?e=2147483647&amp;v=beta&amp;t=aYxtFLgpOksdc2sW2JhFfLdBL1lU2G76XPJ-90sIZlk","Open Creative")</f>
        <v>Open Creative</v>
      </c>
      <c r="L2797" s="6" t="s">
        <v>131</v>
      </c>
      <c r="M2797" s="6" t="s">
        <v>7537</v>
      </c>
      <c r="N2797" s="6" t="s">
        <v>132</v>
      </c>
      <c r="O2797" s="36" t="s">
        <v>132</v>
      </c>
      <c r="P2797" s="36">
        <v>1.407794486E9</v>
      </c>
      <c r="Q2797" s="36" t="s">
        <v>7541</v>
      </c>
      <c r="R2797" s="6" t="s">
        <v>7542</v>
      </c>
    </row>
    <row r="2798">
      <c r="A2798" s="6" t="s">
        <v>7537</v>
      </c>
      <c r="B2798" s="6" t="s">
        <v>7537</v>
      </c>
      <c r="C2798" s="6">
        <v>1189.0</v>
      </c>
      <c r="D2798" s="9" t="str">
        <f>HYPERLINK("https://www.linkedin.com/ad-library/detail/1407794496","Open Ad")</f>
        <v>Open Ad</v>
      </c>
      <c r="E2798" s="6" t="s">
        <v>91</v>
      </c>
      <c r="F2798" s="6" t="s">
        <v>53</v>
      </c>
      <c r="G2798" s="6" t="s">
        <v>7597</v>
      </c>
      <c r="H2798" s="6" t="s">
        <v>55</v>
      </c>
      <c r="I2798" s="6" t="s">
        <v>7566</v>
      </c>
      <c r="J2798" s="6" t="s">
        <v>91</v>
      </c>
      <c r="K2798" s="9" t="str">
        <f>HYPERLINK("https://media.licdn.com/dms/image/v2/D5610AQH-q8Kfz-YVbQ/image-shrink_1280/B56Z3WDoOFKgAc-/0/1777412768916/Adpng?e=2147483647&amp;v=beta&amp;t=Lvt6Go03KIs4rRA12hIMu8l80ejL9dzwHdp0rAwmuTM","Open Creative")</f>
        <v>Open Creative</v>
      </c>
      <c r="L2798" s="6" t="s">
        <v>131</v>
      </c>
      <c r="M2798" s="6" t="s">
        <v>7537</v>
      </c>
      <c r="N2798" s="6" t="s">
        <v>132</v>
      </c>
      <c r="O2798" s="36" t="s">
        <v>132</v>
      </c>
      <c r="P2798" s="36">
        <v>1.407794496E9</v>
      </c>
      <c r="Q2798" s="36" t="s">
        <v>7541</v>
      </c>
      <c r="R2798" s="6" t="s">
        <v>7542</v>
      </c>
    </row>
    <row r="2799">
      <c r="A2799" s="6" t="s">
        <v>7537</v>
      </c>
      <c r="B2799" s="6" t="s">
        <v>7537</v>
      </c>
      <c r="C2799" s="6">
        <v>1190.0</v>
      </c>
      <c r="D2799" s="9" t="str">
        <f>HYPERLINK("https://www.linkedin.com/ad-library/detail/1407912556","Open Ad")</f>
        <v>Open Ad</v>
      </c>
      <c r="E2799" s="6" t="s">
        <v>91</v>
      </c>
      <c r="F2799" s="6" t="s">
        <v>53</v>
      </c>
      <c r="G2799" s="6" t="s">
        <v>7597</v>
      </c>
      <c r="H2799" s="6" t="s">
        <v>55</v>
      </c>
      <c r="I2799" s="6" t="s">
        <v>7566</v>
      </c>
      <c r="J2799" s="6" t="s">
        <v>91</v>
      </c>
      <c r="K2799" s="9" t="str">
        <f>HYPERLINK("https://media.licdn.com/dms/image/v2/D5610AQFwlPh9OuqQ4A/image-shrink_1280/B56Z39k5SxIkAc-/0/1778075801026/Ad10png?e=2147483647&amp;v=beta&amp;t=LZdF-LfuEKTiB836HBLNFhI94910PU_-tRMjp3lZxJE","Open Creative")</f>
        <v>Open Creative</v>
      </c>
      <c r="L2799" s="6" t="s">
        <v>131</v>
      </c>
      <c r="M2799" s="6" t="s">
        <v>7537</v>
      </c>
      <c r="N2799" s="6" t="s">
        <v>132</v>
      </c>
      <c r="O2799" s="36" t="s">
        <v>132</v>
      </c>
      <c r="P2799" s="36">
        <v>1.407912556E9</v>
      </c>
      <c r="Q2799" s="36" t="s">
        <v>7541</v>
      </c>
      <c r="R2799" s="6" t="s">
        <v>7542</v>
      </c>
    </row>
    <row r="2800">
      <c r="A2800" s="6" t="s">
        <v>7537</v>
      </c>
      <c r="B2800" s="6" t="s">
        <v>7537</v>
      </c>
      <c r="C2800" s="6">
        <v>1191.0</v>
      </c>
      <c r="D2800" s="9" t="str">
        <f>HYPERLINK("https://www.linkedin.com/ad-library/detail/1407776876","Open Ad")</f>
        <v>Open Ad</v>
      </c>
      <c r="E2800" s="6" t="s">
        <v>91</v>
      </c>
      <c r="F2800" s="6" t="s">
        <v>53</v>
      </c>
      <c r="G2800" s="6" t="s">
        <v>7597</v>
      </c>
      <c r="H2800" s="6" t="s">
        <v>55</v>
      </c>
      <c r="I2800" s="6" t="s">
        <v>7566</v>
      </c>
      <c r="J2800" s="6" t="s">
        <v>91</v>
      </c>
      <c r="K2800" s="9" t="str">
        <f>HYPERLINK("https://media.licdn.com/dms/image/v2/D5610AQH-q8Kfz-YVbQ/image-shrink_1280/B56Z3WDoOFKgAc-/0/1777412768916/Adpng?e=2147483647&amp;v=beta&amp;t=Lvt6Go03KIs4rRA12hIMu8l80ejL9dzwHdp0rAwmuTM","Open Creative")</f>
        <v>Open Creative</v>
      </c>
      <c r="L2800" s="6" t="s">
        <v>131</v>
      </c>
      <c r="M2800" s="6" t="s">
        <v>7537</v>
      </c>
      <c r="N2800" s="6" t="s">
        <v>132</v>
      </c>
      <c r="O2800" s="36" t="s">
        <v>132</v>
      </c>
      <c r="P2800" s="36">
        <v>1.407776876E9</v>
      </c>
      <c r="Q2800" s="36" t="s">
        <v>7541</v>
      </c>
      <c r="R2800" s="6" t="s">
        <v>7542</v>
      </c>
    </row>
    <row r="2801">
      <c r="A2801" s="6" t="s">
        <v>7537</v>
      </c>
      <c r="B2801" s="6" t="s">
        <v>7537</v>
      </c>
      <c r="C2801" s="6">
        <v>1192.0</v>
      </c>
      <c r="D2801" s="9" t="str">
        <f>HYPERLINK("https://www.linkedin.com/ad-library/detail/1407812536","Open Ad")</f>
        <v>Open Ad</v>
      </c>
      <c r="E2801" s="6" t="s">
        <v>91</v>
      </c>
      <c r="F2801" s="6" t="s">
        <v>53</v>
      </c>
      <c r="G2801" s="6" t="s">
        <v>7743</v>
      </c>
      <c r="H2801" s="6" t="s">
        <v>55</v>
      </c>
      <c r="I2801" s="6" t="s">
        <v>7566</v>
      </c>
      <c r="J2801" s="6" t="s">
        <v>91</v>
      </c>
      <c r="K2801" s="9" t="str">
        <f t="shared" ref="K2801:K2802" si="122">HYPERLINK("https://media.licdn.com/dms/image/v2/D4E22AQGD81oz3FYM1Q/feedshare-shrink_1280/B4EZ4XQU_HJAAM-/0/1778506617358?e=2147483647&amp;v=beta&amp;t=OdTpu75_XH7oT3LVL22UyGlqQZPOznFr4UZO9OyLEa0","Open Creative")</f>
        <v>Open Creative</v>
      </c>
      <c r="L2801" s="6" t="s">
        <v>131</v>
      </c>
      <c r="M2801" s="6" t="s">
        <v>7537</v>
      </c>
      <c r="N2801" s="6" t="s">
        <v>132</v>
      </c>
      <c r="O2801" s="36" t="s">
        <v>132</v>
      </c>
      <c r="P2801" s="36">
        <v>1.407812536E9</v>
      </c>
      <c r="Q2801" s="36" t="s">
        <v>7541</v>
      </c>
      <c r="R2801" s="6" t="s">
        <v>7542</v>
      </c>
    </row>
    <row r="2802">
      <c r="A2802" s="6" t="s">
        <v>7537</v>
      </c>
      <c r="B2802" s="6" t="s">
        <v>7537</v>
      </c>
      <c r="C2802" s="6">
        <v>1193.0</v>
      </c>
      <c r="D2802" s="9" t="str">
        <f>HYPERLINK("https://www.linkedin.com/ad-library/detail/1407881156","Open Ad")</f>
        <v>Open Ad</v>
      </c>
      <c r="E2802" s="6" t="s">
        <v>91</v>
      </c>
      <c r="F2802" s="6" t="s">
        <v>53</v>
      </c>
      <c r="G2802" s="6" t="s">
        <v>7743</v>
      </c>
      <c r="H2802" s="6" t="s">
        <v>55</v>
      </c>
      <c r="I2802" s="6" t="s">
        <v>7566</v>
      </c>
      <c r="J2802" s="6" t="s">
        <v>91</v>
      </c>
      <c r="K2802" s="9" t="str">
        <f t="shared" si="122"/>
        <v>Open Creative</v>
      </c>
      <c r="L2802" s="6" t="s">
        <v>131</v>
      </c>
      <c r="M2802" s="6" t="s">
        <v>7537</v>
      </c>
      <c r="N2802" s="6" t="s">
        <v>132</v>
      </c>
      <c r="O2802" s="36" t="s">
        <v>132</v>
      </c>
      <c r="P2802" s="36">
        <v>1.407881156E9</v>
      </c>
      <c r="Q2802" s="36" t="s">
        <v>7541</v>
      </c>
      <c r="R2802" s="6" t="s">
        <v>7542</v>
      </c>
    </row>
    <row r="2803">
      <c r="A2803" s="6" t="s">
        <v>7537</v>
      </c>
      <c r="B2803" s="6" t="s">
        <v>7537</v>
      </c>
      <c r="C2803" s="6">
        <v>1194.0</v>
      </c>
      <c r="D2803" s="9" t="str">
        <f>HYPERLINK("https://www.linkedin.com/ad-library/detail/1407912566","Open Ad")</f>
        <v>Open Ad</v>
      </c>
      <c r="E2803" s="6" t="s">
        <v>91</v>
      </c>
      <c r="F2803" s="6" t="s">
        <v>53</v>
      </c>
      <c r="G2803" s="6" t="s">
        <v>7597</v>
      </c>
      <c r="H2803" s="6" t="s">
        <v>55</v>
      </c>
      <c r="I2803" s="6" t="s">
        <v>7566</v>
      </c>
      <c r="J2803" s="6" t="s">
        <v>91</v>
      </c>
      <c r="K2803" s="9" t="str">
        <f>HYPERLINK("https://media.licdn.com/dms/image/v2/D5610AQEaAP2ePthrkg/image-shrink_1280/B56Z3WEHN.KkAc-/0/1777412895878/Ad12png?e=2147483647&amp;v=beta&amp;t=T2wKzNoxIXKU0UU_eFAjRvI7gkBs3J8l1XJINIpnIvs","Open Creative")</f>
        <v>Open Creative</v>
      </c>
      <c r="L2803" s="6" t="s">
        <v>131</v>
      </c>
      <c r="M2803" s="6" t="s">
        <v>7537</v>
      </c>
      <c r="N2803" s="6" t="s">
        <v>132</v>
      </c>
      <c r="O2803" s="36" t="s">
        <v>132</v>
      </c>
      <c r="P2803" s="36">
        <v>1.407912566E9</v>
      </c>
      <c r="Q2803" s="36" t="s">
        <v>7541</v>
      </c>
      <c r="R2803" s="6" t="s">
        <v>7542</v>
      </c>
    </row>
    <row r="2804">
      <c r="A2804" s="6" t="s">
        <v>7537</v>
      </c>
      <c r="B2804" s="6" t="s">
        <v>7537</v>
      </c>
      <c r="C2804" s="6">
        <v>1195.0</v>
      </c>
      <c r="D2804" s="9" t="str">
        <f>HYPERLINK("https://www.linkedin.com/ad-library/detail/1407881146","Open Ad")</f>
        <v>Open Ad</v>
      </c>
      <c r="E2804" s="6" t="s">
        <v>91</v>
      </c>
      <c r="F2804" s="6" t="s">
        <v>53</v>
      </c>
      <c r="G2804" s="6" t="s">
        <v>7743</v>
      </c>
      <c r="H2804" s="6" t="s">
        <v>55</v>
      </c>
      <c r="I2804" s="6" t="s">
        <v>7566</v>
      </c>
      <c r="J2804" s="6" t="s">
        <v>91</v>
      </c>
      <c r="K2804" s="9" t="str">
        <f t="shared" ref="K2804:K2805" si="123">HYPERLINK("https://media.licdn.com/dms/image/v2/D4E22AQGD81oz3FYM1Q/feedshare-shrink_1280/B4EZ4XQU_HJAAM-/0/1778506617358?e=2147483647&amp;v=beta&amp;t=OdTpu75_XH7oT3LVL22UyGlqQZPOznFr4UZO9OyLEa0","Open Creative")</f>
        <v>Open Creative</v>
      </c>
      <c r="L2804" s="6" t="s">
        <v>131</v>
      </c>
      <c r="M2804" s="6" t="s">
        <v>7537</v>
      </c>
      <c r="N2804" s="6" t="s">
        <v>132</v>
      </c>
      <c r="O2804" s="36" t="s">
        <v>132</v>
      </c>
      <c r="P2804" s="36">
        <v>1.407881146E9</v>
      </c>
      <c r="Q2804" s="36" t="s">
        <v>68</v>
      </c>
      <c r="R2804" s="6" t="s">
        <v>7763</v>
      </c>
    </row>
    <row r="2805">
      <c r="A2805" s="6" t="s">
        <v>7537</v>
      </c>
      <c r="B2805" s="6" t="s">
        <v>7537</v>
      </c>
      <c r="C2805" s="6">
        <v>1196.0</v>
      </c>
      <c r="D2805" s="9" t="str">
        <f>HYPERLINK("https://www.linkedin.com/ad-library/detail/1407881176","Open Ad")</f>
        <v>Open Ad</v>
      </c>
      <c r="E2805" s="6" t="s">
        <v>91</v>
      </c>
      <c r="F2805" s="6" t="s">
        <v>53</v>
      </c>
      <c r="G2805" s="6" t="s">
        <v>7743</v>
      </c>
      <c r="H2805" s="6" t="s">
        <v>55</v>
      </c>
      <c r="I2805" s="6" t="s">
        <v>7566</v>
      </c>
      <c r="J2805" s="6" t="s">
        <v>91</v>
      </c>
      <c r="K2805" s="9" t="str">
        <f t="shared" si="123"/>
        <v>Open Creative</v>
      </c>
      <c r="L2805" s="6" t="s">
        <v>131</v>
      </c>
      <c r="M2805" s="6" t="s">
        <v>7537</v>
      </c>
      <c r="N2805" s="6" t="s">
        <v>132</v>
      </c>
      <c r="O2805" s="36" t="s">
        <v>132</v>
      </c>
      <c r="P2805" s="36">
        <v>1.407881176E9</v>
      </c>
      <c r="Q2805" s="36" t="s">
        <v>7541</v>
      </c>
      <c r="R2805" s="6" t="s">
        <v>7542</v>
      </c>
    </row>
    <row r="2806">
      <c r="A2806" s="6" t="s">
        <v>7537</v>
      </c>
      <c r="B2806" s="6" t="s">
        <v>7537</v>
      </c>
      <c r="C2806" s="6">
        <v>1197.0</v>
      </c>
      <c r="D2806" s="9" t="str">
        <f>HYPERLINK("https://www.linkedin.com/ad-library/detail/1407703916","Open Ad")</f>
        <v>Open Ad</v>
      </c>
      <c r="E2806" s="6" t="s">
        <v>91</v>
      </c>
      <c r="F2806" s="6" t="s">
        <v>53</v>
      </c>
      <c r="G2806" s="6" t="s">
        <v>7762</v>
      </c>
      <c r="H2806" s="6" t="s">
        <v>55</v>
      </c>
      <c r="I2806" s="6" t="s">
        <v>7566</v>
      </c>
      <c r="J2806" s="6" t="s">
        <v>91</v>
      </c>
      <c r="K2806" s="6" t="s">
        <v>60</v>
      </c>
      <c r="L2806" s="6" t="s">
        <v>131</v>
      </c>
      <c r="M2806" s="6" t="s">
        <v>7537</v>
      </c>
      <c r="N2806" s="6" t="s">
        <v>132</v>
      </c>
      <c r="O2806" s="36" t="s">
        <v>132</v>
      </c>
      <c r="P2806" s="36">
        <v>1.407703916E9</v>
      </c>
      <c r="Q2806" s="36" t="s">
        <v>7541</v>
      </c>
      <c r="R2806" s="6" t="s">
        <v>7542</v>
      </c>
    </row>
    <row r="2807">
      <c r="A2807" s="6" t="s">
        <v>7537</v>
      </c>
      <c r="B2807" s="6" t="s">
        <v>7537</v>
      </c>
      <c r="C2807" s="6">
        <v>1198.0</v>
      </c>
      <c r="D2807" s="9" t="str">
        <f>HYPERLINK("https://www.linkedin.com/ad-library/detail/1407822566","Open Ad")</f>
        <v>Open Ad</v>
      </c>
      <c r="E2807" s="6" t="s">
        <v>91</v>
      </c>
      <c r="F2807" s="6" t="s">
        <v>53</v>
      </c>
      <c r="G2807" s="6" t="s">
        <v>7764</v>
      </c>
      <c r="H2807" s="6" t="s">
        <v>55</v>
      </c>
      <c r="I2807" s="6" t="s">
        <v>7566</v>
      </c>
      <c r="J2807" s="6" t="s">
        <v>91</v>
      </c>
      <c r="K2807" s="9" t="str">
        <f>HYPERLINK("https://media.licdn.com/dms/image/v2/D4E1EAQGJmjoKbsnccQ/event-background-image-crop_720_1280/B4EZ4XfEpmJMAQ-/0/1778510482710?e=2147483647&amp;v=beta&amp;t=C8aDRZJDlhG_NrdaAD2MlQsiOTU0HJCf0DbhZQGcMfM","Open Creative")</f>
        <v>Open Creative</v>
      </c>
      <c r="L2807" s="6" t="s">
        <v>131</v>
      </c>
      <c r="M2807" s="6" t="s">
        <v>7537</v>
      </c>
      <c r="N2807" s="6" t="s">
        <v>132</v>
      </c>
      <c r="O2807" s="36" t="s">
        <v>132</v>
      </c>
      <c r="P2807" s="36">
        <v>1.407822566E9</v>
      </c>
      <c r="Q2807" s="36" t="s">
        <v>7541</v>
      </c>
      <c r="R2807" s="6" t="s">
        <v>7542</v>
      </c>
    </row>
    <row r="2808">
      <c r="A2808" s="6" t="s">
        <v>7537</v>
      </c>
      <c r="B2808" s="6" t="s">
        <v>7537</v>
      </c>
      <c r="C2808" s="6">
        <v>1199.0</v>
      </c>
      <c r="D2808" s="9" t="str">
        <f>HYPERLINK("https://www.linkedin.com/ad-library/detail/1407823436","Open Ad")</f>
        <v>Open Ad</v>
      </c>
      <c r="E2808" s="6" t="s">
        <v>91</v>
      </c>
      <c r="F2808" s="6" t="s">
        <v>53</v>
      </c>
      <c r="G2808" s="6" t="s">
        <v>7597</v>
      </c>
      <c r="H2808" s="6" t="s">
        <v>55</v>
      </c>
      <c r="I2808" s="6" t="s">
        <v>7566</v>
      </c>
      <c r="J2808" s="6" t="s">
        <v>91</v>
      </c>
      <c r="K2808" s="9" t="str">
        <f>HYPERLINK("https://media.licdn.com/dms/image/v2/D5610AQHwfvEneIqQpg/image-shrink_1280/B56Z3WDTp1G0Ac-/0/1777412684628/Ad9png?e=2147483647&amp;v=beta&amp;t=aYxtFLgpOksdc2sW2JhFfLdBL1lU2G76XPJ-90sIZlk","Open Creative")</f>
        <v>Open Creative</v>
      </c>
      <c r="L2808" s="6" t="s">
        <v>131</v>
      </c>
      <c r="M2808" s="6" t="s">
        <v>7537</v>
      </c>
      <c r="N2808" s="6" t="s">
        <v>132</v>
      </c>
      <c r="O2808" s="36" t="s">
        <v>132</v>
      </c>
      <c r="P2808" s="36">
        <v>1.407823436E9</v>
      </c>
      <c r="Q2808" s="36" t="s">
        <v>7541</v>
      </c>
      <c r="R2808" s="6" t="s">
        <v>7542</v>
      </c>
    </row>
    <row r="2809">
      <c r="A2809" s="6" t="s">
        <v>7537</v>
      </c>
      <c r="B2809" s="6" t="s">
        <v>7537</v>
      </c>
      <c r="C2809" s="6">
        <v>1200.0</v>
      </c>
      <c r="D2809" s="9" t="str">
        <f>HYPERLINK("https://www.linkedin.com/ad-library/detail/1407952046","Open Ad")</f>
        <v>Open Ad</v>
      </c>
      <c r="E2809" s="6" t="s">
        <v>91</v>
      </c>
      <c r="F2809" s="6" t="s">
        <v>53</v>
      </c>
      <c r="G2809" s="6" t="s">
        <v>7597</v>
      </c>
      <c r="H2809" s="6" t="s">
        <v>55</v>
      </c>
      <c r="I2809" s="6" t="s">
        <v>7566</v>
      </c>
      <c r="J2809" s="6" t="s">
        <v>91</v>
      </c>
      <c r="K2809" s="9" t="str">
        <f>HYPERLINK("https://media.licdn.com/dms/image/v2/D5610AQEaAP2ePthrkg/image-shrink_1280/B56Z3WEHN.KkAc-/0/1777412895878/Ad12png?e=2147483647&amp;v=beta&amp;t=T2wKzNoxIXKU0UU_eFAjRvI7gkBs3J8l1XJINIpnIvs","Open Creative")</f>
        <v>Open Creative</v>
      </c>
      <c r="L2809" s="6" t="s">
        <v>131</v>
      </c>
      <c r="M2809" s="6" t="s">
        <v>7537</v>
      </c>
      <c r="N2809" s="6" t="s">
        <v>132</v>
      </c>
      <c r="O2809" s="36" t="s">
        <v>132</v>
      </c>
      <c r="P2809" s="36">
        <v>1.407952046E9</v>
      </c>
      <c r="Q2809" s="36" t="s">
        <v>7541</v>
      </c>
      <c r="R2809" s="6" t="s">
        <v>7542</v>
      </c>
    </row>
    <row r="2810">
      <c r="A2810" s="6" t="s">
        <v>7537</v>
      </c>
      <c r="B2810" s="6" t="s">
        <v>7537</v>
      </c>
      <c r="C2810" s="6">
        <v>1201.0</v>
      </c>
      <c r="D2810" s="9" t="str">
        <f>HYPERLINK("https://www.linkedin.com/ad-library/detail/1407054456","Open Ad")</f>
        <v>Open Ad</v>
      </c>
      <c r="E2810" s="6" t="s">
        <v>91</v>
      </c>
      <c r="F2810" s="6" t="s">
        <v>53</v>
      </c>
      <c r="G2810" s="6" t="s">
        <v>7750</v>
      </c>
      <c r="H2810" s="6" t="s">
        <v>55</v>
      </c>
      <c r="I2810" s="6" t="s">
        <v>7566</v>
      </c>
      <c r="J2810" s="6" t="s">
        <v>91</v>
      </c>
      <c r="K2810" s="9" t="str">
        <f>HYPERLINK("https://media.licdn.com/dms/image/v2/D4E10AQFu8KZz_7vc0g/image-shrink_1280/B4EZ4EWOD4JsAc-/0/1778189395117?e=2147483647&amp;v=beta&amp;t=MFHh8ZziJJ66eADx3_Yp_sCjThDVa31duNVTpQCBmRg","Open Creative")</f>
        <v>Open Creative</v>
      </c>
      <c r="L2810" s="6" t="s">
        <v>131</v>
      </c>
      <c r="M2810" s="6" t="s">
        <v>7537</v>
      </c>
      <c r="N2810" s="6" t="s">
        <v>132</v>
      </c>
      <c r="O2810" s="36" t="s">
        <v>132</v>
      </c>
      <c r="P2810" s="36">
        <v>1.407054456E9</v>
      </c>
      <c r="Q2810" s="36" t="s">
        <v>7541</v>
      </c>
      <c r="R2810" s="6" t="s">
        <v>7542</v>
      </c>
    </row>
    <row r="2811">
      <c r="A2811" s="6" t="s">
        <v>7537</v>
      </c>
      <c r="B2811" s="6" t="s">
        <v>7537</v>
      </c>
      <c r="C2811" s="6">
        <v>1202.0</v>
      </c>
      <c r="D2811" s="9" t="str">
        <f>HYPERLINK("https://www.linkedin.com/ad-library/detail/1407054386","Open Ad")</f>
        <v>Open Ad</v>
      </c>
      <c r="E2811" s="6" t="s">
        <v>154</v>
      </c>
      <c r="F2811" s="6" t="s">
        <v>53</v>
      </c>
      <c r="G2811" s="6" t="s">
        <v>7739</v>
      </c>
      <c r="H2811" s="6" t="s">
        <v>55</v>
      </c>
      <c r="I2811" s="6" t="s">
        <v>7566</v>
      </c>
      <c r="J2811" s="6" t="s">
        <v>154</v>
      </c>
      <c r="K2811" s="9" t="str">
        <f>HYPERLINK("https://dms.licdn.com/playlist/vid/v2/D4E10AQHaVnlTZWO5lQ/mp4-640p-30fp-crf28/B4EZ4EDxT1IABE-/0/1778184568233?e=2147483647&amp;v=beta&amp;t=jeKB-nUJMbPs44wNiftahuqppmxwQaFreN02VRMJGkw","Open Creative")</f>
        <v>Open Creative</v>
      </c>
      <c r="L2811" s="6" t="s">
        <v>131</v>
      </c>
      <c r="M2811" s="6" t="s">
        <v>7537</v>
      </c>
      <c r="N2811" s="6" t="s">
        <v>132</v>
      </c>
      <c r="O2811" s="36" t="s">
        <v>132</v>
      </c>
      <c r="P2811" s="36">
        <v>1.407054386E9</v>
      </c>
      <c r="Q2811" s="36" t="s">
        <v>7541</v>
      </c>
      <c r="R2811" s="6" t="s">
        <v>7542</v>
      </c>
    </row>
    <row r="2812">
      <c r="A2812" s="6" t="s">
        <v>7537</v>
      </c>
      <c r="B2812" s="6" t="s">
        <v>7537</v>
      </c>
      <c r="C2812" s="6">
        <v>1203.0</v>
      </c>
      <c r="D2812" s="9" t="str">
        <f>HYPERLINK("https://www.linkedin.com/ad-library/detail/1407140896","Open Ad")</f>
        <v>Open Ad</v>
      </c>
      <c r="E2812" s="6" t="s">
        <v>154</v>
      </c>
      <c r="F2812" s="6" t="s">
        <v>53</v>
      </c>
      <c r="G2812" s="6" t="s">
        <v>7765</v>
      </c>
      <c r="H2812" s="6" t="s">
        <v>55</v>
      </c>
      <c r="I2812" s="6" t="s">
        <v>7566</v>
      </c>
      <c r="J2812" s="6" t="s">
        <v>154</v>
      </c>
      <c r="K2812" s="9" t="str">
        <f>HYPERLINK("https://dms.licdn.com/playlist/vid/v2/D4E10AQGOyPFo4VVnAg/mp4-640p-30fp-crf28/B4EZ398Z5sJ4BI-/0/1778081967815?e=2147483647&amp;v=beta&amp;t=FzUuD4C0bQ8yZU5CmStuCf0dCBi2H2Sj6qyZzw_h8Lk","Open Creative")</f>
        <v>Open Creative</v>
      </c>
      <c r="L2812" s="6" t="s">
        <v>131</v>
      </c>
      <c r="M2812" s="6" t="s">
        <v>7537</v>
      </c>
      <c r="N2812" s="6" t="s">
        <v>132</v>
      </c>
      <c r="O2812" s="36" t="s">
        <v>132</v>
      </c>
      <c r="P2812" s="36">
        <v>1.407140896E9</v>
      </c>
      <c r="Q2812" s="36" t="s">
        <v>7541</v>
      </c>
      <c r="R2812" s="6" t="s">
        <v>7542</v>
      </c>
    </row>
    <row r="2813">
      <c r="A2813" s="6" t="s">
        <v>7537</v>
      </c>
      <c r="B2813" s="6" t="s">
        <v>7537</v>
      </c>
      <c r="C2813" s="6">
        <v>1204.0</v>
      </c>
      <c r="D2813" s="9" t="str">
        <f>HYPERLINK("https://www.linkedin.com/ad-library/detail/1407170846","Open Ad")</f>
        <v>Open Ad</v>
      </c>
      <c r="E2813" s="6" t="s">
        <v>91</v>
      </c>
      <c r="F2813" s="6" t="s">
        <v>53</v>
      </c>
      <c r="G2813" s="6" t="s">
        <v>7750</v>
      </c>
      <c r="H2813" s="6" t="s">
        <v>55</v>
      </c>
      <c r="I2813" s="6" t="s">
        <v>7566</v>
      </c>
      <c r="J2813" s="6" t="s">
        <v>91</v>
      </c>
      <c r="K2813" s="9" t="str">
        <f>HYPERLINK("https://media.licdn.com/dms/image/v2/D4E10AQFu8KZz_7vc0g/image-shrink_1280/B4EZ4EWOD4JsAc-/0/1778189395117?e=2147483647&amp;v=beta&amp;t=MFHh8ZziJJ66eADx3_Yp_sCjThDVa31duNVTpQCBmRg","Open Creative")</f>
        <v>Open Creative</v>
      </c>
      <c r="L2813" s="6" t="s">
        <v>131</v>
      </c>
      <c r="M2813" s="6" t="s">
        <v>7537</v>
      </c>
      <c r="N2813" s="6" t="s">
        <v>132</v>
      </c>
      <c r="O2813" s="36" t="s">
        <v>132</v>
      </c>
      <c r="P2813" s="36">
        <v>1.407170846E9</v>
      </c>
      <c r="Q2813" s="36" t="s">
        <v>7541</v>
      </c>
      <c r="R2813" s="6" t="s">
        <v>7542</v>
      </c>
    </row>
    <row r="2814">
      <c r="A2814" s="6" t="s">
        <v>7537</v>
      </c>
      <c r="B2814" s="6" t="s">
        <v>7537</v>
      </c>
      <c r="C2814" s="6">
        <v>1205.0</v>
      </c>
      <c r="D2814" s="9" t="str">
        <f>HYPERLINK("https://www.linkedin.com/ad-library/detail/1407575866","Open Ad")</f>
        <v>Open Ad</v>
      </c>
      <c r="E2814" s="6" t="s">
        <v>7543</v>
      </c>
      <c r="F2814" s="6" t="s">
        <v>53</v>
      </c>
      <c r="G2814" s="6" t="s">
        <v>7761</v>
      </c>
      <c r="H2814" s="6" t="s">
        <v>55</v>
      </c>
      <c r="I2814" s="6" t="s">
        <v>7566</v>
      </c>
      <c r="J2814" s="6" t="s">
        <v>7546</v>
      </c>
      <c r="K2814" s="6" t="s">
        <v>60</v>
      </c>
      <c r="L2814" s="6" t="s">
        <v>131</v>
      </c>
      <c r="M2814" s="6" t="s">
        <v>7537</v>
      </c>
      <c r="N2814" s="6" t="s">
        <v>132</v>
      </c>
      <c r="O2814" s="36" t="s">
        <v>132</v>
      </c>
      <c r="P2814" s="36">
        <v>1.407575866E9</v>
      </c>
      <c r="Q2814" s="36" t="s">
        <v>7541</v>
      </c>
      <c r="R2814" s="6" t="s">
        <v>7542</v>
      </c>
    </row>
    <row r="2815">
      <c r="A2815" s="6" t="s">
        <v>7537</v>
      </c>
      <c r="B2815" s="6" t="s">
        <v>7537</v>
      </c>
      <c r="C2815" s="6">
        <v>1206.0</v>
      </c>
      <c r="D2815" s="9" t="str">
        <f>HYPERLINK("https://www.linkedin.com/ad-library/detail/1407150946","Open Ad")</f>
        <v>Open Ad</v>
      </c>
      <c r="E2815" s="6" t="s">
        <v>154</v>
      </c>
      <c r="F2815" s="6" t="s">
        <v>53</v>
      </c>
      <c r="G2815" s="6" t="s">
        <v>7765</v>
      </c>
      <c r="H2815" s="6" t="s">
        <v>55</v>
      </c>
      <c r="I2815" s="6" t="s">
        <v>7566</v>
      </c>
      <c r="J2815" s="6" t="s">
        <v>154</v>
      </c>
      <c r="K2815" s="9" t="str">
        <f t="shared" ref="K2815:K2816" si="124">HYPERLINK("https://dms.licdn.com/playlist/vid/v2/D4E10AQGOyPFo4VVnAg/mp4-640p-30fp-crf28/B4EZ398Z5sJ4BI-/0/1778081967815?e=2147483647&amp;v=beta&amp;t=FzUuD4C0bQ8yZU5CmStuCf0dCBi2H2Sj6qyZzw_h8Lk","Open Creative")</f>
        <v>Open Creative</v>
      </c>
      <c r="L2815" s="6" t="s">
        <v>131</v>
      </c>
      <c r="M2815" s="6" t="s">
        <v>7537</v>
      </c>
      <c r="N2815" s="6" t="s">
        <v>132</v>
      </c>
      <c r="O2815" s="36" t="s">
        <v>132</v>
      </c>
      <c r="P2815" s="36">
        <v>1.407150946E9</v>
      </c>
      <c r="Q2815" s="36" t="s">
        <v>7541</v>
      </c>
      <c r="R2815" s="6" t="s">
        <v>7542</v>
      </c>
    </row>
    <row r="2816">
      <c r="A2816" s="6" t="s">
        <v>7537</v>
      </c>
      <c r="B2816" s="6" t="s">
        <v>7537</v>
      </c>
      <c r="C2816" s="6">
        <v>1207.0</v>
      </c>
      <c r="D2816" s="9" t="str">
        <f>HYPERLINK("https://www.linkedin.com/ad-library/detail/1407220536","Open Ad")</f>
        <v>Open Ad</v>
      </c>
      <c r="E2816" s="6" t="s">
        <v>154</v>
      </c>
      <c r="F2816" s="6" t="s">
        <v>53</v>
      </c>
      <c r="G2816" s="6" t="s">
        <v>7765</v>
      </c>
      <c r="H2816" s="6" t="s">
        <v>55</v>
      </c>
      <c r="I2816" s="6" t="s">
        <v>7566</v>
      </c>
      <c r="J2816" s="6" t="s">
        <v>154</v>
      </c>
      <c r="K2816" s="9" t="str">
        <f t="shared" si="124"/>
        <v>Open Creative</v>
      </c>
      <c r="L2816" s="6" t="s">
        <v>131</v>
      </c>
      <c r="M2816" s="6" t="s">
        <v>7537</v>
      </c>
      <c r="N2816" s="6" t="s">
        <v>132</v>
      </c>
      <c r="O2816" s="36" t="s">
        <v>132</v>
      </c>
      <c r="P2816" s="36">
        <v>1.407220536E9</v>
      </c>
      <c r="Q2816" s="36" t="s">
        <v>7541</v>
      </c>
      <c r="R2816" s="6" t="s">
        <v>7542</v>
      </c>
    </row>
    <row r="2817">
      <c r="A2817" s="6" t="s">
        <v>7537</v>
      </c>
      <c r="B2817" s="6" t="s">
        <v>7537</v>
      </c>
      <c r="C2817" s="6">
        <v>1208.0</v>
      </c>
      <c r="D2817" s="9" t="str">
        <f>HYPERLINK("https://www.linkedin.com/ad-library/detail/1407054436","Open Ad")</f>
        <v>Open Ad</v>
      </c>
      <c r="E2817" s="6" t="s">
        <v>91</v>
      </c>
      <c r="F2817" s="6" t="s">
        <v>53</v>
      </c>
      <c r="G2817" s="6" t="s">
        <v>7766</v>
      </c>
      <c r="H2817" s="6" t="s">
        <v>55</v>
      </c>
      <c r="I2817" s="6" t="s">
        <v>7566</v>
      </c>
      <c r="J2817" s="6" t="s">
        <v>91</v>
      </c>
      <c r="K2817" s="9" t="str">
        <f t="shared" ref="K2817:K2819" si="125">HYPERLINK("https://media.licdn.com/dms/image/v2/D4E10AQGmtPqCgoagJQ/image-shrink_1280/B4EZ3.X8mDIcAc-/0/1778089184291?e=2147483647&amp;v=beta&amp;t=1l-JvWCbAMB657E-rj2DB5DThdy4JIxWLdw9o-_ECJg","Open Creative")</f>
        <v>Open Creative</v>
      </c>
      <c r="L2817" s="6" t="s">
        <v>131</v>
      </c>
      <c r="M2817" s="6" t="s">
        <v>7537</v>
      </c>
      <c r="N2817" s="6" t="s">
        <v>132</v>
      </c>
      <c r="O2817" s="36" t="s">
        <v>132</v>
      </c>
      <c r="P2817" s="36">
        <v>1.407054436E9</v>
      </c>
      <c r="Q2817" s="36" t="s">
        <v>7541</v>
      </c>
      <c r="R2817" s="6" t="s">
        <v>7542</v>
      </c>
    </row>
    <row r="2818">
      <c r="A2818" s="6" t="s">
        <v>7537</v>
      </c>
      <c r="B2818" s="6" t="s">
        <v>7537</v>
      </c>
      <c r="C2818" s="6">
        <v>1209.0</v>
      </c>
      <c r="D2818" s="9" t="str">
        <f>HYPERLINK("https://www.linkedin.com/ad-library/detail/1407220636","Open Ad")</f>
        <v>Open Ad</v>
      </c>
      <c r="E2818" s="6" t="s">
        <v>91</v>
      </c>
      <c r="F2818" s="6" t="s">
        <v>53</v>
      </c>
      <c r="G2818" s="6" t="s">
        <v>7766</v>
      </c>
      <c r="H2818" s="6" t="s">
        <v>55</v>
      </c>
      <c r="I2818" s="6" t="s">
        <v>7566</v>
      </c>
      <c r="J2818" s="6" t="s">
        <v>91</v>
      </c>
      <c r="K2818" s="9" t="str">
        <f t="shared" si="125"/>
        <v>Open Creative</v>
      </c>
      <c r="L2818" s="6" t="s">
        <v>131</v>
      </c>
      <c r="M2818" s="6" t="s">
        <v>7537</v>
      </c>
      <c r="N2818" s="6" t="s">
        <v>132</v>
      </c>
      <c r="O2818" s="36" t="s">
        <v>132</v>
      </c>
      <c r="P2818" s="36">
        <v>1.407220636E9</v>
      </c>
      <c r="Q2818" s="36" t="s">
        <v>7541</v>
      </c>
      <c r="R2818" s="6" t="s">
        <v>7542</v>
      </c>
    </row>
    <row r="2819">
      <c r="A2819" s="6" t="s">
        <v>7537</v>
      </c>
      <c r="B2819" s="6" t="s">
        <v>7537</v>
      </c>
      <c r="C2819" s="6">
        <v>1210.0</v>
      </c>
      <c r="D2819" s="9" t="str">
        <f>HYPERLINK("https://www.linkedin.com/ad-library/detail/1407091766","Open Ad")</f>
        <v>Open Ad</v>
      </c>
      <c r="E2819" s="6" t="s">
        <v>91</v>
      </c>
      <c r="F2819" s="6" t="s">
        <v>53</v>
      </c>
      <c r="G2819" s="6" t="s">
        <v>7766</v>
      </c>
      <c r="H2819" s="6" t="s">
        <v>55</v>
      </c>
      <c r="I2819" s="6" t="s">
        <v>7566</v>
      </c>
      <c r="J2819" s="6" t="s">
        <v>91</v>
      </c>
      <c r="K2819" s="9" t="str">
        <f t="shared" si="125"/>
        <v>Open Creative</v>
      </c>
      <c r="L2819" s="6" t="s">
        <v>131</v>
      </c>
      <c r="M2819" s="6" t="s">
        <v>7537</v>
      </c>
      <c r="N2819" s="6" t="s">
        <v>132</v>
      </c>
      <c r="O2819" s="36" t="s">
        <v>132</v>
      </c>
      <c r="P2819" s="36">
        <v>1.407091766E9</v>
      </c>
      <c r="Q2819" s="36" t="s">
        <v>7541</v>
      </c>
      <c r="R2819" s="6" t="s">
        <v>7542</v>
      </c>
    </row>
    <row r="2820">
      <c r="A2820" s="6" t="s">
        <v>7537</v>
      </c>
      <c r="B2820" s="6" t="s">
        <v>7537</v>
      </c>
      <c r="C2820" s="6">
        <v>1211.0</v>
      </c>
      <c r="D2820" s="9" t="str">
        <f>HYPERLINK("https://www.linkedin.com/ad-library/detail/1407210546","Open Ad")</f>
        <v>Open Ad</v>
      </c>
      <c r="E2820" s="6" t="s">
        <v>154</v>
      </c>
      <c r="F2820" s="6" t="s">
        <v>53</v>
      </c>
      <c r="G2820" s="6" t="s">
        <v>7739</v>
      </c>
      <c r="H2820" s="6" t="s">
        <v>55</v>
      </c>
      <c r="I2820" s="6" t="s">
        <v>7566</v>
      </c>
      <c r="J2820" s="6" t="s">
        <v>154</v>
      </c>
      <c r="K2820" s="9" t="str">
        <f>HYPERLINK("https://dms.licdn.com/playlist/vid/v2/D4E10AQHaVnlTZWO5lQ/mp4-640p-30fp-crf28/B4EZ4EDxT1IABE-/0/1778184568233?e=2147483647&amp;v=beta&amp;t=jeKB-nUJMbPs44wNiftahuqppmxwQaFreN02VRMJGkw","Open Creative")</f>
        <v>Open Creative</v>
      </c>
      <c r="L2820" s="6" t="s">
        <v>131</v>
      </c>
      <c r="M2820" s="6" t="s">
        <v>7537</v>
      </c>
      <c r="N2820" s="6" t="s">
        <v>132</v>
      </c>
      <c r="O2820" s="36" t="s">
        <v>132</v>
      </c>
      <c r="P2820" s="36">
        <v>1.407210546E9</v>
      </c>
      <c r="Q2820" s="36" t="s">
        <v>7541</v>
      </c>
      <c r="R2820" s="6" t="s">
        <v>7542</v>
      </c>
    </row>
    <row r="2821">
      <c r="A2821" s="6" t="s">
        <v>7537</v>
      </c>
      <c r="B2821" s="6" t="s">
        <v>7537</v>
      </c>
      <c r="C2821" s="6">
        <v>1212.0</v>
      </c>
      <c r="D2821" s="9" t="str">
        <f>HYPERLINK("https://www.linkedin.com/ad-library/detail/1407019626","Open Ad")</f>
        <v>Open Ad</v>
      </c>
      <c r="E2821" s="6" t="s">
        <v>154</v>
      </c>
      <c r="F2821" s="6" t="s">
        <v>53</v>
      </c>
      <c r="G2821" s="6" t="s">
        <v>7765</v>
      </c>
      <c r="H2821" s="6" t="s">
        <v>55</v>
      </c>
      <c r="I2821" s="6" t="s">
        <v>7566</v>
      </c>
      <c r="J2821" s="6" t="s">
        <v>154</v>
      </c>
      <c r="K2821" s="9" t="str">
        <f>HYPERLINK("https://dms.licdn.com/playlist/vid/v2/D4E10AQGOyPFo4VVnAg/mp4-640p-30fp-crf28/B4EZ398Z5sJ4BI-/0/1778081967815?e=2147483647&amp;v=beta&amp;t=FzUuD4C0bQ8yZU5CmStuCf0dCBi2H2Sj6qyZzw_h8Lk","Open Creative")</f>
        <v>Open Creative</v>
      </c>
      <c r="L2821" s="6" t="s">
        <v>131</v>
      </c>
      <c r="M2821" s="6" t="s">
        <v>7537</v>
      </c>
      <c r="N2821" s="6" t="s">
        <v>132</v>
      </c>
      <c r="O2821" s="36" t="s">
        <v>132</v>
      </c>
      <c r="P2821" s="36">
        <v>1.407019626E9</v>
      </c>
      <c r="Q2821" s="36" t="s">
        <v>7541</v>
      </c>
      <c r="R2821" s="6" t="s">
        <v>7542</v>
      </c>
    </row>
    <row r="2822">
      <c r="A2822" s="6" t="s">
        <v>7537</v>
      </c>
      <c r="B2822" s="6" t="s">
        <v>7537</v>
      </c>
      <c r="C2822" s="6">
        <v>1213.0</v>
      </c>
      <c r="D2822" s="9" t="str">
        <f>HYPERLINK("https://www.linkedin.com/ad-library/detail/1407019636","Open Ad")</f>
        <v>Open Ad</v>
      </c>
      <c r="E2822" s="6" t="s">
        <v>154</v>
      </c>
      <c r="F2822" s="6" t="s">
        <v>53</v>
      </c>
      <c r="G2822" s="6" t="s">
        <v>7739</v>
      </c>
      <c r="H2822" s="6" t="s">
        <v>55</v>
      </c>
      <c r="I2822" s="6" t="s">
        <v>7566</v>
      </c>
      <c r="J2822" s="6" t="s">
        <v>154</v>
      </c>
      <c r="K2822" s="9" t="str">
        <f>HYPERLINK("https://dms.licdn.com/playlist/vid/v2/D4E10AQHaVnlTZWO5lQ/mp4-640p-30fp-crf28/B4EZ4EDxT1IABE-/0/1778184568233?e=2147483647&amp;v=beta&amp;t=jeKB-nUJMbPs44wNiftahuqppmxwQaFreN02VRMJGkw","Open Creative")</f>
        <v>Open Creative</v>
      </c>
      <c r="L2822" s="6" t="s">
        <v>131</v>
      </c>
      <c r="M2822" s="6" t="s">
        <v>7537</v>
      </c>
      <c r="N2822" s="6" t="s">
        <v>132</v>
      </c>
      <c r="O2822" s="36" t="s">
        <v>132</v>
      </c>
      <c r="P2822" s="36">
        <v>1.407019636E9</v>
      </c>
      <c r="Q2822" s="36" t="s">
        <v>7541</v>
      </c>
      <c r="R2822" s="6" t="s">
        <v>7542</v>
      </c>
    </row>
    <row r="2823">
      <c r="A2823" s="6" t="s">
        <v>7537</v>
      </c>
      <c r="B2823" s="6" t="s">
        <v>7537</v>
      </c>
      <c r="C2823" s="6">
        <v>1214.0</v>
      </c>
      <c r="D2823" s="9" t="str">
        <f>HYPERLINK("https://www.linkedin.com/ad-library/detail/1407239956","Open Ad")</f>
        <v>Open Ad</v>
      </c>
      <c r="E2823" s="6" t="s">
        <v>91</v>
      </c>
      <c r="F2823" s="6" t="s">
        <v>53</v>
      </c>
      <c r="G2823" s="6" t="s">
        <v>7750</v>
      </c>
      <c r="H2823" s="6" t="s">
        <v>55</v>
      </c>
      <c r="I2823" s="6" t="s">
        <v>7566</v>
      </c>
      <c r="J2823" s="6" t="s">
        <v>91</v>
      </c>
      <c r="K2823" s="9" t="str">
        <f>HYPERLINK("https://media.licdn.com/dms/image/v2/D4E10AQFu8KZz_7vc0g/image-shrink_1280/B4EZ4EWOD4JsAc-/0/1778189395117?e=2147483647&amp;v=beta&amp;t=MFHh8ZziJJ66eADx3_Yp_sCjThDVa31duNVTpQCBmRg","Open Creative")</f>
        <v>Open Creative</v>
      </c>
      <c r="L2823" s="6" t="s">
        <v>131</v>
      </c>
      <c r="M2823" s="6" t="s">
        <v>7537</v>
      </c>
      <c r="N2823" s="6" t="s">
        <v>132</v>
      </c>
      <c r="O2823" s="36" t="s">
        <v>132</v>
      </c>
      <c r="P2823" s="36">
        <v>1.407239956E9</v>
      </c>
      <c r="Q2823" s="36" t="s">
        <v>7541</v>
      </c>
      <c r="R2823" s="6" t="s">
        <v>7542</v>
      </c>
    </row>
    <row r="2824">
      <c r="A2824" s="6" t="s">
        <v>7537</v>
      </c>
      <c r="B2824" s="6" t="s">
        <v>7537</v>
      </c>
      <c r="C2824" s="6">
        <v>1215.0</v>
      </c>
      <c r="D2824" s="9" t="str">
        <f>HYPERLINK("https://www.linkedin.com/ad-library/detail/1407150966","Open Ad")</f>
        <v>Open Ad</v>
      </c>
      <c r="E2824" s="6" t="s">
        <v>154</v>
      </c>
      <c r="F2824" s="6" t="s">
        <v>53</v>
      </c>
      <c r="G2824" s="6" t="s">
        <v>7739</v>
      </c>
      <c r="H2824" s="6" t="s">
        <v>55</v>
      </c>
      <c r="I2824" s="6" t="s">
        <v>7566</v>
      </c>
      <c r="J2824" s="6" t="s">
        <v>154</v>
      </c>
      <c r="K2824" s="9" t="str">
        <f>HYPERLINK("https://dms.licdn.com/playlist/vid/v2/D4E10AQHaVnlTZWO5lQ/mp4-640p-30fp-crf28/B4EZ4EDxT1IABE-/0/1778184568233?e=2147483647&amp;v=beta&amp;t=jeKB-nUJMbPs44wNiftahuqppmxwQaFreN02VRMJGkw","Open Creative")</f>
        <v>Open Creative</v>
      </c>
      <c r="L2824" s="6" t="s">
        <v>131</v>
      </c>
      <c r="M2824" s="6" t="s">
        <v>7537</v>
      </c>
      <c r="N2824" s="6" t="s">
        <v>132</v>
      </c>
      <c r="O2824" s="36" t="s">
        <v>132</v>
      </c>
      <c r="P2824" s="36">
        <v>1.407150966E9</v>
      </c>
      <c r="Q2824" s="36" t="s">
        <v>7541</v>
      </c>
      <c r="R2824" s="6" t="s">
        <v>7542</v>
      </c>
    </row>
    <row r="2825">
      <c r="A2825" s="6" t="s">
        <v>7537</v>
      </c>
      <c r="B2825" s="6" t="s">
        <v>7537</v>
      </c>
      <c r="C2825" s="6">
        <v>1216.0</v>
      </c>
      <c r="D2825" s="9" t="str">
        <f>HYPERLINK("https://www.linkedin.com/ad-library/detail/1407210586","Open Ad")</f>
        <v>Open Ad</v>
      </c>
      <c r="E2825" s="6" t="s">
        <v>91</v>
      </c>
      <c r="F2825" s="6" t="s">
        <v>53</v>
      </c>
      <c r="G2825" s="6" t="s">
        <v>7750</v>
      </c>
      <c r="H2825" s="6" t="s">
        <v>55</v>
      </c>
      <c r="I2825" s="6" t="s">
        <v>7566</v>
      </c>
      <c r="J2825" s="6" t="s">
        <v>91</v>
      </c>
      <c r="K2825" s="9" t="str">
        <f t="shared" ref="K2825:K2827" si="126">HYPERLINK("https://media.licdn.com/dms/image/v2/D4E10AQFu8KZz_7vc0g/image-shrink_1280/B4EZ4EWOD4JsAc-/0/1778189395117?e=2147483647&amp;v=beta&amp;t=MFHh8ZziJJ66eADx3_Yp_sCjThDVa31duNVTpQCBmRg","Open Creative")</f>
        <v>Open Creative</v>
      </c>
      <c r="L2825" s="6" t="s">
        <v>131</v>
      </c>
      <c r="M2825" s="6" t="s">
        <v>7537</v>
      </c>
      <c r="N2825" s="6" t="s">
        <v>132</v>
      </c>
      <c r="O2825" s="36" t="s">
        <v>132</v>
      </c>
      <c r="P2825" s="36">
        <v>1.407210586E9</v>
      </c>
      <c r="Q2825" s="36" t="s">
        <v>7541</v>
      </c>
      <c r="R2825" s="6" t="s">
        <v>7542</v>
      </c>
    </row>
    <row r="2826">
      <c r="A2826" s="6" t="s">
        <v>7537</v>
      </c>
      <c r="B2826" s="6" t="s">
        <v>7537</v>
      </c>
      <c r="C2826" s="6">
        <v>1217.0</v>
      </c>
      <c r="D2826" s="9" t="str">
        <f>HYPERLINK("https://www.linkedin.com/ad-library/detail/1407131416","Open Ad")</f>
        <v>Open Ad</v>
      </c>
      <c r="E2826" s="6" t="s">
        <v>91</v>
      </c>
      <c r="F2826" s="6" t="s">
        <v>53</v>
      </c>
      <c r="G2826" s="6" t="s">
        <v>7750</v>
      </c>
      <c r="H2826" s="6" t="s">
        <v>55</v>
      </c>
      <c r="I2826" s="6" t="s">
        <v>7645</v>
      </c>
      <c r="J2826" s="6" t="s">
        <v>91</v>
      </c>
      <c r="K2826" s="9" t="str">
        <f t="shared" si="126"/>
        <v>Open Creative</v>
      </c>
      <c r="L2826" s="6" t="s">
        <v>131</v>
      </c>
      <c r="M2826" s="6" t="s">
        <v>7537</v>
      </c>
      <c r="N2826" s="6" t="s">
        <v>132</v>
      </c>
      <c r="O2826" s="36" t="s">
        <v>132</v>
      </c>
      <c r="P2826" s="36">
        <v>1.407131416E9</v>
      </c>
      <c r="Q2826" s="36" t="s">
        <v>68</v>
      </c>
      <c r="R2826" s="6" t="s">
        <v>7767</v>
      </c>
    </row>
    <row r="2827">
      <c r="A2827" s="6" t="s">
        <v>7537</v>
      </c>
      <c r="B2827" s="6" t="s">
        <v>7537</v>
      </c>
      <c r="C2827" s="6">
        <v>1218.0</v>
      </c>
      <c r="D2827" s="9" t="str">
        <f>HYPERLINK("https://www.linkedin.com/ad-library/detail/1407101256","Open Ad")</f>
        <v>Open Ad</v>
      </c>
      <c r="E2827" s="6" t="s">
        <v>91</v>
      </c>
      <c r="F2827" s="6" t="s">
        <v>53</v>
      </c>
      <c r="G2827" s="6" t="s">
        <v>7750</v>
      </c>
      <c r="H2827" s="6" t="s">
        <v>55</v>
      </c>
      <c r="I2827" s="6" t="s">
        <v>7566</v>
      </c>
      <c r="J2827" s="6" t="s">
        <v>91</v>
      </c>
      <c r="K2827" s="9" t="str">
        <f t="shared" si="126"/>
        <v>Open Creative</v>
      </c>
      <c r="L2827" s="6" t="s">
        <v>131</v>
      </c>
      <c r="M2827" s="6" t="s">
        <v>7537</v>
      </c>
      <c r="N2827" s="6" t="s">
        <v>132</v>
      </c>
      <c r="O2827" s="36" t="s">
        <v>132</v>
      </c>
      <c r="P2827" s="36">
        <v>1.407101256E9</v>
      </c>
      <c r="Q2827" s="36" t="s">
        <v>7541</v>
      </c>
      <c r="R2827" s="6" t="s">
        <v>7542</v>
      </c>
    </row>
    <row r="2828">
      <c r="A2828" s="6" t="s">
        <v>7537</v>
      </c>
      <c r="B2828" s="6" t="s">
        <v>7537</v>
      </c>
      <c r="C2828" s="6">
        <v>1219.0</v>
      </c>
      <c r="D2828" s="9" t="str">
        <f>HYPERLINK("https://www.linkedin.com/ad-library/detail/1407743156","Open Ad")</f>
        <v>Open Ad</v>
      </c>
      <c r="E2828" s="6" t="s">
        <v>7543</v>
      </c>
      <c r="F2828" s="6" t="s">
        <v>53</v>
      </c>
      <c r="G2828" s="6" t="s">
        <v>7761</v>
      </c>
      <c r="H2828" s="6" t="s">
        <v>55</v>
      </c>
      <c r="I2828" s="6" t="s">
        <v>7566</v>
      </c>
      <c r="J2828" s="6" t="s">
        <v>7546</v>
      </c>
      <c r="K2828" s="6" t="s">
        <v>60</v>
      </c>
      <c r="L2828" s="6" t="s">
        <v>131</v>
      </c>
      <c r="M2828" s="6" t="s">
        <v>7537</v>
      </c>
      <c r="N2828" s="6" t="s">
        <v>132</v>
      </c>
      <c r="O2828" s="36" t="s">
        <v>132</v>
      </c>
      <c r="P2828" s="36">
        <v>1.407743156E9</v>
      </c>
      <c r="Q2828" s="36" t="s">
        <v>7541</v>
      </c>
      <c r="R2828" s="6" t="s">
        <v>7542</v>
      </c>
    </row>
    <row r="2829">
      <c r="A2829" s="6" t="s">
        <v>7537</v>
      </c>
      <c r="B2829" s="6" t="s">
        <v>7537</v>
      </c>
      <c r="C2829" s="6">
        <v>1220.0</v>
      </c>
      <c r="D2829" s="9" t="str">
        <f>HYPERLINK("https://www.linkedin.com/ad-library/detail/1407064296","Open Ad")</f>
        <v>Open Ad</v>
      </c>
      <c r="E2829" s="6" t="s">
        <v>154</v>
      </c>
      <c r="F2829" s="6" t="s">
        <v>53</v>
      </c>
      <c r="G2829" s="6" t="s">
        <v>7765</v>
      </c>
      <c r="H2829" s="6" t="s">
        <v>55</v>
      </c>
      <c r="I2829" s="6" t="s">
        <v>7566</v>
      </c>
      <c r="J2829" s="6" t="s">
        <v>154</v>
      </c>
      <c r="K2829" s="9" t="str">
        <f>HYPERLINK("https://dms.licdn.com/playlist/vid/v2/D4E10AQGOyPFo4VVnAg/mp4-640p-30fp-crf28/B4EZ398Z5sJ4BI-/0/1778081967815?e=2147483647&amp;v=beta&amp;t=FzUuD4C0bQ8yZU5CmStuCf0dCBi2H2Sj6qyZzw_h8Lk","Open Creative")</f>
        <v>Open Creative</v>
      </c>
      <c r="L2829" s="6" t="s">
        <v>131</v>
      </c>
      <c r="M2829" s="6" t="s">
        <v>7537</v>
      </c>
      <c r="N2829" s="6" t="s">
        <v>132</v>
      </c>
      <c r="O2829" s="36" t="s">
        <v>132</v>
      </c>
      <c r="P2829" s="36">
        <v>1.407064296E9</v>
      </c>
      <c r="Q2829" s="36" t="s">
        <v>7541</v>
      </c>
      <c r="R2829" s="6" t="s">
        <v>7542</v>
      </c>
    </row>
    <row r="2830">
      <c r="A2830" s="6" t="s">
        <v>7537</v>
      </c>
      <c r="B2830" s="6" t="s">
        <v>7537</v>
      </c>
      <c r="C2830" s="6">
        <v>1221.0</v>
      </c>
      <c r="D2830" s="9" t="str">
        <f>HYPERLINK("https://www.linkedin.com/ad-library/detail/1407082386","Open Ad")</f>
        <v>Open Ad</v>
      </c>
      <c r="E2830" s="6" t="s">
        <v>91</v>
      </c>
      <c r="F2830" s="6" t="s">
        <v>53</v>
      </c>
      <c r="G2830" s="6" t="s">
        <v>7766</v>
      </c>
      <c r="H2830" s="6" t="s">
        <v>55</v>
      </c>
      <c r="I2830" s="6" t="s">
        <v>7566</v>
      </c>
      <c r="J2830" s="6" t="s">
        <v>91</v>
      </c>
      <c r="K2830" s="9" t="str">
        <f>HYPERLINK("https://media.licdn.com/dms/image/v2/D4E10AQGmtPqCgoagJQ/image-shrink_1280/B4EZ3.X8mDIcAc-/0/1778089184291?e=2147483647&amp;v=beta&amp;t=1l-JvWCbAMB657E-rj2DB5DThdy4JIxWLdw9o-_ECJg","Open Creative")</f>
        <v>Open Creative</v>
      </c>
      <c r="L2830" s="6" t="s">
        <v>131</v>
      </c>
      <c r="M2830" s="6" t="s">
        <v>7537</v>
      </c>
      <c r="N2830" s="6" t="s">
        <v>132</v>
      </c>
      <c r="O2830" s="36" t="s">
        <v>132</v>
      </c>
      <c r="P2830" s="36">
        <v>1.407082386E9</v>
      </c>
      <c r="Q2830" s="36" t="s">
        <v>7541</v>
      </c>
      <c r="R2830" s="6" t="s">
        <v>7542</v>
      </c>
    </row>
    <row r="2831">
      <c r="A2831" s="6" t="s">
        <v>7537</v>
      </c>
      <c r="B2831" s="6" t="s">
        <v>7537</v>
      </c>
      <c r="C2831" s="6">
        <v>1222.0</v>
      </c>
      <c r="D2831" s="9" t="str">
        <f>HYPERLINK("https://www.linkedin.com/ad-library/detail/1407131346","Open Ad")</f>
        <v>Open Ad</v>
      </c>
      <c r="E2831" s="6" t="s">
        <v>154</v>
      </c>
      <c r="F2831" s="6" t="s">
        <v>53</v>
      </c>
      <c r="G2831" s="6" t="s">
        <v>7739</v>
      </c>
      <c r="H2831" s="6" t="s">
        <v>55</v>
      </c>
      <c r="I2831" s="6" t="s">
        <v>7566</v>
      </c>
      <c r="J2831" s="6" t="s">
        <v>154</v>
      </c>
      <c r="K2831" s="9" t="str">
        <f>HYPERLINK("https://dms.licdn.com/playlist/vid/v2/D4E10AQHaVnlTZWO5lQ/mp4-640p-30fp-crf28/B4EZ4EDxT1IABE-/0/1778184568233?e=2147483647&amp;v=beta&amp;t=jeKB-nUJMbPs44wNiftahuqppmxwQaFreN02VRMJGkw","Open Creative")</f>
        <v>Open Creative</v>
      </c>
      <c r="L2831" s="6" t="s">
        <v>131</v>
      </c>
      <c r="M2831" s="6" t="s">
        <v>7537</v>
      </c>
      <c r="N2831" s="6" t="s">
        <v>132</v>
      </c>
      <c r="O2831" s="36" t="s">
        <v>132</v>
      </c>
      <c r="P2831" s="36">
        <v>1.407131346E9</v>
      </c>
      <c r="Q2831" s="36" t="s">
        <v>7541</v>
      </c>
      <c r="R2831" s="6" t="s">
        <v>7542</v>
      </c>
    </row>
    <row r="2832">
      <c r="A2832" s="6" t="s">
        <v>7537</v>
      </c>
      <c r="B2832" s="6" t="s">
        <v>7537</v>
      </c>
      <c r="C2832" s="6">
        <v>1223.0</v>
      </c>
      <c r="D2832" s="9" t="str">
        <f>HYPERLINK("https://www.linkedin.com/ad-library/detail/1407029856","Open Ad")</f>
        <v>Open Ad</v>
      </c>
      <c r="E2832" s="6" t="s">
        <v>91</v>
      </c>
      <c r="F2832" s="6" t="s">
        <v>53</v>
      </c>
      <c r="G2832" s="6" t="s">
        <v>7766</v>
      </c>
      <c r="H2832" s="6" t="s">
        <v>55</v>
      </c>
      <c r="I2832" s="6" t="s">
        <v>7566</v>
      </c>
      <c r="J2832" s="6" t="s">
        <v>91</v>
      </c>
      <c r="K2832" s="9" t="str">
        <f t="shared" ref="K2832:K2833" si="127">HYPERLINK("https://media.licdn.com/dms/image/v2/D4E10AQGmtPqCgoagJQ/image-shrink_1280/B4EZ3.X8mDIcAc-/0/1778089184291?e=2147483647&amp;v=beta&amp;t=1l-JvWCbAMB657E-rj2DB5DThdy4JIxWLdw9o-_ECJg","Open Creative")</f>
        <v>Open Creative</v>
      </c>
      <c r="L2832" s="6" t="s">
        <v>131</v>
      </c>
      <c r="M2832" s="6" t="s">
        <v>7537</v>
      </c>
      <c r="N2832" s="6" t="s">
        <v>132</v>
      </c>
      <c r="O2832" s="36" t="s">
        <v>132</v>
      </c>
      <c r="P2832" s="36">
        <v>1.407029856E9</v>
      </c>
      <c r="Q2832" s="36" t="s">
        <v>7541</v>
      </c>
      <c r="R2832" s="6" t="s">
        <v>7542</v>
      </c>
    </row>
    <row r="2833">
      <c r="A2833" s="6" t="s">
        <v>7537</v>
      </c>
      <c r="B2833" s="6" t="s">
        <v>7537</v>
      </c>
      <c r="C2833" s="6">
        <v>1224.0</v>
      </c>
      <c r="D2833" s="9" t="str">
        <f>HYPERLINK("https://www.linkedin.com/ad-library/detail/1407190566","Open Ad")</f>
        <v>Open Ad</v>
      </c>
      <c r="E2833" s="6" t="s">
        <v>91</v>
      </c>
      <c r="F2833" s="6" t="s">
        <v>53</v>
      </c>
      <c r="G2833" s="6" t="s">
        <v>7766</v>
      </c>
      <c r="H2833" s="6" t="s">
        <v>55</v>
      </c>
      <c r="I2833" s="6" t="s">
        <v>7566</v>
      </c>
      <c r="J2833" s="6" t="s">
        <v>91</v>
      </c>
      <c r="K2833" s="9" t="str">
        <f t="shared" si="127"/>
        <v>Open Creative</v>
      </c>
      <c r="L2833" s="6" t="s">
        <v>131</v>
      </c>
      <c r="M2833" s="6" t="s">
        <v>7537</v>
      </c>
      <c r="N2833" s="6" t="s">
        <v>132</v>
      </c>
      <c r="O2833" s="36" t="s">
        <v>132</v>
      </c>
      <c r="P2833" s="36">
        <v>1.407190566E9</v>
      </c>
      <c r="Q2833" s="36" t="s">
        <v>7541</v>
      </c>
      <c r="R2833" s="6" t="s">
        <v>7542</v>
      </c>
    </row>
    <row r="2834">
      <c r="A2834" s="6" t="s">
        <v>7537</v>
      </c>
      <c r="B2834" s="6" t="s">
        <v>7537</v>
      </c>
      <c r="C2834" s="6">
        <v>1225.0</v>
      </c>
      <c r="D2834" s="9" t="str">
        <f>HYPERLINK("https://www.linkedin.com/ad-library/detail/1404505046","Open Ad")</f>
        <v>Open Ad</v>
      </c>
      <c r="E2834" s="6" t="s">
        <v>154</v>
      </c>
      <c r="F2834" s="6" t="s">
        <v>53</v>
      </c>
      <c r="G2834" s="6" t="s">
        <v>7752</v>
      </c>
      <c r="H2834" s="6" t="s">
        <v>55</v>
      </c>
      <c r="I2834" s="6" t="s">
        <v>7566</v>
      </c>
      <c r="J2834" s="6" t="s">
        <v>154</v>
      </c>
      <c r="K2834" s="9" t="str">
        <f>HYPERLINK("https://dms.licdn.com/playlist/vid/v2/D4E10AQHUrI2j9Xlm-g/mp4-360p-30fp-crf28/B4EZ3gCy9GHUBc-/0/1777580327951?e=2147483647&amp;v=beta&amp;t=o0Yf6I3v44oAb3XWlcouRtGT8_n1n1Q3iyFdqJ3i4ew","Open Creative")</f>
        <v>Open Creative</v>
      </c>
      <c r="L2834" s="6" t="s">
        <v>131</v>
      </c>
      <c r="M2834" s="6" t="s">
        <v>7537</v>
      </c>
      <c r="N2834" s="6" t="s">
        <v>132</v>
      </c>
      <c r="O2834" s="36" t="s">
        <v>132</v>
      </c>
      <c r="P2834" s="36">
        <v>1.404505046E9</v>
      </c>
      <c r="Q2834" s="36" t="s">
        <v>7541</v>
      </c>
      <c r="R2834" s="6" t="s">
        <v>7542</v>
      </c>
    </row>
    <row r="2835">
      <c r="A2835" s="6" t="s">
        <v>7537</v>
      </c>
      <c r="B2835" s="6" t="s">
        <v>7537</v>
      </c>
      <c r="C2835" s="6">
        <v>1226.0</v>
      </c>
      <c r="D2835" s="9" t="str">
        <f>HYPERLINK("https://www.linkedin.com/ad-library/detail/1405722746","Open Ad")</f>
        <v>Open Ad</v>
      </c>
      <c r="E2835" s="6" t="s">
        <v>154</v>
      </c>
      <c r="F2835" s="6" t="s">
        <v>53</v>
      </c>
      <c r="G2835" s="6" t="s">
        <v>7746</v>
      </c>
      <c r="H2835" s="6" t="s">
        <v>55</v>
      </c>
      <c r="I2835" s="6" t="s">
        <v>7566</v>
      </c>
      <c r="J2835" s="6" t="s">
        <v>154</v>
      </c>
      <c r="K2835" s="9" t="str">
        <f>HYPERLINK("https://dms.licdn.com/playlist/vid/v2/D4E10AQG2UpRhHOuMCw/mp4-360p-30fp-crf28/B4EZ3gFVQtKQBc-/0/1777580992778?e=2147483647&amp;v=beta&amp;t=f4WJja1TUP7dpfZlQSH5mijwN80xWRScl9vgdNUiVYY","Open Creative")</f>
        <v>Open Creative</v>
      </c>
      <c r="L2835" s="6" t="s">
        <v>131</v>
      </c>
      <c r="M2835" s="6" t="s">
        <v>7537</v>
      </c>
      <c r="N2835" s="6" t="s">
        <v>132</v>
      </c>
      <c r="O2835" s="36" t="s">
        <v>132</v>
      </c>
      <c r="P2835" s="36">
        <v>1.405722746E9</v>
      </c>
      <c r="Q2835" s="36" t="s">
        <v>7541</v>
      </c>
      <c r="R2835" s="6" t="s">
        <v>7542</v>
      </c>
    </row>
    <row r="2836">
      <c r="A2836" s="6" t="s">
        <v>7537</v>
      </c>
      <c r="B2836" s="6" t="s">
        <v>7537</v>
      </c>
      <c r="C2836" s="6">
        <v>1227.0</v>
      </c>
      <c r="D2836" s="9" t="str">
        <f>HYPERLINK("https://www.linkedin.com/ad-library/detail/1404611196","Open Ad")</f>
        <v>Open Ad</v>
      </c>
      <c r="E2836" s="6" t="s">
        <v>91</v>
      </c>
      <c r="F2836" s="6" t="s">
        <v>53</v>
      </c>
      <c r="G2836" s="6" t="s">
        <v>7597</v>
      </c>
      <c r="H2836" s="6" t="s">
        <v>55</v>
      </c>
      <c r="I2836" s="6" t="s">
        <v>7566</v>
      </c>
      <c r="J2836" s="6" t="s">
        <v>91</v>
      </c>
      <c r="K2836" s="9" t="str">
        <f>HYPERLINK("https://media.licdn.com/dms/image/v2/D5610AQHboNfHfdoMGg/image-shrink_1280/B56Z39lJVLH4Ag-/0/1778075866691/Ad13png?e=2147483647&amp;v=beta&amp;t=w47eH2aNcVt5nGxpOUSqt9WGlOcn-OqTBTg2vMGSkLA","Open Creative")</f>
        <v>Open Creative</v>
      </c>
      <c r="L2836" s="6" t="s">
        <v>131</v>
      </c>
      <c r="M2836" s="6" t="s">
        <v>7537</v>
      </c>
      <c r="N2836" s="6" t="s">
        <v>132</v>
      </c>
      <c r="O2836" s="36" t="s">
        <v>132</v>
      </c>
      <c r="P2836" s="36">
        <v>1.404611196E9</v>
      </c>
      <c r="Q2836" s="36" t="s">
        <v>7541</v>
      </c>
      <c r="R2836" s="6" t="s">
        <v>7542</v>
      </c>
    </row>
    <row r="2837">
      <c r="A2837" s="6" t="s">
        <v>7537</v>
      </c>
      <c r="B2837" s="6" t="s">
        <v>7537</v>
      </c>
      <c r="C2837" s="6">
        <v>1228.0</v>
      </c>
      <c r="D2837" s="9" t="str">
        <f>HYPERLINK("https://www.linkedin.com/ad-library/detail/1404641116","Open Ad")</f>
        <v>Open Ad</v>
      </c>
      <c r="E2837" s="6" t="s">
        <v>91</v>
      </c>
      <c r="F2837" s="6" t="s">
        <v>53</v>
      </c>
      <c r="G2837" s="6" t="s">
        <v>7597</v>
      </c>
      <c r="H2837" s="6" t="s">
        <v>55</v>
      </c>
      <c r="I2837" s="6" t="s">
        <v>7566</v>
      </c>
      <c r="J2837" s="6" t="s">
        <v>91</v>
      </c>
      <c r="K2837" s="9" t="str">
        <f>HYPERLINK("https://media.licdn.com/dms/image/v2/D5610AQFwlPh9OuqQ4A/image-shrink_1280/B56Z39k5SxIkAc-/0/1778075801026/Ad10png?e=2147483647&amp;v=beta&amp;t=LZdF-LfuEKTiB836HBLNFhI94910PU_-tRMjp3lZxJE","Open Creative")</f>
        <v>Open Creative</v>
      </c>
      <c r="L2837" s="6" t="s">
        <v>131</v>
      </c>
      <c r="M2837" s="6" t="s">
        <v>7537</v>
      </c>
      <c r="N2837" s="6" t="s">
        <v>132</v>
      </c>
      <c r="O2837" s="36" t="s">
        <v>132</v>
      </c>
      <c r="P2837" s="36">
        <v>1.404641116E9</v>
      </c>
      <c r="Q2837" s="36" t="s">
        <v>7541</v>
      </c>
      <c r="R2837" s="6" t="s">
        <v>7542</v>
      </c>
    </row>
    <row r="2838">
      <c r="A2838" s="6" t="s">
        <v>7537</v>
      </c>
      <c r="B2838" s="6" t="s">
        <v>7537</v>
      </c>
      <c r="C2838" s="6">
        <v>1229.0</v>
      </c>
      <c r="D2838" s="9" t="str">
        <f>HYPERLINK("https://www.linkedin.com/ad-library/detail/1404449516","Open Ad")</f>
        <v>Open Ad</v>
      </c>
      <c r="E2838" s="6" t="s">
        <v>154</v>
      </c>
      <c r="F2838" s="6" t="s">
        <v>53</v>
      </c>
      <c r="G2838" s="6" t="s">
        <v>7768</v>
      </c>
      <c r="H2838" s="6" t="s">
        <v>55</v>
      </c>
      <c r="I2838" s="6" t="s">
        <v>7566</v>
      </c>
      <c r="J2838" s="6" t="s">
        <v>154</v>
      </c>
      <c r="K2838" s="9" t="str">
        <f>HYPERLINK("https://dms.licdn.com/playlist/vid/v2/D4E10AQGqT5ObIDsu_A/mp4-720p-30fp-crf28/B4EZ30vMt_HcBg-/0/1777927509646?e=2147483647&amp;v=beta&amp;t=AicGyHarUA5eqvn5i0I4Q_OqcmPpnxzosPn7VGu4IAs","Open Creative")</f>
        <v>Open Creative</v>
      </c>
      <c r="L2838" s="6" t="s">
        <v>131</v>
      </c>
      <c r="M2838" s="6" t="s">
        <v>7537</v>
      </c>
      <c r="N2838" s="6" t="s">
        <v>132</v>
      </c>
      <c r="O2838" s="36" t="s">
        <v>132</v>
      </c>
      <c r="P2838" s="36">
        <v>1.404449516E9</v>
      </c>
      <c r="Q2838" s="36" t="s">
        <v>7541</v>
      </c>
      <c r="R2838" s="6" t="s">
        <v>7542</v>
      </c>
    </row>
    <row r="2839">
      <c r="A2839" s="6" t="s">
        <v>7537</v>
      </c>
      <c r="B2839" s="6" t="s">
        <v>7537</v>
      </c>
      <c r="C2839" s="6">
        <v>1230.0</v>
      </c>
      <c r="D2839" s="9" t="str">
        <f>HYPERLINK("https://www.linkedin.com/ad-library/detail/1404660066","Open Ad")</f>
        <v>Open Ad</v>
      </c>
      <c r="E2839" s="6" t="s">
        <v>154</v>
      </c>
      <c r="F2839" s="6" t="s">
        <v>53</v>
      </c>
      <c r="G2839" s="6" t="s">
        <v>7769</v>
      </c>
      <c r="H2839" s="6" t="s">
        <v>55</v>
      </c>
      <c r="I2839" s="6" t="s">
        <v>7566</v>
      </c>
      <c r="J2839" s="6" t="s">
        <v>154</v>
      </c>
      <c r="K2839" s="9" t="str">
        <f>HYPERLINK("https://dms.licdn.com/playlist/vid/v2/D4E05AQGl0lURo3DPDg/mp4-720p-30fp-crf28/B4EZ3ktxRxIgCA-/0/1777658724211?e=2147483647&amp;v=beta&amp;t=d1gj5X5Pl0qnerbgsPRO7UPwUmTzBcevaeMgwbXvvfE","Open Creative")</f>
        <v>Open Creative</v>
      </c>
      <c r="L2839" s="6" t="s">
        <v>131</v>
      </c>
      <c r="M2839" s="6" t="s">
        <v>7537</v>
      </c>
      <c r="N2839" s="6" t="s">
        <v>132</v>
      </c>
      <c r="O2839" s="36" t="s">
        <v>132</v>
      </c>
      <c r="P2839" s="36">
        <v>1.404660066E9</v>
      </c>
      <c r="Q2839" s="36" t="s">
        <v>7541</v>
      </c>
      <c r="R2839" s="6" t="s">
        <v>7542</v>
      </c>
    </row>
    <row r="2840">
      <c r="A2840" s="6" t="s">
        <v>7537</v>
      </c>
      <c r="B2840" s="6" t="s">
        <v>7537</v>
      </c>
      <c r="C2840" s="6">
        <v>1231.0</v>
      </c>
      <c r="D2840" s="9" t="str">
        <f>HYPERLINK("https://www.linkedin.com/ad-library/detail/1404640666","Open Ad")</f>
        <v>Open Ad</v>
      </c>
      <c r="E2840" s="6" t="s">
        <v>91</v>
      </c>
      <c r="F2840" s="6" t="s">
        <v>53</v>
      </c>
      <c r="G2840" s="6" t="s">
        <v>7770</v>
      </c>
      <c r="H2840" s="6" t="s">
        <v>55</v>
      </c>
      <c r="I2840" s="6" t="s">
        <v>7566</v>
      </c>
      <c r="J2840" s="6" t="s">
        <v>91</v>
      </c>
      <c r="K2840" s="9" t="str">
        <f>HYPERLINK("https://media.licdn.com/dms/image/v2/D4E22AQHlG462lUp49A/feedshare-image-high-res/B4EZ3qc6x4IMAY-/0/1777754943059?e=2147483647&amp;v=beta&amp;t=3pJwOxLr5VosXkgwd5-CtN4IzO7QpxZpZfM9HluemWs","Open Creative")</f>
        <v>Open Creative</v>
      </c>
      <c r="L2840" s="6" t="s">
        <v>131</v>
      </c>
      <c r="M2840" s="6" t="s">
        <v>7537</v>
      </c>
      <c r="N2840" s="6" t="s">
        <v>132</v>
      </c>
      <c r="O2840" s="36" t="s">
        <v>132</v>
      </c>
      <c r="P2840" s="36">
        <v>1.404640666E9</v>
      </c>
      <c r="Q2840" s="36" t="s">
        <v>7541</v>
      </c>
      <c r="R2840" s="6" t="s">
        <v>7542</v>
      </c>
    </row>
    <row r="2841">
      <c r="A2841" s="6" t="s">
        <v>7537</v>
      </c>
      <c r="B2841" s="6" t="s">
        <v>7537</v>
      </c>
      <c r="C2841" s="6">
        <v>1232.0</v>
      </c>
      <c r="D2841" s="9" t="str">
        <f>HYPERLINK("https://www.linkedin.com/ad-library/detail/1405722736","Open Ad")</f>
        <v>Open Ad</v>
      </c>
      <c r="E2841" s="6" t="s">
        <v>154</v>
      </c>
      <c r="F2841" s="6" t="s">
        <v>53</v>
      </c>
      <c r="G2841" s="6" t="s">
        <v>7746</v>
      </c>
      <c r="H2841" s="6" t="s">
        <v>55</v>
      </c>
      <c r="I2841" s="6" t="s">
        <v>7566</v>
      </c>
      <c r="J2841" s="6" t="s">
        <v>154</v>
      </c>
      <c r="K2841" s="9" t="str">
        <f t="shared" ref="K2841:K2842" si="128">HYPERLINK("https://dms.licdn.com/playlist/vid/v2/D4E10AQG2UpRhHOuMCw/mp4-360p-30fp-crf28/B4EZ3gFVQtKQBc-/0/1777580992778?e=2147483647&amp;v=beta&amp;t=f4WJja1TUP7dpfZlQSH5mijwN80xWRScl9vgdNUiVYY","Open Creative")</f>
        <v>Open Creative</v>
      </c>
      <c r="L2841" s="6" t="s">
        <v>131</v>
      </c>
      <c r="M2841" s="6" t="s">
        <v>7537</v>
      </c>
      <c r="N2841" s="6" t="s">
        <v>132</v>
      </c>
      <c r="O2841" s="36" t="s">
        <v>132</v>
      </c>
      <c r="P2841" s="36">
        <v>1.405722736E9</v>
      </c>
      <c r="Q2841" s="36" t="s">
        <v>7541</v>
      </c>
      <c r="R2841" s="6" t="s">
        <v>7542</v>
      </c>
    </row>
    <row r="2842">
      <c r="A2842" s="6" t="s">
        <v>7537</v>
      </c>
      <c r="B2842" s="6" t="s">
        <v>7537</v>
      </c>
      <c r="C2842" s="6">
        <v>1233.0</v>
      </c>
      <c r="D2842" s="9" t="str">
        <f>HYPERLINK("https://www.linkedin.com/ad-library/detail/1405682876","Open Ad")</f>
        <v>Open Ad</v>
      </c>
      <c r="E2842" s="6" t="s">
        <v>154</v>
      </c>
      <c r="F2842" s="6" t="s">
        <v>53</v>
      </c>
      <c r="G2842" s="6" t="s">
        <v>7746</v>
      </c>
      <c r="H2842" s="6" t="s">
        <v>55</v>
      </c>
      <c r="I2842" s="6" t="s">
        <v>7566</v>
      </c>
      <c r="J2842" s="6" t="s">
        <v>154</v>
      </c>
      <c r="K2842" s="9" t="str">
        <f t="shared" si="128"/>
        <v>Open Creative</v>
      </c>
      <c r="L2842" s="6" t="s">
        <v>131</v>
      </c>
      <c r="M2842" s="6" t="s">
        <v>7537</v>
      </c>
      <c r="N2842" s="6" t="s">
        <v>132</v>
      </c>
      <c r="O2842" s="36" t="s">
        <v>132</v>
      </c>
      <c r="P2842" s="36">
        <v>1.405682876E9</v>
      </c>
      <c r="Q2842" s="36" t="s">
        <v>7541</v>
      </c>
      <c r="R2842" s="6" t="s">
        <v>7542</v>
      </c>
    </row>
    <row r="2843">
      <c r="A2843" s="6" t="s">
        <v>7537</v>
      </c>
      <c r="B2843" s="6" t="s">
        <v>7537</v>
      </c>
      <c r="C2843" s="6">
        <v>1234.0</v>
      </c>
      <c r="D2843" s="9" t="str">
        <f>HYPERLINK("https://www.linkedin.com/ad-library/detail/1404640826","Open Ad")</f>
        <v>Open Ad</v>
      </c>
      <c r="E2843" s="6" t="s">
        <v>154</v>
      </c>
      <c r="F2843" s="6" t="s">
        <v>53</v>
      </c>
      <c r="G2843" s="6" t="s">
        <v>7752</v>
      </c>
      <c r="H2843" s="6" t="s">
        <v>55</v>
      </c>
      <c r="I2843" s="6" t="s">
        <v>7566</v>
      </c>
      <c r="J2843" s="6" t="s">
        <v>154</v>
      </c>
      <c r="K2843" s="9" t="str">
        <f>HYPERLINK("https://dms.licdn.com/playlist/vid/v2/D4E10AQHUrI2j9Xlm-g/mp4-360p-30fp-crf28/B4EZ3gCy9GHUBc-/0/1777580327951?e=2147483647&amp;v=beta&amp;t=o0Yf6I3v44oAb3XWlcouRtGT8_n1n1Q3iyFdqJ3i4ew","Open Creative")</f>
        <v>Open Creative</v>
      </c>
      <c r="L2843" s="6" t="s">
        <v>131</v>
      </c>
      <c r="M2843" s="6" t="s">
        <v>7537</v>
      </c>
      <c r="N2843" s="6" t="s">
        <v>132</v>
      </c>
      <c r="O2843" s="36" t="s">
        <v>132</v>
      </c>
      <c r="P2843" s="36">
        <v>1.404640826E9</v>
      </c>
      <c r="Q2843" s="36" t="s">
        <v>7541</v>
      </c>
      <c r="R2843" s="6" t="s">
        <v>7542</v>
      </c>
    </row>
    <row r="2844">
      <c r="A2844" s="6" t="s">
        <v>7537</v>
      </c>
      <c r="B2844" s="6" t="s">
        <v>7537</v>
      </c>
      <c r="C2844" s="6">
        <v>1235.0</v>
      </c>
      <c r="D2844" s="9" t="str">
        <f>HYPERLINK("https://www.linkedin.com/ad-library/detail/1404640806","Open Ad")</f>
        <v>Open Ad</v>
      </c>
      <c r="E2844" s="6" t="s">
        <v>154</v>
      </c>
      <c r="F2844" s="6" t="s">
        <v>53</v>
      </c>
      <c r="G2844" s="6" t="s">
        <v>7768</v>
      </c>
      <c r="H2844" s="6" t="s">
        <v>55</v>
      </c>
      <c r="I2844" s="6" t="s">
        <v>7566</v>
      </c>
      <c r="J2844" s="6" t="s">
        <v>154</v>
      </c>
      <c r="K2844" s="9" t="str">
        <f t="shared" ref="K2844:K2845" si="129">HYPERLINK("https://dms.licdn.com/playlist/vid/v2/D4E10AQGqT5ObIDsu_A/mp4-720p-30fp-crf28/B4EZ30vMt_HcBg-/0/1777927509646?e=2147483647&amp;v=beta&amp;t=AicGyHarUA5eqvn5i0I4Q_OqcmPpnxzosPn7VGu4IAs","Open Creative")</f>
        <v>Open Creative</v>
      </c>
      <c r="L2844" s="6" t="s">
        <v>131</v>
      </c>
      <c r="M2844" s="6" t="s">
        <v>7537</v>
      </c>
      <c r="N2844" s="6" t="s">
        <v>132</v>
      </c>
      <c r="O2844" s="36" t="s">
        <v>132</v>
      </c>
      <c r="P2844" s="36">
        <v>1.404640806E9</v>
      </c>
      <c r="Q2844" s="36" t="s">
        <v>7541</v>
      </c>
      <c r="R2844" s="6" t="s">
        <v>7542</v>
      </c>
    </row>
    <row r="2845">
      <c r="A2845" s="6" t="s">
        <v>7537</v>
      </c>
      <c r="B2845" s="6" t="s">
        <v>7537</v>
      </c>
      <c r="C2845" s="6">
        <v>1236.0</v>
      </c>
      <c r="D2845" s="9" t="str">
        <f>HYPERLINK("https://www.linkedin.com/ad-library/detail/1404542346","Open Ad")</f>
        <v>Open Ad</v>
      </c>
      <c r="E2845" s="6" t="s">
        <v>154</v>
      </c>
      <c r="F2845" s="6" t="s">
        <v>53</v>
      </c>
      <c r="G2845" s="6" t="s">
        <v>7768</v>
      </c>
      <c r="H2845" s="6" t="s">
        <v>55</v>
      </c>
      <c r="I2845" s="6" t="s">
        <v>7566</v>
      </c>
      <c r="J2845" s="6" t="s">
        <v>154</v>
      </c>
      <c r="K2845" s="9" t="str">
        <f t="shared" si="129"/>
        <v>Open Creative</v>
      </c>
      <c r="L2845" s="6" t="s">
        <v>131</v>
      </c>
      <c r="M2845" s="6" t="s">
        <v>7537</v>
      </c>
      <c r="N2845" s="6" t="s">
        <v>132</v>
      </c>
      <c r="O2845" s="36" t="s">
        <v>132</v>
      </c>
      <c r="P2845" s="36">
        <v>1.404542346E9</v>
      </c>
      <c r="Q2845" s="36" t="s">
        <v>7541</v>
      </c>
      <c r="R2845" s="6" t="s">
        <v>7542</v>
      </c>
    </row>
    <row r="2846">
      <c r="A2846" s="6" t="s">
        <v>7537</v>
      </c>
      <c r="B2846" s="6" t="s">
        <v>7537</v>
      </c>
      <c r="C2846" s="6">
        <v>1237.0</v>
      </c>
      <c r="D2846" s="9" t="str">
        <f>HYPERLINK("https://www.linkedin.com/ad-library/detail/1405673056","Open Ad")</f>
        <v>Open Ad</v>
      </c>
      <c r="E2846" s="6" t="s">
        <v>154</v>
      </c>
      <c r="F2846" s="6" t="s">
        <v>53</v>
      </c>
      <c r="G2846" s="6" t="s">
        <v>7746</v>
      </c>
      <c r="H2846" s="6" t="s">
        <v>55</v>
      </c>
      <c r="I2846" s="6" t="s">
        <v>7566</v>
      </c>
      <c r="J2846" s="6" t="s">
        <v>154</v>
      </c>
      <c r="K2846" s="9" t="str">
        <f>HYPERLINK("https://dms.licdn.com/playlist/vid/v2/D4E10AQG2UpRhHOuMCw/mp4-360p-30fp-crf28/B4EZ3gFVQtKQBc-/0/1777580992778?e=2147483647&amp;v=beta&amp;t=f4WJja1TUP7dpfZlQSH5mijwN80xWRScl9vgdNUiVYY","Open Creative")</f>
        <v>Open Creative</v>
      </c>
      <c r="L2846" s="6" t="s">
        <v>131</v>
      </c>
      <c r="M2846" s="6" t="s">
        <v>7537</v>
      </c>
      <c r="N2846" s="6" t="s">
        <v>132</v>
      </c>
      <c r="O2846" s="36" t="s">
        <v>132</v>
      </c>
      <c r="P2846" s="36">
        <v>1.405673056E9</v>
      </c>
      <c r="Q2846" s="36" t="s">
        <v>7541</v>
      </c>
      <c r="R2846" s="6" t="s">
        <v>7542</v>
      </c>
    </row>
    <row r="2847">
      <c r="A2847" s="6" t="s">
        <v>7537</v>
      </c>
      <c r="B2847" s="6" t="s">
        <v>7537</v>
      </c>
      <c r="C2847" s="6">
        <v>1238.0</v>
      </c>
      <c r="D2847" s="9" t="str">
        <f>HYPERLINK("https://www.linkedin.com/ad-library/detail/1404670006","Open Ad")</f>
        <v>Open Ad</v>
      </c>
      <c r="E2847" s="6" t="s">
        <v>154</v>
      </c>
      <c r="F2847" s="6" t="s">
        <v>53</v>
      </c>
      <c r="G2847" s="6" t="s">
        <v>7768</v>
      </c>
      <c r="H2847" s="6" t="s">
        <v>55</v>
      </c>
      <c r="I2847" s="6" t="s">
        <v>7566</v>
      </c>
      <c r="J2847" s="6" t="s">
        <v>154</v>
      </c>
      <c r="K2847" s="9" t="str">
        <f>HYPERLINK("https://dms.licdn.com/playlist/vid/v2/D4E10AQGqT5ObIDsu_A/mp4-720p-30fp-crf28/B4EZ30vMt_HcBg-/0/1777927509646?e=2147483647&amp;v=beta&amp;t=AicGyHarUA5eqvn5i0I4Q_OqcmPpnxzosPn7VGu4IAs","Open Creative")</f>
        <v>Open Creative</v>
      </c>
      <c r="L2847" s="6" t="s">
        <v>131</v>
      </c>
      <c r="M2847" s="6" t="s">
        <v>7537</v>
      </c>
      <c r="N2847" s="6" t="s">
        <v>132</v>
      </c>
      <c r="O2847" s="36" t="s">
        <v>132</v>
      </c>
      <c r="P2847" s="36">
        <v>1.404670006E9</v>
      </c>
      <c r="Q2847" s="36" t="s">
        <v>7541</v>
      </c>
      <c r="R2847" s="6" t="s">
        <v>7542</v>
      </c>
    </row>
    <row r="2848">
      <c r="A2848" s="6" t="s">
        <v>7537</v>
      </c>
      <c r="B2848" s="6" t="s">
        <v>7537</v>
      </c>
      <c r="C2848" s="6">
        <v>1239.0</v>
      </c>
      <c r="D2848" s="9" t="str">
        <f>HYPERLINK("https://www.linkedin.com/ad-library/detail/1404601356","Open Ad")</f>
        <v>Open Ad</v>
      </c>
      <c r="E2848" s="6" t="s">
        <v>154</v>
      </c>
      <c r="F2848" s="6" t="s">
        <v>53</v>
      </c>
      <c r="G2848" s="6" t="s">
        <v>7752</v>
      </c>
      <c r="H2848" s="6" t="s">
        <v>55</v>
      </c>
      <c r="I2848" s="6" t="s">
        <v>7566</v>
      </c>
      <c r="J2848" s="6" t="s">
        <v>154</v>
      </c>
      <c r="K2848" s="9" t="str">
        <f>HYPERLINK("https://dms.licdn.com/playlist/vid/v2/D4E10AQHUrI2j9Xlm-g/mp4-360p-30fp-crf28/B4EZ3gCy9GHUBc-/0/1777580327951?e=2147483647&amp;v=beta&amp;t=o0Yf6I3v44oAb3XWlcouRtGT8_n1n1Q3iyFdqJ3i4ew","Open Creative")</f>
        <v>Open Creative</v>
      </c>
      <c r="L2848" s="6" t="s">
        <v>131</v>
      </c>
      <c r="M2848" s="6" t="s">
        <v>7537</v>
      </c>
      <c r="N2848" s="6" t="s">
        <v>132</v>
      </c>
      <c r="O2848" s="36" t="s">
        <v>132</v>
      </c>
      <c r="P2848" s="36">
        <v>1.404601356E9</v>
      </c>
      <c r="Q2848" s="36" t="s">
        <v>7541</v>
      </c>
      <c r="R2848" s="6" t="s">
        <v>7542</v>
      </c>
    </row>
    <row r="2849">
      <c r="A2849" s="6" t="s">
        <v>7537</v>
      </c>
      <c r="B2849" s="6" t="s">
        <v>7537</v>
      </c>
      <c r="C2849" s="6">
        <v>1240.0</v>
      </c>
      <c r="D2849" s="9" t="str">
        <f>HYPERLINK("https://www.linkedin.com/ad-library/detail/1405712516","Open Ad")</f>
        <v>Open Ad</v>
      </c>
      <c r="E2849" s="6" t="s">
        <v>154</v>
      </c>
      <c r="F2849" s="6" t="s">
        <v>53</v>
      </c>
      <c r="G2849" s="6" t="s">
        <v>7746</v>
      </c>
      <c r="H2849" s="6" t="s">
        <v>55</v>
      </c>
      <c r="I2849" s="6" t="s">
        <v>7566</v>
      </c>
      <c r="J2849" s="6" t="s">
        <v>154</v>
      </c>
      <c r="K2849" s="9" t="str">
        <f>HYPERLINK("https://dms.licdn.com/playlist/vid/v2/D4E10AQG2UpRhHOuMCw/mp4-360p-30fp-crf28/B4EZ3gFVQtKQBc-/0/1777580992778?e=2147483647&amp;v=beta&amp;t=f4WJja1TUP7dpfZlQSH5mijwN80xWRScl9vgdNUiVYY","Open Creative")</f>
        <v>Open Creative</v>
      </c>
      <c r="L2849" s="6" t="s">
        <v>131</v>
      </c>
      <c r="M2849" s="6" t="s">
        <v>7537</v>
      </c>
      <c r="N2849" s="6" t="s">
        <v>132</v>
      </c>
      <c r="O2849" s="36" t="s">
        <v>132</v>
      </c>
      <c r="P2849" s="36">
        <v>1.405712516E9</v>
      </c>
      <c r="Q2849" s="36" t="s">
        <v>7541</v>
      </c>
      <c r="R2849" s="6" t="s">
        <v>7542</v>
      </c>
    </row>
    <row r="2850">
      <c r="A2850" s="6" t="s">
        <v>7537</v>
      </c>
      <c r="B2850" s="6" t="s">
        <v>7537</v>
      </c>
      <c r="C2850" s="6">
        <v>1241.0</v>
      </c>
      <c r="D2850" s="9" t="str">
        <f>HYPERLINK("https://www.linkedin.com/ad-library/detail/1404542396","Open Ad")</f>
        <v>Open Ad</v>
      </c>
      <c r="E2850" s="6" t="s">
        <v>154</v>
      </c>
      <c r="F2850" s="6" t="s">
        <v>53</v>
      </c>
      <c r="G2850" s="6" t="s">
        <v>7752</v>
      </c>
      <c r="H2850" s="6" t="s">
        <v>55</v>
      </c>
      <c r="I2850" s="6" t="s">
        <v>7566</v>
      </c>
      <c r="J2850" s="6" t="s">
        <v>154</v>
      </c>
      <c r="K2850" s="9" t="str">
        <f>HYPERLINK("https://dms.licdn.com/playlist/vid/v2/D4E10AQHUrI2j9Xlm-g/mp4-360p-30fp-crf28/B4EZ3gCy9GHUBc-/0/1777580327951?e=2147483647&amp;v=beta&amp;t=o0Yf6I3v44oAb3XWlcouRtGT8_n1n1Q3iyFdqJ3i4ew","Open Creative")</f>
        <v>Open Creative</v>
      </c>
      <c r="L2850" s="6" t="s">
        <v>131</v>
      </c>
      <c r="M2850" s="6" t="s">
        <v>7537</v>
      </c>
      <c r="N2850" s="6" t="s">
        <v>132</v>
      </c>
      <c r="O2850" s="36" t="s">
        <v>132</v>
      </c>
      <c r="P2850" s="36">
        <v>1.404542396E9</v>
      </c>
      <c r="Q2850" s="36" t="s">
        <v>7541</v>
      </c>
      <c r="R2850" s="6" t="s">
        <v>7542</v>
      </c>
    </row>
    <row r="2851">
      <c r="A2851" s="6" t="s">
        <v>7537</v>
      </c>
      <c r="B2851" s="6" t="s">
        <v>7537</v>
      </c>
      <c r="C2851" s="6">
        <v>1242.0</v>
      </c>
      <c r="D2851" s="9" t="str">
        <f>HYPERLINK("https://www.linkedin.com/ad-library/detail/1404591686","Open Ad")</f>
        <v>Open Ad</v>
      </c>
      <c r="E2851" s="6" t="s">
        <v>91</v>
      </c>
      <c r="F2851" s="6" t="s">
        <v>53</v>
      </c>
      <c r="G2851" s="6" t="s">
        <v>7770</v>
      </c>
      <c r="H2851" s="6" t="s">
        <v>55</v>
      </c>
      <c r="I2851" s="6" t="s">
        <v>7566</v>
      </c>
      <c r="J2851" s="6" t="s">
        <v>91</v>
      </c>
      <c r="K2851" s="9" t="str">
        <f>HYPERLINK("https://media.licdn.com/dms/image/v2/D4E22AQHlG462lUp49A/feedshare-image-high-res/B4EZ3qc6x4IMAY-/0/1777754943059?e=2147483647&amp;v=beta&amp;t=3pJwOxLr5VosXkgwd5-CtN4IzO7QpxZpZfM9HluemWs","Open Creative")</f>
        <v>Open Creative</v>
      </c>
      <c r="L2851" s="6" t="s">
        <v>131</v>
      </c>
      <c r="M2851" s="6" t="s">
        <v>7537</v>
      </c>
      <c r="N2851" s="6" t="s">
        <v>132</v>
      </c>
      <c r="O2851" s="36" t="s">
        <v>132</v>
      </c>
      <c r="P2851" s="36">
        <v>1.404591686E9</v>
      </c>
      <c r="Q2851" s="36" t="s">
        <v>7541</v>
      </c>
      <c r="R2851" s="6" t="s">
        <v>7542</v>
      </c>
    </row>
    <row r="2852">
      <c r="A2852" s="6" t="s">
        <v>7537</v>
      </c>
      <c r="B2852" s="6" t="s">
        <v>7537</v>
      </c>
      <c r="C2852" s="6">
        <v>1243.0</v>
      </c>
      <c r="D2852" s="9" t="str">
        <f>HYPERLINK("https://www.linkedin.com/ad-library/detail/1404680046","Open Ad")</f>
        <v>Open Ad</v>
      </c>
      <c r="E2852" s="6" t="s">
        <v>154</v>
      </c>
      <c r="F2852" s="6" t="s">
        <v>53</v>
      </c>
      <c r="G2852" s="6" t="s">
        <v>7752</v>
      </c>
      <c r="H2852" s="6" t="s">
        <v>55</v>
      </c>
      <c r="I2852" s="6" t="s">
        <v>7566</v>
      </c>
      <c r="J2852" s="6" t="s">
        <v>154</v>
      </c>
      <c r="K2852" s="9" t="str">
        <f>HYPERLINK("https://dms.licdn.com/playlist/vid/v2/D4E10AQHUrI2j9Xlm-g/mp4-360p-30fp-crf28/B4EZ3gCy9GHUBc-/0/1777580327951?e=2147483647&amp;v=beta&amp;t=o0Yf6I3v44oAb3XWlcouRtGT8_n1n1Q3iyFdqJ3i4ew","Open Creative")</f>
        <v>Open Creative</v>
      </c>
      <c r="L2852" s="6" t="s">
        <v>131</v>
      </c>
      <c r="M2852" s="6" t="s">
        <v>7537</v>
      </c>
      <c r="N2852" s="6" t="s">
        <v>132</v>
      </c>
      <c r="O2852" s="36" t="s">
        <v>132</v>
      </c>
      <c r="P2852" s="36">
        <v>1.404680046E9</v>
      </c>
      <c r="Q2852" s="36" t="s">
        <v>7541</v>
      </c>
      <c r="R2852" s="6" t="s">
        <v>7542</v>
      </c>
    </row>
    <row r="2853">
      <c r="A2853" s="6" t="s">
        <v>7537</v>
      </c>
      <c r="B2853" s="6" t="s">
        <v>7537</v>
      </c>
      <c r="C2853" s="6">
        <v>1244.0</v>
      </c>
      <c r="D2853" s="9" t="str">
        <f>HYPERLINK("https://www.linkedin.com/ad-library/detail/1404680326","Open Ad")</f>
        <v>Open Ad</v>
      </c>
      <c r="E2853" s="6" t="s">
        <v>91</v>
      </c>
      <c r="F2853" s="6" t="s">
        <v>53</v>
      </c>
      <c r="G2853" s="6" t="s">
        <v>7597</v>
      </c>
      <c r="H2853" s="6" t="s">
        <v>55</v>
      </c>
      <c r="I2853" s="6" t="s">
        <v>7566</v>
      </c>
      <c r="J2853" s="6" t="s">
        <v>91</v>
      </c>
      <c r="K2853" s="9" t="str">
        <f>HYPERLINK("https://media.licdn.com/dms/image/v2/D5610AQHboNfHfdoMGg/image-shrink_1280/B56Z39lJVLH4Ag-/0/1778075866691/Ad13png?e=2147483647&amp;v=beta&amp;t=w47eH2aNcVt5nGxpOUSqt9WGlOcn-OqTBTg2vMGSkLA","Open Creative")</f>
        <v>Open Creative</v>
      </c>
      <c r="L2853" s="6" t="s">
        <v>131</v>
      </c>
      <c r="M2853" s="6" t="s">
        <v>7537</v>
      </c>
      <c r="N2853" s="6" t="s">
        <v>132</v>
      </c>
      <c r="O2853" s="36" t="s">
        <v>132</v>
      </c>
      <c r="P2853" s="36">
        <v>1.404680326E9</v>
      </c>
      <c r="Q2853" s="36" t="s">
        <v>7541</v>
      </c>
      <c r="R2853" s="6" t="s">
        <v>7542</v>
      </c>
    </row>
    <row r="2854">
      <c r="A2854" s="6" t="s">
        <v>7537</v>
      </c>
      <c r="B2854" s="6" t="s">
        <v>7537</v>
      </c>
      <c r="C2854" s="6">
        <v>1245.0</v>
      </c>
      <c r="D2854" s="9" t="str">
        <f>HYPERLINK("https://www.linkedin.com/ad-library/detail/1404621296","Open Ad")</f>
        <v>Open Ad</v>
      </c>
      <c r="E2854" s="6" t="s">
        <v>91</v>
      </c>
      <c r="F2854" s="6" t="s">
        <v>53</v>
      </c>
      <c r="G2854" s="6" t="s">
        <v>7597</v>
      </c>
      <c r="H2854" s="6" t="s">
        <v>55</v>
      </c>
      <c r="I2854" s="6" t="s">
        <v>7566</v>
      </c>
      <c r="J2854" s="6" t="s">
        <v>91</v>
      </c>
      <c r="K2854" s="9" t="str">
        <f>HYPERLINK("https://media.licdn.com/dms/image/v2/D5610AQFwlPh9OuqQ4A/image-shrink_1280/B56Z39k5SxIkAc-/0/1778075801026/Ad10png?e=2147483647&amp;v=beta&amp;t=LZdF-LfuEKTiB836HBLNFhI94910PU_-tRMjp3lZxJE","Open Creative")</f>
        <v>Open Creative</v>
      </c>
      <c r="L2854" s="6" t="s">
        <v>131</v>
      </c>
      <c r="M2854" s="6" t="s">
        <v>7537</v>
      </c>
      <c r="N2854" s="6" t="s">
        <v>132</v>
      </c>
      <c r="O2854" s="36" t="s">
        <v>132</v>
      </c>
      <c r="P2854" s="36">
        <v>1.404621296E9</v>
      </c>
      <c r="Q2854" s="36" t="s">
        <v>7541</v>
      </c>
      <c r="R2854" s="6" t="s">
        <v>7542</v>
      </c>
    </row>
    <row r="2855">
      <c r="A2855" s="6" t="s">
        <v>7537</v>
      </c>
      <c r="B2855" s="6" t="s">
        <v>7537</v>
      </c>
      <c r="C2855" s="6">
        <v>1246.0</v>
      </c>
      <c r="D2855" s="9" t="str">
        <f>HYPERLINK("https://www.linkedin.com/ad-library/detail/1404532316","Open Ad")</f>
        <v>Open Ad</v>
      </c>
      <c r="E2855" s="6" t="s">
        <v>154</v>
      </c>
      <c r="F2855" s="6" t="s">
        <v>53</v>
      </c>
      <c r="G2855" s="6" t="s">
        <v>7771</v>
      </c>
      <c r="H2855" s="6" t="s">
        <v>55</v>
      </c>
      <c r="I2855" s="6" t="s">
        <v>7566</v>
      </c>
      <c r="J2855" s="6" t="s">
        <v>154</v>
      </c>
      <c r="K2855" s="9" t="str">
        <f>HYPERLINK("https://dms.licdn.com/playlist/vid/v2/D4E10AQGDL0HoA5roFA/mp4-720p-30fp-crf28/B4EZ30bd20JIBo-/0/1777922352228?e=2147483647&amp;v=beta&amp;t=vb3TOsJxHAPUKrsO9BNgPm1nI9TLucXbQlNtgv9d72s","Open Creative")</f>
        <v>Open Creative</v>
      </c>
      <c r="L2855" s="6" t="s">
        <v>131</v>
      </c>
      <c r="M2855" s="6" t="s">
        <v>7537</v>
      </c>
      <c r="N2855" s="6" t="s">
        <v>132</v>
      </c>
      <c r="O2855" s="36" t="s">
        <v>132</v>
      </c>
      <c r="P2855" s="36">
        <v>1.404532316E9</v>
      </c>
      <c r="Q2855" s="36" t="s">
        <v>7541</v>
      </c>
      <c r="R2855" s="6" t="s">
        <v>7542</v>
      </c>
    </row>
    <row r="2856">
      <c r="A2856" s="6" t="s">
        <v>7537</v>
      </c>
      <c r="B2856" s="6" t="s">
        <v>7537</v>
      </c>
      <c r="C2856" s="6">
        <v>1247.0</v>
      </c>
      <c r="D2856" s="9" t="str">
        <f>HYPERLINK("https://www.linkedin.com/ad-library/detail/1404660346","Open Ad")</f>
        <v>Open Ad</v>
      </c>
      <c r="E2856" s="6" t="s">
        <v>91</v>
      </c>
      <c r="F2856" s="6" t="s">
        <v>53</v>
      </c>
      <c r="G2856" s="6" t="s">
        <v>7597</v>
      </c>
      <c r="H2856" s="6" t="s">
        <v>55</v>
      </c>
      <c r="I2856" s="6" t="s">
        <v>7566</v>
      </c>
      <c r="J2856" s="6" t="s">
        <v>91</v>
      </c>
      <c r="K2856" s="9" t="str">
        <f>HYPERLINK("https://media.licdn.com/dms/image/v2/D5610AQFwlPh9OuqQ4A/image-shrink_1280/B56Z39k5SxIkAc-/0/1778075801026/Ad10png?e=2147483647&amp;v=beta&amp;t=LZdF-LfuEKTiB836HBLNFhI94910PU_-tRMjp3lZxJE","Open Creative")</f>
        <v>Open Creative</v>
      </c>
      <c r="L2856" s="6" t="s">
        <v>131</v>
      </c>
      <c r="M2856" s="6" t="s">
        <v>7537</v>
      </c>
      <c r="N2856" s="6" t="s">
        <v>132</v>
      </c>
      <c r="O2856" s="36" t="s">
        <v>132</v>
      </c>
      <c r="P2856" s="36">
        <v>1.404660346E9</v>
      </c>
      <c r="Q2856" s="36" t="s">
        <v>7541</v>
      </c>
      <c r="R2856" s="6" t="s">
        <v>7542</v>
      </c>
    </row>
    <row r="2857">
      <c r="A2857" s="6" t="s">
        <v>7537</v>
      </c>
      <c r="B2857" s="6" t="s">
        <v>7537</v>
      </c>
      <c r="C2857" s="6">
        <v>1248.0</v>
      </c>
      <c r="D2857" s="9" t="str">
        <f>HYPERLINK("https://www.linkedin.com/ad-library/detail/1404601176","Open Ad")</f>
        <v>Open Ad</v>
      </c>
      <c r="E2857" s="6" t="s">
        <v>91</v>
      </c>
      <c r="F2857" s="6" t="s">
        <v>53</v>
      </c>
      <c r="G2857" s="6" t="s">
        <v>7770</v>
      </c>
      <c r="H2857" s="6" t="s">
        <v>55</v>
      </c>
      <c r="I2857" s="6" t="s">
        <v>7566</v>
      </c>
      <c r="J2857" s="6" t="s">
        <v>91</v>
      </c>
      <c r="K2857" s="9" t="str">
        <f>HYPERLINK("https://media.licdn.com/dms/image/v2/D4E22AQHlG462lUp49A/feedshare-image-high-res/B4EZ3qc6x4IMAY-/0/1777754943059?e=2147483647&amp;v=beta&amp;t=3pJwOxLr5VosXkgwd5-CtN4IzO7QpxZpZfM9HluemWs","Open Creative")</f>
        <v>Open Creative</v>
      </c>
      <c r="L2857" s="6" t="s">
        <v>131</v>
      </c>
      <c r="M2857" s="6" t="s">
        <v>7537</v>
      </c>
      <c r="N2857" s="6" t="s">
        <v>132</v>
      </c>
      <c r="O2857" s="36" t="s">
        <v>132</v>
      </c>
      <c r="P2857" s="36">
        <v>1.404601176E9</v>
      </c>
      <c r="Q2857" s="36" t="s">
        <v>7541</v>
      </c>
      <c r="R2857" s="6" t="s">
        <v>7542</v>
      </c>
    </row>
    <row r="2858">
      <c r="A2858" s="6" t="s">
        <v>7537</v>
      </c>
      <c r="B2858" s="6" t="s">
        <v>7537</v>
      </c>
      <c r="C2858" s="6">
        <v>1249.0</v>
      </c>
      <c r="D2858" s="9" t="str">
        <f>HYPERLINK("https://www.linkedin.com/ad-library/detail/1403177246","Open Ad")</f>
        <v>Open Ad</v>
      </c>
      <c r="E2858" s="6" t="s">
        <v>91</v>
      </c>
      <c r="F2858" s="6" t="s">
        <v>53</v>
      </c>
      <c r="G2858" s="6" t="s">
        <v>7597</v>
      </c>
      <c r="H2858" s="6" t="s">
        <v>55</v>
      </c>
      <c r="I2858" s="6" t="s">
        <v>7566</v>
      </c>
      <c r="J2858" s="6" t="s">
        <v>91</v>
      </c>
      <c r="K2858" s="9" t="str">
        <f>HYPERLINK("https://media.licdn.com/dms/image/v2/D5610AQGMVMBywOZTRA/image-shrink_1280/B56Z3WD4I4GsAc-/0/1777412834072/Ad11png?e=2147483647&amp;v=beta&amp;t=wEwvt57CmhCwh8mjwxDAOwifwJjctZBli8J_4VPqXQ0","Open Creative")</f>
        <v>Open Creative</v>
      </c>
      <c r="L2858" s="6" t="s">
        <v>131</v>
      </c>
      <c r="M2858" s="6" t="s">
        <v>7537</v>
      </c>
      <c r="N2858" s="6" t="s">
        <v>132</v>
      </c>
      <c r="O2858" s="36" t="s">
        <v>132</v>
      </c>
      <c r="P2858" s="36">
        <v>1.403177246E9</v>
      </c>
      <c r="Q2858" s="36" t="s">
        <v>7541</v>
      </c>
      <c r="R2858" s="6" t="s">
        <v>7542</v>
      </c>
    </row>
    <row r="2859">
      <c r="A2859" s="6" t="s">
        <v>7537</v>
      </c>
      <c r="B2859" s="6" t="s">
        <v>7537</v>
      </c>
      <c r="C2859" s="6">
        <v>1250.0</v>
      </c>
      <c r="D2859" s="9" t="str">
        <f>HYPERLINK("https://www.linkedin.com/ad-library/detail/1400931666","Open Ad")</f>
        <v>Open Ad</v>
      </c>
      <c r="E2859" s="6" t="s">
        <v>91</v>
      </c>
      <c r="F2859" s="6" t="s">
        <v>53</v>
      </c>
      <c r="G2859" s="6" t="s">
        <v>7772</v>
      </c>
      <c r="H2859" s="6" t="s">
        <v>55</v>
      </c>
      <c r="I2859" s="6" t="s">
        <v>7566</v>
      </c>
      <c r="J2859" s="6" t="s">
        <v>91</v>
      </c>
      <c r="K2859" s="9" t="str">
        <f>HYPERLINK("https://media.licdn.com/dms/image/v2/D4E22AQFbZdh1J833Sw/feedshare-shrink_1280/B4EZ3aSAC5K0AM-/0/1777483646260?e=2147483647&amp;v=beta&amp;t=HhMtq4oLbTwE0fFZgK8aU7SDdpg7qKmF75R02gDmHxk","Open Creative")</f>
        <v>Open Creative</v>
      </c>
      <c r="L2859" s="6" t="s">
        <v>131</v>
      </c>
      <c r="M2859" s="6" t="s">
        <v>7537</v>
      </c>
      <c r="N2859" s="6" t="s">
        <v>132</v>
      </c>
      <c r="O2859" s="36" t="s">
        <v>132</v>
      </c>
      <c r="P2859" s="36">
        <v>1.400931666E9</v>
      </c>
      <c r="Q2859" s="36" t="s">
        <v>7541</v>
      </c>
      <c r="R2859" s="6" t="s">
        <v>7542</v>
      </c>
    </row>
    <row r="2860">
      <c r="A2860" s="6" t="s">
        <v>7537</v>
      </c>
      <c r="B2860" s="6" t="s">
        <v>7537</v>
      </c>
      <c r="C2860" s="6">
        <v>1251.0</v>
      </c>
      <c r="D2860" s="9" t="str">
        <f>HYPERLINK("https://www.linkedin.com/ad-library/detail/1288881104","Open Ad")</f>
        <v>Open Ad</v>
      </c>
      <c r="E2860" s="6" t="s">
        <v>91</v>
      </c>
      <c r="F2860" s="6" t="s">
        <v>53</v>
      </c>
      <c r="G2860" s="6" t="s">
        <v>7773</v>
      </c>
      <c r="H2860" s="6" t="s">
        <v>55</v>
      </c>
      <c r="I2860" s="6" t="s">
        <v>7566</v>
      </c>
      <c r="J2860" s="6" t="s">
        <v>91</v>
      </c>
      <c r="K2860" s="9" t="str">
        <f>HYPERLINK("https://media.licdn.com/dms/image/v2/D4E22AQGwLUtS3PtxRw/feedshare-image-high-res/B4EZ3paMFaJUAY-/0/1777737450184?e=2147483647&amp;v=beta&amp;t=qtKj5KXW7gSByiImS-5G0rgWPaOjKgGEgA0G7lRdY3s","Open Creative")</f>
        <v>Open Creative</v>
      </c>
      <c r="L2860" s="6" t="s">
        <v>131</v>
      </c>
      <c r="M2860" s="6" t="s">
        <v>7537</v>
      </c>
      <c r="N2860" s="6" t="s">
        <v>132</v>
      </c>
      <c r="O2860" s="36" t="s">
        <v>132</v>
      </c>
      <c r="P2860" s="36">
        <v>1.288881104E9</v>
      </c>
      <c r="Q2860" s="36" t="s">
        <v>7541</v>
      </c>
      <c r="R2860" s="6" t="s">
        <v>7542</v>
      </c>
    </row>
    <row r="2861">
      <c r="A2861" s="6" t="s">
        <v>7537</v>
      </c>
      <c r="B2861" s="6" t="s">
        <v>7774</v>
      </c>
      <c r="C2861" s="6">
        <v>1252.0</v>
      </c>
      <c r="D2861" s="9" t="str">
        <f>HYPERLINK("https://www.linkedin.com/ad-library/detail/1289381194","Open Ad")</f>
        <v>Open Ad</v>
      </c>
      <c r="E2861" s="6" t="s">
        <v>91</v>
      </c>
      <c r="F2861" s="6" t="s">
        <v>53</v>
      </c>
      <c r="G2861" s="6" t="s">
        <v>7775</v>
      </c>
      <c r="H2861" s="6" t="s">
        <v>55</v>
      </c>
      <c r="I2861" s="6" t="s">
        <v>7680</v>
      </c>
      <c r="J2861" s="6" t="s">
        <v>91</v>
      </c>
      <c r="K2861" s="9" t="str">
        <f>HYPERLINK("https://media.licdn.com/dms/image/v2/D4E22AQFHEGTlC8h0lQ/feedshare-image-high-res/B4EZ3VULsnJEAU-/0/1777400331349?e=2147483647&amp;v=beta&amp;t=NMYCZu9Sg5D-Xy-3J6RjTCBxqPW9zaqTzyenIrpUmqU","Open Creative")</f>
        <v>Open Creative</v>
      </c>
      <c r="L2861" s="6" t="s">
        <v>131</v>
      </c>
      <c r="M2861" s="6" t="s">
        <v>7776</v>
      </c>
      <c r="N2861" s="6" t="s">
        <v>132</v>
      </c>
      <c r="O2861" s="36" t="s">
        <v>132</v>
      </c>
      <c r="P2861" s="36">
        <v>1.289381194E9</v>
      </c>
      <c r="Q2861" s="36" t="s">
        <v>68</v>
      </c>
      <c r="R2861" s="6" t="s">
        <v>7777</v>
      </c>
    </row>
    <row r="2862">
      <c r="A2862" s="6" t="s">
        <v>7537</v>
      </c>
      <c r="B2862" s="6" t="s">
        <v>7537</v>
      </c>
      <c r="C2862" s="6">
        <v>1253.0</v>
      </c>
      <c r="D2862" s="9" t="str">
        <f>HYPERLINK("https://www.linkedin.com/ad-library/detail/1398797856","Open Ad")</f>
        <v>Open Ad</v>
      </c>
      <c r="E2862" s="6" t="s">
        <v>91</v>
      </c>
      <c r="F2862" s="6" t="s">
        <v>53</v>
      </c>
      <c r="G2862" s="6" t="s">
        <v>7597</v>
      </c>
      <c r="H2862" s="6" t="s">
        <v>55</v>
      </c>
      <c r="I2862" s="6" t="s">
        <v>7566</v>
      </c>
      <c r="J2862" s="6" t="s">
        <v>91</v>
      </c>
      <c r="K2862" s="9" t="str">
        <f>HYPERLINK("https://media.licdn.com/dms/image/v2/D5610AQH-q8Kfz-YVbQ/image-shrink_1280/B56Z3WDoOFKgAc-/0/1777412768916/Adpng?e=2147483647&amp;v=beta&amp;t=Lvt6Go03KIs4rRA12hIMu8l80ejL9dzwHdp0rAwmuTM","Open Creative")</f>
        <v>Open Creative</v>
      </c>
      <c r="L2862" s="6" t="s">
        <v>131</v>
      </c>
      <c r="M2862" s="6" t="s">
        <v>7537</v>
      </c>
      <c r="N2862" s="6" t="s">
        <v>132</v>
      </c>
      <c r="O2862" s="36" t="s">
        <v>132</v>
      </c>
      <c r="P2862" s="36">
        <v>1.398797856E9</v>
      </c>
      <c r="Q2862" s="36" t="s">
        <v>7541</v>
      </c>
      <c r="R2862" s="6" t="s">
        <v>7542</v>
      </c>
    </row>
    <row r="2863">
      <c r="A2863" s="6" t="s">
        <v>7537</v>
      </c>
      <c r="B2863" s="6" t="s">
        <v>7537</v>
      </c>
      <c r="C2863" s="6">
        <v>1254.0</v>
      </c>
      <c r="D2863" s="9" t="str">
        <f>HYPERLINK("https://www.linkedin.com/ad-library/detail/1400873566","Open Ad")</f>
        <v>Open Ad</v>
      </c>
      <c r="E2863" s="6" t="s">
        <v>91</v>
      </c>
      <c r="F2863" s="6" t="s">
        <v>53</v>
      </c>
      <c r="G2863" s="6" t="s">
        <v>7772</v>
      </c>
      <c r="H2863" s="6" t="s">
        <v>55</v>
      </c>
      <c r="I2863" s="6" t="s">
        <v>7566</v>
      </c>
      <c r="J2863" s="6" t="s">
        <v>91</v>
      </c>
      <c r="K2863" s="9" t="str">
        <f>HYPERLINK("https://media.licdn.com/dms/image/v2/D4E22AQFbZdh1J833Sw/feedshare-shrink_1280/B4EZ3aSAC5K0AM-/0/1777483646260?e=2147483647&amp;v=beta&amp;t=HhMtq4oLbTwE0fFZgK8aU7SDdpg7qKmF75R02gDmHxk","Open Creative")</f>
        <v>Open Creative</v>
      </c>
      <c r="L2863" s="6" t="s">
        <v>131</v>
      </c>
      <c r="M2863" s="6" t="s">
        <v>7537</v>
      </c>
      <c r="N2863" s="6" t="s">
        <v>132</v>
      </c>
      <c r="O2863" s="36" t="s">
        <v>132</v>
      </c>
      <c r="P2863" s="36">
        <v>1.400873566E9</v>
      </c>
      <c r="Q2863" s="36" t="s">
        <v>7541</v>
      </c>
      <c r="R2863" s="6" t="s">
        <v>7542</v>
      </c>
    </row>
    <row r="2864">
      <c r="A2864" s="6" t="s">
        <v>7537</v>
      </c>
      <c r="B2864" s="6" t="s">
        <v>7537</v>
      </c>
      <c r="C2864" s="6">
        <v>1255.0</v>
      </c>
      <c r="D2864" s="9" t="str">
        <f>HYPERLINK("https://www.linkedin.com/ad-library/detail/1405420986","Open Ad")</f>
        <v>Open Ad</v>
      </c>
      <c r="E2864" s="6" t="s">
        <v>7543</v>
      </c>
      <c r="F2864" s="6" t="s">
        <v>53</v>
      </c>
      <c r="G2864" s="6" t="s">
        <v>7609</v>
      </c>
      <c r="H2864" s="6" t="s">
        <v>55</v>
      </c>
      <c r="I2864" s="6" t="s">
        <v>7566</v>
      </c>
      <c r="J2864" s="6" t="s">
        <v>7546</v>
      </c>
      <c r="K2864" s="6" t="s">
        <v>60</v>
      </c>
      <c r="L2864" s="6" t="s">
        <v>131</v>
      </c>
      <c r="M2864" s="6" t="s">
        <v>7537</v>
      </c>
      <c r="N2864" s="6" t="s">
        <v>132</v>
      </c>
      <c r="O2864" s="36" t="s">
        <v>132</v>
      </c>
      <c r="P2864" s="36">
        <v>1.405420986E9</v>
      </c>
      <c r="Q2864" s="36" t="s">
        <v>7541</v>
      </c>
      <c r="R2864" s="6" t="s">
        <v>7542</v>
      </c>
    </row>
    <row r="2865">
      <c r="A2865" s="6" t="s">
        <v>7537</v>
      </c>
      <c r="B2865" s="6" t="s">
        <v>7537</v>
      </c>
      <c r="C2865" s="6">
        <v>1256.0</v>
      </c>
      <c r="D2865" s="9" t="str">
        <f>HYPERLINK("https://www.linkedin.com/ad-library/detail/1401080636","Open Ad")</f>
        <v>Open Ad</v>
      </c>
      <c r="E2865" s="6" t="s">
        <v>91</v>
      </c>
      <c r="F2865" s="6" t="s">
        <v>53</v>
      </c>
      <c r="G2865" s="6" t="s">
        <v>7772</v>
      </c>
      <c r="H2865" s="6" t="s">
        <v>55</v>
      </c>
      <c r="I2865" s="6" t="s">
        <v>7566</v>
      </c>
      <c r="J2865" s="6" t="s">
        <v>91</v>
      </c>
      <c r="K2865" s="9" t="str">
        <f>HYPERLINK("https://media.licdn.com/dms/image/v2/D4E22AQFbZdh1J833Sw/feedshare-shrink_1280/B4EZ3aSAC5K0AM-/0/1777483646260?e=2147483647&amp;v=beta&amp;t=HhMtq4oLbTwE0fFZgK8aU7SDdpg7qKmF75R02gDmHxk","Open Creative")</f>
        <v>Open Creative</v>
      </c>
      <c r="L2865" s="6" t="s">
        <v>131</v>
      </c>
      <c r="M2865" s="6" t="s">
        <v>7537</v>
      </c>
      <c r="N2865" s="6" t="s">
        <v>132</v>
      </c>
      <c r="O2865" s="36" t="s">
        <v>132</v>
      </c>
      <c r="P2865" s="36">
        <v>1.401080636E9</v>
      </c>
      <c r="Q2865" s="36" t="s">
        <v>7541</v>
      </c>
      <c r="R2865" s="6" t="s">
        <v>7542</v>
      </c>
    </row>
    <row r="2866">
      <c r="A2866" s="6" t="s">
        <v>7537</v>
      </c>
      <c r="B2866" s="6" t="s">
        <v>7537</v>
      </c>
      <c r="C2866" s="6">
        <v>1257.0</v>
      </c>
      <c r="D2866" s="9" t="str">
        <f>HYPERLINK("https://www.linkedin.com/ad-library/detail/1403187666","Open Ad")</f>
        <v>Open Ad</v>
      </c>
      <c r="E2866" s="6" t="s">
        <v>91</v>
      </c>
      <c r="F2866" s="6" t="s">
        <v>53</v>
      </c>
      <c r="G2866" s="6" t="s">
        <v>7597</v>
      </c>
      <c r="H2866" s="6" t="s">
        <v>55</v>
      </c>
      <c r="I2866" s="6" t="s">
        <v>7566</v>
      </c>
      <c r="J2866" s="6" t="s">
        <v>91</v>
      </c>
      <c r="K2866" s="9" t="str">
        <f>HYPERLINK("https://media.licdn.com/dms/image/v2/D5610AQH-q8Kfz-YVbQ/image-shrink_1280/B56Z3WDoOFKgAc-/0/1777412768916/Adpng?e=2147483647&amp;v=beta&amp;t=Lvt6Go03KIs4rRA12hIMu8l80ejL9dzwHdp0rAwmuTM","Open Creative")</f>
        <v>Open Creative</v>
      </c>
      <c r="L2866" s="6" t="s">
        <v>131</v>
      </c>
      <c r="M2866" s="6" t="s">
        <v>7537</v>
      </c>
      <c r="N2866" s="6" t="s">
        <v>132</v>
      </c>
      <c r="O2866" s="36" t="s">
        <v>132</v>
      </c>
      <c r="P2866" s="36">
        <v>1.403187666E9</v>
      </c>
      <c r="Q2866" s="36" t="s">
        <v>7541</v>
      </c>
      <c r="R2866" s="6" t="s">
        <v>7542</v>
      </c>
    </row>
    <row r="2867">
      <c r="A2867" s="6" t="s">
        <v>7537</v>
      </c>
      <c r="B2867" s="6" t="s">
        <v>7537</v>
      </c>
      <c r="C2867" s="6">
        <v>1258.0</v>
      </c>
      <c r="D2867" s="9" t="str">
        <f>HYPERLINK("https://www.linkedin.com/ad-library/detail/1401100006","Open Ad")</f>
        <v>Open Ad</v>
      </c>
      <c r="E2867" s="6" t="s">
        <v>91</v>
      </c>
      <c r="F2867" s="6" t="s">
        <v>53</v>
      </c>
      <c r="G2867" s="6" t="s">
        <v>7772</v>
      </c>
      <c r="H2867" s="6" t="s">
        <v>55</v>
      </c>
      <c r="I2867" s="6" t="s">
        <v>7566</v>
      </c>
      <c r="J2867" s="6" t="s">
        <v>91</v>
      </c>
      <c r="K2867" s="9" t="str">
        <f>HYPERLINK("https://media.licdn.com/dms/image/v2/D4E22AQFbZdh1J833Sw/feedshare-shrink_1280/B4EZ3aSAC5K0AM-/0/1777483646260?e=2147483647&amp;v=beta&amp;t=HhMtq4oLbTwE0fFZgK8aU7SDdpg7qKmF75R02gDmHxk","Open Creative")</f>
        <v>Open Creative</v>
      </c>
      <c r="L2867" s="6" t="s">
        <v>131</v>
      </c>
      <c r="M2867" s="6" t="s">
        <v>7537</v>
      </c>
      <c r="N2867" s="6" t="s">
        <v>132</v>
      </c>
      <c r="O2867" s="36" t="s">
        <v>132</v>
      </c>
      <c r="P2867" s="36">
        <v>1.401100006E9</v>
      </c>
      <c r="Q2867" s="36" t="s">
        <v>7541</v>
      </c>
      <c r="R2867" s="6" t="s">
        <v>7542</v>
      </c>
    </row>
    <row r="2868">
      <c r="A2868" s="6" t="s">
        <v>7537</v>
      </c>
      <c r="B2868" s="6" t="s">
        <v>7537</v>
      </c>
      <c r="C2868" s="6">
        <v>1259.0</v>
      </c>
      <c r="D2868" s="9" t="str">
        <f>HYPERLINK("https://www.linkedin.com/ad-library/detail/1287388504","Open Ad")</f>
        <v>Open Ad</v>
      </c>
      <c r="E2868" s="6" t="s">
        <v>91</v>
      </c>
      <c r="F2868" s="6" t="s">
        <v>53</v>
      </c>
      <c r="G2868" s="6" t="s">
        <v>7614</v>
      </c>
      <c r="H2868" s="6" t="s">
        <v>55</v>
      </c>
      <c r="I2868" s="6" t="s">
        <v>7566</v>
      </c>
      <c r="J2868" s="6" t="s">
        <v>91</v>
      </c>
      <c r="K2868" s="9" t="str">
        <f>HYPERLINK("https://media.licdn.com/dms/image/v2/D4E22AQHqQ5H73IKatQ/feedshare-image-high-res/B4EZ3zzSFiHMAU-/0/1777911800529?e=2147483647&amp;v=beta&amp;t=qblordAcoyQ1q4SnwDGV-PHk-smYhZECyzWyulo8f9s","Open Creative")</f>
        <v>Open Creative</v>
      </c>
      <c r="L2868" s="6" t="s">
        <v>131</v>
      </c>
      <c r="M2868" s="6" t="s">
        <v>7537</v>
      </c>
      <c r="N2868" s="6" t="s">
        <v>132</v>
      </c>
      <c r="O2868" s="36" t="s">
        <v>132</v>
      </c>
      <c r="P2868" s="36">
        <v>1.287388504E9</v>
      </c>
      <c r="Q2868" s="36" t="s">
        <v>7541</v>
      </c>
      <c r="R2868" s="6" t="s">
        <v>7542</v>
      </c>
    </row>
    <row r="2869">
      <c r="A2869" s="6" t="s">
        <v>7537</v>
      </c>
      <c r="B2869" s="6" t="s">
        <v>7537</v>
      </c>
      <c r="C2869" s="6">
        <v>1260.0</v>
      </c>
      <c r="D2869" s="9" t="str">
        <f>HYPERLINK("https://www.linkedin.com/ad-library/detail/1400971416","Open Ad")</f>
        <v>Open Ad</v>
      </c>
      <c r="E2869" s="6" t="s">
        <v>91</v>
      </c>
      <c r="F2869" s="6" t="s">
        <v>53</v>
      </c>
      <c r="G2869" s="6" t="s">
        <v>7772</v>
      </c>
      <c r="H2869" s="6" t="s">
        <v>55</v>
      </c>
      <c r="I2869" s="6" t="s">
        <v>7566</v>
      </c>
      <c r="J2869" s="6" t="s">
        <v>91</v>
      </c>
      <c r="K2869" s="9" t="str">
        <f>HYPERLINK("https://media.licdn.com/dms/image/v2/D4E22AQFbZdh1J833Sw/feedshare-shrink_1280/B4EZ3aSAC5K0AM-/0/1777483646260?e=2147483647&amp;v=beta&amp;t=HhMtq4oLbTwE0fFZgK8aU7SDdpg7qKmF75R02gDmHxk","Open Creative")</f>
        <v>Open Creative</v>
      </c>
      <c r="L2869" s="6" t="s">
        <v>131</v>
      </c>
      <c r="M2869" s="6" t="s">
        <v>7537</v>
      </c>
      <c r="N2869" s="6" t="s">
        <v>132</v>
      </c>
      <c r="O2869" s="36" t="s">
        <v>132</v>
      </c>
      <c r="P2869" s="36">
        <v>1.400971416E9</v>
      </c>
      <c r="Q2869" s="36" t="s">
        <v>7541</v>
      </c>
      <c r="R2869" s="6" t="s">
        <v>7542</v>
      </c>
    </row>
    <row r="2870">
      <c r="A2870" s="6" t="s">
        <v>7537</v>
      </c>
      <c r="B2870" s="6" t="s">
        <v>7537</v>
      </c>
      <c r="C2870" s="6">
        <v>1261.0</v>
      </c>
      <c r="D2870" s="9" t="str">
        <f>HYPERLINK("https://www.linkedin.com/ad-library/detail/1403078366","Open Ad")</f>
        <v>Open Ad</v>
      </c>
      <c r="E2870" s="6" t="s">
        <v>91</v>
      </c>
      <c r="F2870" s="6" t="s">
        <v>53</v>
      </c>
      <c r="G2870" s="6" t="s">
        <v>7597</v>
      </c>
      <c r="H2870" s="6" t="s">
        <v>55</v>
      </c>
      <c r="I2870" s="6" t="s">
        <v>7566</v>
      </c>
      <c r="J2870" s="6" t="s">
        <v>91</v>
      </c>
      <c r="K2870" s="9" t="str">
        <f>HYPERLINK("https://media.licdn.com/dms/image/v2/D5610AQEaAP2ePthrkg/image-shrink_1280/B56Z3WEHN.KkAc-/0/1777412895878/Ad12png?e=2147483647&amp;v=beta&amp;t=T2wKzNoxIXKU0UU_eFAjRvI7gkBs3J8l1XJINIpnIvs","Open Creative")</f>
        <v>Open Creative</v>
      </c>
      <c r="L2870" s="6" t="s">
        <v>131</v>
      </c>
      <c r="M2870" s="6" t="s">
        <v>7537</v>
      </c>
      <c r="N2870" s="6" t="s">
        <v>132</v>
      </c>
      <c r="O2870" s="36" t="s">
        <v>132</v>
      </c>
      <c r="P2870" s="36">
        <v>1.403078366E9</v>
      </c>
      <c r="Q2870" s="36" t="s">
        <v>7541</v>
      </c>
      <c r="R2870" s="6" t="s">
        <v>7542</v>
      </c>
    </row>
    <row r="2871">
      <c r="A2871" s="6" t="s">
        <v>7537</v>
      </c>
      <c r="B2871" s="6" t="s">
        <v>7537</v>
      </c>
      <c r="C2871" s="6">
        <v>1262.0</v>
      </c>
      <c r="D2871" s="9" t="str">
        <f>HYPERLINK("https://www.linkedin.com/ad-library/detail/1400921736","Open Ad")</f>
        <v>Open Ad</v>
      </c>
      <c r="E2871" s="6" t="s">
        <v>91</v>
      </c>
      <c r="F2871" s="6" t="s">
        <v>53</v>
      </c>
      <c r="G2871" s="6" t="s">
        <v>7772</v>
      </c>
      <c r="H2871" s="6" t="s">
        <v>55</v>
      </c>
      <c r="I2871" s="6" t="s">
        <v>7566</v>
      </c>
      <c r="J2871" s="6" t="s">
        <v>91</v>
      </c>
      <c r="K2871" s="9" t="str">
        <f>HYPERLINK("https://media.licdn.com/dms/image/v2/D4E22AQFbZdh1J833Sw/feedshare-shrink_1280/B4EZ3aSAC5K0AM-/0/1777483646260?e=2147483647&amp;v=beta&amp;t=HhMtq4oLbTwE0fFZgK8aU7SDdpg7qKmF75R02gDmHxk","Open Creative")</f>
        <v>Open Creative</v>
      </c>
      <c r="L2871" s="6" t="s">
        <v>131</v>
      </c>
      <c r="M2871" s="6" t="s">
        <v>7537</v>
      </c>
      <c r="N2871" s="6" t="s">
        <v>132</v>
      </c>
      <c r="O2871" s="36" t="s">
        <v>132</v>
      </c>
      <c r="P2871" s="36">
        <v>1.400921736E9</v>
      </c>
      <c r="Q2871" s="36" t="s">
        <v>7541</v>
      </c>
      <c r="R2871" s="6" t="s">
        <v>7542</v>
      </c>
    </row>
    <row r="2872">
      <c r="A2872" s="6" t="s">
        <v>7537</v>
      </c>
      <c r="B2872" s="6" t="s">
        <v>7537</v>
      </c>
      <c r="C2872" s="6">
        <v>1263.0</v>
      </c>
      <c r="D2872" s="9" t="str">
        <f>HYPERLINK("https://www.linkedin.com/ad-library/detail/1399064466","Open Ad")</f>
        <v>Open Ad</v>
      </c>
      <c r="E2872" s="6" t="s">
        <v>154</v>
      </c>
      <c r="F2872" s="6" t="s">
        <v>53</v>
      </c>
      <c r="G2872" s="6" t="s">
        <v>7778</v>
      </c>
      <c r="H2872" s="6" t="s">
        <v>55</v>
      </c>
      <c r="I2872" s="6" t="s">
        <v>7566</v>
      </c>
      <c r="J2872" s="6" t="s">
        <v>154</v>
      </c>
      <c r="K2872" s="9" t="str">
        <f>HYPERLINK("https://dms.licdn.com/playlist/vid/v2/D4E10AQH7Ah3PBS3CEw/mp4-640p-30fp-crf28/B4EZ3VrWG7KcBE-/0/1777406408678?e=2147483647&amp;v=beta&amp;t=ATqwIaFuE8_AtfpFv8Cd9L809ZqySevNr2XI5SYcjLM","Open Creative")</f>
        <v>Open Creative</v>
      </c>
      <c r="L2872" s="6" t="s">
        <v>131</v>
      </c>
      <c r="M2872" s="6" t="s">
        <v>7537</v>
      </c>
      <c r="N2872" s="6" t="s">
        <v>132</v>
      </c>
      <c r="O2872" s="36" t="s">
        <v>132</v>
      </c>
      <c r="P2872" s="36">
        <v>1.399064466E9</v>
      </c>
      <c r="Q2872" s="36" t="s">
        <v>7541</v>
      </c>
      <c r="R2872" s="6" t="s">
        <v>7542</v>
      </c>
    </row>
    <row r="2873">
      <c r="A2873" s="6" t="s">
        <v>7537</v>
      </c>
      <c r="B2873" s="6" t="s">
        <v>7537</v>
      </c>
      <c r="C2873" s="6">
        <v>1264.0</v>
      </c>
      <c r="D2873" s="9" t="str">
        <f>HYPERLINK("https://www.linkedin.com/ad-library/detail/1405332436","Open Ad")</f>
        <v>Open Ad</v>
      </c>
      <c r="E2873" s="6" t="s">
        <v>7543</v>
      </c>
      <c r="F2873" s="6" t="s">
        <v>53</v>
      </c>
      <c r="G2873" s="6" t="s">
        <v>7609</v>
      </c>
      <c r="H2873" s="6" t="s">
        <v>55</v>
      </c>
      <c r="I2873" s="6" t="s">
        <v>7545</v>
      </c>
      <c r="J2873" s="6" t="s">
        <v>7546</v>
      </c>
      <c r="K2873" s="6" t="s">
        <v>60</v>
      </c>
      <c r="L2873" s="6" t="s">
        <v>131</v>
      </c>
      <c r="M2873" s="6" t="s">
        <v>7537</v>
      </c>
      <c r="N2873" s="6" t="s">
        <v>132</v>
      </c>
      <c r="O2873" s="36" t="s">
        <v>132</v>
      </c>
      <c r="P2873" s="36">
        <v>1.405332436E9</v>
      </c>
      <c r="Q2873" s="36" t="s">
        <v>7541</v>
      </c>
      <c r="R2873" s="6" t="s">
        <v>7542</v>
      </c>
    </row>
    <row r="2874">
      <c r="A2874" s="6" t="s">
        <v>7537</v>
      </c>
      <c r="B2874" s="6" t="s">
        <v>7537</v>
      </c>
      <c r="C2874" s="6">
        <v>1265.0</v>
      </c>
      <c r="D2874" s="9" t="str">
        <f>HYPERLINK("https://www.linkedin.com/ad-library/detail/1398699056","Open Ad")</f>
        <v>Open Ad</v>
      </c>
      <c r="E2874" s="6" t="s">
        <v>91</v>
      </c>
      <c r="F2874" s="6" t="s">
        <v>53</v>
      </c>
      <c r="G2874" s="6" t="s">
        <v>7597</v>
      </c>
      <c r="H2874" s="6" t="s">
        <v>55</v>
      </c>
      <c r="I2874" s="6" t="s">
        <v>7566</v>
      </c>
      <c r="J2874" s="6" t="s">
        <v>91</v>
      </c>
      <c r="K2874" s="9" t="str">
        <f>HYPERLINK("https://media.licdn.com/dms/image/v2/D5610AQHwfvEneIqQpg/image-shrink_1280/B56Z3WDTp1G0Ac-/0/1777412684628/Ad9png?e=2147483647&amp;v=beta&amp;t=aYxtFLgpOksdc2sW2JhFfLdBL1lU2G76XPJ-90sIZlk","Open Creative")</f>
        <v>Open Creative</v>
      </c>
      <c r="L2874" s="6" t="s">
        <v>131</v>
      </c>
      <c r="M2874" s="6" t="s">
        <v>7537</v>
      </c>
      <c r="N2874" s="6" t="s">
        <v>132</v>
      </c>
      <c r="O2874" s="36" t="s">
        <v>132</v>
      </c>
      <c r="P2874" s="36">
        <v>1.398699056E9</v>
      </c>
      <c r="Q2874" s="36" t="s">
        <v>7541</v>
      </c>
      <c r="R2874" s="6" t="s">
        <v>7542</v>
      </c>
    </row>
    <row r="2875">
      <c r="A2875" s="6" t="s">
        <v>7537</v>
      </c>
      <c r="B2875" s="6" t="s">
        <v>7537</v>
      </c>
      <c r="C2875" s="6">
        <v>1266.0</v>
      </c>
      <c r="D2875" s="9" t="str">
        <f>HYPERLINK("https://www.linkedin.com/ad-library/detail/1405288936","Open Ad")</f>
        <v>Open Ad</v>
      </c>
      <c r="E2875" s="6" t="s">
        <v>7543</v>
      </c>
      <c r="F2875" s="6" t="s">
        <v>53</v>
      </c>
      <c r="G2875" s="6" t="s">
        <v>7609</v>
      </c>
      <c r="H2875" s="6" t="s">
        <v>55</v>
      </c>
      <c r="I2875" s="6" t="s">
        <v>7566</v>
      </c>
      <c r="J2875" s="6" t="s">
        <v>7546</v>
      </c>
      <c r="K2875" s="6" t="s">
        <v>60</v>
      </c>
      <c r="L2875" s="6" t="s">
        <v>131</v>
      </c>
      <c r="M2875" s="6" t="s">
        <v>7537</v>
      </c>
      <c r="N2875" s="6" t="s">
        <v>132</v>
      </c>
      <c r="O2875" s="36" t="s">
        <v>132</v>
      </c>
      <c r="P2875" s="36">
        <v>1.405288936E9</v>
      </c>
      <c r="Q2875" s="36" t="s">
        <v>7541</v>
      </c>
      <c r="R2875" s="6" t="s">
        <v>7542</v>
      </c>
    </row>
    <row r="2876">
      <c r="A2876" s="6" t="s">
        <v>7537</v>
      </c>
      <c r="B2876" s="6" t="s">
        <v>7537</v>
      </c>
      <c r="C2876" s="6">
        <v>1267.0</v>
      </c>
      <c r="D2876" s="9" t="str">
        <f>HYPERLINK("https://www.linkedin.com/ad-library/detail/1287781134","Open Ad")</f>
        <v>Open Ad</v>
      </c>
      <c r="E2876" s="6" t="s">
        <v>91</v>
      </c>
      <c r="F2876" s="6" t="s">
        <v>53</v>
      </c>
      <c r="G2876" s="6" t="s">
        <v>7779</v>
      </c>
      <c r="H2876" s="6" t="s">
        <v>55</v>
      </c>
      <c r="I2876" s="6" t="s">
        <v>7566</v>
      </c>
      <c r="J2876" s="6" t="s">
        <v>91</v>
      </c>
      <c r="K2876" s="9" t="str">
        <f>HYPERLINK("https://media.licdn.com/dms/image/v2/D4E22AQEqPcVW8MafAw/feedshare-shrink_1280/B4EZ3pFNDNIoAQ-/0/1777731948991?e=2147483647&amp;v=beta&amp;t=a5RTTD7tQQrlO_RJAqBhC9Gm2seWtxeqJ3QztT--OLk","Open Creative")</f>
        <v>Open Creative</v>
      </c>
      <c r="L2876" s="6" t="s">
        <v>131</v>
      </c>
      <c r="M2876" s="6" t="s">
        <v>7537</v>
      </c>
      <c r="N2876" s="6" t="s">
        <v>132</v>
      </c>
      <c r="O2876" s="36" t="s">
        <v>132</v>
      </c>
      <c r="P2876" s="36">
        <v>1.287781134E9</v>
      </c>
      <c r="Q2876" s="36" t="s">
        <v>7541</v>
      </c>
      <c r="R2876" s="6" t="s">
        <v>7542</v>
      </c>
    </row>
    <row r="2877">
      <c r="A2877" s="6" t="s">
        <v>7537</v>
      </c>
      <c r="B2877" s="6" t="s">
        <v>7537</v>
      </c>
      <c r="C2877" s="6">
        <v>1268.0</v>
      </c>
      <c r="D2877" s="9" t="str">
        <f>HYPERLINK("https://www.linkedin.com/ad-library/detail/1405391546","Open Ad")</f>
        <v>Open Ad</v>
      </c>
      <c r="E2877" s="6" t="s">
        <v>7543</v>
      </c>
      <c r="F2877" s="6" t="s">
        <v>53</v>
      </c>
      <c r="G2877" s="6" t="s">
        <v>7609</v>
      </c>
      <c r="H2877" s="6" t="s">
        <v>55</v>
      </c>
      <c r="I2877" s="6" t="s">
        <v>7566</v>
      </c>
      <c r="J2877" s="6" t="s">
        <v>7546</v>
      </c>
      <c r="K2877" s="6" t="s">
        <v>60</v>
      </c>
      <c r="L2877" s="6" t="s">
        <v>131</v>
      </c>
      <c r="M2877" s="6" t="s">
        <v>7537</v>
      </c>
      <c r="N2877" s="6" t="s">
        <v>132</v>
      </c>
      <c r="O2877" s="36" t="s">
        <v>132</v>
      </c>
      <c r="P2877" s="36">
        <v>1.405391546E9</v>
      </c>
      <c r="Q2877" s="36" t="s">
        <v>7541</v>
      </c>
      <c r="R2877" s="6" t="s">
        <v>7542</v>
      </c>
    </row>
    <row r="2878">
      <c r="A2878" s="6" t="s">
        <v>7537</v>
      </c>
      <c r="B2878" s="6" t="s">
        <v>7537</v>
      </c>
      <c r="C2878" s="6">
        <v>1269.0</v>
      </c>
      <c r="D2878" s="9" t="str">
        <f>HYPERLINK("https://www.linkedin.com/ad-library/detail/1403246086","Open Ad")</f>
        <v>Open Ad</v>
      </c>
      <c r="E2878" s="6" t="s">
        <v>91</v>
      </c>
      <c r="F2878" s="6" t="s">
        <v>53</v>
      </c>
      <c r="G2878" s="6" t="s">
        <v>7597</v>
      </c>
      <c r="H2878" s="6" t="s">
        <v>55</v>
      </c>
      <c r="I2878" s="6" t="s">
        <v>7566</v>
      </c>
      <c r="J2878" s="6" t="s">
        <v>91</v>
      </c>
      <c r="K2878" s="9" t="str">
        <f>HYPERLINK("https://media.licdn.com/dms/image/v2/D5610AQHwfvEneIqQpg/image-shrink_1280/B56Z3WDTp1G0Ac-/0/1777412684628/Ad9png?e=2147483647&amp;v=beta&amp;t=aYxtFLgpOksdc2sW2JhFfLdBL1lU2G76XPJ-90sIZlk","Open Creative")</f>
        <v>Open Creative</v>
      </c>
      <c r="L2878" s="6" t="s">
        <v>131</v>
      </c>
      <c r="M2878" s="6" t="s">
        <v>7537</v>
      </c>
      <c r="N2878" s="6" t="s">
        <v>132</v>
      </c>
      <c r="O2878" s="36" t="s">
        <v>132</v>
      </c>
      <c r="P2878" s="36">
        <v>1.403246086E9</v>
      </c>
      <c r="Q2878" s="36" t="s">
        <v>7541</v>
      </c>
      <c r="R2878" s="6" t="s">
        <v>7542</v>
      </c>
    </row>
    <row r="2879">
      <c r="A2879" s="6" t="s">
        <v>7537</v>
      </c>
      <c r="B2879" s="6" t="s">
        <v>7537</v>
      </c>
      <c r="C2879" s="6">
        <v>1270.0</v>
      </c>
      <c r="D2879" s="9" t="str">
        <f>HYPERLINK("https://www.linkedin.com/ad-library/detail/1398699026","Open Ad")</f>
        <v>Open Ad</v>
      </c>
      <c r="E2879" s="6" t="s">
        <v>91</v>
      </c>
      <c r="F2879" s="6" t="s">
        <v>53</v>
      </c>
      <c r="G2879" s="6" t="s">
        <v>7597</v>
      </c>
      <c r="H2879" s="6" t="s">
        <v>55</v>
      </c>
      <c r="I2879" s="6" t="s">
        <v>7566</v>
      </c>
      <c r="J2879" s="6" t="s">
        <v>91</v>
      </c>
      <c r="K2879" s="9" t="str">
        <f t="shared" ref="K2879:K2880" si="130">HYPERLINK("https://media.licdn.com/dms/image/v2/D5610AQGMVMBywOZTRA/image-shrink_1280/B56Z3WD4I4GsAc-/0/1777412834072/Ad11png?e=2147483647&amp;v=beta&amp;t=wEwvt57CmhCwh8mjwxDAOwifwJjctZBli8J_4VPqXQ0","Open Creative")</f>
        <v>Open Creative</v>
      </c>
      <c r="L2879" s="6" t="s">
        <v>131</v>
      </c>
      <c r="M2879" s="6" t="s">
        <v>7537</v>
      </c>
      <c r="N2879" s="6" t="s">
        <v>132</v>
      </c>
      <c r="O2879" s="36" t="s">
        <v>132</v>
      </c>
      <c r="P2879" s="36">
        <v>1.398699026E9</v>
      </c>
      <c r="Q2879" s="36" t="s">
        <v>7541</v>
      </c>
      <c r="R2879" s="6" t="s">
        <v>7542</v>
      </c>
    </row>
    <row r="2880">
      <c r="A2880" s="6" t="s">
        <v>7537</v>
      </c>
      <c r="B2880" s="6" t="s">
        <v>7537</v>
      </c>
      <c r="C2880" s="6">
        <v>1271.0</v>
      </c>
      <c r="D2880" s="9" t="str">
        <f>HYPERLINK("https://www.linkedin.com/ad-library/detail/1398718326","Open Ad")</f>
        <v>Open Ad</v>
      </c>
      <c r="E2880" s="6" t="s">
        <v>91</v>
      </c>
      <c r="F2880" s="6" t="s">
        <v>53</v>
      </c>
      <c r="G2880" s="6" t="s">
        <v>7597</v>
      </c>
      <c r="H2880" s="6" t="s">
        <v>55</v>
      </c>
      <c r="I2880" s="6" t="s">
        <v>7566</v>
      </c>
      <c r="J2880" s="6" t="s">
        <v>91</v>
      </c>
      <c r="K2880" s="9" t="str">
        <f t="shared" si="130"/>
        <v>Open Creative</v>
      </c>
      <c r="L2880" s="6" t="s">
        <v>131</v>
      </c>
      <c r="M2880" s="6" t="s">
        <v>7537</v>
      </c>
      <c r="N2880" s="6" t="s">
        <v>132</v>
      </c>
      <c r="O2880" s="36" t="s">
        <v>132</v>
      </c>
      <c r="P2880" s="36">
        <v>1.398718326E9</v>
      </c>
      <c r="Q2880" s="36" t="s">
        <v>7541</v>
      </c>
      <c r="R2880" s="6" t="s">
        <v>7542</v>
      </c>
    </row>
    <row r="2881">
      <c r="A2881" s="6" t="s">
        <v>7537</v>
      </c>
      <c r="B2881" s="6" t="s">
        <v>7537</v>
      </c>
      <c r="C2881" s="6">
        <v>1272.0</v>
      </c>
      <c r="D2881" s="9" t="str">
        <f>HYPERLINK("https://www.linkedin.com/ad-library/detail/1398866006","Open Ad")</f>
        <v>Open Ad</v>
      </c>
      <c r="E2881" s="6" t="s">
        <v>91</v>
      </c>
      <c r="F2881" s="6" t="s">
        <v>53</v>
      </c>
      <c r="G2881" s="6" t="s">
        <v>7597</v>
      </c>
      <c r="H2881" s="6" t="s">
        <v>55</v>
      </c>
      <c r="I2881" s="6" t="s">
        <v>7566</v>
      </c>
      <c r="J2881" s="6" t="s">
        <v>91</v>
      </c>
      <c r="K2881" s="9" t="str">
        <f>HYPERLINK("https://media.licdn.com/dms/image/v2/D5610AQEaAP2ePthrkg/image-shrink_1280/B56Z3WEHN.KkAc-/0/1777412895878/Ad12png?e=2147483647&amp;v=beta&amp;t=T2wKzNoxIXKU0UU_eFAjRvI7gkBs3J8l1XJINIpnIvs","Open Creative")</f>
        <v>Open Creative</v>
      </c>
      <c r="L2881" s="6" t="s">
        <v>131</v>
      </c>
      <c r="M2881" s="6" t="s">
        <v>7537</v>
      </c>
      <c r="N2881" s="6" t="s">
        <v>132</v>
      </c>
      <c r="O2881" s="36" t="s">
        <v>132</v>
      </c>
      <c r="P2881" s="36">
        <v>1.398866006E9</v>
      </c>
      <c r="Q2881" s="36" t="s">
        <v>7541</v>
      </c>
      <c r="R2881" s="6" t="s">
        <v>7542</v>
      </c>
    </row>
    <row r="2882">
      <c r="A2882" s="6" t="s">
        <v>7537</v>
      </c>
      <c r="B2882" s="6" t="s">
        <v>7537</v>
      </c>
      <c r="C2882" s="6">
        <v>1273.0</v>
      </c>
      <c r="D2882" s="9" t="str">
        <f>HYPERLINK("https://www.linkedin.com/ad-library/detail/1252288953","Open Ad")</f>
        <v>Open Ad</v>
      </c>
      <c r="E2882" s="6" t="s">
        <v>7543</v>
      </c>
      <c r="F2882" s="6" t="s">
        <v>53</v>
      </c>
      <c r="G2882" s="6" t="s">
        <v>7780</v>
      </c>
      <c r="H2882" s="6" t="s">
        <v>55</v>
      </c>
      <c r="I2882" s="6" t="s">
        <v>7566</v>
      </c>
      <c r="J2882" s="6" t="s">
        <v>7546</v>
      </c>
      <c r="K2882" s="6" t="s">
        <v>60</v>
      </c>
      <c r="L2882" s="6" t="s">
        <v>131</v>
      </c>
      <c r="M2882" s="6" t="s">
        <v>7537</v>
      </c>
      <c r="N2882" s="6" t="s">
        <v>132</v>
      </c>
      <c r="O2882" s="36" t="s">
        <v>132</v>
      </c>
      <c r="P2882" s="36">
        <v>1.252288953E9</v>
      </c>
      <c r="Q2882" s="36" t="s">
        <v>7541</v>
      </c>
      <c r="R2882" s="6" t="s">
        <v>7542</v>
      </c>
    </row>
    <row r="2883">
      <c r="A2883" s="6" t="s">
        <v>7537</v>
      </c>
      <c r="B2883" s="6" t="s">
        <v>7537</v>
      </c>
      <c r="C2883" s="6">
        <v>1274.0</v>
      </c>
      <c r="D2883" s="9" t="str">
        <f>HYPERLINK("https://www.linkedin.com/ad-library/detail/1398767676","Open Ad")</f>
        <v>Open Ad</v>
      </c>
      <c r="E2883" s="6" t="s">
        <v>91</v>
      </c>
      <c r="F2883" s="6" t="s">
        <v>53</v>
      </c>
      <c r="G2883" s="6" t="s">
        <v>7597</v>
      </c>
      <c r="H2883" s="6" t="s">
        <v>55</v>
      </c>
      <c r="I2883" s="6" t="s">
        <v>7566</v>
      </c>
      <c r="J2883" s="6" t="s">
        <v>91</v>
      </c>
      <c r="K2883" s="9" t="str">
        <f>HYPERLINK("https://media.licdn.com/dms/image/v2/D5610AQHwfvEneIqQpg/image-shrink_1280/B56Z3WDTp1G0Ac-/0/1777412684628/Ad9png?e=2147483647&amp;v=beta&amp;t=aYxtFLgpOksdc2sW2JhFfLdBL1lU2G76XPJ-90sIZlk","Open Creative")</f>
        <v>Open Creative</v>
      </c>
      <c r="L2883" s="6" t="s">
        <v>131</v>
      </c>
      <c r="M2883" s="6" t="s">
        <v>7537</v>
      </c>
      <c r="N2883" s="6" t="s">
        <v>132</v>
      </c>
      <c r="O2883" s="36" t="s">
        <v>132</v>
      </c>
      <c r="P2883" s="36">
        <v>1.398767676E9</v>
      </c>
      <c r="Q2883" s="36" t="s">
        <v>7541</v>
      </c>
      <c r="R2883" s="6" t="s">
        <v>7542</v>
      </c>
    </row>
    <row r="2884">
      <c r="A2884" s="6" t="s">
        <v>7537</v>
      </c>
      <c r="B2884" s="6" t="s">
        <v>7537</v>
      </c>
      <c r="C2884" s="6">
        <v>1275.0</v>
      </c>
      <c r="D2884" s="9" t="str">
        <f>HYPERLINK("https://www.linkedin.com/ad-library/detail/1398744796","Open Ad")</f>
        <v>Open Ad</v>
      </c>
      <c r="E2884" s="6" t="s">
        <v>91</v>
      </c>
      <c r="F2884" s="6" t="s">
        <v>53</v>
      </c>
      <c r="G2884" s="6" t="s">
        <v>7588</v>
      </c>
      <c r="H2884" s="6" t="s">
        <v>55</v>
      </c>
      <c r="I2884" s="6" t="s">
        <v>7566</v>
      </c>
      <c r="J2884" s="6" t="s">
        <v>91</v>
      </c>
      <c r="K2884" s="9" t="str">
        <f>HYPERLINK("https://media.licdn.com/dms/image/v2/D4E10AQEqECWLz8eLfg/image-shrink_1280/B4EZ3UsZ.CGkAc-/0/1777389904287?e=2147483647&amp;v=beta&amp;t=0Mbfqk_hLfichGIBXrMjoO2DeoHez5SeK866pI13xWU","Open Creative")</f>
        <v>Open Creative</v>
      </c>
      <c r="L2884" s="6" t="s">
        <v>131</v>
      </c>
      <c r="M2884" s="6" t="s">
        <v>7537</v>
      </c>
      <c r="N2884" s="6" t="s">
        <v>132</v>
      </c>
      <c r="O2884" s="36" t="s">
        <v>132</v>
      </c>
      <c r="P2884" s="36">
        <v>1.398744796E9</v>
      </c>
      <c r="Q2884" s="36" t="s">
        <v>7541</v>
      </c>
      <c r="R2884" s="6" t="s">
        <v>7542</v>
      </c>
    </row>
    <row r="2885">
      <c r="A2885" s="6" t="s">
        <v>7537</v>
      </c>
      <c r="B2885" s="6" t="s">
        <v>7537</v>
      </c>
      <c r="C2885" s="6">
        <v>1276.0</v>
      </c>
      <c r="D2885" s="9" t="str">
        <f>HYPERLINK("https://www.linkedin.com/ad-library/detail/1396582696","Open Ad")</f>
        <v>Open Ad</v>
      </c>
      <c r="E2885" s="6" t="s">
        <v>91</v>
      </c>
      <c r="F2885" s="6" t="s">
        <v>53</v>
      </c>
      <c r="G2885" s="6" t="s">
        <v>7781</v>
      </c>
      <c r="H2885" s="6" t="s">
        <v>55</v>
      </c>
      <c r="I2885" s="6" t="s">
        <v>7566</v>
      </c>
      <c r="J2885" s="6" t="s">
        <v>91</v>
      </c>
      <c r="K2885" s="9" t="str">
        <f>HYPERLINK("https://media.licdn.com/dms/image/v2/D4E22AQEe7iJPRpwRfA/feedshare-shrink_1280/B4EZ2xCizFJkAM-/0/1776791727952?e=2147483647&amp;v=beta&amp;t=24jH5c0XWlb1ellVmLE-5jyB-0PykN9AAhWfYlIevKs","Open Creative")</f>
        <v>Open Creative</v>
      </c>
      <c r="L2885" s="6" t="s">
        <v>131</v>
      </c>
      <c r="M2885" s="6" t="s">
        <v>7537</v>
      </c>
      <c r="N2885" s="6" t="s">
        <v>132</v>
      </c>
      <c r="O2885" s="36" t="s">
        <v>132</v>
      </c>
      <c r="P2885" s="36">
        <v>1.396582696E9</v>
      </c>
      <c r="Q2885" s="36" t="s">
        <v>7541</v>
      </c>
      <c r="R2885" s="6" t="s">
        <v>7542</v>
      </c>
    </row>
    <row r="2886">
      <c r="A2886" s="6" t="s">
        <v>7537</v>
      </c>
      <c r="B2886" s="6" t="s">
        <v>7537</v>
      </c>
      <c r="C2886" s="6">
        <v>1277.0</v>
      </c>
      <c r="D2886" s="9" t="str">
        <f>HYPERLINK("https://www.linkedin.com/ad-library/detail/1398824566","Open Ad")</f>
        <v>Open Ad</v>
      </c>
      <c r="E2886" s="6" t="s">
        <v>154</v>
      </c>
      <c r="F2886" s="6" t="s">
        <v>53</v>
      </c>
      <c r="G2886" s="6" t="s">
        <v>7782</v>
      </c>
      <c r="H2886" s="6" t="s">
        <v>55</v>
      </c>
      <c r="I2886" s="6" t="s">
        <v>7566</v>
      </c>
      <c r="J2886" s="6" t="s">
        <v>154</v>
      </c>
      <c r="K2886" s="9" t="str">
        <f>HYPERLINK("https://dms.licdn.com/playlist/vid/v2/D4D05AQHh70RChnM0SA/mp4-640p-30fp-crf28/B4DZ3AZ_B5HUBg-/0/1777049540511?e=2147483647&amp;v=beta&amp;t=asnZbc5MfLW0XV-wbqR7YtAvoIGsBExTsIWW1WLCiZo","Open Creative")</f>
        <v>Open Creative</v>
      </c>
      <c r="L2886" s="6" t="s">
        <v>131</v>
      </c>
      <c r="M2886" s="6" t="s">
        <v>7537</v>
      </c>
      <c r="N2886" s="6" t="s">
        <v>132</v>
      </c>
      <c r="O2886" s="36" t="s">
        <v>132</v>
      </c>
      <c r="P2886" s="36">
        <v>1.398824566E9</v>
      </c>
      <c r="Q2886" s="36" t="s">
        <v>7541</v>
      </c>
      <c r="R2886" s="6" t="s">
        <v>7542</v>
      </c>
    </row>
    <row r="2887">
      <c r="A2887" s="6" t="s">
        <v>7537</v>
      </c>
      <c r="B2887" s="6" t="s">
        <v>7537</v>
      </c>
      <c r="C2887" s="6">
        <v>1278.0</v>
      </c>
      <c r="D2887" s="9" t="str">
        <f>HYPERLINK("https://www.linkedin.com/ad-library/detail/1396562576","Open Ad")</f>
        <v>Open Ad</v>
      </c>
      <c r="E2887" s="6" t="s">
        <v>154</v>
      </c>
      <c r="F2887" s="6" t="s">
        <v>53</v>
      </c>
      <c r="G2887" s="6" t="s">
        <v>7783</v>
      </c>
      <c r="H2887" s="6" t="s">
        <v>55</v>
      </c>
      <c r="I2887" s="6" t="s">
        <v>7566</v>
      </c>
      <c r="J2887" s="6" t="s">
        <v>154</v>
      </c>
      <c r="K2887" s="9" t="str">
        <f>HYPERLINK("https://dms.licdn.com/playlist/vid/v2/D4E10AQFckv7gmjD1ow/mp4-360p-30fp-crf28/B4EZ2xBlN9JUCA-/0/1776791479385?e=2147483647&amp;v=beta&amp;t=EVZD1ZdkhhsEPYEG6ZS7tCaaj2IxibK3iiniIzHQWrU","Open Creative")</f>
        <v>Open Creative</v>
      </c>
      <c r="L2887" s="6" t="s">
        <v>131</v>
      </c>
      <c r="M2887" s="6" t="s">
        <v>7537</v>
      </c>
      <c r="N2887" s="6" t="s">
        <v>132</v>
      </c>
      <c r="O2887" s="36" t="s">
        <v>132</v>
      </c>
      <c r="P2887" s="36">
        <v>1.396562576E9</v>
      </c>
      <c r="Q2887" s="36" t="s">
        <v>7541</v>
      </c>
      <c r="R2887" s="6" t="s">
        <v>7542</v>
      </c>
    </row>
    <row r="2888">
      <c r="A2888" s="6" t="s">
        <v>7537</v>
      </c>
      <c r="B2888" s="6" t="s">
        <v>7537</v>
      </c>
      <c r="C2888" s="6">
        <v>1279.0</v>
      </c>
      <c r="D2888" s="9" t="str">
        <f>HYPERLINK("https://www.linkedin.com/ad-library/detail/1396532566","Open Ad")</f>
        <v>Open Ad</v>
      </c>
      <c r="E2888" s="6" t="s">
        <v>91</v>
      </c>
      <c r="F2888" s="6" t="s">
        <v>53</v>
      </c>
      <c r="G2888" s="6" t="s">
        <v>7781</v>
      </c>
      <c r="H2888" s="6" t="s">
        <v>55</v>
      </c>
      <c r="I2888" s="6" t="s">
        <v>7566</v>
      </c>
      <c r="J2888" s="6" t="s">
        <v>91</v>
      </c>
      <c r="K2888" s="9" t="str">
        <f>HYPERLINK("https://media.licdn.com/dms/image/v2/D4E22AQEe7iJPRpwRfA/feedshare-shrink_1280/B4EZ2xCizFJkAM-/0/1776791727952?e=2147483647&amp;v=beta&amp;t=24jH5c0XWlb1ellVmLE-5jyB-0PykN9AAhWfYlIevKs","Open Creative")</f>
        <v>Open Creative</v>
      </c>
      <c r="L2888" s="6" t="s">
        <v>131</v>
      </c>
      <c r="M2888" s="6" t="s">
        <v>7537</v>
      </c>
      <c r="N2888" s="6" t="s">
        <v>132</v>
      </c>
      <c r="O2888" s="36" t="s">
        <v>132</v>
      </c>
      <c r="P2888" s="36">
        <v>1.396532566E9</v>
      </c>
      <c r="Q2888" s="36" t="s">
        <v>7541</v>
      </c>
      <c r="R2888" s="6" t="s">
        <v>7542</v>
      </c>
    </row>
    <row r="2889">
      <c r="A2889" s="6" t="s">
        <v>7537</v>
      </c>
      <c r="B2889" s="6" t="s">
        <v>7537</v>
      </c>
      <c r="C2889" s="6">
        <v>1280.0</v>
      </c>
      <c r="D2889" s="9" t="str">
        <f>HYPERLINK("https://www.linkedin.com/ad-library/detail/1398834456","Open Ad")</f>
        <v>Open Ad</v>
      </c>
      <c r="E2889" s="6" t="s">
        <v>91</v>
      </c>
      <c r="F2889" s="6" t="s">
        <v>53</v>
      </c>
      <c r="G2889" s="6" t="s">
        <v>7588</v>
      </c>
      <c r="H2889" s="6" t="s">
        <v>55</v>
      </c>
      <c r="I2889" s="6" t="s">
        <v>7566</v>
      </c>
      <c r="J2889" s="6" t="s">
        <v>91</v>
      </c>
      <c r="K2889" s="9" t="str">
        <f>HYPERLINK("https://media.licdn.com/dms/image/v2/D4E10AQEqECWLz8eLfg/image-shrink_1280/B4EZ3UsZ.CGkAc-/0/1777389904287?e=2147483647&amp;v=beta&amp;t=0Mbfqk_hLfichGIBXrMjoO2DeoHez5SeK866pI13xWU","Open Creative")</f>
        <v>Open Creative</v>
      </c>
      <c r="L2889" s="6" t="s">
        <v>131</v>
      </c>
      <c r="M2889" s="6" t="s">
        <v>7537</v>
      </c>
      <c r="N2889" s="6" t="s">
        <v>132</v>
      </c>
      <c r="O2889" s="36" t="s">
        <v>132</v>
      </c>
      <c r="P2889" s="36">
        <v>1.398834456E9</v>
      </c>
      <c r="Q2889" s="36" t="s">
        <v>7541</v>
      </c>
      <c r="R2889" s="6" t="s">
        <v>7542</v>
      </c>
    </row>
    <row r="2890">
      <c r="A2890" s="6" t="s">
        <v>7537</v>
      </c>
      <c r="B2890" s="6" t="s">
        <v>7537</v>
      </c>
      <c r="C2890" s="6">
        <v>1281.0</v>
      </c>
      <c r="D2890" s="9" t="str">
        <f>HYPERLINK("https://www.linkedin.com/ad-library/detail/1396492996","Open Ad")</f>
        <v>Open Ad</v>
      </c>
      <c r="E2890" s="6" t="s">
        <v>91</v>
      </c>
      <c r="F2890" s="6" t="s">
        <v>53</v>
      </c>
      <c r="G2890" s="6" t="s">
        <v>7781</v>
      </c>
      <c r="H2890" s="6" t="s">
        <v>55</v>
      </c>
      <c r="I2890" s="6" t="s">
        <v>7566</v>
      </c>
      <c r="J2890" s="6" t="s">
        <v>91</v>
      </c>
      <c r="K2890" s="9" t="str">
        <f t="shared" ref="K2890:K2891" si="131">HYPERLINK("https://media.licdn.com/dms/image/v2/D4E22AQEe7iJPRpwRfA/feedshare-shrink_1280/B4EZ2xCizFJkAM-/0/1776791727952?e=2147483647&amp;v=beta&amp;t=24jH5c0XWlb1ellVmLE-5jyB-0PykN9AAhWfYlIevKs","Open Creative")</f>
        <v>Open Creative</v>
      </c>
      <c r="L2890" s="6" t="s">
        <v>131</v>
      </c>
      <c r="M2890" s="6" t="s">
        <v>7537</v>
      </c>
      <c r="N2890" s="6" t="s">
        <v>132</v>
      </c>
      <c r="O2890" s="36" t="s">
        <v>132</v>
      </c>
      <c r="P2890" s="36">
        <v>1.396492996E9</v>
      </c>
      <c r="Q2890" s="36" t="s">
        <v>7541</v>
      </c>
      <c r="R2890" s="6" t="s">
        <v>7542</v>
      </c>
    </row>
    <row r="2891">
      <c r="A2891" s="6" t="s">
        <v>7537</v>
      </c>
      <c r="B2891" s="6" t="s">
        <v>7537</v>
      </c>
      <c r="C2891" s="6">
        <v>1282.0</v>
      </c>
      <c r="D2891" s="9" t="str">
        <f>HYPERLINK("https://www.linkedin.com/ad-library/detail/1396622006","Open Ad")</f>
        <v>Open Ad</v>
      </c>
      <c r="E2891" s="6" t="s">
        <v>91</v>
      </c>
      <c r="F2891" s="6" t="s">
        <v>53</v>
      </c>
      <c r="G2891" s="6" t="s">
        <v>7781</v>
      </c>
      <c r="H2891" s="6" t="s">
        <v>55</v>
      </c>
      <c r="I2891" s="6" t="s">
        <v>7566</v>
      </c>
      <c r="J2891" s="6" t="s">
        <v>91</v>
      </c>
      <c r="K2891" s="9" t="str">
        <f t="shared" si="131"/>
        <v>Open Creative</v>
      </c>
      <c r="L2891" s="6" t="s">
        <v>131</v>
      </c>
      <c r="M2891" s="6" t="s">
        <v>7537</v>
      </c>
      <c r="N2891" s="6" t="s">
        <v>132</v>
      </c>
      <c r="O2891" s="36" t="s">
        <v>132</v>
      </c>
      <c r="P2891" s="36">
        <v>1.396622006E9</v>
      </c>
      <c r="Q2891" s="36" t="s">
        <v>7541</v>
      </c>
      <c r="R2891" s="6" t="s">
        <v>7542</v>
      </c>
    </row>
    <row r="2892">
      <c r="A2892" s="6" t="s">
        <v>7537</v>
      </c>
      <c r="B2892" s="6" t="s">
        <v>7537</v>
      </c>
      <c r="C2892" s="6">
        <v>1283.0</v>
      </c>
      <c r="D2892" s="9" t="str">
        <f>HYPERLINK("https://www.linkedin.com/ad-library/detail/1396572676","Open Ad")</f>
        <v>Open Ad</v>
      </c>
      <c r="E2892" s="6" t="s">
        <v>154</v>
      </c>
      <c r="F2892" s="6" t="s">
        <v>53</v>
      </c>
      <c r="G2892" s="6" t="s">
        <v>7783</v>
      </c>
      <c r="H2892" s="6" t="s">
        <v>55</v>
      </c>
      <c r="I2892" s="6" t="s">
        <v>7566</v>
      </c>
      <c r="J2892" s="6" t="s">
        <v>154</v>
      </c>
      <c r="K2892" s="9" t="str">
        <f>HYPERLINK("https://dms.licdn.com/playlist/vid/v2/D4E10AQFckv7gmjD1ow/mp4-360p-30fp-crf28/B4EZ2xBlN9JUCA-/0/1776791479385?e=2147483647&amp;v=beta&amp;t=EVZD1ZdkhhsEPYEG6ZS7tCaaj2IxibK3iiniIzHQWrU","Open Creative")</f>
        <v>Open Creative</v>
      </c>
      <c r="L2892" s="6" t="s">
        <v>131</v>
      </c>
      <c r="M2892" s="6" t="s">
        <v>7537</v>
      </c>
      <c r="N2892" s="6" t="s">
        <v>132</v>
      </c>
      <c r="O2892" s="36" t="s">
        <v>132</v>
      </c>
      <c r="P2892" s="36">
        <v>1.396572676E9</v>
      </c>
      <c r="Q2892" s="36" t="s">
        <v>7541</v>
      </c>
      <c r="R2892" s="6" t="s">
        <v>7542</v>
      </c>
    </row>
    <row r="2893">
      <c r="A2893" s="6" t="s">
        <v>7537</v>
      </c>
      <c r="B2893" s="6" t="s">
        <v>7537</v>
      </c>
      <c r="C2893" s="6">
        <v>1284.0</v>
      </c>
      <c r="D2893" s="9" t="str">
        <f>HYPERLINK("https://www.linkedin.com/ad-library/detail/1398734836","Open Ad")</f>
        <v>Open Ad</v>
      </c>
      <c r="E2893" s="6" t="s">
        <v>91</v>
      </c>
      <c r="F2893" s="6" t="s">
        <v>53</v>
      </c>
      <c r="G2893" s="6" t="s">
        <v>7588</v>
      </c>
      <c r="H2893" s="6" t="s">
        <v>55</v>
      </c>
      <c r="I2893" s="6" t="s">
        <v>7566</v>
      </c>
      <c r="J2893" s="6" t="s">
        <v>91</v>
      </c>
      <c r="K2893" s="9" t="str">
        <f>HYPERLINK("https://media.licdn.com/dms/image/v2/D4E10AQEqECWLz8eLfg/image-shrink_1280/B4EZ3UsZ.CGkAc-/0/1777389904287?e=2147483647&amp;v=beta&amp;t=0Mbfqk_hLfichGIBXrMjoO2DeoHez5SeK866pI13xWU","Open Creative")</f>
        <v>Open Creative</v>
      </c>
      <c r="L2893" s="6" t="s">
        <v>131</v>
      </c>
      <c r="M2893" s="6" t="s">
        <v>7537</v>
      </c>
      <c r="N2893" s="6" t="s">
        <v>132</v>
      </c>
      <c r="O2893" s="36" t="s">
        <v>132</v>
      </c>
      <c r="P2893" s="36">
        <v>1.398734836E9</v>
      </c>
      <c r="Q2893" s="36" t="s">
        <v>7541</v>
      </c>
      <c r="R2893" s="6" t="s">
        <v>7542</v>
      </c>
    </row>
    <row r="2894">
      <c r="A2894" s="6" t="s">
        <v>7537</v>
      </c>
      <c r="B2894" s="6" t="s">
        <v>7537</v>
      </c>
      <c r="C2894" s="6">
        <v>1285.0</v>
      </c>
      <c r="D2894" s="9" t="str">
        <f>HYPERLINK("https://www.linkedin.com/ad-library/detail/1251388813","Open Ad")</f>
        <v>Open Ad</v>
      </c>
      <c r="E2894" s="6" t="s">
        <v>7543</v>
      </c>
      <c r="F2894" s="6" t="s">
        <v>53</v>
      </c>
      <c r="G2894" s="6" t="s">
        <v>7734</v>
      </c>
      <c r="H2894" s="6" t="s">
        <v>55</v>
      </c>
      <c r="I2894" s="6" t="s">
        <v>7566</v>
      </c>
      <c r="J2894" s="6" t="s">
        <v>7546</v>
      </c>
      <c r="K2894" s="6" t="s">
        <v>60</v>
      </c>
      <c r="L2894" s="6" t="s">
        <v>131</v>
      </c>
      <c r="M2894" s="6" t="s">
        <v>7537</v>
      </c>
      <c r="N2894" s="6" t="s">
        <v>132</v>
      </c>
      <c r="O2894" s="36" t="s">
        <v>132</v>
      </c>
      <c r="P2894" s="36">
        <v>1.251388813E9</v>
      </c>
      <c r="Q2894" s="36" t="s">
        <v>7541</v>
      </c>
      <c r="R2894" s="6" t="s">
        <v>7542</v>
      </c>
    </row>
    <row r="2895">
      <c r="A2895" s="6" t="s">
        <v>7537</v>
      </c>
      <c r="B2895" s="6" t="s">
        <v>7537</v>
      </c>
      <c r="C2895" s="6">
        <v>1286.0</v>
      </c>
      <c r="D2895" s="9" t="str">
        <f>HYPERLINK("https://www.linkedin.com/ad-library/detail/1398715206","Open Ad")</f>
        <v>Open Ad</v>
      </c>
      <c r="E2895" s="6" t="s">
        <v>154</v>
      </c>
      <c r="F2895" s="6" t="s">
        <v>53</v>
      </c>
      <c r="G2895" s="6" t="s">
        <v>7782</v>
      </c>
      <c r="H2895" s="6" t="s">
        <v>55</v>
      </c>
      <c r="I2895" s="6" t="s">
        <v>7566</v>
      </c>
      <c r="J2895" s="6" t="s">
        <v>154</v>
      </c>
      <c r="K2895" s="9" t="str">
        <f t="shared" ref="K2895:K2896" si="132">HYPERLINK("https://dms.licdn.com/playlist/vid/v2/D4D05AQHh70RChnM0SA/mp4-640p-30fp-crf28/B4DZ3AZ_B5HUBg-/0/1777049540511?e=2147483647&amp;v=beta&amp;t=asnZbc5MfLW0XV-wbqR7YtAvoIGsBExTsIWW1WLCiZo","Open Creative")</f>
        <v>Open Creative</v>
      </c>
      <c r="L2895" s="6" t="s">
        <v>131</v>
      </c>
      <c r="M2895" s="6" t="s">
        <v>7537</v>
      </c>
      <c r="N2895" s="6" t="s">
        <v>132</v>
      </c>
      <c r="O2895" s="36" t="s">
        <v>132</v>
      </c>
      <c r="P2895" s="36">
        <v>1.398715206E9</v>
      </c>
      <c r="Q2895" s="36" t="s">
        <v>7541</v>
      </c>
      <c r="R2895" s="6" t="s">
        <v>7542</v>
      </c>
    </row>
    <row r="2896">
      <c r="A2896" s="6" t="s">
        <v>7537</v>
      </c>
      <c r="B2896" s="6" t="s">
        <v>7537</v>
      </c>
      <c r="C2896" s="6">
        <v>1287.0</v>
      </c>
      <c r="D2896" s="9" t="str">
        <f>HYPERLINK("https://www.linkedin.com/ad-library/detail/1398862616","Open Ad")</f>
        <v>Open Ad</v>
      </c>
      <c r="E2896" s="6" t="s">
        <v>154</v>
      </c>
      <c r="F2896" s="6" t="s">
        <v>53</v>
      </c>
      <c r="G2896" s="6" t="s">
        <v>7782</v>
      </c>
      <c r="H2896" s="6" t="s">
        <v>55</v>
      </c>
      <c r="I2896" s="6" t="s">
        <v>7566</v>
      </c>
      <c r="J2896" s="6" t="s">
        <v>154</v>
      </c>
      <c r="K2896" s="9" t="str">
        <f t="shared" si="132"/>
        <v>Open Creative</v>
      </c>
      <c r="L2896" s="6" t="s">
        <v>131</v>
      </c>
      <c r="M2896" s="6" t="s">
        <v>7537</v>
      </c>
      <c r="N2896" s="6" t="s">
        <v>132</v>
      </c>
      <c r="O2896" s="36" t="s">
        <v>132</v>
      </c>
      <c r="P2896" s="36">
        <v>1.398862616E9</v>
      </c>
      <c r="Q2896" s="36" t="s">
        <v>7541</v>
      </c>
      <c r="R2896" s="6" t="s">
        <v>7542</v>
      </c>
    </row>
    <row r="2897">
      <c r="A2897" s="6" t="s">
        <v>7537</v>
      </c>
      <c r="B2897" s="6" t="s">
        <v>7537</v>
      </c>
      <c r="C2897" s="6">
        <v>1288.0</v>
      </c>
      <c r="D2897" s="9" t="str">
        <f>HYPERLINK("https://www.linkedin.com/ad-library/detail/1398869886","Open Ad")</f>
        <v>Open Ad</v>
      </c>
      <c r="E2897" s="6" t="s">
        <v>91</v>
      </c>
      <c r="F2897" s="6" t="s">
        <v>53</v>
      </c>
      <c r="G2897" s="6" t="s">
        <v>7588</v>
      </c>
      <c r="H2897" s="6" t="s">
        <v>55</v>
      </c>
      <c r="I2897" s="6" t="s">
        <v>7566</v>
      </c>
      <c r="J2897" s="6" t="s">
        <v>91</v>
      </c>
      <c r="K2897" s="9" t="str">
        <f>HYPERLINK("https://media.licdn.com/dms/image/v2/D4E10AQEqECWLz8eLfg/image-shrink_1280/B4EZ3UsZ.CGkAc-/0/1777389904287?e=2147483647&amp;v=beta&amp;t=0Mbfqk_hLfichGIBXrMjoO2DeoHez5SeK866pI13xWU","Open Creative")</f>
        <v>Open Creative</v>
      </c>
      <c r="L2897" s="6" t="s">
        <v>131</v>
      </c>
      <c r="M2897" s="6" t="s">
        <v>7537</v>
      </c>
      <c r="N2897" s="6" t="s">
        <v>132</v>
      </c>
      <c r="O2897" s="36" t="s">
        <v>132</v>
      </c>
      <c r="P2897" s="36">
        <v>1.398869886E9</v>
      </c>
      <c r="Q2897" s="36" t="s">
        <v>7541</v>
      </c>
      <c r="R2897" s="6" t="s">
        <v>7542</v>
      </c>
    </row>
    <row r="2898">
      <c r="A2898" s="6" t="s">
        <v>7537</v>
      </c>
      <c r="B2898" s="6" t="s">
        <v>7537</v>
      </c>
      <c r="C2898" s="6">
        <v>1289.0</v>
      </c>
      <c r="D2898" s="9" t="str">
        <f>HYPERLINK("https://www.linkedin.com/ad-library/detail/1398754706","Open Ad")</f>
        <v>Open Ad</v>
      </c>
      <c r="E2898" s="6" t="s">
        <v>154</v>
      </c>
      <c r="F2898" s="6" t="s">
        <v>53</v>
      </c>
      <c r="G2898" s="6" t="s">
        <v>7782</v>
      </c>
      <c r="H2898" s="6" t="s">
        <v>55</v>
      </c>
      <c r="I2898" s="6" t="s">
        <v>7566</v>
      </c>
      <c r="J2898" s="6" t="s">
        <v>154</v>
      </c>
      <c r="K2898" s="9" t="str">
        <f>HYPERLINK("https://dms.licdn.com/playlist/vid/v2/D4D05AQHh70RChnM0SA/mp4-640p-30fp-crf28/B4DZ3AZ_B5HUBg-/0/1777049540511?e=2147483647&amp;v=beta&amp;t=asnZbc5MfLW0XV-wbqR7YtAvoIGsBExTsIWW1WLCiZo","Open Creative")</f>
        <v>Open Creative</v>
      </c>
      <c r="L2898" s="6" t="s">
        <v>131</v>
      </c>
      <c r="M2898" s="6" t="s">
        <v>7537</v>
      </c>
      <c r="N2898" s="6" t="s">
        <v>132</v>
      </c>
      <c r="O2898" s="36" t="s">
        <v>132</v>
      </c>
      <c r="P2898" s="36">
        <v>1.398754706E9</v>
      </c>
      <c r="Q2898" s="36" t="s">
        <v>7541</v>
      </c>
      <c r="R2898" s="6" t="s">
        <v>7542</v>
      </c>
    </row>
    <row r="2899">
      <c r="A2899" s="6" t="s">
        <v>7537</v>
      </c>
      <c r="B2899" s="6" t="s">
        <v>7537</v>
      </c>
      <c r="C2899" s="6">
        <v>1290.0</v>
      </c>
      <c r="D2899" s="9" t="str">
        <f>HYPERLINK("https://www.linkedin.com/ad-library/detail/1396542656","Open Ad")</f>
        <v>Open Ad</v>
      </c>
      <c r="E2899" s="6" t="s">
        <v>91</v>
      </c>
      <c r="F2899" s="6" t="s">
        <v>53</v>
      </c>
      <c r="G2899" s="6" t="s">
        <v>7781</v>
      </c>
      <c r="H2899" s="6" t="s">
        <v>55</v>
      </c>
      <c r="I2899" s="6" t="s">
        <v>7566</v>
      </c>
      <c r="J2899" s="6" t="s">
        <v>91</v>
      </c>
      <c r="K2899" s="9" t="str">
        <f>HYPERLINK("https://media.licdn.com/dms/image/v2/D4E22AQEe7iJPRpwRfA/feedshare-shrink_1280/B4EZ2xCizFJkAM-/0/1776791727952?e=2147483647&amp;v=beta&amp;t=24jH5c0XWlb1ellVmLE-5jyB-0PykN9AAhWfYlIevKs","Open Creative")</f>
        <v>Open Creative</v>
      </c>
      <c r="L2899" s="6" t="s">
        <v>131</v>
      </c>
      <c r="M2899" s="6" t="s">
        <v>7537</v>
      </c>
      <c r="N2899" s="6" t="s">
        <v>132</v>
      </c>
      <c r="O2899" s="36" t="s">
        <v>132</v>
      </c>
      <c r="P2899" s="36">
        <v>1.396542656E9</v>
      </c>
      <c r="Q2899" s="36" t="s">
        <v>7541</v>
      </c>
      <c r="R2899" s="6" t="s">
        <v>7542</v>
      </c>
    </row>
    <row r="2900">
      <c r="A2900" s="6" t="s">
        <v>7537</v>
      </c>
      <c r="B2900" s="6" t="s">
        <v>7537</v>
      </c>
      <c r="C2900" s="6">
        <v>1291.0</v>
      </c>
      <c r="D2900" s="9" t="str">
        <f>HYPERLINK("https://www.linkedin.com/ad-library/detail/1398808116","Open Ad")</f>
        <v>Open Ad</v>
      </c>
      <c r="E2900" s="6" t="s">
        <v>91</v>
      </c>
      <c r="F2900" s="6" t="s">
        <v>53</v>
      </c>
      <c r="G2900" s="6" t="s">
        <v>7597</v>
      </c>
      <c r="H2900" s="6" t="s">
        <v>55</v>
      </c>
      <c r="I2900" s="6" t="s">
        <v>7566</v>
      </c>
      <c r="J2900" s="6" t="s">
        <v>91</v>
      </c>
      <c r="K2900" s="9" t="str">
        <f>HYPERLINK("https://media.licdn.com/dms/image/v2/D5610AQH-q8Kfz-YVbQ/image-shrink_1280/B56Z3WDoOFKgAc-/0/1777412768916/Adpng?e=2147483647&amp;v=beta&amp;t=Lvt6Go03KIs4rRA12hIMu8l80ejL9dzwHdp0rAwmuTM","Open Creative")</f>
        <v>Open Creative</v>
      </c>
      <c r="L2900" s="6" t="s">
        <v>131</v>
      </c>
      <c r="M2900" s="6" t="s">
        <v>7537</v>
      </c>
      <c r="N2900" s="6" t="s">
        <v>132</v>
      </c>
      <c r="O2900" s="36" t="s">
        <v>132</v>
      </c>
      <c r="P2900" s="36">
        <v>1.398808116E9</v>
      </c>
      <c r="Q2900" s="36" t="s">
        <v>7541</v>
      </c>
      <c r="R2900" s="6" t="s">
        <v>7542</v>
      </c>
    </row>
    <row r="2901">
      <c r="A2901" s="6" t="s">
        <v>7537</v>
      </c>
      <c r="B2901" s="6" t="s">
        <v>7537</v>
      </c>
      <c r="C2901" s="6">
        <v>1292.0</v>
      </c>
      <c r="D2901" s="9" t="str">
        <f>HYPERLINK("https://www.linkedin.com/ad-library/detail/1396592236","Open Ad")</f>
        <v>Open Ad</v>
      </c>
      <c r="E2901" s="6" t="s">
        <v>154</v>
      </c>
      <c r="F2901" s="6" t="s">
        <v>53</v>
      </c>
      <c r="G2901" s="6" t="s">
        <v>7783</v>
      </c>
      <c r="H2901" s="6" t="s">
        <v>55</v>
      </c>
      <c r="I2901" s="6" t="s">
        <v>7566</v>
      </c>
      <c r="J2901" s="6" t="s">
        <v>154</v>
      </c>
      <c r="K2901" s="9" t="str">
        <f>HYPERLINK("https://dms.licdn.com/playlist/vid/v2/D4E10AQFckv7gmjD1ow/mp4-360p-30fp-crf28/B4EZ2xBlN9JUCA-/0/1776791479385?e=2147483647&amp;v=beta&amp;t=EVZD1ZdkhhsEPYEG6ZS7tCaaj2IxibK3iiniIzHQWrU","Open Creative")</f>
        <v>Open Creative</v>
      </c>
      <c r="L2901" s="6" t="s">
        <v>131</v>
      </c>
      <c r="M2901" s="6" t="s">
        <v>7537</v>
      </c>
      <c r="N2901" s="6" t="s">
        <v>132</v>
      </c>
      <c r="O2901" s="36" t="s">
        <v>132</v>
      </c>
      <c r="P2901" s="36">
        <v>1.396592236E9</v>
      </c>
      <c r="Q2901" s="36" t="s">
        <v>7541</v>
      </c>
      <c r="R2901" s="6" t="s">
        <v>7542</v>
      </c>
    </row>
    <row r="2902">
      <c r="A2902" s="6" t="s">
        <v>7537</v>
      </c>
      <c r="B2902" s="6" t="s">
        <v>7537</v>
      </c>
      <c r="C2902" s="6">
        <v>1293.0</v>
      </c>
      <c r="D2902" s="9" t="str">
        <f>HYPERLINK("https://www.linkedin.com/ad-library/detail/1398794726","Open Ad")</f>
        <v>Open Ad</v>
      </c>
      <c r="E2902" s="6" t="s">
        <v>154</v>
      </c>
      <c r="F2902" s="6" t="s">
        <v>53</v>
      </c>
      <c r="G2902" s="6" t="s">
        <v>7782</v>
      </c>
      <c r="H2902" s="6" t="s">
        <v>55</v>
      </c>
      <c r="I2902" s="6" t="s">
        <v>7566</v>
      </c>
      <c r="J2902" s="6" t="s">
        <v>154</v>
      </c>
      <c r="K2902" s="9" t="str">
        <f>HYPERLINK("https://dms.licdn.com/playlist/vid/v2/D4D05AQHh70RChnM0SA/mp4-640p-30fp-crf28/B4DZ3AZ_B5HUBg-/0/1777049540511?e=2147483647&amp;v=beta&amp;t=asnZbc5MfLW0XV-wbqR7YtAvoIGsBExTsIWW1WLCiZo","Open Creative")</f>
        <v>Open Creative</v>
      </c>
      <c r="L2902" s="6" t="s">
        <v>131</v>
      </c>
      <c r="M2902" s="6" t="s">
        <v>7537</v>
      </c>
      <c r="N2902" s="6" t="s">
        <v>132</v>
      </c>
      <c r="O2902" s="36" t="s">
        <v>132</v>
      </c>
      <c r="P2902" s="36">
        <v>1.398794726E9</v>
      </c>
      <c r="Q2902" s="36" t="s">
        <v>7541</v>
      </c>
      <c r="R2902" s="6" t="s">
        <v>7542</v>
      </c>
    </row>
    <row r="2903">
      <c r="A2903" s="6" t="s">
        <v>7537</v>
      </c>
      <c r="B2903" s="6" t="s">
        <v>7537</v>
      </c>
      <c r="C2903" s="6">
        <v>1294.0</v>
      </c>
      <c r="D2903" s="9" t="str">
        <f>HYPERLINK("https://www.linkedin.com/ad-library/detail/1398774536","Open Ad")</f>
        <v>Open Ad</v>
      </c>
      <c r="E2903" s="6" t="s">
        <v>91</v>
      </c>
      <c r="F2903" s="6" t="s">
        <v>53</v>
      </c>
      <c r="G2903" s="6" t="s">
        <v>7588</v>
      </c>
      <c r="H2903" s="6" t="s">
        <v>55</v>
      </c>
      <c r="I2903" s="6" t="s">
        <v>7566</v>
      </c>
      <c r="J2903" s="6" t="s">
        <v>91</v>
      </c>
      <c r="K2903" s="9" t="str">
        <f t="shared" ref="K2903:K2905" si="133">HYPERLINK("https://media.licdn.com/dms/image/v2/D4E10AQEqECWLz8eLfg/image-shrink_1280/B4EZ3UsZ.CGkAc-/0/1777389904287?e=2147483647&amp;v=beta&amp;t=0Mbfqk_hLfichGIBXrMjoO2DeoHez5SeK866pI13xWU","Open Creative")</f>
        <v>Open Creative</v>
      </c>
      <c r="L2903" s="6" t="s">
        <v>131</v>
      </c>
      <c r="M2903" s="6" t="s">
        <v>7537</v>
      </c>
      <c r="N2903" s="6" t="s">
        <v>132</v>
      </c>
      <c r="O2903" s="36" t="s">
        <v>132</v>
      </c>
      <c r="P2903" s="36">
        <v>1.398774536E9</v>
      </c>
      <c r="Q2903" s="36" t="s">
        <v>7541</v>
      </c>
      <c r="R2903" s="6" t="s">
        <v>7542</v>
      </c>
    </row>
    <row r="2904">
      <c r="A2904" s="6" t="s">
        <v>7537</v>
      </c>
      <c r="B2904" s="6" t="s">
        <v>7537</v>
      </c>
      <c r="C2904" s="6">
        <v>1295.0</v>
      </c>
      <c r="D2904" s="9" t="str">
        <f>HYPERLINK("https://www.linkedin.com/ad-library/detail/1398715116","Open Ad")</f>
        <v>Open Ad</v>
      </c>
      <c r="E2904" s="6" t="s">
        <v>91</v>
      </c>
      <c r="F2904" s="6" t="s">
        <v>53</v>
      </c>
      <c r="G2904" s="6" t="s">
        <v>7588</v>
      </c>
      <c r="H2904" s="6" t="s">
        <v>55</v>
      </c>
      <c r="I2904" s="6" t="s">
        <v>7566</v>
      </c>
      <c r="J2904" s="6" t="s">
        <v>91</v>
      </c>
      <c r="K2904" s="9" t="str">
        <f t="shared" si="133"/>
        <v>Open Creative</v>
      </c>
      <c r="L2904" s="6" t="s">
        <v>131</v>
      </c>
      <c r="M2904" s="6" t="s">
        <v>7537</v>
      </c>
      <c r="N2904" s="6" t="s">
        <v>132</v>
      </c>
      <c r="O2904" s="36" t="s">
        <v>132</v>
      </c>
      <c r="P2904" s="36">
        <v>1.398715116E9</v>
      </c>
      <c r="Q2904" s="36" t="s">
        <v>7541</v>
      </c>
      <c r="R2904" s="6" t="s">
        <v>7542</v>
      </c>
    </row>
    <row r="2905">
      <c r="A2905" s="6" t="s">
        <v>7537</v>
      </c>
      <c r="B2905" s="6" t="s">
        <v>7537</v>
      </c>
      <c r="C2905" s="6">
        <v>1296.0</v>
      </c>
      <c r="D2905" s="9" t="str">
        <f>HYPERLINK("https://www.linkedin.com/ad-library/detail/1398824496","Open Ad")</f>
        <v>Open Ad</v>
      </c>
      <c r="E2905" s="6" t="s">
        <v>91</v>
      </c>
      <c r="F2905" s="6" t="s">
        <v>53</v>
      </c>
      <c r="G2905" s="6" t="s">
        <v>7588</v>
      </c>
      <c r="H2905" s="6" t="s">
        <v>55</v>
      </c>
      <c r="I2905" s="6" t="s">
        <v>7566</v>
      </c>
      <c r="J2905" s="6" t="s">
        <v>91</v>
      </c>
      <c r="K2905" s="9" t="str">
        <f t="shared" si="133"/>
        <v>Open Creative</v>
      </c>
      <c r="L2905" s="6" t="s">
        <v>131</v>
      </c>
      <c r="M2905" s="6" t="s">
        <v>7537</v>
      </c>
      <c r="N2905" s="6" t="s">
        <v>132</v>
      </c>
      <c r="O2905" s="36" t="s">
        <v>132</v>
      </c>
      <c r="P2905" s="36">
        <v>1.398824496E9</v>
      </c>
      <c r="Q2905" s="36" t="s">
        <v>7541</v>
      </c>
      <c r="R2905" s="6" t="s">
        <v>7542</v>
      </c>
    </row>
    <row r="2906">
      <c r="A2906" s="6" t="s">
        <v>7537</v>
      </c>
      <c r="B2906" s="6" t="s">
        <v>7537</v>
      </c>
      <c r="C2906" s="6">
        <v>1297.0</v>
      </c>
      <c r="D2906" s="9" t="str">
        <f>HYPERLINK("https://www.linkedin.com/ad-library/detail/1396601816","Open Ad")</f>
        <v>Open Ad</v>
      </c>
      <c r="E2906" s="6" t="s">
        <v>91</v>
      </c>
      <c r="F2906" s="6" t="s">
        <v>53</v>
      </c>
      <c r="G2906" s="6" t="s">
        <v>7784</v>
      </c>
      <c r="H2906" s="6" t="s">
        <v>55</v>
      </c>
      <c r="I2906" s="6" t="s">
        <v>7566</v>
      </c>
      <c r="J2906" s="6" t="s">
        <v>91</v>
      </c>
      <c r="K2906" s="9" t="str">
        <f>HYPERLINK("https://media.licdn.com/dms/image/v2/D4E10AQGTxEY7NmmocQ/image-shrink_1280/B4EZ22V4ajKcAc-/0/1776880683291?e=2147483647&amp;v=beta&amp;t=2EWAlCdodiuKZ1Zz5fQh1m--uCfWV663gqZsMKZkfd8","Open Creative")</f>
        <v>Open Creative</v>
      </c>
      <c r="L2906" s="6" t="s">
        <v>131</v>
      </c>
      <c r="M2906" s="6" t="s">
        <v>7537</v>
      </c>
      <c r="N2906" s="6" t="s">
        <v>132</v>
      </c>
      <c r="O2906" s="36" t="s">
        <v>132</v>
      </c>
      <c r="P2906" s="36">
        <v>1.396601816E9</v>
      </c>
      <c r="Q2906" s="36" t="s">
        <v>7541</v>
      </c>
      <c r="R2906" s="6" t="s">
        <v>7542</v>
      </c>
    </row>
    <row r="2907">
      <c r="A2907" s="6" t="s">
        <v>7537</v>
      </c>
      <c r="B2907" s="6" t="s">
        <v>7537</v>
      </c>
      <c r="C2907" s="6">
        <v>1298.0</v>
      </c>
      <c r="D2907" s="9" t="str">
        <f>HYPERLINK("https://www.linkedin.com/ad-library/detail/1393844276","Open Ad")</f>
        <v>Open Ad</v>
      </c>
      <c r="E2907" s="6" t="s">
        <v>91</v>
      </c>
      <c r="F2907" s="6" t="s">
        <v>53</v>
      </c>
      <c r="G2907" s="6" t="s">
        <v>7785</v>
      </c>
      <c r="H2907" s="6" t="s">
        <v>55</v>
      </c>
      <c r="I2907" s="6" t="s">
        <v>7566</v>
      </c>
      <c r="J2907" s="6" t="s">
        <v>91</v>
      </c>
      <c r="K2907" s="9" t="str">
        <f>HYPERLINK("https://media.licdn.com/dms/image/v2/D4E10AQF6tZoeAz8HmA/image-shrink_1280/B4EZ2s5a_1JEAc-/0/1776722227812?e=2147483647&amp;v=beta&amp;t=1By_bdoC5sQppZbvJniWDmRrjsvOVc-ZigNKnM63Eeo","Open Creative")</f>
        <v>Open Creative</v>
      </c>
      <c r="L2907" s="6" t="s">
        <v>131</v>
      </c>
      <c r="M2907" s="6" t="s">
        <v>7537</v>
      </c>
      <c r="N2907" s="6" t="s">
        <v>132</v>
      </c>
      <c r="O2907" s="36" t="s">
        <v>132</v>
      </c>
      <c r="P2907" s="36">
        <v>1.393844276E9</v>
      </c>
      <c r="Q2907" s="36" t="s">
        <v>7541</v>
      </c>
      <c r="R2907" s="6" t="s">
        <v>7542</v>
      </c>
    </row>
    <row r="2908">
      <c r="A2908" s="6" t="s">
        <v>7537</v>
      </c>
      <c r="B2908" s="6" t="s">
        <v>7537</v>
      </c>
      <c r="C2908" s="6">
        <v>1299.0</v>
      </c>
      <c r="D2908" s="9" t="str">
        <f>HYPERLINK("https://www.linkedin.com/ad-library/detail/1396512896","Open Ad")</f>
        <v>Open Ad</v>
      </c>
      <c r="E2908" s="6" t="s">
        <v>91</v>
      </c>
      <c r="F2908" s="6" t="s">
        <v>53</v>
      </c>
      <c r="G2908" s="6" t="s">
        <v>7784</v>
      </c>
      <c r="H2908" s="6" t="s">
        <v>55</v>
      </c>
      <c r="I2908" s="6" t="s">
        <v>7566</v>
      </c>
      <c r="J2908" s="6" t="s">
        <v>91</v>
      </c>
      <c r="K2908" s="9" t="str">
        <f>HYPERLINK("https://media.licdn.com/dms/image/v2/D4E10AQGTxEY7NmmocQ/image-shrink_1280/B4EZ22V4ajKcAc-/0/1776880683291?e=2147483647&amp;v=beta&amp;t=2EWAlCdodiuKZ1Zz5fQh1m--uCfWV663gqZsMKZkfd8","Open Creative")</f>
        <v>Open Creative</v>
      </c>
      <c r="L2908" s="6" t="s">
        <v>131</v>
      </c>
      <c r="M2908" s="6" t="s">
        <v>7537</v>
      </c>
      <c r="N2908" s="6" t="s">
        <v>132</v>
      </c>
      <c r="O2908" s="36" t="s">
        <v>132</v>
      </c>
      <c r="P2908" s="36">
        <v>1.396512896E9</v>
      </c>
      <c r="Q2908" s="36" t="s">
        <v>7541</v>
      </c>
      <c r="R2908" s="6" t="s">
        <v>7542</v>
      </c>
    </row>
    <row r="2909">
      <c r="A2909" s="6" t="s">
        <v>7537</v>
      </c>
      <c r="B2909" s="6" t="s">
        <v>7537</v>
      </c>
      <c r="C2909" s="6">
        <v>1300.0</v>
      </c>
      <c r="D2909" s="9" t="str">
        <f>HYPERLINK("https://www.linkedin.com/ad-library/detail/1393911426","Open Ad")</f>
        <v>Open Ad</v>
      </c>
      <c r="E2909" s="6" t="s">
        <v>91</v>
      </c>
      <c r="F2909" s="6" t="s">
        <v>53</v>
      </c>
      <c r="G2909" s="6" t="s">
        <v>7785</v>
      </c>
      <c r="H2909" s="6" t="s">
        <v>55</v>
      </c>
      <c r="I2909" s="6" t="s">
        <v>7566</v>
      </c>
      <c r="J2909" s="6" t="s">
        <v>91</v>
      </c>
      <c r="K2909" s="9" t="str">
        <f t="shared" ref="K2909:K2910" si="134">HYPERLINK("https://media.licdn.com/dms/image/v2/D4E10AQF6tZoeAz8HmA/image-shrink_1280/B4EZ2s5a_1JEAc-/0/1776722227812?e=2147483647&amp;v=beta&amp;t=1By_bdoC5sQppZbvJniWDmRrjsvOVc-ZigNKnM63Eeo","Open Creative")</f>
        <v>Open Creative</v>
      </c>
      <c r="L2909" s="6" t="s">
        <v>131</v>
      </c>
      <c r="M2909" s="6" t="s">
        <v>7537</v>
      </c>
      <c r="N2909" s="6" t="s">
        <v>132</v>
      </c>
      <c r="O2909" s="36" t="s">
        <v>132</v>
      </c>
      <c r="P2909" s="36">
        <v>1.393911426E9</v>
      </c>
      <c r="Q2909" s="36" t="s">
        <v>7541</v>
      </c>
      <c r="R2909" s="6" t="s">
        <v>7542</v>
      </c>
    </row>
    <row r="2910">
      <c r="A2910" s="6" t="s">
        <v>7537</v>
      </c>
      <c r="B2910" s="6" t="s">
        <v>7537</v>
      </c>
      <c r="C2910" s="6">
        <v>1301.0</v>
      </c>
      <c r="D2910" s="9" t="str">
        <f>HYPERLINK("https://www.linkedin.com/ad-library/detail/1393911416","Open Ad")</f>
        <v>Open Ad</v>
      </c>
      <c r="E2910" s="6" t="s">
        <v>91</v>
      </c>
      <c r="F2910" s="6" t="s">
        <v>53</v>
      </c>
      <c r="G2910" s="6" t="s">
        <v>7785</v>
      </c>
      <c r="H2910" s="6" t="s">
        <v>55</v>
      </c>
      <c r="I2910" s="6" t="s">
        <v>7680</v>
      </c>
      <c r="J2910" s="6" t="s">
        <v>91</v>
      </c>
      <c r="K2910" s="9" t="str">
        <f t="shared" si="134"/>
        <v>Open Creative</v>
      </c>
      <c r="L2910" s="6" t="s">
        <v>62</v>
      </c>
      <c r="M2910" s="6" t="s">
        <v>7537</v>
      </c>
      <c r="N2910" s="6" t="s">
        <v>7786</v>
      </c>
      <c r="O2910" s="36" t="s">
        <v>132</v>
      </c>
      <c r="P2910" s="36">
        <v>1.393911416E9</v>
      </c>
      <c r="Q2910" s="36" t="s">
        <v>68</v>
      </c>
      <c r="R2910" s="6" t="s">
        <v>7787</v>
      </c>
    </row>
    <row r="2911">
      <c r="A2911" s="6" t="s">
        <v>7537</v>
      </c>
      <c r="B2911" s="6" t="s">
        <v>7537</v>
      </c>
      <c r="C2911" s="6">
        <v>1302.0</v>
      </c>
      <c r="D2911" s="9" t="str">
        <f>HYPERLINK("https://www.linkedin.com/ad-library/detail/1393911446","Open Ad")</f>
        <v>Open Ad</v>
      </c>
      <c r="E2911" s="6" t="s">
        <v>154</v>
      </c>
      <c r="F2911" s="6" t="s">
        <v>53</v>
      </c>
      <c r="G2911" s="6" t="s">
        <v>7788</v>
      </c>
      <c r="H2911" s="6" t="s">
        <v>55</v>
      </c>
      <c r="I2911" s="6" t="s">
        <v>7566</v>
      </c>
      <c r="J2911" s="6" t="s">
        <v>154</v>
      </c>
      <c r="K2911" s="9" t="str">
        <f>HYPERLINK("https://dms.licdn.com/playlist/vid/v2/D4E10AQF2MK-zXYPWZw/mp4-360p-30fp-crf28/B4EZ2rNdSUG0CE-/0/1776693935287?e=2147483647&amp;v=beta&amp;t=_wjRjBS96m9VybftcOv4_RvAQaU1zxtA8xeJI4NsGdo","Open Creative")</f>
        <v>Open Creative</v>
      </c>
      <c r="L2911" s="6" t="s">
        <v>131</v>
      </c>
      <c r="M2911" s="6" t="s">
        <v>7537</v>
      </c>
      <c r="N2911" s="6" t="s">
        <v>132</v>
      </c>
      <c r="O2911" s="36" t="s">
        <v>132</v>
      </c>
      <c r="P2911" s="36">
        <v>1.393911446E9</v>
      </c>
      <c r="Q2911" s="36" t="s">
        <v>7541</v>
      </c>
      <c r="R2911" s="6" t="s">
        <v>7542</v>
      </c>
    </row>
    <row r="2912">
      <c r="A2912" s="6" t="s">
        <v>7537</v>
      </c>
      <c r="B2912" s="6" t="s">
        <v>7537</v>
      </c>
      <c r="C2912" s="6">
        <v>1303.0</v>
      </c>
      <c r="D2912" s="9" t="str">
        <f>HYPERLINK("https://www.linkedin.com/ad-library/detail/1393705296","Open Ad")</f>
        <v>Open Ad</v>
      </c>
      <c r="E2912" s="6" t="s">
        <v>91</v>
      </c>
      <c r="F2912" s="6" t="s">
        <v>53</v>
      </c>
      <c r="G2912" s="6" t="s">
        <v>7789</v>
      </c>
      <c r="H2912" s="6" t="s">
        <v>55</v>
      </c>
      <c r="I2912" s="6" t="s">
        <v>7566</v>
      </c>
      <c r="J2912" s="6" t="s">
        <v>91</v>
      </c>
      <c r="K2912" s="9" t="str">
        <f>HYPERLINK("https://media.licdn.com/dms/image/v2/D4E10AQF3yhpV3-ZqQQ/image-shrink_1280/B4EZ2wb_wAJkAc-/0/1776781622820?e=2147483647&amp;v=beta&amp;t=aRU09d6N-6B8b6ZqMWanBKtEoMHuNAKcB75w9MMhKGM","Open Creative")</f>
        <v>Open Creative</v>
      </c>
      <c r="L2912" s="6" t="s">
        <v>131</v>
      </c>
      <c r="M2912" s="6" t="s">
        <v>7537</v>
      </c>
      <c r="N2912" s="6" t="s">
        <v>132</v>
      </c>
      <c r="O2912" s="36" t="s">
        <v>132</v>
      </c>
      <c r="P2912" s="36">
        <v>1.393705296E9</v>
      </c>
      <c r="Q2912" s="36" t="s">
        <v>7541</v>
      </c>
      <c r="R2912" s="6" t="s">
        <v>7542</v>
      </c>
    </row>
    <row r="2913">
      <c r="A2913" s="6" t="s">
        <v>7537</v>
      </c>
      <c r="B2913" s="6" t="s">
        <v>7537</v>
      </c>
      <c r="C2913" s="6">
        <v>1304.0</v>
      </c>
      <c r="D2913" s="9" t="str">
        <f>HYPERLINK("https://www.linkedin.com/ad-library/detail/1393745236","Open Ad")</f>
        <v>Open Ad</v>
      </c>
      <c r="E2913" s="6" t="s">
        <v>91</v>
      </c>
      <c r="F2913" s="6" t="s">
        <v>53</v>
      </c>
      <c r="G2913" s="6" t="s">
        <v>7785</v>
      </c>
      <c r="H2913" s="6" t="s">
        <v>55</v>
      </c>
      <c r="I2913" s="6" t="s">
        <v>7566</v>
      </c>
      <c r="J2913" s="6" t="s">
        <v>91</v>
      </c>
      <c r="K2913" s="9" t="str">
        <f>HYPERLINK("https://media.licdn.com/dms/image/v2/D4E10AQF6tZoeAz8HmA/image-shrink_1280/B4EZ2s5a_1JEAc-/0/1776722227812?e=2147483647&amp;v=beta&amp;t=1By_bdoC5sQppZbvJniWDmRrjsvOVc-ZigNKnM63Eeo","Open Creative")</f>
        <v>Open Creative</v>
      </c>
      <c r="L2913" s="6" t="s">
        <v>131</v>
      </c>
      <c r="M2913" s="6" t="s">
        <v>7537</v>
      </c>
      <c r="N2913" s="6" t="s">
        <v>132</v>
      </c>
      <c r="O2913" s="36" t="s">
        <v>132</v>
      </c>
      <c r="P2913" s="36">
        <v>1.393745236E9</v>
      </c>
      <c r="Q2913" s="36" t="s">
        <v>7541</v>
      </c>
      <c r="R2913" s="6" t="s">
        <v>7542</v>
      </c>
    </row>
    <row r="2914">
      <c r="A2914" s="6" t="s">
        <v>7537</v>
      </c>
      <c r="B2914" s="6" t="s">
        <v>7537</v>
      </c>
      <c r="C2914" s="6">
        <v>1305.0</v>
      </c>
      <c r="D2914" s="9" t="str">
        <f>HYPERLINK("https://www.linkedin.com/ad-library/detail/1396532546","Open Ad")</f>
        <v>Open Ad</v>
      </c>
      <c r="E2914" s="6" t="s">
        <v>91</v>
      </c>
      <c r="F2914" s="6" t="s">
        <v>53</v>
      </c>
      <c r="G2914" s="6" t="s">
        <v>7781</v>
      </c>
      <c r="H2914" s="6" t="s">
        <v>55</v>
      </c>
      <c r="I2914" s="6" t="s">
        <v>7566</v>
      </c>
      <c r="J2914" s="6" t="s">
        <v>91</v>
      </c>
      <c r="K2914" s="9" t="str">
        <f>HYPERLINK("https://media.licdn.com/dms/image/v2/D4E22AQEe7iJPRpwRfA/feedshare-shrink_1280/B4EZ2xCizFJkAM-/0/1776791727952?e=2147483647&amp;v=beta&amp;t=24jH5c0XWlb1ellVmLE-5jyB-0PykN9AAhWfYlIevKs","Open Creative")</f>
        <v>Open Creative</v>
      </c>
      <c r="L2914" s="6" t="s">
        <v>131</v>
      </c>
      <c r="M2914" s="6" t="s">
        <v>7537</v>
      </c>
      <c r="N2914" s="6" t="s">
        <v>132</v>
      </c>
      <c r="O2914" s="36" t="s">
        <v>132</v>
      </c>
      <c r="P2914" s="36">
        <v>1.396532546E9</v>
      </c>
      <c r="Q2914" s="36" t="s">
        <v>7541</v>
      </c>
      <c r="R2914" s="6" t="s">
        <v>7542</v>
      </c>
    </row>
    <row r="2915">
      <c r="A2915" s="6" t="s">
        <v>7537</v>
      </c>
      <c r="B2915" s="6" t="s">
        <v>7537</v>
      </c>
      <c r="C2915" s="6">
        <v>1306.0</v>
      </c>
      <c r="D2915" s="9" t="str">
        <f>HYPERLINK("https://www.linkedin.com/ad-library/detail/1393774366","Open Ad")</f>
        <v>Open Ad</v>
      </c>
      <c r="E2915" s="6" t="s">
        <v>91</v>
      </c>
      <c r="F2915" s="6" t="s">
        <v>53</v>
      </c>
      <c r="G2915" s="6" t="s">
        <v>7789</v>
      </c>
      <c r="H2915" s="6" t="s">
        <v>55</v>
      </c>
      <c r="I2915" s="6" t="s">
        <v>7566</v>
      </c>
      <c r="J2915" s="6" t="s">
        <v>91</v>
      </c>
      <c r="K2915" s="9" t="str">
        <f>HYPERLINK("https://media.licdn.com/dms/image/v2/D4E10AQF3yhpV3-ZqQQ/image-shrink_1280/B4EZ2wb_wAJkAc-/0/1776781622820?e=2147483647&amp;v=beta&amp;t=aRU09d6N-6B8b6ZqMWanBKtEoMHuNAKcB75w9MMhKGM","Open Creative")</f>
        <v>Open Creative</v>
      </c>
      <c r="L2915" s="6" t="s">
        <v>131</v>
      </c>
      <c r="M2915" s="6" t="s">
        <v>7537</v>
      </c>
      <c r="N2915" s="6" t="s">
        <v>132</v>
      </c>
      <c r="O2915" s="36" t="s">
        <v>132</v>
      </c>
      <c r="P2915" s="36">
        <v>1.393774366E9</v>
      </c>
      <c r="Q2915" s="36" t="s">
        <v>7541</v>
      </c>
      <c r="R2915" s="6" t="s">
        <v>7542</v>
      </c>
    </row>
    <row r="2916">
      <c r="A2916" s="6" t="s">
        <v>7537</v>
      </c>
      <c r="B2916" s="6" t="s">
        <v>7537</v>
      </c>
      <c r="C2916" s="6">
        <v>1307.0</v>
      </c>
      <c r="D2916" s="9" t="str">
        <f>HYPERLINK("https://www.linkedin.com/ad-library/detail/1396631486","Open Ad")</f>
        <v>Open Ad</v>
      </c>
      <c r="E2916" s="6" t="s">
        <v>91</v>
      </c>
      <c r="F2916" s="6" t="s">
        <v>53</v>
      </c>
      <c r="G2916" s="6" t="s">
        <v>7784</v>
      </c>
      <c r="H2916" s="6" t="s">
        <v>55</v>
      </c>
      <c r="I2916" s="6" t="s">
        <v>7566</v>
      </c>
      <c r="J2916" s="6" t="s">
        <v>91</v>
      </c>
      <c r="K2916" s="9" t="str">
        <f>HYPERLINK("https://media.licdn.com/dms/image/v2/D4E10AQGTxEY7NmmocQ/image-shrink_1280/B4EZ22V4ajKcAc-/0/1776880683291?e=2147483647&amp;v=beta&amp;t=2EWAlCdodiuKZ1Zz5fQh1m--uCfWV663gqZsMKZkfd8","Open Creative")</f>
        <v>Open Creative</v>
      </c>
      <c r="L2916" s="6" t="s">
        <v>131</v>
      </c>
      <c r="M2916" s="6" t="s">
        <v>7537</v>
      </c>
      <c r="N2916" s="6" t="s">
        <v>132</v>
      </c>
      <c r="O2916" s="36" t="s">
        <v>132</v>
      </c>
      <c r="P2916" s="36">
        <v>1.396631486E9</v>
      </c>
      <c r="Q2916" s="36" t="s">
        <v>7541</v>
      </c>
      <c r="R2916" s="6" t="s">
        <v>7542</v>
      </c>
    </row>
    <row r="2917">
      <c r="A2917" s="6" t="s">
        <v>7537</v>
      </c>
      <c r="B2917" s="6" t="s">
        <v>7537</v>
      </c>
      <c r="C2917" s="6">
        <v>1308.0</v>
      </c>
      <c r="D2917" s="9" t="str">
        <f>HYPERLINK("https://www.linkedin.com/ad-library/detail/1393814536","Open Ad")</f>
        <v>Open Ad</v>
      </c>
      <c r="E2917" s="6" t="s">
        <v>154</v>
      </c>
      <c r="F2917" s="6" t="s">
        <v>53</v>
      </c>
      <c r="G2917" s="6" t="s">
        <v>7788</v>
      </c>
      <c r="H2917" s="6" t="s">
        <v>55</v>
      </c>
      <c r="I2917" s="6" t="s">
        <v>7566</v>
      </c>
      <c r="J2917" s="6" t="s">
        <v>154</v>
      </c>
      <c r="K2917" s="9" t="str">
        <f t="shared" ref="K2917:K2919" si="135">HYPERLINK("https://dms.licdn.com/playlist/vid/v2/D4E10AQF2MK-zXYPWZw/mp4-360p-30fp-crf28/B4EZ2rNdSUG0CE-/0/1776693935287?e=2147483647&amp;v=beta&amp;t=_wjRjBS96m9VybftcOv4_RvAQaU1zxtA8xeJI4NsGdo","Open Creative")</f>
        <v>Open Creative</v>
      </c>
      <c r="L2917" s="6" t="s">
        <v>131</v>
      </c>
      <c r="M2917" s="6" t="s">
        <v>7537</v>
      </c>
      <c r="N2917" s="6" t="s">
        <v>132</v>
      </c>
      <c r="O2917" s="36" t="s">
        <v>132</v>
      </c>
      <c r="P2917" s="36">
        <v>1.393814536E9</v>
      </c>
      <c r="Q2917" s="36" t="s">
        <v>7541</v>
      </c>
      <c r="R2917" s="6" t="s">
        <v>7542</v>
      </c>
    </row>
    <row r="2918">
      <c r="A2918" s="6" t="s">
        <v>7537</v>
      </c>
      <c r="B2918" s="6" t="s">
        <v>7537</v>
      </c>
      <c r="C2918" s="6">
        <v>1309.0</v>
      </c>
      <c r="D2918" s="9" t="str">
        <f>HYPERLINK("https://www.linkedin.com/ad-library/detail/1393814526","Open Ad")</f>
        <v>Open Ad</v>
      </c>
      <c r="E2918" s="6" t="s">
        <v>154</v>
      </c>
      <c r="F2918" s="6" t="s">
        <v>53</v>
      </c>
      <c r="G2918" s="6" t="s">
        <v>7788</v>
      </c>
      <c r="H2918" s="6" t="s">
        <v>55</v>
      </c>
      <c r="I2918" s="6" t="s">
        <v>7566</v>
      </c>
      <c r="J2918" s="6" t="s">
        <v>154</v>
      </c>
      <c r="K2918" s="9" t="str">
        <f t="shared" si="135"/>
        <v>Open Creative</v>
      </c>
      <c r="L2918" s="6" t="s">
        <v>131</v>
      </c>
      <c r="M2918" s="6" t="s">
        <v>7537</v>
      </c>
      <c r="N2918" s="6" t="s">
        <v>132</v>
      </c>
      <c r="O2918" s="36" t="s">
        <v>132</v>
      </c>
      <c r="P2918" s="36">
        <v>1.393814526E9</v>
      </c>
      <c r="Q2918" s="36" t="s">
        <v>7541</v>
      </c>
      <c r="R2918" s="6" t="s">
        <v>7542</v>
      </c>
    </row>
    <row r="2919">
      <c r="A2919" s="6" t="s">
        <v>7537</v>
      </c>
      <c r="B2919" s="6" t="s">
        <v>7537</v>
      </c>
      <c r="C2919" s="6">
        <v>1310.0</v>
      </c>
      <c r="D2919" s="9" t="str">
        <f>HYPERLINK("https://www.linkedin.com/ad-library/detail/1393863816","Open Ad")</f>
        <v>Open Ad</v>
      </c>
      <c r="E2919" s="6" t="s">
        <v>154</v>
      </c>
      <c r="F2919" s="6" t="s">
        <v>53</v>
      </c>
      <c r="G2919" s="6" t="s">
        <v>7788</v>
      </c>
      <c r="H2919" s="6" t="s">
        <v>55</v>
      </c>
      <c r="I2919" s="6" t="s">
        <v>7790</v>
      </c>
      <c r="J2919" s="6" t="s">
        <v>154</v>
      </c>
      <c r="K2919" s="9" t="str">
        <f t="shared" si="135"/>
        <v>Open Creative</v>
      </c>
      <c r="L2919" s="6" t="s">
        <v>131</v>
      </c>
      <c r="M2919" s="6" t="s">
        <v>7537</v>
      </c>
      <c r="N2919" s="6" t="s">
        <v>132</v>
      </c>
      <c r="O2919" s="36" t="s">
        <v>132</v>
      </c>
      <c r="P2919" s="36">
        <v>1.393863816E9</v>
      </c>
      <c r="Q2919" s="36" t="s">
        <v>68</v>
      </c>
      <c r="R2919" s="6" t="s">
        <v>7791</v>
      </c>
    </row>
    <row r="2920">
      <c r="A2920" s="6" t="s">
        <v>7537</v>
      </c>
      <c r="B2920" s="6" t="s">
        <v>7537</v>
      </c>
      <c r="C2920" s="6">
        <v>1311.0</v>
      </c>
      <c r="D2920" s="9" t="str">
        <f>HYPERLINK("https://www.linkedin.com/ad-library/detail/1393863806","Open Ad")</f>
        <v>Open Ad</v>
      </c>
      <c r="E2920" s="6" t="s">
        <v>91</v>
      </c>
      <c r="F2920" s="6" t="s">
        <v>53</v>
      </c>
      <c r="G2920" s="6" t="s">
        <v>7785</v>
      </c>
      <c r="H2920" s="6" t="s">
        <v>55</v>
      </c>
      <c r="I2920" s="6" t="s">
        <v>7566</v>
      </c>
      <c r="J2920" s="6" t="s">
        <v>91</v>
      </c>
      <c r="K2920" s="9" t="str">
        <f>HYPERLINK("https://media.licdn.com/dms/image/v2/D4E10AQF6tZoeAz8HmA/image-shrink_1280/B4EZ2s5a_1JEAc-/0/1776722227812?e=2147483647&amp;v=beta&amp;t=1By_bdoC5sQppZbvJniWDmRrjsvOVc-ZigNKnM63Eeo","Open Creative")</f>
        <v>Open Creative</v>
      </c>
      <c r="L2920" s="6" t="s">
        <v>131</v>
      </c>
      <c r="M2920" s="6" t="s">
        <v>7537</v>
      </c>
      <c r="N2920" s="6" t="s">
        <v>132</v>
      </c>
      <c r="O2920" s="36" t="s">
        <v>132</v>
      </c>
      <c r="P2920" s="36">
        <v>1.393863806E9</v>
      </c>
      <c r="Q2920" s="36" t="s">
        <v>7541</v>
      </c>
      <c r="R2920" s="6" t="s">
        <v>7542</v>
      </c>
    </row>
    <row r="2921">
      <c r="A2921" s="6" t="s">
        <v>7537</v>
      </c>
      <c r="B2921" s="6" t="s">
        <v>7537</v>
      </c>
      <c r="C2921" s="6">
        <v>1312.0</v>
      </c>
      <c r="D2921" s="9" t="str">
        <f>HYPERLINK("https://www.linkedin.com/ad-library/detail/1280493044","Open Ad")</f>
        <v>Open Ad</v>
      </c>
      <c r="E2921" s="6" t="s">
        <v>154</v>
      </c>
      <c r="F2921" s="6" t="s">
        <v>53</v>
      </c>
      <c r="G2921" s="6" t="s">
        <v>7792</v>
      </c>
      <c r="H2921" s="6" t="s">
        <v>55</v>
      </c>
      <c r="I2921" s="6" t="s">
        <v>7566</v>
      </c>
      <c r="J2921" s="6" t="s">
        <v>154</v>
      </c>
      <c r="K2921" s="9" t="str">
        <f>HYPERLINK("https://dms.licdn.com/playlist/vid/v2/D4D05AQGfTb8lJN-XAw/mp4-720p-30fp-crf28/B4DZ2fLSD5HcCM-/0/1776492108956?e=2147483647&amp;v=beta&amp;t=uIPYjGppZXZO16Nq64Zt_cNW6L2kJW_ptbO4Gzs0Ir8","Open Creative")</f>
        <v>Open Creative</v>
      </c>
      <c r="L2921" s="6" t="s">
        <v>131</v>
      </c>
      <c r="M2921" s="6" t="s">
        <v>7537</v>
      </c>
      <c r="N2921" s="6" t="s">
        <v>132</v>
      </c>
      <c r="O2921" s="36" t="s">
        <v>132</v>
      </c>
      <c r="P2921" s="36">
        <v>1.280493044E9</v>
      </c>
      <c r="Q2921" s="36" t="s">
        <v>7541</v>
      </c>
      <c r="R2921" s="6" t="s">
        <v>7542</v>
      </c>
    </row>
    <row r="2922">
      <c r="A2922" s="6" t="s">
        <v>7537</v>
      </c>
      <c r="B2922" s="6" t="s">
        <v>7537</v>
      </c>
      <c r="C2922" s="6">
        <v>1313.0</v>
      </c>
      <c r="D2922" s="9" t="str">
        <f>HYPERLINK("https://www.linkedin.com/ad-library/detail/1393754996","Open Ad")</f>
        <v>Open Ad</v>
      </c>
      <c r="E2922" s="6" t="s">
        <v>91</v>
      </c>
      <c r="F2922" s="6" t="s">
        <v>53</v>
      </c>
      <c r="G2922" s="6" t="s">
        <v>7785</v>
      </c>
      <c r="H2922" s="6" t="s">
        <v>55</v>
      </c>
      <c r="I2922" s="6" t="s">
        <v>7566</v>
      </c>
      <c r="J2922" s="6" t="s">
        <v>91</v>
      </c>
      <c r="K2922" s="9" t="str">
        <f>HYPERLINK("https://media.licdn.com/dms/image/v2/D4E10AQF6tZoeAz8HmA/image-shrink_1280/B4EZ2s5a_1JEAc-/0/1776722227812?e=2147483647&amp;v=beta&amp;t=1By_bdoC5sQppZbvJniWDmRrjsvOVc-ZigNKnM63Eeo","Open Creative")</f>
        <v>Open Creative</v>
      </c>
      <c r="L2922" s="6" t="s">
        <v>131</v>
      </c>
      <c r="M2922" s="6" t="s">
        <v>7537</v>
      </c>
      <c r="N2922" s="6" t="s">
        <v>132</v>
      </c>
      <c r="O2922" s="36" t="s">
        <v>132</v>
      </c>
      <c r="P2922" s="36">
        <v>1.393754996E9</v>
      </c>
      <c r="Q2922" s="36" t="s">
        <v>7541</v>
      </c>
      <c r="R2922" s="6" t="s">
        <v>7542</v>
      </c>
    </row>
    <row r="2923">
      <c r="A2923" s="6" t="s">
        <v>7537</v>
      </c>
      <c r="B2923" s="6" t="s">
        <v>7537</v>
      </c>
      <c r="C2923" s="6">
        <v>1314.0</v>
      </c>
      <c r="D2923" s="9" t="str">
        <f>HYPERLINK("https://www.linkedin.com/ad-library/detail/1396443756","Open Ad")</f>
        <v>Open Ad</v>
      </c>
      <c r="E2923" s="6" t="s">
        <v>91</v>
      </c>
      <c r="F2923" s="6" t="s">
        <v>53</v>
      </c>
      <c r="G2923" s="6" t="s">
        <v>7784</v>
      </c>
      <c r="H2923" s="6" t="s">
        <v>55</v>
      </c>
      <c r="I2923" s="6" t="s">
        <v>7566</v>
      </c>
      <c r="J2923" s="6" t="s">
        <v>91</v>
      </c>
      <c r="K2923" s="9" t="str">
        <f t="shared" ref="K2923:K2924" si="136">HYPERLINK("https://media.licdn.com/dms/image/v2/D4E10AQGTxEY7NmmocQ/image-shrink_1280/B4EZ22V4ajKcAc-/0/1776880683291?e=2147483647&amp;v=beta&amp;t=2EWAlCdodiuKZ1Zz5fQh1m--uCfWV663gqZsMKZkfd8","Open Creative")</f>
        <v>Open Creative</v>
      </c>
      <c r="L2923" s="6" t="s">
        <v>131</v>
      </c>
      <c r="M2923" s="6" t="s">
        <v>7537</v>
      </c>
      <c r="N2923" s="6" t="s">
        <v>132</v>
      </c>
      <c r="O2923" s="36" t="s">
        <v>132</v>
      </c>
      <c r="P2923" s="36">
        <v>1.396443756E9</v>
      </c>
      <c r="Q2923" s="36" t="s">
        <v>7541</v>
      </c>
      <c r="R2923" s="6" t="s">
        <v>7542</v>
      </c>
    </row>
    <row r="2924">
      <c r="A2924" s="6" t="s">
        <v>7537</v>
      </c>
      <c r="B2924" s="6" t="s">
        <v>7537</v>
      </c>
      <c r="C2924" s="6">
        <v>1315.0</v>
      </c>
      <c r="D2924" s="9" t="str">
        <f>HYPERLINK("https://www.linkedin.com/ad-library/detail/1396582526","Open Ad")</f>
        <v>Open Ad</v>
      </c>
      <c r="E2924" s="6" t="s">
        <v>91</v>
      </c>
      <c r="F2924" s="6" t="s">
        <v>53</v>
      </c>
      <c r="G2924" s="6" t="s">
        <v>7784</v>
      </c>
      <c r="H2924" s="6" t="s">
        <v>55</v>
      </c>
      <c r="I2924" s="6" t="s">
        <v>7566</v>
      </c>
      <c r="J2924" s="6" t="s">
        <v>91</v>
      </c>
      <c r="K2924" s="9" t="str">
        <f t="shared" si="136"/>
        <v>Open Creative</v>
      </c>
      <c r="L2924" s="6" t="s">
        <v>131</v>
      </c>
      <c r="M2924" s="6" t="s">
        <v>7537</v>
      </c>
      <c r="N2924" s="6" t="s">
        <v>132</v>
      </c>
      <c r="O2924" s="36" t="s">
        <v>132</v>
      </c>
      <c r="P2924" s="36">
        <v>1.396582526E9</v>
      </c>
      <c r="Q2924" s="36" t="s">
        <v>7541</v>
      </c>
      <c r="R2924" s="6" t="s">
        <v>7542</v>
      </c>
    </row>
    <row r="2925">
      <c r="A2925" s="6" t="s">
        <v>7537</v>
      </c>
      <c r="B2925" s="6" t="s">
        <v>7537</v>
      </c>
      <c r="C2925" s="6">
        <v>1316.0</v>
      </c>
      <c r="D2925" s="9" t="str">
        <f>HYPERLINK("https://www.linkedin.com/ad-library/detail/1393804656","Open Ad")</f>
        <v>Open Ad</v>
      </c>
      <c r="E2925" s="6" t="s">
        <v>91</v>
      </c>
      <c r="F2925" s="6" t="s">
        <v>53</v>
      </c>
      <c r="G2925" s="6" t="s">
        <v>7789</v>
      </c>
      <c r="H2925" s="6" t="s">
        <v>55</v>
      </c>
      <c r="I2925" s="6" t="s">
        <v>7566</v>
      </c>
      <c r="J2925" s="6" t="s">
        <v>91</v>
      </c>
      <c r="K2925" s="9" t="str">
        <f>HYPERLINK("https://media.licdn.com/dms/image/v2/D4E10AQF3yhpV3-ZqQQ/image-shrink_1280/B4EZ2wb_wAJkAc-/0/1776781622820?e=2147483647&amp;v=beta&amp;t=aRU09d6N-6B8b6ZqMWanBKtEoMHuNAKcB75w9MMhKGM","Open Creative")</f>
        <v>Open Creative</v>
      </c>
      <c r="L2925" s="6" t="s">
        <v>131</v>
      </c>
      <c r="M2925" s="6" t="s">
        <v>7537</v>
      </c>
      <c r="N2925" s="6" t="s">
        <v>132</v>
      </c>
      <c r="O2925" s="36" t="s">
        <v>132</v>
      </c>
      <c r="P2925" s="36">
        <v>1.393804656E9</v>
      </c>
      <c r="Q2925" s="36" t="s">
        <v>7541</v>
      </c>
      <c r="R2925" s="6" t="s">
        <v>7542</v>
      </c>
    </row>
    <row r="2926">
      <c r="A2926" s="6" t="s">
        <v>7537</v>
      </c>
      <c r="B2926" s="6" t="s">
        <v>7537</v>
      </c>
      <c r="C2926" s="6">
        <v>1317.0</v>
      </c>
      <c r="D2926" s="9" t="str">
        <f>HYPERLINK("https://www.linkedin.com/ad-library/detail/1396542636","Open Ad")</f>
        <v>Open Ad</v>
      </c>
      <c r="E2926" s="6" t="s">
        <v>91</v>
      </c>
      <c r="F2926" s="6" t="s">
        <v>53</v>
      </c>
      <c r="G2926" s="6" t="s">
        <v>7781</v>
      </c>
      <c r="H2926" s="6" t="s">
        <v>55</v>
      </c>
      <c r="I2926" s="6" t="s">
        <v>7566</v>
      </c>
      <c r="J2926" s="6" t="s">
        <v>91</v>
      </c>
      <c r="K2926" s="9" t="str">
        <f>HYPERLINK("https://media.licdn.com/dms/image/v2/D4E22AQEe7iJPRpwRfA/feedshare-shrink_1280/B4EZ2xCizFJkAM-/0/1776791727952?e=2147483647&amp;v=beta&amp;t=24jH5c0XWlb1ellVmLE-5jyB-0PykN9AAhWfYlIevKs","Open Creative")</f>
        <v>Open Creative</v>
      </c>
      <c r="L2926" s="6" t="s">
        <v>131</v>
      </c>
      <c r="M2926" s="6" t="s">
        <v>7537</v>
      </c>
      <c r="N2926" s="6" t="s">
        <v>132</v>
      </c>
      <c r="O2926" s="36" t="s">
        <v>132</v>
      </c>
      <c r="P2926" s="36">
        <v>1.396542636E9</v>
      </c>
      <c r="Q2926" s="36" t="s">
        <v>7541</v>
      </c>
      <c r="R2926" s="6" t="s">
        <v>7542</v>
      </c>
    </row>
    <row r="2927">
      <c r="A2927" s="6" t="s">
        <v>7537</v>
      </c>
      <c r="B2927" s="6" t="s">
        <v>7537</v>
      </c>
      <c r="C2927" s="6">
        <v>1318.0</v>
      </c>
      <c r="D2927" s="9" t="str">
        <f>HYPERLINK("https://www.linkedin.com/ad-library/detail/1393824476","Open Ad")</f>
        <v>Open Ad</v>
      </c>
      <c r="E2927" s="6" t="s">
        <v>91</v>
      </c>
      <c r="F2927" s="6" t="s">
        <v>53</v>
      </c>
      <c r="G2927" s="6" t="s">
        <v>7789</v>
      </c>
      <c r="H2927" s="6" t="s">
        <v>55</v>
      </c>
      <c r="I2927" s="6" t="s">
        <v>7566</v>
      </c>
      <c r="J2927" s="6" t="s">
        <v>91</v>
      </c>
      <c r="K2927" s="9" t="str">
        <f>HYPERLINK("https://media.licdn.com/dms/image/v2/D4E10AQF3yhpV3-ZqQQ/image-shrink_1280/B4EZ2wb_wAJkAc-/0/1776781622820?e=2147483647&amp;v=beta&amp;t=aRU09d6N-6B8b6ZqMWanBKtEoMHuNAKcB75w9MMhKGM","Open Creative")</f>
        <v>Open Creative</v>
      </c>
      <c r="L2927" s="6" t="s">
        <v>131</v>
      </c>
      <c r="M2927" s="6" t="s">
        <v>7537</v>
      </c>
      <c r="N2927" s="6" t="s">
        <v>132</v>
      </c>
      <c r="O2927" s="36" t="s">
        <v>132</v>
      </c>
      <c r="P2927" s="36">
        <v>1.393824476E9</v>
      </c>
      <c r="Q2927" s="36" t="s">
        <v>7541</v>
      </c>
      <c r="R2927" s="6" t="s">
        <v>7542</v>
      </c>
    </row>
    <row r="2928">
      <c r="A2928" s="6" t="s">
        <v>7537</v>
      </c>
      <c r="B2928" s="6" t="s">
        <v>7537</v>
      </c>
      <c r="C2928" s="6">
        <v>1319.0</v>
      </c>
      <c r="D2928" s="9" t="str">
        <f>HYPERLINK("https://www.linkedin.com/ad-library/detail/1393844316","Open Ad")</f>
        <v>Open Ad</v>
      </c>
      <c r="E2928" s="6" t="s">
        <v>154</v>
      </c>
      <c r="F2928" s="6" t="s">
        <v>53</v>
      </c>
      <c r="G2928" s="6" t="s">
        <v>7788</v>
      </c>
      <c r="H2928" s="6" t="s">
        <v>55</v>
      </c>
      <c r="I2928" s="6" t="s">
        <v>7566</v>
      </c>
      <c r="J2928" s="6" t="s">
        <v>154</v>
      </c>
      <c r="K2928" s="9" t="str">
        <f>HYPERLINK("https://dms.licdn.com/playlist/vid/v2/D4E10AQF2MK-zXYPWZw/mp4-360p-30fp-crf28/B4EZ2rNdSUG0CE-/0/1776693935287?e=2147483647&amp;v=beta&amp;t=_wjRjBS96m9VybftcOv4_RvAQaU1zxtA8xeJI4NsGdo","Open Creative")</f>
        <v>Open Creative</v>
      </c>
      <c r="L2928" s="6" t="s">
        <v>131</v>
      </c>
      <c r="M2928" s="6" t="s">
        <v>7537</v>
      </c>
      <c r="N2928" s="6" t="s">
        <v>132</v>
      </c>
      <c r="O2928" s="36" t="s">
        <v>132</v>
      </c>
      <c r="P2928" s="36">
        <v>1.393844316E9</v>
      </c>
      <c r="Q2928" s="36" t="s">
        <v>7541</v>
      </c>
      <c r="R2928" s="6" t="s">
        <v>7542</v>
      </c>
    </row>
    <row r="2929">
      <c r="A2929" s="6" t="s">
        <v>7537</v>
      </c>
      <c r="B2929" s="6" t="s">
        <v>7537</v>
      </c>
      <c r="C2929" s="6">
        <v>1320.0</v>
      </c>
      <c r="D2929" s="9" t="str">
        <f>HYPERLINK("https://www.linkedin.com/ad-library/detail/1393678016","Open Ad")</f>
        <v>Open Ad</v>
      </c>
      <c r="E2929" s="6" t="s">
        <v>91</v>
      </c>
      <c r="F2929" s="6" t="s">
        <v>53</v>
      </c>
      <c r="G2929" s="6" t="s">
        <v>7785</v>
      </c>
      <c r="H2929" s="6" t="s">
        <v>55</v>
      </c>
      <c r="I2929" s="6" t="s">
        <v>7566</v>
      </c>
      <c r="J2929" s="6" t="s">
        <v>91</v>
      </c>
      <c r="K2929" s="9" t="str">
        <f>HYPERLINK("https://media.licdn.com/dms/image/v2/D4E10AQF6tZoeAz8HmA/image-shrink_1280/B4EZ2s5a_1JEAc-/0/1776722227812?e=2147483647&amp;v=beta&amp;t=1By_bdoC5sQppZbvJniWDmRrjsvOVc-ZigNKnM63Eeo","Open Creative")</f>
        <v>Open Creative</v>
      </c>
      <c r="L2929" s="6" t="s">
        <v>131</v>
      </c>
      <c r="M2929" s="6" t="s">
        <v>7537</v>
      </c>
      <c r="N2929" s="6" t="s">
        <v>132</v>
      </c>
      <c r="O2929" s="36" t="s">
        <v>132</v>
      </c>
      <c r="P2929" s="36">
        <v>1.393678016E9</v>
      </c>
      <c r="Q2929" s="36" t="s">
        <v>7541</v>
      </c>
      <c r="R2929" s="6" t="s">
        <v>7542</v>
      </c>
    </row>
    <row r="2930">
      <c r="A2930" s="6" t="s">
        <v>7537</v>
      </c>
      <c r="B2930" s="6" t="s">
        <v>7537</v>
      </c>
      <c r="C2930" s="6">
        <v>1321.0</v>
      </c>
      <c r="D2930" s="9" t="str">
        <f>HYPERLINK("https://www.linkedin.com/ad-library/detail/1392064736","Open Ad")</f>
        <v>Open Ad</v>
      </c>
      <c r="E2930" s="6" t="s">
        <v>154</v>
      </c>
      <c r="F2930" s="6" t="s">
        <v>53</v>
      </c>
      <c r="G2930" s="6" t="s">
        <v>7744</v>
      </c>
      <c r="H2930" s="6" t="s">
        <v>55</v>
      </c>
      <c r="I2930" s="6" t="s">
        <v>7566</v>
      </c>
      <c r="J2930" s="6" t="s">
        <v>154</v>
      </c>
      <c r="K2930" s="9" t="str">
        <f t="shared" ref="K2930:K2931" si="137">HYPERLINK("https://dms.licdn.com/playlist/vid/v2/D4E05AQGgDq87Idj5yQ/mp4-720p-30fp-crf28/B4EZ2SOfNBIkCI-/0/1776274785729?e=2147483647&amp;v=beta&amp;t=GlzWHH2t1SJHcYYhlaMPGa_26MZmEbr1GAGR0HyZh70","Open Creative")</f>
        <v>Open Creative</v>
      </c>
      <c r="L2930" s="6" t="s">
        <v>131</v>
      </c>
      <c r="M2930" s="6" t="s">
        <v>7537</v>
      </c>
      <c r="N2930" s="6" t="s">
        <v>132</v>
      </c>
      <c r="O2930" s="36" t="s">
        <v>132</v>
      </c>
      <c r="P2930" s="36">
        <v>1.392064736E9</v>
      </c>
      <c r="Q2930" s="36" t="s">
        <v>7541</v>
      </c>
      <c r="R2930" s="6" t="s">
        <v>7542</v>
      </c>
    </row>
    <row r="2931">
      <c r="A2931" s="6" t="s">
        <v>7537</v>
      </c>
      <c r="B2931" s="6" t="s">
        <v>7537</v>
      </c>
      <c r="C2931" s="6">
        <v>1322.0</v>
      </c>
      <c r="D2931" s="9" t="str">
        <f>HYPERLINK("https://www.linkedin.com/ad-library/detail/1392094706","Open Ad")</f>
        <v>Open Ad</v>
      </c>
      <c r="E2931" s="6" t="s">
        <v>154</v>
      </c>
      <c r="F2931" s="6" t="s">
        <v>53</v>
      </c>
      <c r="G2931" s="6" t="s">
        <v>7744</v>
      </c>
      <c r="H2931" s="6" t="s">
        <v>55</v>
      </c>
      <c r="I2931" s="6" t="s">
        <v>7566</v>
      </c>
      <c r="J2931" s="6" t="s">
        <v>154</v>
      </c>
      <c r="K2931" s="9" t="str">
        <f t="shared" si="137"/>
        <v>Open Creative</v>
      </c>
      <c r="L2931" s="6" t="s">
        <v>131</v>
      </c>
      <c r="M2931" s="6" t="s">
        <v>7537</v>
      </c>
      <c r="N2931" s="6" t="s">
        <v>132</v>
      </c>
      <c r="O2931" s="36" t="s">
        <v>132</v>
      </c>
      <c r="P2931" s="36">
        <v>1.392094706E9</v>
      </c>
      <c r="Q2931" s="36" t="s">
        <v>7541</v>
      </c>
      <c r="R2931" s="6" t="s">
        <v>7542</v>
      </c>
    </row>
    <row r="2932">
      <c r="A2932" s="6" t="s">
        <v>7537</v>
      </c>
      <c r="B2932" s="6" t="s">
        <v>7537</v>
      </c>
      <c r="C2932" s="6">
        <v>1323.0</v>
      </c>
      <c r="D2932" s="9" t="str">
        <f>HYPERLINK("https://www.linkedin.com/ad-library/detail/1391851596","Open Ad")</f>
        <v>Open Ad</v>
      </c>
      <c r="E2932" s="6" t="s">
        <v>154</v>
      </c>
      <c r="F2932" s="6" t="s">
        <v>53</v>
      </c>
      <c r="G2932" s="6" t="s">
        <v>7793</v>
      </c>
      <c r="H2932" s="6" t="s">
        <v>55</v>
      </c>
      <c r="I2932" s="6" t="s">
        <v>7566</v>
      </c>
      <c r="J2932" s="6" t="s">
        <v>154</v>
      </c>
      <c r="K2932" s="9" t="str">
        <f t="shared" ref="K2932:K2934" si="138">HYPERLINK("https://dms.licdn.com/playlist/vid/v2/D4E10AQFq3P9mF0z2qw/mp4-640p-30fp-crf28/B4EZ2Wmsb1J4Bk-/0/1776348230865?e=2147483647&amp;v=beta&amp;t=0h98gI9dhX4mpz76sO4Y7nJtI5FsokHK0j3aJzS8-xA","Open Creative")</f>
        <v>Open Creative</v>
      </c>
      <c r="L2932" s="6" t="s">
        <v>131</v>
      </c>
      <c r="M2932" s="6" t="s">
        <v>7537</v>
      </c>
      <c r="N2932" s="6" t="s">
        <v>132</v>
      </c>
      <c r="O2932" s="36" t="s">
        <v>132</v>
      </c>
      <c r="P2932" s="36">
        <v>1.391851596E9</v>
      </c>
      <c r="Q2932" s="36" t="s">
        <v>7541</v>
      </c>
      <c r="R2932" s="6" t="s">
        <v>7542</v>
      </c>
    </row>
    <row r="2933">
      <c r="A2933" s="6" t="s">
        <v>7537</v>
      </c>
      <c r="B2933" s="6" t="s">
        <v>7537</v>
      </c>
      <c r="C2933" s="6">
        <v>1324.0</v>
      </c>
      <c r="D2933" s="9" t="str">
        <f>HYPERLINK("https://www.linkedin.com/ad-library/detail/1391793376","Open Ad")</f>
        <v>Open Ad</v>
      </c>
      <c r="E2933" s="6" t="s">
        <v>154</v>
      </c>
      <c r="F2933" s="6" t="s">
        <v>53</v>
      </c>
      <c r="G2933" s="6" t="s">
        <v>7793</v>
      </c>
      <c r="H2933" s="6" t="s">
        <v>55</v>
      </c>
      <c r="I2933" s="6" t="s">
        <v>7566</v>
      </c>
      <c r="J2933" s="6" t="s">
        <v>154</v>
      </c>
      <c r="K2933" s="9" t="str">
        <f t="shared" si="138"/>
        <v>Open Creative</v>
      </c>
      <c r="L2933" s="6" t="s">
        <v>131</v>
      </c>
      <c r="M2933" s="6" t="s">
        <v>7537</v>
      </c>
      <c r="N2933" s="6" t="s">
        <v>132</v>
      </c>
      <c r="O2933" s="36" t="s">
        <v>132</v>
      </c>
      <c r="P2933" s="36">
        <v>1.391793376E9</v>
      </c>
      <c r="Q2933" s="36" t="s">
        <v>7541</v>
      </c>
      <c r="R2933" s="6" t="s">
        <v>7542</v>
      </c>
    </row>
    <row r="2934">
      <c r="A2934" s="6" t="s">
        <v>7537</v>
      </c>
      <c r="B2934" s="6" t="s">
        <v>7537</v>
      </c>
      <c r="C2934" s="6">
        <v>1325.0</v>
      </c>
      <c r="D2934" s="9" t="str">
        <f>HYPERLINK("https://www.linkedin.com/ad-library/detail/1391687546","Open Ad")</f>
        <v>Open Ad</v>
      </c>
      <c r="E2934" s="6" t="s">
        <v>154</v>
      </c>
      <c r="F2934" s="6" t="s">
        <v>53</v>
      </c>
      <c r="G2934" s="6" t="s">
        <v>7793</v>
      </c>
      <c r="H2934" s="6" t="s">
        <v>55</v>
      </c>
      <c r="I2934" s="6" t="s">
        <v>7566</v>
      </c>
      <c r="J2934" s="6" t="s">
        <v>154</v>
      </c>
      <c r="K2934" s="9" t="str">
        <f t="shared" si="138"/>
        <v>Open Creative</v>
      </c>
      <c r="L2934" s="6" t="s">
        <v>131</v>
      </c>
      <c r="M2934" s="6" t="s">
        <v>7537</v>
      </c>
      <c r="N2934" s="6" t="s">
        <v>132</v>
      </c>
      <c r="O2934" s="36" t="s">
        <v>132</v>
      </c>
      <c r="P2934" s="36">
        <v>1.391687546E9</v>
      </c>
      <c r="Q2934" s="36" t="s">
        <v>7541</v>
      </c>
      <c r="R2934" s="6" t="s">
        <v>7542</v>
      </c>
    </row>
    <row r="2935">
      <c r="A2935" s="6" t="s">
        <v>7537</v>
      </c>
      <c r="B2935" s="6" t="s">
        <v>7537</v>
      </c>
      <c r="C2935" s="6">
        <v>1326.0</v>
      </c>
      <c r="D2935" s="9" t="str">
        <f>HYPERLINK("https://www.linkedin.com/ad-library/detail/1393764566","Open Ad")</f>
        <v>Open Ad</v>
      </c>
      <c r="E2935" s="6" t="s">
        <v>91</v>
      </c>
      <c r="F2935" s="6" t="s">
        <v>53</v>
      </c>
      <c r="G2935" s="6" t="s">
        <v>7794</v>
      </c>
      <c r="H2935" s="6" t="s">
        <v>55</v>
      </c>
      <c r="I2935" s="6" t="s">
        <v>7566</v>
      </c>
      <c r="J2935" s="6" t="s">
        <v>91</v>
      </c>
      <c r="K2935" s="9" t="str">
        <f>HYPERLINK("https://media.licdn.com/dms/image/v2/D4E22AQGB-oNAFIABTg/feedshare-shrink_1280/B4EZ2wojXCJoAU-/0/1776784914633?e=2147483647&amp;v=beta&amp;t=cSxtOSHWF1Zgp6LLVfHOYKmb0hYvnE0BHCL_A9noPlQ","Open Creative")</f>
        <v>Open Creative</v>
      </c>
      <c r="L2935" s="6" t="s">
        <v>131</v>
      </c>
      <c r="M2935" s="6" t="s">
        <v>7537</v>
      </c>
      <c r="N2935" s="6" t="s">
        <v>132</v>
      </c>
      <c r="O2935" s="36" t="s">
        <v>132</v>
      </c>
      <c r="P2935" s="36">
        <v>1.393764566E9</v>
      </c>
      <c r="Q2935" s="36" t="s">
        <v>7541</v>
      </c>
      <c r="R2935" s="6" t="s">
        <v>7542</v>
      </c>
    </row>
    <row r="2936">
      <c r="A2936" s="6" t="s">
        <v>7537</v>
      </c>
      <c r="B2936" s="6" t="s">
        <v>7537</v>
      </c>
      <c r="C2936" s="6">
        <v>1327.0</v>
      </c>
      <c r="D2936" s="9" t="str">
        <f>HYPERLINK("https://www.linkedin.com/ad-library/detail/1392104536","Open Ad")</f>
        <v>Open Ad</v>
      </c>
      <c r="E2936" s="6" t="s">
        <v>154</v>
      </c>
      <c r="F2936" s="6" t="s">
        <v>53</v>
      </c>
      <c r="G2936" s="6" t="s">
        <v>7744</v>
      </c>
      <c r="H2936" s="6" t="s">
        <v>55</v>
      </c>
      <c r="I2936" s="6" t="s">
        <v>7566</v>
      </c>
      <c r="J2936" s="6" t="s">
        <v>154</v>
      </c>
      <c r="K2936" s="9" t="str">
        <f>HYPERLINK("https://dms.licdn.com/playlist/vid/v2/D4E05AQGgDq87Idj5yQ/mp4-720p-30fp-crf28/B4EZ2SOfNBIkCI-/0/1776274785729?e=2147483647&amp;v=beta&amp;t=GlzWHH2t1SJHcYYhlaMPGa_26MZmEbr1GAGR0HyZh70","Open Creative")</f>
        <v>Open Creative</v>
      </c>
      <c r="L2936" s="6" t="s">
        <v>131</v>
      </c>
      <c r="M2936" s="6" t="s">
        <v>7537</v>
      </c>
      <c r="N2936" s="6" t="s">
        <v>132</v>
      </c>
      <c r="O2936" s="36" t="s">
        <v>132</v>
      </c>
      <c r="P2936" s="36">
        <v>1.392104536E9</v>
      </c>
      <c r="Q2936" s="36" t="s">
        <v>7541</v>
      </c>
      <c r="R2936" s="6" t="s">
        <v>7542</v>
      </c>
    </row>
    <row r="2937">
      <c r="A2937" s="6" t="s">
        <v>7537</v>
      </c>
      <c r="B2937" s="6" t="s">
        <v>7537</v>
      </c>
      <c r="C2937" s="6">
        <v>1328.0</v>
      </c>
      <c r="D2937" s="9" t="str">
        <f>HYPERLINK("https://www.linkedin.com/ad-library/detail/1393695516","Open Ad")</f>
        <v>Open Ad</v>
      </c>
      <c r="E2937" s="6" t="s">
        <v>91</v>
      </c>
      <c r="F2937" s="6" t="s">
        <v>53</v>
      </c>
      <c r="G2937" s="6" t="s">
        <v>7794</v>
      </c>
      <c r="H2937" s="6" t="s">
        <v>55</v>
      </c>
      <c r="I2937" s="6" t="s">
        <v>7566</v>
      </c>
      <c r="J2937" s="6" t="s">
        <v>91</v>
      </c>
      <c r="K2937" s="9" t="str">
        <f>HYPERLINK("https://media.licdn.com/dms/image/v2/D4E22AQGB-oNAFIABTg/feedshare-shrink_1280/B4EZ2wojXCJoAU-/0/1776784914633?e=2147483647&amp;v=beta&amp;t=cSxtOSHWF1Zgp6LLVfHOYKmb0hYvnE0BHCL_A9noPlQ","Open Creative")</f>
        <v>Open Creative</v>
      </c>
      <c r="L2937" s="6" t="s">
        <v>131</v>
      </c>
      <c r="M2937" s="6" t="s">
        <v>7537</v>
      </c>
      <c r="N2937" s="6" t="s">
        <v>132</v>
      </c>
      <c r="O2937" s="36" t="s">
        <v>132</v>
      </c>
      <c r="P2937" s="36">
        <v>1.393695516E9</v>
      </c>
      <c r="Q2937" s="36" t="s">
        <v>7541</v>
      </c>
      <c r="R2937" s="6" t="s">
        <v>7542</v>
      </c>
    </row>
    <row r="2938">
      <c r="A2938" s="6" t="s">
        <v>7537</v>
      </c>
      <c r="B2938" s="6" t="s">
        <v>7537</v>
      </c>
      <c r="C2938" s="6">
        <v>1329.0</v>
      </c>
      <c r="D2938" s="9" t="str">
        <f>HYPERLINK("https://www.linkedin.com/ad-library/detail/1390824416","Open Ad")</f>
        <v>Open Ad</v>
      </c>
      <c r="E2938" s="6" t="s">
        <v>154</v>
      </c>
      <c r="F2938" s="6" t="s">
        <v>53</v>
      </c>
      <c r="G2938" s="6" t="s">
        <v>7795</v>
      </c>
      <c r="H2938" s="6" t="s">
        <v>55</v>
      </c>
      <c r="I2938" s="6" t="s">
        <v>7566</v>
      </c>
      <c r="J2938" s="6" t="s">
        <v>154</v>
      </c>
      <c r="K2938" s="9" t="str">
        <f>HYPERLINK("https://dms.licdn.com/playlist/vid/v2/D4E05AQG7DCo9hQGa4g/mp4-640p-30fp-crf28/B4EZ2Svo2KI0Bs-/0/1776283469130?e=2147483647&amp;v=beta&amp;t=Ufw_Um2AI1hLn93zKBI7gcd7GeX3lcS0eirwUgTjuyQ","Open Creative")</f>
        <v>Open Creative</v>
      </c>
      <c r="L2938" s="6" t="s">
        <v>131</v>
      </c>
      <c r="M2938" s="6" t="s">
        <v>7537</v>
      </c>
      <c r="N2938" s="6" t="s">
        <v>132</v>
      </c>
      <c r="O2938" s="36" t="s">
        <v>132</v>
      </c>
      <c r="P2938" s="36">
        <v>1.390824416E9</v>
      </c>
      <c r="Q2938" s="36" t="s">
        <v>7541</v>
      </c>
      <c r="R2938" s="6" t="s">
        <v>7542</v>
      </c>
    </row>
    <row r="2939">
      <c r="A2939" s="6" t="s">
        <v>7537</v>
      </c>
      <c r="B2939" s="6" t="s">
        <v>7537</v>
      </c>
      <c r="C2939" s="6">
        <v>1330.0</v>
      </c>
      <c r="D2939" s="9" t="str">
        <f>HYPERLINK("https://www.linkedin.com/ad-library/detail/1391934806","Open Ad")</f>
        <v>Open Ad</v>
      </c>
      <c r="E2939" s="6" t="s">
        <v>154</v>
      </c>
      <c r="F2939" s="6" t="s">
        <v>53</v>
      </c>
      <c r="G2939" s="6" t="s">
        <v>7744</v>
      </c>
      <c r="H2939" s="6" t="s">
        <v>55</v>
      </c>
      <c r="I2939" s="6" t="s">
        <v>7566</v>
      </c>
      <c r="J2939" s="6" t="s">
        <v>154</v>
      </c>
      <c r="K2939" s="9" t="str">
        <f>HYPERLINK("https://dms.licdn.com/playlist/vid/v2/D4E05AQGgDq87Idj5yQ/mp4-720p-30fp-crf28/B4EZ2SOfNBIkCI-/0/1776274785729?e=2147483647&amp;v=beta&amp;t=GlzWHH2t1SJHcYYhlaMPGa_26MZmEbr1GAGR0HyZh70","Open Creative")</f>
        <v>Open Creative</v>
      </c>
      <c r="L2939" s="6" t="s">
        <v>131</v>
      </c>
      <c r="M2939" s="6" t="s">
        <v>7537</v>
      </c>
      <c r="N2939" s="6" t="s">
        <v>132</v>
      </c>
      <c r="O2939" s="36" t="s">
        <v>132</v>
      </c>
      <c r="P2939" s="36">
        <v>1.391934806E9</v>
      </c>
      <c r="Q2939" s="36" t="s">
        <v>7541</v>
      </c>
      <c r="R2939" s="6" t="s">
        <v>7542</v>
      </c>
    </row>
    <row r="2940">
      <c r="A2940" s="6" t="s">
        <v>7537</v>
      </c>
      <c r="B2940" s="6" t="s">
        <v>7537</v>
      </c>
      <c r="C2940" s="6">
        <v>1331.0</v>
      </c>
      <c r="D2940" s="9" t="str">
        <f>HYPERLINK("https://www.linkedin.com/ad-library/detail/1393677926","Open Ad")</f>
        <v>Open Ad</v>
      </c>
      <c r="E2940" s="6" t="s">
        <v>91</v>
      </c>
      <c r="F2940" s="6" t="s">
        <v>53</v>
      </c>
      <c r="G2940" s="6" t="s">
        <v>7794</v>
      </c>
      <c r="H2940" s="6" t="s">
        <v>55</v>
      </c>
      <c r="I2940" s="6" t="s">
        <v>7566</v>
      </c>
      <c r="J2940" s="6" t="s">
        <v>91</v>
      </c>
      <c r="K2940" s="9" t="str">
        <f t="shared" ref="K2940:K2941" si="139">HYPERLINK("https://media.licdn.com/dms/image/v2/D4E22AQGB-oNAFIABTg/feedshare-shrink_1280/B4EZ2wojXCJoAU-/0/1776784914633?e=2147483647&amp;v=beta&amp;t=cSxtOSHWF1Zgp6LLVfHOYKmb0hYvnE0BHCL_A9noPlQ","Open Creative")</f>
        <v>Open Creative</v>
      </c>
      <c r="L2940" s="6" t="s">
        <v>131</v>
      </c>
      <c r="M2940" s="6" t="s">
        <v>7537</v>
      </c>
      <c r="N2940" s="6" t="s">
        <v>132</v>
      </c>
      <c r="O2940" s="36" t="s">
        <v>132</v>
      </c>
      <c r="P2940" s="36">
        <v>1.393677926E9</v>
      </c>
      <c r="Q2940" s="36" t="s">
        <v>7541</v>
      </c>
      <c r="R2940" s="6" t="s">
        <v>7542</v>
      </c>
    </row>
    <row r="2941">
      <c r="A2941" s="6" t="s">
        <v>7537</v>
      </c>
      <c r="B2941" s="6" t="s">
        <v>7537</v>
      </c>
      <c r="C2941" s="6">
        <v>1332.0</v>
      </c>
      <c r="D2941" s="9" t="str">
        <f>HYPERLINK("https://www.linkedin.com/ad-library/detail/1393677936","Open Ad")</f>
        <v>Open Ad</v>
      </c>
      <c r="E2941" s="6" t="s">
        <v>91</v>
      </c>
      <c r="F2941" s="6" t="s">
        <v>53</v>
      </c>
      <c r="G2941" s="6" t="s">
        <v>7794</v>
      </c>
      <c r="H2941" s="6" t="s">
        <v>55</v>
      </c>
      <c r="I2941" s="6" t="s">
        <v>7566</v>
      </c>
      <c r="J2941" s="6" t="s">
        <v>91</v>
      </c>
      <c r="K2941" s="9" t="str">
        <f t="shared" si="139"/>
        <v>Open Creative</v>
      </c>
      <c r="L2941" s="6" t="s">
        <v>131</v>
      </c>
      <c r="M2941" s="6" t="s">
        <v>7537</v>
      </c>
      <c r="N2941" s="6" t="s">
        <v>132</v>
      </c>
      <c r="O2941" s="36" t="s">
        <v>132</v>
      </c>
      <c r="P2941" s="36">
        <v>1.393677936E9</v>
      </c>
      <c r="Q2941" s="36" t="s">
        <v>7541</v>
      </c>
      <c r="R2941" s="6" t="s">
        <v>7542</v>
      </c>
    </row>
    <row r="2942">
      <c r="A2942" s="6" t="s">
        <v>7537</v>
      </c>
      <c r="B2942" s="6" t="s">
        <v>7537</v>
      </c>
      <c r="C2942" s="6">
        <v>1333.0</v>
      </c>
      <c r="D2942" s="9" t="str">
        <f>HYPERLINK("https://www.linkedin.com/ad-library/detail/1390970496","Open Ad")</f>
        <v>Open Ad</v>
      </c>
      <c r="E2942" s="6" t="s">
        <v>154</v>
      </c>
      <c r="F2942" s="6" t="s">
        <v>53</v>
      </c>
      <c r="G2942" s="6" t="s">
        <v>7795</v>
      </c>
      <c r="H2942" s="6" t="s">
        <v>55</v>
      </c>
      <c r="I2942" s="6" t="s">
        <v>7566</v>
      </c>
      <c r="J2942" s="6" t="s">
        <v>154</v>
      </c>
      <c r="K2942" s="9" t="str">
        <f>HYPERLINK("https://dms.licdn.com/playlist/vid/v2/D4E05AQG7DCo9hQGa4g/mp4-640p-30fp-crf28/B4EZ2Svo2KI0Bs-/0/1776283469130?e=2147483647&amp;v=beta&amp;t=Ufw_Um2AI1hLn93zKBI7gcd7GeX3lcS0eirwUgTjuyQ","Open Creative")</f>
        <v>Open Creative</v>
      </c>
      <c r="L2942" s="6" t="s">
        <v>131</v>
      </c>
      <c r="M2942" s="6" t="s">
        <v>7537</v>
      </c>
      <c r="N2942" s="6" t="s">
        <v>132</v>
      </c>
      <c r="O2942" s="36" t="s">
        <v>132</v>
      </c>
      <c r="P2942" s="36">
        <v>1.390970496E9</v>
      </c>
      <c r="Q2942" s="36" t="s">
        <v>7541</v>
      </c>
      <c r="R2942" s="6" t="s">
        <v>7542</v>
      </c>
    </row>
    <row r="2943">
      <c r="A2943" s="6" t="s">
        <v>7537</v>
      </c>
      <c r="B2943" s="6" t="s">
        <v>7537</v>
      </c>
      <c r="C2943" s="6">
        <v>1334.0</v>
      </c>
      <c r="D2943" s="9" t="str">
        <f>HYPERLINK("https://www.linkedin.com/ad-library/detail/1393139976","Open Ad")</f>
        <v>Open Ad</v>
      </c>
      <c r="E2943" s="6" t="s">
        <v>7543</v>
      </c>
      <c r="F2943" s="6" t="s">
        <v>53</v>
      </c>
      <c r="G2943" s="6" t="s">
        <v>7780</v>
      </c>
      <c r="H2943" s="6" t="s">
        <v>55</v>
      </c>
      <c r="I2943" s="6" t="s">
        <v>7566</v>
      </c>
      <c r="J2943" s="6" t="s">
        <v>7546</v>
      </c>
      <c r="K2943" s="6" t="s">
        <v>60</v>
      </c>
      <c r="L2943" s="6" t="s">
        <v>131</v>
      </c>
      <c r="M2943" s="6" t="s">
        <v>7537</v>
      </c>
      <c r="N2943" s="6" t="s">
        <v>132</v>
      </c>
      <c r="O2943" s="36" t="s">
        <v>132</v>
      </c>
      <c r="P2943" s="36">
        <v>1.393139976E9</v>
      </c>
      <c r="Q2943" s="36" t="s">
        <v>7541</v>
      </c>
      <c r="R2943" s="6" t="s">
        <v>7542</v>
      </c>
    </row>
    <row r="2944">
      <c r="A2944" s="6" t="s">
        <v>7537</v>
      </c>
      <c r="B2944" s="6" t="s">
        <v>7537</v>
      </c>
      <c r="C2944" s="6">
        <v>1335.0</v>
      </c>
      <c r="D2944" s="9" t="str">
        <f>HYPERLINK("https://www.linkedin.com/ad-library/detail/1391776156","Open Ad")</f>
        <v>Open Ad</v>
      </c>
      <c r="E2944" s="6" t="s">
        <v>154</v>
      </c>
      <c r="F2944" s="6" t="s">
        <v>53</v>
      </c>
      <c r="G2944" s="6" t="s">
        <v>7793</v>
      </c>
      <c r="H2944" s="6" t="s">
        <v>55</v>
      </c>
      <c r="I2944" s="6" t="s">
        <v>7566</v>
      </c>
      <c r="J2944" s="6" t="s">
        <v>154</v>
      </c>
      <c r="K2944" s="9" t="str">
        <f>HYPERLINK("https://dms.licdn.com/playlist/vid/v2/D4E10AQFq3P9mF0z2qw/mp4-640p-30fp-crf28/B4EZ2Wmsb1J4Bk-/0/1776348230865?e=2147483647&amp;v=beta&amp;t=0h98gI9dhX4mpz76sO4Y7nJtI5FsokHK0j3aJzS8-xA","Open Creative")</f>
        <v>Open Creative</v>
      </c>
      <c r="L2944" s="6" t="s">
        <v>131</v>
      </c>
      <c r="M2944" s="6" t="s">
        <v>7537</v>
      </c>
      <c r="N2944" s="6" t="s">
        <v>132</v>
      </c>
      <c r="O2944" s="36" t="s">
        <v>132</v>
      </c>
      <c r="P2944" s="36">
        <v>1.391776156E9</v>
      </c>
      <c r="Q2944" s="36" t="s">
        <v>7541</v>
      </c>
      <c r="R2944" s="6" t="s">
        <v>7542</v>
      </c>
    </row>
    <row r="2945">
      <c r="A2945" s="6" t="s">
        <v>7537</v>
      </c>
      <c r="B2945" s="6" t="s">
        <v>7537</v>
      </c>
      <c r="C2945" s="6">
        <v>1336.0</v>
      </c>
      <c r="D2945" s="9" t="str">
        <f>HYPERLINK("https://www.linkedin.com/ad-library/detail/1393695566","Open Ad")</f>
        <v>Open Ad</v>
      </c>
      <c r="E2945" s="6" t="s">
        <v>91</v>
      </c>
      <c r="F2945" s="6" t="s">
        <v>53</v>
      </c>
      <c r="G2945" s="6" t="s">
        <v>7789</v>
      </c>
      <c r="H2945" s="6" t="s">
        <v>55</v>
      </c>
      <c r="I2945" s="6" t="s">
        <v>7566</v>
      </c>
      <c r="J2945" s="6" t="s">
        <v>91</v>
      </c>
      <c r="K2945" s="9" t="str">
        <f t="shared" ref="K2945:K2946" si="140">HYPERLINK("https://media.licdn.com/dms/image/v2/D4E10AQF3yhpV3-ZqQQ/image-shrink_1280/B4EZ2wb_wAJkAc-/0/1776781622820?e=2147483647&amp;v=beta&amp;t=aRU09d6N-6B8b6ZqMWanBKtEoMHuNAKcB75w9MMhKGM","Open Creative")</f>
        <v>Open Creative</v>
      </c>
      <c r="L2945" s="6" t="s">
        <v>131</v>
      </c>
      <c r="M2945" s="6" t="s">
        <v>7537</v>
      </c>
      <c r="N2945" s="6" t="s">
        <v>132</v>
      </c>
      <c r="O2945" s="36" t="s">
        <v>132</v>
      </c>
      <c r="P2945" s="36">
        <v>1.393695566E9</v>
      </c>
      <c r="Q2945" s="36" t="s">
        <v>7541</v>
      </c>
      <c r="R2945" s="6" t="s">
        <v>7542</v>
      </c>
    </row>
    <row r="2946">
      <c r="A2946" s="6" t="s">
        <v>7537</v>
      </c>
      <c r="B2946" s="6" t="s">
        <v>7537</v>
      </c>
      <c r="C2946" s="6">
        <v>1337.0</v>
      </c>
      <c r="D2946" s="9" t="str">
        <f>HYPERLINK("https://www.linkedin.com/ad-library/detail/1393883416","Open Ad")</f>
        <v>Open Ad</v>
      </c>
      <c r="E2946" s="6" t="s">
        <v>91</v>
      </c>
      <c r="F2946" s="6" t="s">
        <v>53</v>
      </c>
      <c r="G2946" s="6" t="s">
        <v>7789</v>
      </c>
      <c r="H2946" s="6" t="s">
        <v>55</v>
      </c>
      <c r="I2946" s="6" t="s">
        <v>7566</v>
      </c>
      <c r="J2946" s="6" t="s">
        <v>91</v>
      </c>
      <c r="K2946" s="9" t="str">
        <f t="shared" si="140"/>
        <v>Open Creative</v>
      </c>
      <c r="L2946" s="6" t="s">
        <v>131</v>
      </c>
      <c r="M2946" s="6" t="s">
        <v>7537</v>
      </c>
      <c r="N2946" s="6" t="s">
        <v>132</v>
      </c>
      <c r="O2946" s="36" t="s">
        <v>132</v>
      </c>
      <c r="P2946" s="36">
        <v>1.393883416E9</v>
      </c>
      <c r="Q2946" s="36" t="s">
        <v>7541</v>
      </c>
      <c r="R2946" s="6" t="s">
        <v>7542</v>
      </c>
    </row>
    <row r="2947">
      <c r="A2947" s="6" t="s">
        <v>7537</v>
      </c>
      <c r="B2947" s="6" t="s">
        <v>7537</v>
      </c>
      <c r="C2947" s="6">
        <v>1338.0</v>
      </c>
      <c r="D2947" s="9" t="str">
        <f>HYPERLINK("https://www.linkedin.com/ad-library/detail/1390665666","Open Ad")</f>
        <v>Open Ad</v>
      </c>
      <c r="E2947" s="6" t="s">
        <v>91</v>
      </c>
      <c r="F2947" s="6" t="s">
        <v>53</v>
      </c>
      <c r="G2947" s="6" t="s">
        <v>7796</v>
      </c>
      <c r="H2947" s="6" t="s">
        <v>55</v>
      </c>
      <c r="I2947" s="6" t="s">
        <v>7566</v>
      </c>
      <c r="J2947" s="6" t="s">
        <v>91</v>
      </c>
      <c r="K2947" s="9" t="str">
        <f t="shared" ref="K2947:K2948" si="141">HYPERLINK("https://media.licdn.com/dms/image/v2/D5622AQEFv6WlRxyLlQ/feedshare-shrink_1280/B56Z2SNOuQKoAM-/0/1776274435180?e=2147483647&amp;v=beta&amp;t=_ZMqNRCPm-QhmyBvxAEsBc6Kv8FYud5e2Yclcldd5VM","Open Creative")</f>
        <v>Open Creative</v>
      </c>
      <c r="L2947" s="6" t="s">
        <v>131</v>
      </c>
      <c r="M2947" s="6" t="s">
        <v>7537</v>
      </c>
      <c r="N2947" s="6" t="s">
        <v>132</v>
      </c>
      <c r="O2947" s="36" t="s">
        <v>132</v>
      </c>
      <c r="P2947" s="36">
        <v>1.390665666E9</v>
      </c>
      <c r="Q2947" s="36" t="s">
        <v>7541</v>
      </c>
      <c r="R2947" s="6" t="s">
        <v>7542</v>
      </c>
    </row>
    <row r="2948">
      <c r="A2948" s="6" t="s">
        <v>7537</v>
      </c>
      <c r="B2948" s="6" t="s">
        <v>7537</v>
      </c>
      <c r="C2948" s="6">
        <v>1339.0</v>
      </c>
      <c r="D2948" s="9" t="str">
        <f>HYPERLINK("https://www.linkedin.com/ad-library/detail/1390646236","Open Ad")</f>
        <v>Open Ad</v>
      </c>
      <c r="E2948" s="6" t="s">
        <v>91</v>
      </c>
      <c r="F2948" s="6" t="s">
        <v>53</v>
      </c>
      <c r="G2948" s="6" t="s">
        <v>7796</v>
      </c>
      <c r="H2948" s="6" t="s">
        <v>55</v>
      </c>
      <c r="I2948" s="6" t="s">
        <v>7566</v>
      </c>
      <c r="J2948" s="6" t="s">
        <v>91</v>
      </c>
      <c r="K2948" s="9" t="str">
        <f t="shared" si="141"/>
        <v>Open Creative</v>
      </c>
      <c r="L2948" s="6" t="s">
        <v>131</v>
      </c>
      <c r="M2948" s="6" t="s">
        <v>7537</v>
      </c>
      <c r="N2948" s="6" t="s">
        <v>132</v>
      </c>
      <c r="O2948" s="36" t="s">
        <v>132</v>
      </c>
      <c r="P2948" s="36">
        <v>1.390646236E9</v>
      </c>
      <c r="Q2948" s="36" t="s">
        <v>7541</v>
      </c>
      <c r="R2948" s="6" t="s">
        <v>7542</v>
      </c>
    </row>
    <row r="2949">
      <c r="A2949" s="6" t="s">
        <v>7537</v>
      </c>
      <c r="B2949" s="6" t="s">
        <v>7537</v>
      </c>
      <c r="C2949" s="6">
        <v>1340.0</v>
      </c>
      <c r="D2949" s="9" t="str">
        <f>HYPERLINK("https://www.linkedin.com/ad-library/detail/1393824466","Open Ad")</f>
        <v>Open Ad</v>
      </c>
      <c r="E2949" s="6" t="s">
        <v>91</v>
      </c>
      <c r="F2949" s="6" t="s">
        <v>53</v>
      </c>
      <c r="G2949" s="6" t="s">
        <v>7789</v>
      </c>
      <c r="H2949" s="6" t="s">
        <v>55</v>
      </c>
      <c r="I2949" s="6" t="s">
        <v>7566</v>
      </c>
      <c r="J2949" s="6" t="s">
        <v>91</v>
      </c>
      <c r="K2949" s="9" t="str">
        <f>HYPERLINK("https://media.licdn.com/dms/image/v2/D4E10AQF3yhpV3-ZqQQ/image-shrink_1280/B4EZ2wb_wAJkAc-/0/1776781622820?e=2147483647&amp;v=beta&amp;t=aRU09d6N-6B8b6ZqMWanBKtEoMHuNAKcB75w9MMhKGM","Open Creative")</f>
        <v>Open Creative</v>
      </c>
      <c r="L2949" s="6" t="s">
        <v>131</v>
      </c>
      <c r="M2949" s="6" t="s">
        <v>7537</v>
      </c>
      <c r="N2949" s="6" t="s">
        <v>132</v>
      </c>
      <c r="O2949" s="36" t="s">
        <v>132</v>
      </c>
      <c r="P2949" s="36">
        <v>1.393824466E9</v>
      </c>
      <c r="Q2949" s="36" t="s">
        <v>7541</v>
      </c>
      <c r="R2949" s="6" t="s">
        <v>7542</v>
      </c>
    </row>
    <row r="2950">
      <c r="A2950" s="6" t="s">
        <v>7537</v>
      </c>
      <c r="B2950" s="6" t="s">
        <v>7537</v>
      </c>
      <c r="C2950" s="6">
        <v>1341.0</v>
      </c>
      <c r="D2950" s="9" t="str">
        <f>HYPERLINK("https://www.linkedin.com/ad-library/detail/1393824456","Open Ad")</f>
        <v>Open Ad</v>
      </c>
      <c r="E2950" s="6" t="s">
        <v>91</v>
      </c>
      <c r="F2950" s="6" t="s">
        <v>53</v>
      </c>
      <c r="G2950" s="6" t="s">
        <v>7794</v>
      </c>
      <c r="H2950" s="6" t="s">
        <v>55</v>
      </c>
      <c r="I2950" s="6" t="s">
        <v>7566</v>
      </c>
      <c r="J2950" s="6" t="s">
        <v>91</v>
      </c>
      <c r="K2950" s="9" t="str">
        <f t="shared" ref="K2950:K2951" si="142">HYPERLINK("https://media.licdn.com/dms/image/v2/D4E22AQGB-oNAFIABTg/feedshare-shrink_1280/B4EZ2wojXCJoAU-/0/1776784914633?e=2147483647&amp;v=beta&amp;t=cSxtOSHWF1Zgp6LLVfHOYKmb0hYvnE0BHCL_A9noPlQ","Open Creative")</f>
        <v>Open Creative</v>
      </c>
      <c r="L2950" s="6" t="s">
        <v>131</v>
      </c>
      <c r="M2950" s="6" t="s">
        <v>7537</v>
      </c>
      <c r="N2950" s="6" t="s">
        <v>132</v>
      </c>
      <c r="O2950" s="36" t="s">
        <v>132</v>
      </c>
      <c r="P2950" s="36">
        <v>1.393824456E9</v>
      </c>
      <c r="Q2950" s="36" t="s">
        <v>7541</v>
      </c>
      <c r="R2950" s="6" t="s">
        <v>7542</v>
      </c>
    </row>
    <row r="2951">
      <c r="A2951" s="6" t="s">
        <v>7537</v>
      </c>
      <c r="B2951" s="6" t="s">
        <v>7537</v>
      </c>
      <c r="C2951" s="6">
        <v>1342.0</v>
      </c>
      <c r="D2951" s="9" t="str">
        <f>HYPERLINK("https://www.linkedin.com/ad-library/detail/1393881426","Open Ad")</f>
        <v>Open Ad</v>
      </c>
      <c r="E2951" s="6" t="s">
        <v>91</v>
      </c>
      <c r="F2951" s="6" t="s">
        <v>53</v>
      </c>
      <c r="G2951" s="6" t="s">
        <v>7794</v>
      </c>
      <c r="H2951" s="6" t="s">
        <v>55</v>
      </c>
      <c r="I2951" s="6" t="s">
        <v>7566</v>
      </c>
      <c r="J2951" s="6" t="s">
        <v>91</v>
      </c>
      <c r="K2951" s="9" t="str">
        <f t="shared" si="142"/>
        <v>Open Creative</v>
      </c>
      <c r="L2951" s="6" t="s">
        <v>131</v>
      </c>
      <c r="M2951" s="6" t="s">
        <v>7537</v>
      </c>
      <c r="N2951" s="6" t="s">
        <v>132</v>
      </c>
      <c r="O2951" s="36" t="s">
        <v>132</v>
      </c>
      <c r="P2951" s="36">
        <v>1.393881426E9</v>
      </c>
      <c r="Q2951" s="36" t="s">
        <v>7541</v>
      </c>
      <c r="R2951" s="6" t="s">
        <v>7542</v>
      </c>
    </row>
    <row r="2952">
      <c r="A2952" s="6" t="s">
        <v>7537</v>
      </c>
      <c r="B2952" s="6" t="s">
        <v>7537</v>
      </c>
      <c r="C2952" s="6">
        <v>1343.0</v>
      </c>
      <c r="D2952" s="9" t="str">
        <f>HYPERLINK("https://www.linkedin.com/ad-library/detail/1393080216","Open Ad")</f>
        <v>Open Ad</v>
      </c>
      <c r="E2952" s="6" t="s">
        <v>91</v>
      </c>
      <c r="F2952" s="6" t="s">
        <v>53</v>
      </c>
      <c r="G2952" s="6" t="s">
        <v>7673</v>
      </c>
      <c r="H2952" s="6" t="s">
        <v>55</v>
      </c>
      <c r="I2952" s="6" t="s">
        <v>7566</v>
      </c>
      <c r="J2952" s="6" t="s">
        <v>91</v>
      </c>
      <c r="K2952" s="6" t="s">
        <v>60</v>
      </c>
      <c r="L2952" s="6" t="s">
        <v>131</v>
      </c>
      <c r="M2952" s="6" t="s">
        <v>7537</v>
      </c>
      <c r="N2952" s="6" t="s">
        <v>132</v>
      </c>
      <c r="O2952" s="36" t="s">
        <v>132</v>
      </c>
      <c r="P2952" s="36">
        <v>1.393080216E9</v>
      </c>
      <c r="Q2952" s="36" t="s">
        <v>7541</v>
      </c>
      <c r="R2952" s="6" t="s">
        <v>7542</v>
      </c>
    </row>
    <row r="2953">
      <c r="A2953" s="6" t="s">
        <v>7537</v>
      </c>
      <c r="B2953" s="6" t="s">
        <v>7537</v>
      </c>
      <c r="C2953" s="6">
        <v>1344.0</v>
      </c>
      <c r="D2953" s="9" t="str">
        <f>HYPERLINK("https://www.linkedin.com/ad-library/detail/1390901246","Open Ad")</f>
        <v>Open Ad</v>
      </c>
      <c r="E2953" s="6" t="s">
        <v>154</v>
      </c>
      <c r="F2953" s="6" t="s">
        <v>53</v>
      </c>
      <c r="G2953" s="6" t="s">
        <v>7795</v>
      </c>
      <c r="H2953" s="6" t="s">
        <v>55</v>
      </c>
      <c r="I2953" s="6" t="s">
        <v>7566</v>
      </c>
      <c r="J2953" s="6" t="s">
        <v>154</v>
      </c>
      <c r="K2953" s="9" t="str">
        <f>HYPERLINK("https://dms.licdn.com/playlist/vid/v2/D4E05AQG7DCo9hQGa4g/mp4-640p-30fp-crf28/B4EZ2Svo2KI0Bs-/0/1776283469130?e=2147483647&amp;v=beta&amp;t=Ufw_Um2AI1hLn93zKBI7gcd7GeX3lcS0eirwUgTjuyQ","Open Creative")</f>
        <v>Open Creative</v>
      </c>
      <c r="L2953" s="6" t="s">
        <v>131</v>
      </c>
      <c r="M2953" s="6" t="s">
        <v>7537</v>
      </c>
      <c r="N2953" s="6" t="s">
        <v>132</v>
      </c>
      <c r="O2953" s="36" t="s">
        <v>132</v>
      </c>
      <c r="P2953" s="36">
        <v>1.390901246E9</v>
      </c>
      <c r="Q2953" s="36" t="s">
        <v>7541</v>
      </c>
      <c r="R2953" s="6" t="s">
        <v>7542</v>
      </c>
    </row>
    <row r="2954">
      <c r="A2954" s="6" t="s">
        <v>7537</v>
      </c>
      <c r="B2954" s="6" t="s">
        <v>7537</v>
      </c>
      <c r="C2954" s="6">
        <v>1345.0</v>
      </c>
      <c r="D2954" s="9" t="str">
        <f>HYPERLINK("https://www.linkedin.com/ad-library/detail/1390105336","Open Ad")</f>
        <v>Open Ad</v>
      </c>
      <c r="E2954" s="6" t="s">
        <v>154</v>
      </c>
      <c r="F2954" s="6" t="s">
        <v>53</v>
      </c>
      <c r="G2954" s="6" t="s">
        <v>7797</v>
      </c>
      <c r="H2954" s="6" t="s">
        <v>55</v>
      </c>
      <c r="I2954" s="6" t="s">
        <v>7566</v>
      </c>
      <c r="J2954" s="6" t="s">
        <v>154</v>
      </c>
      <c r="K2954" s="9" t="str">
        <f>HYPERLINK("https://dms.licdn.com/playlist/vid/v2/D4E10AQEQAs4Pr8sSuQ/mp4-640p-30fp-crf28/B4EZ14_0ZMJEBo-/0/1775851501505?e=2147483647&amp;v=beta&amp;t=x4pTQ1IPJo-aNV1VYb1xJKqFUPzGcFgJuRNq1fLjdxc","Open Creative")</f>
        <v>Open Creative</v>
      </c>
      <c r="L2954" s="6" t="s">
        <v>131</v>
      </c>
      <c r="M2954" s="6" t="s">
        <v>7537</v>
      </c>
      <c r="N2954" s="6" t="s">
        <v>132</v>
      </c>
      <c r="O2954" s="36" t="s">
        <v>132</v>
      </c>
      <c r="P2954" s="36">
        <v>1.390105336E9</v>
      </c>
      <c r="Q2954" s="36" t="s">
        <v>7541</v>
      </c>
      <c r="R2954" s="6" t="s">
        <v>7542</v>
      </c>
    </row>
    <row r="2955">
      <c r="A2955" s="6" t="s">
        <v>7537</v>
      </c>
      <c r="B2955" s="6" t="s">
        <v>7537</v>
      </c>
      <c r="C2955" s="6">
        <v>1346.0</v>
      </c>
      <c r="D2955" s="9" t="str">
        <f>HYPERLINK("https://www.linkedin.com/ad-library/detail/1390095216","Open Ad")</f>
        <v>Open Ad</v>
      </c>
      <c r="E2955" s="6" t="s">
        <v>91</v>
      </c>
      <c r="F2955" s="6" t="s">
        <v>53</v>
      </c>
      <c r="G2955" s="6" t="s">
        <v>7798</v>
      </c>
      <c r="H2955" s="6" t="s">
        <v>55</v>
      </c>
      <c r="I2955" s="6" t="s">
        <v>7566</v>
      </c>
      <c r="J2955" s="6" t="s">
        <v>91</v>
      </c>
      <c r="K2955" s="9" t="str">
        <f>HYPERLINK("https://media.licdn.com/dms/image/v2/D4E10AQHY7P_NmZX3dw/image-shrink_1280/B4EZ2MV5L8JMAc-/0/1776176043876?e=2147483647&amp;v=beta&amp;t=CbEkzOw5pd1MG9-TKX-hEPQfJyyW5RN8oosemCfaSOg","Open Creative")</f>
        <v>Open Creative</v>
      </c>
      <c r="L2955" s="6" t="s">
        <v>131</v>
      </c>
      <c r="M2955" s="6" t="s">
        <v>7537</v>
      </c>
      <c r="N2955" s="6" t="s">
        <v>132</v>
      </c>
      <c r="O2955" s="36" t="s">
        <v>132</v>
      </c>
      <c r="P2955" s="36">
        <v>1.390095216E9</v>
      </c>
      <c r="Q2955" s="36" t="s">
        <v>7541</v>
      </c>
      <c r="R2955" s="6" t="s">
        <v>7542</v>
      </c>
    </row>
    <row r="2956">
      <c r="A2956" s="6" t="s">
        <v>7537</v>
      </c>
      <c r="B2956" s="6" t="s">
        <v>7537</v>
      </c>
      <c r="C2956" s="6">
        <v>1347.0</v>
      </c>
      <c r="D2956" s="9" t="str">
        <f>HYPERLINK("https://www.linkedin.com/ad-library/detail/1217202633","Open Ad")</f>
        <v>Open Ad</v>
      </c>
      <c r="E2956" s="6" t="s">
        <v>91</v>
      </c>
      <c r="F2956" s="6" t="s">
        <v>53</v>
      </c>
      <c r="G2956" s="6" t="s">
        <v>7799</v>
      </c>
      <c r="H2956" s="6" t="s">
        <v>55</v>
      </c>
      <c r="I2956" s="6" t="s">
        <v>7566</v>
      </c>
      <c r="J2956" s="6" t="s">
        <v>91</v>
      </c>
      <c r="K2956" s="9" t="str">
        <f>HYPERLINK("https://media.licdn.com/dms/image/v2/D4D10AQEBiqrJr8lDZw/image-shrink_1280/B4DZ2PvCtxKIAc-/0/1776232967318/PF-TaxAd1-14426png?e=2147483647&amp;v=beta&amp;t=VcsCJvuAZXKw4nYoFN6lptkvt_wkBPww-mqQ2Q2TPaw","Open Creative")</f>
        <v>Open Creative</v>
      </c>
      <c r="L2956" s="6" t="s">
        <v>131</v>
      </c>
      <c r="M2956" s="6" t="s">
        <v>7537</v>
      </c>
      <c r="N2956" s="6" t="s">
        <v>132</v>
      </c>
      <c r="O2956" s="36" t="s">
        <v>132</v>
      </c>
      <c r="P2956" s="36">
        <v>1.217202633E9</v>
      </c>
      <c r="Q2956" s="36" t="s">
        <v>7541</v>
      </c>
      <c r="R2956" s="6" t="s">
        <v>7542</v>
      </c>
    </row>
    <row r="2957">
      <c r="A2957" s="6" t="s">
        <v>7537</v>
      </c>
      <c r="B2957" s="6" t="s">
        <v>7537</v>
      </c>
      <c r="C2957" s="6">
        <v>1348.0</v>
      </c>
      <c r="D2957" s="9" t="str">
        <f>HYPERLINK("https://www.linkedin.com/ad-library/detail/1390095246","Open Ad")</f>
        <v>Open Ad</v>
      </c>
      <c r="E2957" s="6" t="s">
        <v>154</v>
      </c>
      <c r="F2957" s="6" t="s">
        <v>53</v>
      </c>
      <c r="G2957" s="6" t="s">
        <v>7797</v>
      </c>
      <c r="H2957" s="6" t="s">
        <v>55</v>
      </c>
      <c r="I2957" s="6" t="s">
        <v>7566</v>
      </c>
      <c r="J2957" s="6" t="s">
        <v>154</v>
      </c>
      <c r="K2957" s="9" t="str">
        <f>HYPERLINK("https://dms.licdn.com/playlist/vid/v2/D4E10AQEQAs4Pr8sSuQ/mp4-640p-30fp-crf28/B4EZ14_0ZMJEBo-/0/1775851501505?e=2147483647&amp;v=beta&amp;t=x4pTQ1IPJo-aNV1VYb1xJKqFUPzGcFgJuRNq1fLjdxc","Open Creative")</f>
        <v>Open Creative</v>
      </c>
      <c r="L2957" s="6" t="s">
        <v>131</v>
      </c>
      <c r="M2957" s="6" t="s">
        <v>7537</v>
      </c>
      <c r="N2957" s="6" t="s">
        <v>132</v>
      </c>
      <c r="O2957" s="36" t="s">
        <v>132</v>
      </c>
      <c r="P2957" s="36">
        <v>1.390095246E9</v>
      </c>
      <c r="Q2957" s="36" t="s">
        <v>7541</v>
      </c>
      <c r="R2957" s="6" t="s">
        <v>7542</v>
      </c>
    </row>
    <row r="2958">
      <c r="A2958" s="6" t="s">
        <v>7537</v>
      </c>
      <c r="B2958" s="6" t="s">
        <v>7537</v>
      </c>
      <c r="C2958" s="6">
        <v>1349.0</v>
      </c>
      <c r="D2958" s="9" t="str">
        <f>HYPERLINK("https://www.linkedin.com/ad-library/detail/1390105316","Open Ad")</f>
        <v>Open Ad</v>
      </c>
      <c r="E2958" s="6" t="s">
        <v>154</v>
      </c>
      <c r="F2958" s="6" t="s">
        <v>53</v>
      </c>
      <c r="G2958" s="6" t="s">
        <v>7800</v>
      </c>
      <c r="H2958" s="6" t="s">
        <v>55</v>
      </c>
      <c r="I2958" s="6" t="s">
        <v>7566</v>
      </c>
      <c r="J2958" s="6" t="s">
        <v>154</v>
      </c>
      <c r="K2958" s="9" t="str">
        <f>HYPERLINK("https://dms.licdn.com/playlist/vid/v2/D4E10AQE2kMZ23AVteg/mp4-640p-30fp-crf28/B4EZ2HMdlpKEBw-/0/1776089701595?e=2147483647&amp;v=beta&amp;t=bLl0zgUXWRYnWsVIsO05hIFFlse1U03tKYjV6-P8FFA","Open Creative")</f>
        <v>Open Creative</v>
      </c>
      <c r="L2958" s="6" t="s">
        <v>131</v>
      </c>
      <c r="M2958" s="6" t="s">
        <v>7537</v>
      </c>
      <c r="N2958" s="6" t="s">
        <v>132</v>
      </c>
      <c r="O2958" s="36" t="s">
        <v>132</v>
      </c>
      <c r="P2958" s="36">
        <v>1.390105316E9</v>
      </c>
      <c r="Q2958" s="36" t="s">
        <v>7541</v>
      </c>
      <c r="R2958" s="6" t="s">
        <v>7542</v>
      </c>
    </row>
    <row r="2959">
      <c r="A2959" s="6" t="s">
        <v>7537</v>
      </c>
      <c r="B2959" s="6" t="s">
        <v>7537</v>
      </c>
      <c r="C2959" s="6">
        <v>1350.0</v>
      </c>
      <c r="D2959" s="9" t="str">
        <f>HYPERLINK("https://www.linkedin.com/ad-library/detail/1390254076","Open Ad")</f>
        <v>Open Ad</v>
      </c>
      <c r="E2959" s="6" t="s">
        <v>154</v>
      </c>
      <c r="F2959" s="6" t="s">
        <v>53</v>
      </c>
      <c r="G2959" s="6" t="s">
        <v>7797</v>
      </c>
      <c r="H2959" s="6" t="s">
        <v>55</v>
      </c>
      <c r="I2959" s="6" t="s">
        <v>7566</v>
      </c>
      <c r="J2959" s="6" t="s">
        <v>154</v>
      </c>
      <c r="K2959" s="9" t="str">
        <f>HYPERLINK("https://dms.licdn.com/playlist/vid/v2/D4E10AQEQAs4Pr8sSuQ/mp4-640p-30fp-crf28/B4EZ14_0ZMJEBo-/0/1775851501505?e=2147483647&amp;v=beta&amp;t=x4pTQ1IPJo-aNV1VYb1xJKqFUPzGcFgJuRNq1fLjdxc","Open Creative")</f>
        <v>Open Creative</v>
      </c>
      <c r="L2959" s="6" t="s">
        <v>131</v>
      </c>
      <c r="M2959" s="6" t="s">
        <v>7537</v>
      </c>
      <c r="N2959" s="6" t="s">
        <v>132</v>
      </c>
      <c r="O2959" s="36" t="s">
        <v>132</v>
      </c>
      <c r="P2959" s="36">
        <v>1.390254076E9</v>
      </c>
      <c r="Q2959" s="36" t="s">
        <v>7541</v>
      </c>
      <c r="R2959" s="6" t="s">
        <v>7542</v>
      </c>
    </row>
    <row r="2960">
      <c r="A2960" s="6" t="s">
        <v>7537</v>
      </c>
      <c r="B2960" s="6" t="s">
        <v>7537</v>
      </c>
      <c r="C2960" s="6">
        <v>1351.0</v>
      </c>
      <c r="D2960" s="9" t="str">
        <f>HYPERLINK("https://www.linkedin.com/ad-library/detail/1390095206","Open Ad")</f>
        <v>Open Ad</v>
      </c>
      <c r="E2960" s="6" t="s">
        <v>91</v>
      </c>
      <c r="F2960" s="6" t="s">
        <v>53</v>
      </c>
      <c r="G2960" s="6" t="s">
        <v>7741</v>
      </c>
      <c r="H2960" s="6" t="s">
        <v>55</v>
      </c>
      <c r="I2960" s="6" t="s">
        <v>7566</v>
      </c>
      <c r="J2960" s="6" t="s">
        <v>91</v>
      </c>
      <c r="K2960" s="9" t="str">
        <f>HYPERLINK("https://media.licdn.com/dms/image/v2/D5622AQEEgLlTMdzorw/feedshare-image-high-res/B56Z2My4h9KwAU-/0/1776183644784?e=2147483647&amp;v=beta&amp;t=UnX_74qXI_CDX3CCDjND1x0Ikckb3vCRMxgfEkG-fvM","Open Creative")</f>
        <v>Open Creative</v>
      </c>
      <c r="L2960" s="6" t="s">
        <v>131</v>
      </c>
      <c r="M2960" s="6" t="s">
        <v>7537</v>
      </c>
      <c r="N2960" s="6" t="s">
        <v>132</v>
      </c>
      <c r="O2960" s="36" t="s">
        <v>132</v>
      </c>
      <c r="P2960" s="36">
        <v>1.390095206E9</v>
      </c>
      <c r="Q2960" s="36" t="s">
        <v>7541</v>
      </c>
      <c r="R2960" s="6" t="s">
        <v>7542</v>
      </c>
    </row>
    <row r="2961">
      <c r="A2961" s="6" t="s">
        <v>7537</v>
      </c>
      <c r="B2961" s="6" t="s">
        <v>7537</v>
      </c>
      <c r="C2961" s="6">
        <v>1352.0</v>
      </c>
      <c r="D2961" s="9" t="str">
        <f>HYPERLINK("https://www.linkedin.com/ad-library/detail/1390655506","Open Ad")</f>
        <v>Open Ad</v>
      </c>
      <c r="E2961" s="6" t="s">
        <v>91</v>
      </c>
      <c r="F2961" s="6" t="s">
        <v>53</v>
      </c>
      <c r="G2961" s="6" t="s">
        <v>7796</v>
      </c>
      <c r="H2961" s="6" t="s">
        <v>55</v>
      </c>
      <c r="I2961" s="6" t="s">
        <v>7566</v>
      </c>
      <c r="J2961" s="6" t="s">
        <v>91</v>
      </c>
      <c r="K2961" s="9" t="str">
        <f>HYPERLINK("https://media.licdn.com/dms/image/v2/D5622AQEFv6WlRxyLlQ/feedshare-shrink_1280/B56Z2SNOuQKoAM-/0/1776274435180?e=2147483647&amp;v=beta&amp;t=_ZMqNRCPm-QhmyBvxAEsBc6Kv8FYud5e2Yclcldd5VM","Open Creative")</f>
        <v>Open Creative</v>
      </c>
      <c r="L2961" s="6" t="s">
        <v>131</v>
      </c>
      <c r="M2961" s="6" t="s">
        <v>7537</v>
      </c>
      <c r="N2961" s="6" t="s">
        <v>132</v>
      </c>
      <c r="O2961" s="36" t="s">
        <v>132</v>
      </c>
      <c r="P2961" s="36">
        <v>1.390655506E9</v>
      </c>
      <c r="Q2961" s="36" t="s">
        <v>7541</v>
      </c>
      <c r="R2961" s="6" t="s">
        <v>7542</v>
      </c>
    </row>
    <row r="2962">
      <c r="A2962" s="6" t="s">
        <v>7537</v>
      </c>
      <c r="B2962" s="6" t="s">
        <v>7537</v>
      </c>
      <c r="C2962" s="6">
        <v>1353.0</v>
      </c>
      <c r="D2962" s="9" t="str">
        <f>HYPERLINK("https://www.linkedin.com/ad-library/detail/1390224296","Open Ad")</f>
        <v>Open Ad</v>
      </c>
      <c r="E2962" s="6" t="s">
        <v>91</v>
      </c>
      <c r="F2962" s="6" t="s">
        <v>53</v>
      </c>
      <c r="G2962" s="6" t="s">
        <v>7741</v>
      </c>
      <c r="H2962" s="6" t="s">
        <v>55</v>
      </c>
      <c r="I2962" s="6" t="s">
        <v>7566</v>
      </c>
      <c r="J2962" s="6" t="s">
        <v>91</v>
      </c>
      <c r="K2962" s="9" t="str">
        <f>HYPERLINK("https://media.licdn.com/dms/image/v2/D5622AQEEgLlTMdzorw/feedshare-image-high-res/B56Z2My4h9KwAU-/0/1776183644784?e=2147483647&amp;v=beta&amp;t=UnX_74qXI_CDX3CCDjND1x0Ikckb3vCRMxgfEkG-fvM","Open Creative")</f>
        <v>Open Creative</v>
      </c>
      <c r="L2962" s="6" t="s">
        <v>131</v>
      </c>
      <c r="M2962" s="6" t="s">
        <v>7537</v>
      </c>
      <c r="N2962" s="6" t="s">
        <v>132</v>
      </c>
      <c r="O2962" s="36" t="s">
        <v>132</v>
      </c>
      <c r="P2962" s="36">
        <v>1.390224296E9</v>
      </c>
      <c r="Q2962" s="36" t="s">
        <v>7541</v>
      </c>
      <c r="R2962" s="6" t="s">
        <v>7542</v>
      </c>
    </row>
    <row r="2963">
      <c r="A2963" s="6" t="s">
        <v>7537</v>
      </c>
      <c r="B2963" s="6" t="s">
        <v>7537</v>
      </c>
      <c r="C2963" s="6">
        <v>1354.0</v>
      </c>
      <c r="D2963" s="9" t="str">
        <f>HYPERLINK("https://www.linkedin.com/ad-library/detail/1390115016","Open Ad")</f>
        <v>Open Ad</v>
      </c>
      <c r="E2963" s="6" t="s">
        <v>154</v>
      </c>
      <c r="F2963" s="6" t="s">
        <v>53</v>
      </c>
      <c r="G2963" s="6" t="s">
        <v>7800</v>
      </c>
      <c r="H2963" s="6" t="s">
        <v>55</v>
      </c>
      <c r="I2963" s="6" t="s">
        <v>7566</v>
      </c>
      <c r="J2963" s="6" t="s">
        <v>154</v>
      </c>
      <c r="K2963" s="9" t="str">
        <f>HYPERLINK("https://dms.licdn.com/playlist/vid/v2/D4E10AQE2kMZ23AVteg/mp4-640p-30fp-crf28/B4EZ2HMdlpKEBw-/0/1776089701595?e=2147483647&amp;v=beta&amp;t=bLl0zgUXWRYnWsVIsO05hIFFlse1U03tKYjV6-P8FFA","Open Creative")</f>
        <v>Open Creative</v>
      </c>
      <c r="L2963" s="6" t="s">
        <v>131</v>
      </c>
      <c r="M2963" s="6" t="s">
        <v>7537</v>
      </c>
      <c r="N2963" s="6" t="s">
        <v>132</v>
      </c>
      <c r="O2963" s="36" t="s">
        <v>132</v>
      </c>
      <c r="P2963" s="36">
        <v>1.390115016E9</v>
      </c>
      <c r="Q2963" s="36" t="s">
        <v>7541</v>
      </c>
      <c r="R2963" s="6" t="s">
        <v>7542</v>
      </c>
    </row>
    <row r="2964">
      <c r="A2964" s="6" t="s">
        <v>7537</v>
      </c>
      <c r="B2964" s="6" t="s">
        <v>7537</v>
      </c>
      <c r="C2964" s="6">
        <v>1355.0</v>
      </c>
      <c r="D2964" s="9" t="str">
        <f>HYPERLINK("https://www.linkedin.com/ad-library/detail/1390058176","Open Ad")</f>
        <v>Open Ad</v>
      </c>
      <c r="E2964" s="6" t="s">
        <v>91</v>
      </c>
      <c r="F2964" s="6" t="s">
        <v>53</v>
      </c>
      <c r="G2964" s="6" t="s">
        <v>7741</v>
      </c>
      <c r="H2964" s="6" t="s">
        <v>55</v>
      </c>
      <c r="I2964" s="6" t="s">
        <v>7566</v>
      </c>
      <c r="J2964" s="6" t="s">
        <v>91</v>
      </c>
      <c r="K2964" s="9" t="str">
        <f>HYPERLINK("https://media.licdn.com/dms/image/v2/D5622AQEEgLlTMdzorw/feedshare-image-high-res/B56Z2My4h9KwAU-/0/1776183644784?e=2147483647&amp;v=beta&amp;t=UnX_74qXI_CDX3CCDjND1x0Ikckb3vCRMxgfEkG-fvM","Open Creative")</f>
        <v>Open Creative</v>
      </c>
      <c r="L2964" s="6" t="s">
        <v>131</v>
      </c>
      <c r="M2964" s="6" t="s">
        <v>7537</v>
      </c>
      <c r="N2964" s="6" t="s">
        <v>132</v>
      </c>
      <c r="O2964" s="36" t="s">
        <v>132</v>
      </c>
      <c r="P2964" s="36">
        <v>1.390058176E9</v>
      </c>
      <c r="Q2964" s="36" t="s">
        <v>7541</v>
      </c>
      <c r="R2964" s="6" t="s">
        <v>7542</v>
      </c>
    </row>
    <row r="2965">
      <c r="A2965" s="6" t="s">
        <v>7537</v>
      </c>
      <c r="B2965" s="6" t="s">
        <v>7537</v>
      </c>
      <c r="C2965" s="6">
        <v>1356.0</v>
      </c>
      <c r="D2965" s="9" t="str">
        <f>HYPERLINK("https://www.linkedin.com/ad-library/detail/1390715676","Open Ad")</f>
        <v>Open Ad</v>
      </c>
      <c r="E2965" s="6" t="s">
        <v>91</v>
      </c>
      <c r="F2965" s="6" t="s">
        <v>53</v>
      </c>
      <c r="G2965" s="6" t="s">
        <v>7796</v>
      </c>
      <c r="H2965" s="6" t="s">
        <v>55</v>
      </c>
      <c r="I2965" s="6" t="s">
        <v>7566</v>
      </c>
      <c r="J2965" s="6" t="s">
        <v>91</v>
      </c>
      <c r="K2965" s="9" t="str">
        <f>HYPERLINK("https://media.licdn.com/dms/image/v2/D5622AQEFv6WlRxyLlQ/feedshare-shrink_1280/B56Z2SNOuQKoAM-/0/1776274435180?e=2147483647&amp;v=beta&amp;t=_ZMqNRCPm-QhmyBvxAEsBc6Kv8FYud5e2Yclcldd5VM","Open Creative")</f>
        <v>Open Creative</v>
      </c>
      <c r="L2965" s="6" t="s">
        <v>131</v>
      </c>
      <c r="M2965" s="6" t="s">
        <v>7537</v>
      </c>
      <c r="N2965" s="6" t="s">
        <v>132</v>
      </c>
      <c r="O2965" s="36" t="s">
        <v>132</v>
      </c>
      <c r="P2965" s="36">
        <v>1.390715676E9</v>
      </c>
      <c r="Q2965" s="36" t="s">
        <v>7541</v>
      </c>
      <c r="R2965" s="6" t="s">
        <v>7542</v>
      </c>
    </row>
    <row r="2966">
      <c r="A2966" s="6" t="s">
        <v>7537</v>
      </c>
      <c r="B2966" s="6" t="s">
        <v>7537</v>
      </c>
      <c r="C2966" s="6">
        <v>1357.0</v>
      </c>
      <c r="D2966" s="9" t="str">
        <f>HYPERLINK("https://www.linkedin.com/ad-library/detail/1390084996","Open Ad")</f>
        <v>Open Ad</v>
      </c>
      <c r="E2966" s="6" t="s">
        <v>91</v>
      </c>
      <c r="F2966" s="6" t="s">
        <v>53</v>
      </c>
      <c r="G2966" s="6" t="s">
        <v>7741</v>
      </c>
      <c r="H2966" s="6" t="s">
        <v>55</v>
      </c>
      <c r="I2966" s="6" t="s">
        <v>7566</v>
      </c>
      <c r="J2966" s="6" t="s">
        <v>91</v>
      </c>
      <c r="K2966" s="9" t="str">
        <f>HYPERLINK("https://media.licdn.com/dms/image/v2/D5622AQEEgLlTMdzorw/feedshare-image-high-res/B56Z2My4h9KwAU-/0/1776183644784?e=2147483647&amp;v=beta&amp;t=UnX_74qXI_CDX3CCDjND1x0Ikckb3vCRMxgfEkG-fvM","Open Creative")</f>
        <v>Open Creative</v>
      </c>
      <c r="L2966" s="6" t="s">
        <v>131</v>
      </c>
      <c r="M2966" s="6" t="s">
        <v>7537</v>
      </c>
      <c r="N2966" s="6" t="s">
        <v>132</v>
      </c>
      <c r="O2966" s="36" t="s">
        <v>132</v>
      </c>
      <c r="P2966" s="36">
        <v>1.390084996E9</v>
      </c>
      <c r="Q2966" s="36" t="s">
        <v>7541</v>
      </c>
      <c r="R2966" s="6" t="s">
        <v>7542</v>
      </c>
    </row>
    <row r="2967">
      <c r="A2967" s="6" t="s">
        <v>7537</v>
      </c>
      <c r="B2967" s="6" t="s">
        <v>7537</v>
      </c>
      <c r="C2967" s="6">
        <v>1358.0</v>
      </c>
      <c r="D2967" s="9" t="str">
        <f>HYPERLINK("https://www.linkedin.com/ad-library/detail/1390194456","Open Ad")</f>
        <v>Open Ad</v>
      </c>
      <c r="E2967" s="6" t="s">
        <v>154</v>
      </c>
      <c r="F2967" s="6" t="s">
        <v>53</v>
      </c>
      <c r="G2967" s="6" t="s">
        <v>7638</v>
      </c>
      <c r="H2967" s="6" t="s">
        <v>55</v>
      </c>
      <c r="I2967" s="6" t="s">
        <v>7566</v>
      </c>
      <c r="J2967" s="6" t="s">
        <v>154</v>
      </c>
      <c r="K2967" s="9" t="str">
        <f>HYPERLINK("https://dms.licdn.com/playlist/vid/v2/D4E10AQHnB83vIjfNvw/mp4-720p-30fp-crf28/B4EZ2Mv_NUIwCA-/0/1776182899083?e=2147483647&amp;v=beta&amp;t=nwcHAIB3FZdkl9NAtwlYsm_4VdxfPzV34i_gMRpBVio","Open Creative")</f>
        <v>Open Creative</v>
      </c>
      <c r="L2967" s="6" t="s">
        <v>131</v>
      </c>
      <c r="M2967" s="6" t="s">
        <v>7537</v>
      </c>
      <c r="N2967" s="6" t="s">
        <v>132</v>
      </c>
      <c r="O2967" s="36" t="s">
        <v>132</v>
      </c>
      <c r="P2967" s="36">
        <v>1.390194456E9</v>
      </c>
      <c r="Q2967" s="36" t="s">
        <v>7541</v>
      </c>
      <c r="R2967" s="6" t="s">
        <v>7542</v>
      </c>
    </row>
    <row r="2968">
      <c r="A2968" s="6" t="s">
        <v>7537</v>
      </c>
      <c r="B2968" s="6" t="s">
        <v>7537</v>
      </c>
      <c r="C2968" s="6">
        <v>1359.0</v>
      </c>
      <c r="D2968" s="9" t="str">
        <f>HYPERLINK("https://www.linkedin.com/ad-library/detail/1390085266","Open Ad")</f>
        <v>Open Ad</v>
      </c>
      <c r="E2968" s="6" t="s">
        <v>154</v>
      </c>
      <c r="F2968" s="6" t="s">
        <v>53</v>
      </c>
      <c r="G2968" s="6" t="s">
        <v>7800</v>
      </c>
      <c r="H2968" s="6" t="s">
        <v>55</v>
      </c>
      <c r="I2968" s="6" t="s">
        <v>7566</v>
      </c>
      <c r="J2968" s="6" t="s">
        <v>154</v>
      </c>
      <c r="K2968" s="9" t="str">
        <f>HYPERLINK("https://dms.licdn.com/playlist/vid/v2/D4E10AQE2kMZ23AVteg/mp4-640p-30fp-crf28/B4EZ2HMdlpKEBw-/0/1776089701595?e=2147483647&amp;v=beta&amp;t=bLl0zgUXWRYnWsVIsO05hIFFlse1U03tKYjV6-P8FFA","Open Creative")</f>
        <v>Open Creative</v>
      </c>
      <c r="L2968" s="6" t="s">
        <v>131</v>
      </c>
      <c r="M2968" s="6" t="s">
        <v>7537</v>
      </c>
      <c r="N2968" s="6" t="s">
        <v>132</v>
      </c>
      <c r="O2968" s="36" t="s">
        <v>132</v>
      </c>
      <c r="P2968" s="36">
        <v>1.390085266E9</v>
      </c>
      <c r="Q2968" s="36" t="s">
        <v>7541</v>
      </c>
      <c r="R2968" s="6" t="s">
        <v>7542</v>
      </c>
    </row>
    <row r="2969">
      <c r="A2969" s="6" t="s">
        <v>7537</v>
      </c>
      <c r="B2969" s="6" t="s">
        <v>7537</v>
      </c>
      <c r="C2969" s="6">
        <v>1360.0</v>
      </c>
      <c r="D2969" s="9" t="str">
        <f>HYPERLINK("https://www.linkedin.com/ad-library/detail/1390194696","Open Ad")</f>
        <v>Open Ad</v>
      </c>
      <c r="E2969" s="6" t="s">
        <v>91</v>
      </c>
      <c r="F2969" s="6" t="s">
        <v>53</v>
      </c>
      <c r="G2969" s="6" t="s">
        <v>7798</v>
      </c>
      <c r="H2969" s="6" t="s">
        <v>55</v>
      </c>
      <c r="I2969" s="6" t="s">
        <v>7566</v>
      </c>
      <c r="J2969" s="6" t="s">
        <v>91</v>
      </c>
      <c r="K2969" s="9" t="str">
        <f>HYPERLINK("https://media.licdn.com/dms/image/v2/D4E10AQHY7P_NmZX3dw/image-shrink_1280/B4EZ2MV5L8JMAc-/0/1776176043876?e=2147483647&amp;v=beta&amp;t=CbEkzOw5pd1MG9-TKX-hEPQfJyyW5RN8oosemCfaSOg","Open Creative")</f>
        <v>Open Creative</v>
      </c>
      <c r="L2969" s="6" t="s">
        <v>131</v>
      </c>
      <c r="M2969" s="6" t="s">
        <v>7537</v>
      </c>
      <c r="N2969" s="6" t="s">
        <v>132</v>
      </c>
      <c r="O2969" s="36" t="s">
        <v>132</v>
      </c>
      <c r="P2969" s="36">
        <v>1.390194696E9</v>
      </c>
      <c r="Q2969" s="36" t="s">
        <v>7541</v>
      </c>
      <c r="R2969" s="6" t="s">
        <v>7542</v>
      </c>
    </row>
    <row r="2970">
      <c r="A2970" s="6" t="s">
        <v>7537</v>
      </c>
      <c r="B2970" s="6" t="s">
        <v>7537</v>
      </c>
      <c r="C2970" s="6">
        <v>1361.0</v>
      </c>
      <c r="D2970" s="9" t="str">
        <f>HYPERLINK("https://www.linkedin.com/ad-library/detail/1390234216","Open Ad")</f>
        <v>Open Ad</v>
      </c>
      <c r="E2970" s="6" t="s">
        <v>154</v>
      </c>
      <c r="F2970" s="6" t="s">
        <v>53</v>
      </c>
      <c r="G2970" s="6" t="s">
        <v>7800</v>
      </c>
      <c r="H2970" s="6" t="s">
        <v>55</v>
      </c>
      <c r="I2970" s="6" t="s">
        <v>7566</v>
      </c>
      <c r="J2970" s="6" t="s">
        <v>154</v>
      </c>
      <c r="K2970" s="9" t="str">
        <f>HYPERLINK("https://dms.licdn.com/playlist/vid/v2/D4E10AQE2kMZ23AVteg/mp4-640p-30fp-crf28/B4EZ2HMdlpKEBw-/0/1776089701595?e=2147483647&amp;v=beta&amp;t=bLl0zgUXWRYnWsVIsO05hIFFlse1U03tKYjV6-P8FFA","Open Creative")</f>
        <v>Open Creative</v>
      </c>
      <c r="L2970" s="6" t="s">
        <v>131</v>
      </c>
      <c r="M2970" s="6" t="s">
        <v>7537</v>
      </c>
      <c r="N2970" s="6" t="s">
        <v>132</v>
      </c>
      <c r="O2970" s="36" t="s">
        <v>132</v>
      </c>
      <c r="P2970" s="36">
        <v>1.390234216E9</v>
      </c>
      <c r="Q2970" s="36" t="s">
        <v>7541</v>
      </c>
      <c r="R2970" s="6" t="s">
        <v>7542</v>
      </c>
    </row>
    <row r="2971">
      <c r="A2971" s="6" t="s">
        <v>7537</v>
      </c>
      <c r="B2971" s="6" t="s">
        <v>7537</v>
      </c>
      <c r="C2971" s="6">
        <v>1362.0</v>
      </c>
      <c r="D2971" s="9" t="str">
        <f>HYPERLINK("https://www.linkedin.com/ad-library/detail/1390164916","Open Ad")</f>
        <v>Open Ad</v>
      </c>
      <c r="E2971" s="6" t="s">
        <v>91</v>
      </c>
      <c r="F2971" s="6" t="s">
        <v>53</v>
      </c>
      <c r="G2971" s="6" t="s">
        <v>7798</v>
      </c>
      <c r="H2971" s="6" t="s">
        <v>55</v>
      </c>
      <c r="I2971" s="6" t="s">
        <v>7566</v>
      </c>
      <c r="J2971" s="6" t="s">
        <v>91</v>
      </c>
      <c r="K2971" s="9" t="str">
        <f>HYPERLINK("https://media.licdn.com/dms/image/v2/D4E10AQHY7P_NmZX3dw/image-shrink_1280/B4EZ2MV5L8JMAc-/0/1776176043876?e=2147483647&amp;v=beta&amp;t=CbEkzOw5pd1MG9-TKX-hEPQfJyyW5RN8oosemCfaSOg","Open Creative")</f>
        <v>Open Creative</v>
      </c>
      <c r="L2971" s="6" t="s">
        <v>131</v>
      </c>
      <c r="M2971" s="6" t="s">
        <v>7537</v>
      </c>
      <c r="N2971" s="6" t="s">
        <v>132</v>
      </c>
      <c r="O2971" s="36" t="s">
        <v>132</v>
      </c>
      <c r="P2971" s="36">
        <v>1.390164916E9</v>
      </c>
      <c r="Q2971" s="36" t="s">
        <v>7541</v>
      </c>
      <c r="R2971" s="6" t="s">
        <v>7542</v>
      </c>
    </row>
    <row r="2972">
      <c r="A2972" s="6" t="s">
        <v>7537</v>
      </c>
      <c r="B2972" s="6" t="s">
        <v>7537</v>
      </c>
      <c r="C2972" s="6">
        <v>1363.0</v>
      </c>
      <c r="D2972" s="9" t="str">
        <f>HYPERLINK("https://www.linkedin.com/ad-library/detail/1390685536","Open Ad")</f>
        <v>Open Ad</v>
      </c>
      <c r="E2972" s="6" t="s">
        <v>91</v>
      </c>
      <c r="F2972" s="6" t="s">
        <v>53</v>
      </c>
      <c r="G2972" s="6" t="s">
        <v>7796</v>
      </c>
      <c r="H2972" s="6" t="s">
        <v>55</v>
      </c>
      <c r="I2972" s="6" t="s">
        <v>7566</v>
      </c>
      <c r="J2972" s="6" t="s">
        <v>91</v>
      </c>
      <c r="K2972" s="9" t="str">
        <f>HYPERLINK("https://media.licdn.com/dms/image/v2/D5622AQEFv6WlRxyLlQ/feedshare-shrink_1280/B56Z2SNOuQKoAM-/0/1776274435180?e=2147483647&amp;v=beta&amp;t=_ZMqNRCPm-QhmyBvxAEsBc6Kv8FYud5e2Yclcldd5VM","Open Creative")</f>
        <v>Open Creative</v>
      </c>
      <c r="L2972" s="6" t="s">
        <v>131</v>
      </c>
      <c r="M2972" s="6" t="s">
        <v>7537</v>
      </c>
      <c r="N2972" s="6" t="s">
        <v>132</v>
      </c>
      <c r="O2972" s="36" t="s">
        <v>132</v>
      </c>
      <c r="P2972" s="36">
        <v>1.390685536E9</v>
      </c>
      <c r="Q2972" s="36" t="s">
        <v>7541</v>
      </c>
      <c r="R2972" s="6" t="s">
        <v>7542</v>
      </c>
    </row>
    <row r="2973">
      <c r="A2973" s="6" t="s">
        <v>7537</v>
      </c>
      <c r="B2973" s="6" t="s">
        <v>7537</v>
      </c>
      <c r="C2973" s="6">
        <v>1364.0</v>
      </c>
      <c r="D2973" s="9" t="str">
        <f>HYPERLINK("https://www.linkedin.com/ad-library/detail/1390184626","Open Ad")</f>
        <v>Open Ad</v>
      </c>
      <c r="E2973" s="6" t="s">
        <v>154</v>
      </c>
      <c r="F2973" s="6" t="s">
        <v>53</v>
      </c>
      <c r="G2973" s="6" t="s">
        <v>7797</v>
      </c>
      <c r="H2973" s="6" t="s">
        <v>55</v>
      </c>
      <c r="I2973" s="6" t="s">
        <v>7566</v>
      </c>
      <c r="J2973" s="6" t="s">
        <v>154</v>
      </c>
      <c r="K2973" s="9" t="str">
        <f t="shared" ref="K2973:K2974" si="143">HYPERLINK("https://dms.licdn.com/playlist/vid/v2/D4E10AQEQAs4Pr8sSuQ/mp4-640p-30fp-crf28/B4EZ14_0ZMJEBo-/0/1775851501505?e=2147483647&amp;v=beta&amp;t=x4pTQ1IPJo-aNV1VYb1xJKqFUPzGcFgJuRNq1fLjdxc","Open Creative")</f>
        <v>Open Creative</v>
      </c>
      <c r="L2973" s="6" t="s">
        <v>131</v>
      </c>
      <c r="M2973" s="6" t="s">
        <v>7537</v>
      </c>
      <c r="N2973" s="6" t="s">
        <v>132</v>
      </c>
      <c r="O2973" s="36" t="s">
        <v>132</v>
      </c>
      <c r="P2973" s="36">
        <v>1.390184626E9</v>
      </c>
      <c r="Q2973" s="36" t="s">
        <v>7541</v>
      </c>
      <c r="R2973" s="6" t="s">
        <v>7542</v>
      </c>
    </row>
    <row r="2974">
      <c r="A2974" s="6" t="s">
        <v>7537</v>
      </c>
      <c r="B2974" s="6" t="s">
        <v>7537</v>
      </c>
      <c r="C2974" s="6">
        <v>1365.0</v>
      </c>
      <c r="D2974" s="9" t="str">
        <f>HYPERLINK("https://www.linkedin.com/ad-library/detail/1390144776","Open Ad")</f>
        <v>Open Ad</v>
      </c>
      <c r="E2974" s="6" t="s">
        <v>154</v>
      </c>
      <c r="F2974" s="6" t="s">
        <v>53</v>
      </c>
      <c r="G2974" s="6" t="s">
        <v>7797</v>
      </c>
      <c r="H2974" s="6" t="s">
        <v>55</v>
      </c>
      <c r="I2974" s="6" t="s">
        <v>7566</v>
      </c>
      <c r="J2974" s="6" t="s">
        <v>154</v>
      </c>
      <c r="K2974" s="9" t="str">
        <f t="shared" si="143"/>
        <v>Open Creative</v>
      </c>
      <c r="L2974" s="6" t="s">
        <v>131</v>
      </c>
      <c r="M2974" s="6" t="s">
        <v>7537</v>
      </c>
      <c r="N2974" s="6" t="s">
        <v>132</v>
      </c>
      <c r="O2974" s="36" t="s">
        <v>132</v>
      </c>
      <c r="P2974" s="36">
        <v>1.390144776E9</v>
      </c>
      <c r="Q2974" s="36" t="s">
        <v>7541</v>
      </c>
      <c r="R2974" s="6" t="s">
        <v>7542</v>
      </c>
    </row>
    <row r="2975">
      <c r="A2975" s="6" t="s">
        <v>7537</v>
      </c>
      <c r="B2975" s="6" t="s">
        <v>7537</v>
      </c>
      <c r="C2975" s="6">
        <v>1366.0</v>
      </c>
      <c r="D2975" s="9" t="str">
        <f>HYPERLINK("https://www.linkedin.com/ad-library/detail/1390754586","Open Ad")</f>
        <v>Open Ad</v>
      </c>
      <c r="E2975" s="6" t="s">
        <v>91</v>
      </c>
      <c r="F2975" s="6" t="s">
        <v>53</v>
      </c>
      <c r="G2975" s="6" t="s">
        <v>7796</v>
      </c>
      <c r="H2975" s="6" t="s">
        <v>55</v>
      </c>
      <c r="I2975" s="6" t="s">
        <v>7566</v>
      </c>
      <c r="J2975" s="6" t="s">
        <v>91</v>
      </c>
      <c r="K2975" s="9" t="str">
        <f>HYPERLINK("https://media.licdn.com/dms/image/v2/D5622AQEFv6WlRxyLlQ/feedshare-shrink_1280/B56Z2SNOuQKoAM-/0/1776274435180?e=2147483647&amp;v=beta&amp;t=_ZMqNRCPm-QhmyBvxAEsBc6Kv8FYud5e2Yclcldd5VM","Open Creative")</f>
        <v>Open Creative</v>
      </c>
      <c r="L2975" s="6" t="s">
        <v>131</v>
      </c>
      <c r="M2975" s="6" t="s">
        <v>7537</v>
      </c>
      <c r="N2975" s="6" t="s">
        <v>132</v>
      </c>
      <c r="O2975" s="36" t="s">
        <v>132</v>
      </c>
      <c r="P2975" s="36">
        <v>1.390754586E9</v>
      </c>
      <c r="Q2975" s="36" t="s">
        <v>7541</v>
      </c>
      <c r="R2975" s="6" t="s">
        <v>7542</v>
      </c>
    </row>
    <row r="2976">
      <c r="A2976" s="6" t="s">
        <v>7537</v>
      </c>
      <c r="B2976" s="6" t="s">
        <v>7537</v>
      </c>
      <c r="C2976" s="6">
        <v>1367.0</v>
      </c>
      <c r="D2976" s="9" t="str">
        <f>HYPERLINK("https://www.linkedin.com/ad-library/detail/1390124456","Open Ad")</f>
        <v>Open Ad</v>
      </c>
      <c r="E2976" s="6" t="s">
        <v>91</v>
      </c>
      <c r="F2976" s="6" t="s">
        <v>53</v>
      </c>
      <c r="G2976" s="6" t="s">
        <v>7798</v>
      </c>
      <c r="H2976" s="6" t="s">
        <v>55</v>
      </c>
      <c r="I2976" s="6" t="s">
        <v>7566</v>
      </c>
      <c r="J2976" s="6" t="s">
        <v>91</v>
      </c>
      <c r="K2976" s="9" t="str">
        <f>HYPERLINK("https://media.licdn.com/dms/image/v2/D4E10AQHY7P_NmZX3dw/image-shrink_1280/B4EZ2MV5L8JMAc-/0/1776176043876?e=2147483647&amp;v=beta&amp;t=CbEkzOw5pd1MG9-TKX-hEPQfJyyW5RN8oosemCfaSOg","Open Creative")</f>
        <v>Open Creative</v>
      </c>
      <c r="L2976" s="6" t="s">
        <v>131</v>
      </c>
      <c r="M2976" s="6" t="s">
        <v>7537</v>
      </c>
      <c r="N2976" s="6" t="s">
        <v>132</v>
      </c>
      <c r="O2976" s="36" t="s">
        <v>132</v>
      </c>
      <c r="P2976" s="36">
        <v>1.390124456E9</v>
      </c>
      <c r="Q2976" s="36" t="s">
        <v>7541</v>
      </c>
      <c r="R2976" s="6" t="s">
        <v>7542</v>
      </c>
    </row>
    <row r="2977">
      <c r="A2977" s="6" t="s">
        <v>7537</v>
      </c>
      <c r="B2977" s="6" t="s">
        <v>7537</v>
      </c>
      <c r="C2977" s="6">
        <v>1368.0</v>
      </c>
      <c r="D2977" s="9" t="str">
        <f>HYPERLINK("https://www.linkedin.com/ad-library/detail/1390253786","Open Ad")</f>
        <v>Open Ad</v>
      </c>
      <c r="E2977" s="6" t="s">
        <v>91</v>
      </c>
      <c r="F2977" s="6" t="s">
        <v>53</v>
      </c>
      <c r="G2977" s="6" t="s">
        <v>7741</v>
      </c>
      <c r="H2977" s="6" t="s">
        <v>55</v>
      </c>
      <c r="I2977" s="6" t="s">
        <v>7566</v>
      </c>
      <c r="J2977" s="6" t="s">
        <v>91</v>
      </c>
      <c r="K2977" s="9" t="str">
        <f>HYPERLINK("https://media.licdn.com/dms/image/v2/D5622AQEEgLlTMdzorw/feedshare-image-high-res/B56Z2My4h9KwAU-/0/1776183644784?e=2147483647&amp;v=beta&amp;t=UnX_74qXI_CDX3CCDjND1x0Ikckb3vCRMxgfEkG-fvM","Open Creative")</f>
        <v>Open Creative</v>
      </c>
      <c r="L2977" s="6" t="s">
        <v>131</v>
      </c>
      <c r="M2977" s="6" t="s">
        <v>7537</v>
      </c>
      <c r="N2977" s="6" t="s">
        <v>132</v>
      </c>
      <c r="O2977" s="36" t="s">
        <v>132</v>
      </c>
      <c r="P2977" s="36">
        <v>1.390253786E9</v>
      </c>
      <c r="Q2977" s="36" t="s">
        <v>7541</v>
      </c>
      <c r="R2977" s="6" t="s">
        <v>7542</v>
      </c>
    </row>
    <row r="2978">
      <c r="A2978" s="6" t="s">
        <v>7537</v>
      </c>
      <c r="B2978" s="6" t="s">
        <v>7537</v>
      </c>
      <c r="C2978" s="6">
        <v>1369.0</v>
      </c>
      <c r="D2978" s="9" t="str">
        <f>HYPERLINK("https://www.linkedin.com/ad-library/detail/1389635646","Open Ad")</f>
        <v>Open Ad</v>
      </c>
      <c r="E2978" s="6" t="s">
        <v>91</v>
      </c>
      <c r="F2978" s="6" t="s">
        <v>53</v>
      </c>
      <c r="G2978" s="6" t="s">
        <v>7801</v>
      </c>
      <c r="H2978" s="6" t="s">
        <v>55</v>
      </c>
      <c r="I2978" s="6" t="s">
        <v>7566</v>
      </c>
      <c r="J2978" s="6" t="s">
        <v>91</v>
      </c>
      <c r="K2978" s="9" t="str">
        <f>HYPERLINK("https://media.licdn.com/dms/image/v2/D4E10AQHh8QXsUTwTLQ/image-shrink_1280/B4EZzj8CgOKQAc-/0/1773350693435?e=2147483647&amp;v=beta&amp;t=oOeNo28sJ1rA9BvUwJALGKNmBemHszGNk9sT0ZhnDIw","Open Creative")</f>
        <v>Open Creative</v>
      </c>
      <c r="L2978" s="6" t="s">
        <v>131</v>
      </c>
      <c r="M2978" s="6" t="s">
        <v>7537</v>
      </c>
      <c r="N2978" s="6" t="s">
        <v>132</v>
      </c>
      <c r="O2978" s="36" t="s">
        <v>132</v>
      </c>
      <c r="P2978" s="36">
        <v>1.389635646E9</v>
      </c>
      <c r="Q2978" s="36" t="s">
        <v>7541</v>
      </c>
      <c r="R2978" s="6" t="s">
        <v>7542</v>
      </c>
    </row>
    <row r="2979">
      <c r="A2979" s="6" t="s">
        <v>7537</v>
      </c>
      <c r="B2979" s="6" t="s">
        <v>7537</v>
      </c>
      <c r="C2979" s="6">
        <v>1370.0</v>
      </c>
      <c r="D2979" s="9" t="str">
        <f>HYPERLINK("https://www.linkedin.com/ad-library/detail/1389715576","Open Ad")</f>
        <v>Open Ad</v>
      </c>
      <c r="E2979" s="6" t="s">
        <v>154</v>
      </c>
      <c r="F2979" s="6" t="s">
        <v>53</v>
      </c>
      <c r="G2979" s="6" t="s">
        <v>7802</v>
      </c>
      <c r="H2979" s="6" t="s">
        <v>55</v>
      </c>
      <c r="I2979" s="6" t="s">
        <v>7566</v>
      </c>
      <c r="J2979" s="6" t="s">
        <v>154</v>
      </c>
      <c r="K2979" s="9" t="str">
        <f>HYPERLINK("https://dms.licdn.com/playlist/vid/v2/D4E10AQHFU1k453OYrA/mp4-640p-30fp-crf28/B4EZ1T2oaIGoBk-/0/1775228339149?e=2147483647&amp;v=beta&amp;t=kBnW5fM4ijMUPneQ4OMxjdJ5g1DIFxIn44cnT0Y2FNs","Open Creative")</f>
        <v>Open Creative</v>
      </c>
      <c r="L2979" s="6" t="s">
        <v>131</v>
      </c>
      <c r="M2979" s="6" t="s">
        <v>7537</v>
      </c>
      <c r="N2979" s="6" t="s">
        <v>132</v>
      </c>
      <c r="O2979" s="36" t="s">
        <v>132</v>
      </c>
      <c r="P2979" s="36">
        <v>1.389715576E9</v>
      </c>
      <c r="Q2979" s="36" t="s">
        <v>7541</v>
      </c>
      <c r="R2979" s="6" t="s">
        <v>7542</v>
      </c>
    </row>
    <row r="2980">
      <c r="A2980" s="6" t="s">
        <v>7537</v>
      </c>
      <c r="B2980" s="6" t="s">
        <v>7537</v>
      </c>
      <c r="C2980" s="6">
        <v>1371.0</v>
      </c>
      <c r="D2980" s="9" t="str">
        <f>HYPERLINK("https://www.linkedin.com/ad-library/detail/1389795416","Open Ad")</f>
        <v>Open Ad</v>
      </c>
      <c r="E2980" s="6" t="s">
        <v>154</v>
      </c>
      <c r="F2980" s="6" t="s">
        <v>53</v>
      </c>
      <c r="G2980" s="6" t="s">
        <v>7803</v>
      </c>
      <c r="H2980" s="6" t="s">
        <v>55</v>
      </c>
      <c r="I2980" s="6" t="s">
        <v>7566</v>
      </c>
      <c r="J2980" s="6" t="s">
        <v>154</v>
      </c>
      <c r="K2980" s="9" t="str">
        <f>HYPERLINK("https://dms.licdn.com/playlist/vid/v2/D5605AQGvYPFvEJ845w/mp4-720p-30fp-crf28/B56ZyQoFy0KgCE-/0/1771952959206?e=2147483647&amp;v=beta&amp;t=cEPXbjJcEy4sIJu9RapE6jzqf1jVlAKK-4rBPLfuq3I","Open Creative")</f>
        <v>Open Creative</v>
      </c>
      <c r="L2980" s="6" t="s">
        <v>131</v>
      </c>
      <c r="M2980" s="6" t="s">
        <v>7537</v>
      </c>
      <c r="N2980" s="6" t="s">
        <v>132</v>
      </c>
      <c r="O2980" s="36" t="s">
        <v>132</v>
      </c>
      <c r="P2980" s="36">
        <v>1.389795416E9</v>
      </c>
      <c r="Q2980" s="36" t="s">
        <v>7541</v>
      </c>
      <c r="R2980" s="6" t="s">
        <v>7542</v>
      </c>
    </row>
    <row r="2981">
      <c r="A2981" s="6" t="s">
        <v>7537</v>
      </c>
      <c r="B2981" s="6" t="s">
        <v>7537</v>
      </c>
      <c r="C2981" s="6">
        <v>1372.0</v>
      </c>
      <c r="D2981" s="9" t="str">
        <f>HYPERLINK("https://www.linkedin.com/ad-library/detail/1390094956","Open Ad")</f>
        <v>Open Ad</v>
      </c>
      <c r="E2981" s="6" t="s">
        <v>154</v>
      </c>
      <c r="F2981" s="6" t="s">
        <v>53</v>
      </c>
      <c r="G2981" s="6" t="s">
        <v>7638</v>
      </c>
      <c r="H2981" s="6" t="s">
        <v>55</v>
      </c>
      <c r="I2981" s="6" t="s">
        <v>7566</v>
      </c>
      <c r="J2981" s="6" t="s">
        <v>154</v>
      </c>
      <c r="K2981" s="9" t="str">
        <f>HYPERLINK("https://dms.licdn.com/playlist/vid/v2/D4E10AQHnB83vIjfNvw/mp4-720p-30fp-crf28/B4EZ2Mv_NUIwCA-/0/1776182899083?e=2147483647&amp;v=beta&amp;t=nwcHAIB3FZdkl9NAtwlYsm_4VdxfPzV34i_gMRpBVio","Open Creative")</f>
        <v>Open Creative</v>
      </c>
      <c r="L2981" s="6" t="s">
        <v>131</v>
      </c>
      <c r="M2981" s="6" t="s">
        <v>7537</v>
      </c>
      <c r="N2981" s="6" t="s">
        <v>132</v>
      </c>
      <c r="O2981" s="36" t="s">
        <v>132</v>
      </c>
      <c r="P2981" s="36">
        <v>1.390094956E9</v>
      </c>
      <c r="Q2981" s="36" t="s">
        <v>7541</v>
      </c>
      <c r="R2981" s="6" t="s">
        <v>7542</v>
      </c>
    </row>
    <row r="2982">
      <c r="A2982" s="6" t="s">
        <v>7537</v>
      </c>
      <c r="B2982" s="6" t="s">
        <v>7537</v>
      </c>
      <c r="C2982" s="6">
        <v>1373.0</v>
      </c>
      <c r="D2982" s="9" t="str">
        <f>HYPERLINK("https://www.linkedin.com/ad-library/detail/1389715566","Open Ad")</f>
        <v>Open Ad</v>
      </c>
      <c r="E2982" s="6" t="s">
        <v>154</v>
      </c>
      <c r="F2982" s="6" t="s">
        <v>53</v>
      </c>
      <c r="G2982" s="6" t="s">
        <v>7804</v>
      </c>
      <c r="H2982" s="6" t="s">
        <v>55</v>
      </c>
      <c r="I2982" s="6" t="s">
        <v>7566</v>
      </c>
      <c r="J2982" s="6" t="s">
        <v>154</v>
      </c>
      <c r="K2982" s="9" t="str">
        <f>HYPERLINK("https://dms.licdn.com/playlist/vid/v2/D5610AQGG1v8LxW2J2Q/mp4-360p-30fp-crf28/B56Z0H6F.wHICA-/0/1773954175177?e=2147483647&amp;v=beta&amp;t=s4GCVN-Klk_yVFXAFC0Vw3E19Ib0k1_UJT7G4PFeIYI","Open Creative")</f>
        <v>Open Creative</v>
      </c>
      <c r="L2982" s="6" t="s">
        <v>131</v>
      </c>
      <c r="M2982" s="6" t="s">
        <v>7537</v>
      </c>
      <c r="N2982" s="6" t="s">
        <v>132</v>
      </c>
      <c r="O2982" s="36" t="s">
        <v>132</v>
      </c>
      <c r="P2982" s="36">
        <v>1.389715566E9</v>
      </c>
      <c r="Q2982" s="36" t="s">
        <v>7541</v>
      </c>
      <c r="R2982" s="6" t="s">
        <v>7542</v>
      </c>
    </row>
    <row r="2983">
      <c r="A2983" s="6" t="s">
        <v>7537</v>
      </c>
      <c r="B2983" s="6" t="s">
        <v>7537</v>
      </c>
      <c r="C2983" s="6">
        <v>1374.0</v>
      </c>
      <c r="D2983" s="9" t="str">
        <f>HYPERLINK("https://www.linkedin.com/ad-library/detail/1389808116","Open Ad")</f>
        <v>Open Ad</v>
      </c>
      <c r="E2983" s="6" t="s">
        <v>7543</v>
      </c>
      <c r="F2983" s="6" t="s">
        <v>53</v>
      </c>
      <c r="G2983" s="6" t="s">
        <v>7805</v>
      </c>
      <c r="H2983" s="6" t="s">
        <v>55</v>
      </c>
      <c r="I2983" s="6" t="s">
        <v>7566</v>
      </c>
      <c r="J2983" s="6" t="s">
        <v>7546</v>
      </c>
      <c r="K2983" s="6" t="s">
        <v>60</v>
      </c>
      <c r="L2983" s="6" t="s">
        <v>131</v>
      </c>
      <c r="M2983" s="6" t="s">
        <v>7537</v>
      </c>
      <c r="N2983" s="6" t="s">
        <v>132</v>
      </c>
      <c r="O2983" s="36" t="s">
        <v>132</v>
      </c>
      <c r="P2983" s="36">
        <v>1.389808116E9</v>
      </c>
      <c r="Q2983" s="36" t="s">
        <v>7541</v>
      </c>
      <c r="R2983" s="6" t="s">
        <v>7542</v>
      </c>
    </row>
    <row r="2984">
      <c r="A2984" s="6" t="s">
        <v>7537</v>
      </c>
      <c r="B2984" s="6" t="s">
        <v>7537</v>
      </c>
      <c r="C2984" s="6">
        <v>1375.0</v>
      </c>
      <c r="D2984" s="9" t="str">
        <f>HYPERLINK("https://www.linkedin.com/ad-library/detail/1389746016","Open Ad")</f>
        <v>Open Ad</v>
      </c>
      <c r="E2984" s="6" t="s">
        <v>154</v>
      </c>
      <c r="F2984" s="6" t="s">
        <v>53</v>
      </c>
      <c r="G2984" s="6" t="s">
        <v>7806</v>
      </c>
      <c r="H2984" s="6" t="s">
        <v>55</v>
      </c>
      <c r="I2984" s="6" t="s">
        <v>7566</v>
      </c>
      <c r="J2984" s="6" t="s">
        <v>154</v>
      </c>
      <c r="K2984" s="9" t="str">
        <f>HYPERLINK("https://dms.licdn.com/playlist/vid/v2/D5605AQHDR1EE1SCFgQ/mp4-640p-30fp-crf28/B56Z0LqvhkKYBw-/0/1774017252150?e=2147483647&amp;v=beta&amp;t=-oLCASX73dlWtk9XBKDc3ik62wW-_HedEFTy3cH5scI","Open Creative")</f>
        <v>Open Creative</v>
      </c>
      <c r="L2984" s="6" t="s">
        <v>131</v>
      </c>
      <c r="M2984" s="6" t="s">
        <v>7537</v>
      </c>
      <c r="N2984" s="6" t="s">
        <v>132</v>
      </c>
      <c r="O2984" s="36" t="s">
        <v>132</v>
      </c>
      <c r="P2984" s="36">
        <v>1.389746016E9</v>
      </c>
      <c r="Q2984" s="36" t="s">
        <v>7541</v>
      </c>
      <c r="R2984" s="6" t="s">
        <v>7542</v>
      </c>
    </row>
    <row r="2985">
      <c r="A2985" s="6" t="s">
        <v>7537</v>
      </c>
      <c r="B2985" s="6" t="s">
        <v>7537</v>
      </c>
      <c r="C2985" s="6">
        <v>1376.0</v>
      </c>
      <c r="D2985" s="9" t="str">
        <f>HYPERLINK("https://www.linkedin.com/ad-library/detail/1389705056","Open Ad")</f>
        <v>Open Ad</v>
      </c>
      <c r="E2985" s="6" t="s">
        <v>91</v>
      </c>
      <c r="F2985" s="6" t="s">
        <v>53</v>
      </c>
      <c r="G2985" s="6" t="s">
        <v>7807</v>
      </c>
      <c r="H2985" s="6" t="s">
        <v>55</v>
      </c>
      <c r="I2985" s="6" t="s">
        <v>7566</v>
      </c>
      <c r="J2985" s="6" t="s">
        <v>91</v>
      </c>
      <c r="K2985" s="9" t="str">
        <f>HYPERLINK("https://media.licdn.com/dms/image/v2/D4E10AQHdbrM3G0dcfA/image-shrink_1280/B4EZvmBd80GsAc-/0/1769090704089?e=2147483647&amp;v=beta&amp;t=dlO5yfiP1MV6jnBsM651Qg2abmJfMecqFy-8C9PrRFA","Open Creative")</f>
        <v>Open Creative</v>
      </c>
      <c r="L2985" s="6" t="s">
        <v>131</v>
      </c>
      <c r="M2985" s="6" t="s">
        <v>7537</v>
      </c>
      <c r="N2985" s="6" t="s">
        <v>132</v>
      </c>
      <c r="O2985" s="36" t="s">
        <v>132</v>
      </c>
      <c r="P2985" s="36">
        <v>1.389705056E9</v>
      </c>
      <c r="Q2985" s="36" t="s">
        <v>7541</v>
      </c>
      <c r="R2985" s="6" t="s">
        <v>7542</v>
      </c>
    </row>
    <row r="2986">
      <c r="A2986" s="6" t="s">
        <v>7537</v>
      </c>
      <c r="B2986" s="6" t="s">
        <v>7537</v>
      </c>
      <c r="C2986" s="6">
        <v>1377.0</v>
      </c>
      <c r="D2986" s="9" t="str">
        <f>HYPERLINK("https://www.linkedin.com/ad-library/detail/1389765386","Open Ad")</f>
        <v>Open Ad</v>
      </c>
      <c r="E2986" s="6" t="s">
        <v>154</v>
      </c>
      <c r="F2986" s="6" t="s">
        <v>53</v>
      </c>
      <c r="G2986" s="6" t="s">
        <v>7802</v>
      </c>
      <c r="H2986" s="6" t="s">
        <v>55</v>
      </c>
      <c r="I2986" s="6" t="s">
        <v>7566</v>
      </c>
      <c r="J2986" s="6" t="s">
        <v>154</v>
      </c>
      <c r="K2986" s="9" t="str">
        <f>HYPERLINK("https://dms.licdn.com/playlist/vid/v2/D4E10AQHFU1k453OYrA/mp4-640p-30fp-crf28/B4EZ1T2oaIGoBk-/0/1775228339149?e=2147483647&amp;v=beta&amp;t=kBnW5fM4ijMUPneQ4OMxjdJ5g1DIFxIn44cnT0Y2FNs","Open Creative")</f>
        <v>Open Creative</v>
      </c>
      <c r="L2986" s="6" t="s">
        <v>131</v>
      </c>
      <c r="M2986" s="6" t="s">
        <v>7537</v>
      </c>
      <c r="N2986" s="6" t="s">
        <v>132</v>
      </c>
      <c r="O2986" s="36" t="s">
        <v>132</v>
      </c>
      <c r="P2986" s="36">
        <v>1.389765386E9</v>
      </c>
      <c r="Q2986" s="36" t="s">
        <v>7541</v>
      </c>
      <c r="R2986" s="6" t="s">
        <v>7542</v>
      </c>
    </row>
    <row r="2987">
      <c r="A2987" s="6" t="s">
        <v>7537</v>
      </c>
      <c r="B2987" s="6" t="s">
        <v>7537</v>
      </c>
      <c r="C2987" s="6">
        <v>1378.0</v>
      </c>
      <c r="D2987" s="9" t="str">
        <f>HYPERLINK("https://www.linkedin.com/ad-library/detail/1389805876","Open Ad")</f>
        <v>Open Ad</v>
      </c>
      <c r="E2987" s="6" t="s">
        <v>154</v>
      </c>
      <c r="F2987" s="6" t="s">
        <v>53</v>
      </c>
      <c r="G2987" s="6" t="s">
        <v>7808</v>
      </c>
      <c r="H2987" s="6" t="s">
        <v>55</v>
      </c>
      <c r="I2987" s="6" t="s">
        <v>7566</v>
      </c>
      <c r="J2987" s="6" t="s">
        <v>154</v>
      </c>
      <c r="K2987" s="9" t="str">
        <f>HYPERLINK("https://dms.licdn.com/playlist/vid/v2/D4E05AQGG9pTneoArWw/mp4-720p-30fp-crf28/B4EZyP31JjGcCE-/0/1771940309947?e=2147483647&amp;v=beta&amp;t=lSy7EwO1JEElxw9V179dp__-TMnTYtNVUoAcpawSboQ","Open Creative")</f>
        <v>Open Creative</v>
      </c>
      <c r="L2987" s="6" t="s">
        <v>131</v>
      </c>
      <c r="M2987" s="6" t="s">
        <v>7537</v>
      </c>
      <c r="N2987" s="6" t="s">
        <v>132</v>
      </c>
      <c r="O2987" s="36" t="s">
        <v>132</v>
      </c>
      <c r="P2987" s="36">
        <v>1.389805876E9</v>
      </c>
      <c r="Q2987" s="36" t="s">
        <v>7541</v>
      </c>
      <c r="R2987" s="6" t="s">
        <v>7542</v>
      </c>
    </row>
    <row r="2988">
      <c r="A2988" s="6" t="s">
        <v>7537</v>
      </c>
      <c r="B2988" s="6" t="s">
        <v>7537</v>
      </c>
      <c r="C2988" s="6">
        <v>1379.0</v>
      </c>
      <c r="D2988" s="9" t="str">
        <f>HYPERLINK("https://www.linkedin.com/ad-library/detail/1389615476","Open Ad")</f>
        <v>Open Ad</v>
      </c>
      <c r="E2988" s="6" t="s">
        <v>154</v>
      </c>
      <c r="F2988" s="6" t="s">
        <v>53</v>
      </c>
      <c r="G2988" s="6" t="s">
        <v>7803</v>
      </c>
      <c r="H2988" s="6" t="s">
        <v>55</v>
      </c>
      <c r="I2988" s="6" t="s">
        <v>7566</v>
      </c>
      <c r="J2988" s="6" t="s">
        <v>154</v>
      </c>
      <c r="K2988" s="9" t="str">
        <f>HYPERLINK("https://dms.licdn.com/playlist/vid/v2/D5605AQGvYPFvEJ845w/mp4-720p-30fp-crf28/B56ZyQoFy0KgCE-/0/1771952959206?e=2147483647&amp;v=beta&amp;t=cEPXbjJcEy4sIJu9RapE6jzqf1jVlAKK-4rBPLfuq3I","Open Creative")</f>
        <v>Open Creative</v>
      </c>
      <c r="L2988" s="6" t="s">
        <v>131</v>
      </c>
      <c r="M2988" s="6" t="s">
        <v>7537</v>
      </c>
      <c r="N2988" s="6" t="s">
        <v>132</v>
      </c>
      <c r="O2988" s="36" t="s">
        <v>132</v>
      </c>
      <c r="P2988" s="36">
        <v>1.389615476E9</v>
      </c>
      <c r="Q2988" s="36" t="s">
        <v>7541</v>
      </c>
      <c r="R2988" s="6" t="s">
        <v>7542</v>
      </c>
    </row>
    <row r="2989">
      <c r="A2989" s="6" t="s">
        <v>7537</v>
      </c>
      <c r="B2989" s="6" t="s">
        <v>7537</v>
      </c>
      <c r="C2989" s="6">
        <v>1380.0</v>
      </c>
      <c r="D2989" s="9" t="str">
        <f>HYPERLINK("https://www.linkedin.com/ad-library/detail/1389585816","Open Ad")</f>
        <v>Open Ad</v>
      </c>
      <c r="E2989" s="6" t="s">
        <v>91</v>
      </c>
      <c r="F2989" s="6" t="s">
        <v>53</v>
      </c>
      <c r="G2989" s="6" t="s">
        <v>7809</v>
      </c>
      <c r="H2989" s="6" t="s">
        <v>55</v>
      </c>
      <c r="I2989" s="6" t="s">
        <v>7566</v>
      </c>
      <c r="J2989" s="6" t="s">
        <v>91</v>
      </c>
      <c r="K2989" s="9" t="str">
        <f>HYPERLINK("https://media.licdn.com/dms/image/v2/D4E22AQG5OiwEIDONrg/feedshare-image-high-res/B4EZ14ROdsJcAU-/0/1775839275119?e=2147483647&amp;v=beta&amp;t=CDqGebAcF3Q5ziKcbgGOb-hRNl4RQ_TCZwGtjqCHTes","Open Creative")</f>
        <v>Open Creative</v>
      </c>
      <c r="L2989" s="6" t="s">
        <v>131</v>
      </c>
      <c r="M2989" s="6" t="s">
        <v>7537</v>
      </c>
      <c r="N2989" s="6" t="s">
        <v>132</v>
      </c>
      <c r="O2989" s="36" t="s">
        <v>132</v>
      </c>
      <c r="P2989" s="36">
        <v>1.389585816E9</v>
      </c>
      <c r="Q2989" s="36" t="s">
        <v>7541</v>
      </c>
      <c r="R2989" s="6" t="s">
        <v>7542</v>
      </c>
    </row>
    <row r="2990">
      <c r="A2990" s="6" t="s">
        <v>7537</v>
      </c>
      <c r="B2990" s="6" t="s">
        <v>7537</v>
      </c>
      <c r="C2990" s="6">
        <v>1381.0</v>
      </c>
      <c r="D2990" s="9" t="str">
        <f>HYPERLINK("https://www.linkedin.com/ad-library/detail/1389615256","Open Ad")</f>
        <v>Open Ad</v>
      </c>
      <c r="E2990" s="6" t="s">
        <v>91</v>
      </c>
      <c r="F2990" s="6" t="s">
        <v>53</v>
      </c>
      <c r="G2990" s="6" t="s">
        <v>7748</v>
      </c>
      <c r="H2990" s="6" t="s">
        <v>55</v>
      </c>
      <c r="I2990" s="6" t="s">
        <v>7566</v>
      </c>
      <c r="J2990" s="6" t="s">
        <v>91</v>
      </c>
      <c r="K2990" s="9" t="str">
        <f>HYPERLINK("https://media.licdn.com/dms/image/v2/D4E22AQHbFCQCDCGG3g/feedshare-image-high-res/B4EZpOeqO1HgAw-/0/1762253252103?e=2147483647&amp;v=beta&amp;t=Br5vflKeqacS-e7vktti7ZfaCAL9Qm6QJloy5pf7CYw","Open Creative")</f>
        <v>Open Creative</v>
      </c>
      <c r="L2990" s="6" t="s">
        <v>131</v>
      </c>
      <c r="M2990" s="6" t="s">
        <v>7537</v>
      </c>
      <c r="N2990" s="6" t="s">
        <v>132</v>
      </c>
      <c r="O2990" s="36" t="s">
        <v>132</v>
      </c>
      <c r="P2990" s="36">
        <v>1.389615256E9</v>
      </c>
      <c r="Q2990" s="36" t="s">
        <v>7541</v>
      </c>
      <c r="R2990" s="6" t="s">
        <v>7542</v>
      </c>
    </row>
    <row r="2991">
      <c r="A2991" s="6" t="s">
        <v>7537</v>
      </c>
      <c r="B2991" s="6" t="s">
        <v>7537</v>
      </c>
      <c r="C2991" s="6">
        <v>1382.0</v>
      </c>
      <c r="D2991" s="9" t="str">
        <f>HYPERLINK("https://www.linkedin.com/ad-library/detail/1389604816","Open Ad")</f>
        <v>Open Ad</v>
      </c>
      <c r="E2991" s="6" t="s">
        <v>154</v>
      </c>
      <c r="F2991" s="6" t="s">
        <v>53</v>
      </c>
      <c r="G2991" s="6" t="s">
        <v>7640</v>
      </c>
      <c r="H2991" s="6" t="s">
        <v>55</v>
      </c>
      <c r="I2991" s="6" t="s">
        <v>7566</v>
      </c>
      <c r="J2991" s="6" t="s">
        <v>154</v>
      </c>
      <c r="K2991" s="9" t="str">
        <f>HYPERLINK("https://dms.licdn.com/playlist/vid/v2/D4E05AQEZIBMQ5dvMiw/mp4-640p-30fp-crf28/B4EZq7fWtpGcB0-/0/1764082160741?e=2147483647&amp;v=beta&amp;t=XFL1jBqfg-_iulKKPx99xtiUuPTR1oKXosCHSzSTLSs","Open Creative")</f>
        <v>Open Creative</v>
      </c>
      <c r="L2991" s="6" t="s">
        <v>131</v>
      </c>
      <c r="M2991" s="6" t="s">
        <v>7537</v>
      </c>
      <c r="N2991" s="6" t="s">
        <v>132</v>
      </c>
      <c r="O2991" s="36" t="s">
        <v>132</v>
      </c>
      <c r="P2991" s="36">
        <v>1.389604816E9</v>
      </c>
      <c r="Q2991" s="36" t="s">
        <v>7541</v>
      </c>
      <c r="R2991" s="6" t="s">
        <v>7542</v>
      </c>
    </row>
    <row r="2992">
      <c r="A2992" s="6" t="s">
        <v>7537</v>
      </c>
      <c r="B2992" s="6" t="s">
        <v>7537</v>
      </c>
      <c r="C2992" s="6">
        <v>1383.0</v>
      </c>
      <c r="D2992" s="9" t="str">
        <f>HYPERLINK("https://www.linkedin.com/ad-library/detail/1389665496","Open Ad")</f>
        <v>Open Ad</v>
      </c>
      <c r="E2992" s="6" t="s">
        <v>91</v>
      </c>
      <c r="F2992" s="6" t="s">
        <v>53</v>
      </c>
      <c r="G2992" s="6" t="s">
        <v>7810</v>
      </c>
      <c r="H2992" s="6" t="s">
        <v>55</v>
      </c>
      <c r="I2992" s="6" t="s">
        <v>7566</v>
      </c>
      <c r="J2992" s="6" t="s">
        <v>91</v>
      </c>
      <c r="K2992" s="9" t="str">
        <f>HYPERLINK("https://media.licdn.com/dms/image/v2/D4E10AQE02M4AwdIpKg/image-shrink_1280/B4EZzjNoazHgAg-/0/1773338527903?e=2147483647&amp;v=beta&amp;t=M34sdSlaI0Zavq6spWkzXBQYfvzfdv65RLj0E7DPYhc","Open Creative")</f>
        <v>Open Creative</v>
      </c>
      <c r="L2992" s="6" t="s">
        <v>131</v>
      </c>
      <c r="M2992" s="6" t="s">
        <v>7537</v>
      </c>
      <c r="N2992" s="6" t="s">
        <v>132</v>
      </c>
      <c r="O2992" s="36" t="s">
        <v>132</v>
      </c>
      <c r="P2992" s="36">
        <v>1.389665496E9</v>
      </c>
      <c r="Q2992" s="36" t="s">
        <v>7541</v>
      </c>
      <c r="R2992" s="6" t="s">
        <v>7542</v>
      </c>
    </row>
    <row r="2993">
      <c r="A2993" s="6" t="s">
        <v>7537</v>
      </c>
      <c r="B2993" s="6" t="s">
        <v>7537</v>
      </c>
      <c r="C2993" s="6">
        <v>1384.0</v>
      </c>
      <c r="D2993" s="9" t="str">
        <f>HYPERLINK("https://www.linkedin.com/ad-library/detail/1390244396","Open Ad")</f>
        <v>Open Ad</v>
      </c>
      <c r="E2993" s="6" t="s">
        <v>154</v>
      </c>
      <c r="F2993" s="6" t="s">
        <v>53</v>
      </c>
      <c r="G2993" s="6" t="s">
        <v>7638</v>
      </c>
      <c r="H2993" s="6" t="s">
        <v>55</v>
      </c>
      <c r="I2993" s="6" t="s">
        <v>7566</v>
      </c>
      <c r="J2993" s="6" t="s">
        <v>154</v>
      </c>
      <c r="K2993" s="9" t="str">
        <f>HYPERLINK("https://dms.licdn.com/playlist/vid/v2/D4E10AQHnB83vIjfNvw/mp4-720p-30fp-crf28/B4EZ2Mv_NUIwCA-/0/1776182899083?e=2147483647&amp;v=beta&amp;t=nwcHAIB3FZdkl9NAtwlYsm_4VdxfPzV34i_gMRpBVio","Open Creative")</f>
        <v>Open Creative</v>
      </c>
      <c r="L2993" s="6" t="s">
        <v>131</v>
      </c>
      <c r="M2993" s="6" t="s">
        <v>7537</v>
      </c>
      <c r="N2993" s="6" t="s">
        <v>132</v>
      </c>
      <c r="O2993" s="36" t="s">
        <v>132</v>
      </c>
      <c r="P2993" s="36">
        <v>1.390244396E9</v>
      </c>
      <c r="Q2993" s="36" t="s">
        <v>7541</v>
      </c>
      <c r="R2993" s="6" t="s">
        <v>7542</v>
      </c>
    </row>
    <row r="2994">
      <c r="A2994" s="6" t="s">
        <v>7537</v>
      </c>
      <c r="B2994" s="6" t="s">
        <v>7537</v>
      </c>
      <c r="C2994" s="6">
        <v>1385.0</v>
      </c>
      <c r="D2994" s="9" t="str">
        <f>HYPERLINK("https://www.linkedin.com/ad-library/detail/1389785836","Open Ad")</f>
        <v>Open Ad</v>
      </c>
      <c r="E2994" s="6" t="s">
        <v>154</v>
      </c>
      <c r="F2994" s="6" t="s">
        <v>53</v>
      </c>
      <c r="G2994" s="6" t="s">
        <v>7811</v>
      </c>
      <c r="H2994" s="6" t="s">
        <v>55</v>
      </c>
      <c r="I2994" s="6" t="s">
        <v>7566</v>
      </c>
      <c r="J2994" s="6" t="s">
        <v>154</v>
      </c>
      <c r="K2994" s="9" t="str">
        <f>HYPERLINK("https://dms.licdn.com/playlist/vid/v2/D5605AQF83_DNHS-pdw/mp4-720p-30fp-crf28/B56Z0BfAhmKcCM-/0/1773846401302?e=2147483647&amp;v=beta&amp;t=I2BiW3EDO9MiWAszXKxdAhtpjQUHNoLmO19yGv-3td4","Open Creative")</f>
        <v>Open Creative</v>
      </c>
      <c r="L2994" s="6" t="s">
        <v>131</v>
      </c>
      <c r="M2994" s="6" t="s">
        <v>7537</v>
      </c>
      <c r="N2994" s="6" t="s">
        <v>132</v>
      </c>
      <c r="O2994" s="36" t="s">
        <v>132</v>
      </c>
      <c r="P2994" s="36">
        <v>1.389785836E9</v>
      </c>
      <c r="Q2994" s="36" t="s">
        <v>7541</v>
      </c>
      <c r="R2994" s="6" t="s">
        <v>7542</v>
      </c>
    </row>
    <row r="2995">
      <c r="A2995" s="6" t="s">
        <v>7537</v>
      </c>
      <c r="B2995" s="6" t="s">
        <v>7537</v>
      </c>
      <c r="C2995" s="6">
        <v>1386.0</v>
      </c>
      <c r="D2995" s="9" t="str">
        <f>HYPERLINK("https://www.linkedin.com/ad-library/detail/1389785846","Open Ad")</f>
        <v>Open Ad</v>
      </c>
      <c r="E2995" s="6" t="s">
        <v>154</v>
      </c>
      <c r="F2995" s="6" t="s">
        <v>53</v>
      </c>
      <c r="G2995" s="6" t="s">
        <v>7812</v>
      </c>
      <c r="H2995" s="6" t="s">
        <v>55</v>
      </c>
      <c r="I2995" s="6" t="s">
        <v>7566</v>
      </c>
      <c r="J2995" s="6" t="s">
        <v>154</v>
      </c>
      <c r="K2995" s="9" t="str">
        <f>HYPERLINK("https://dms.licdn.com/playlist/vid/v2/D4E10AQHEMWiDNQa5VQ/mp4-640p-30fp-crf28/B4EZ0bOltZIQBo-/0/1774278306504?e=2147483647&amp;v=beta&amp;t=ZhpAXkN8yaIizGZJRhLGj5UJbzxZwVKaj-9Z2QWIL_Y","Open Creative")</f>
        <v>Open Creative</v>
      </c>
      <c r="L2995" s="6" t="s">
        <v>131</v>
      </c>
      <c r="M2995" s="6" t="s">
        <v>7537</v>
      </c>
      <c r="N2995" s="6" t="s">
        <v>132</v>
      </c>
      <c r="O2995" s="36" t="s">
        <v>132</v>
      </c>
      <c r="P2995" s="36">
        <v>1.389785846E9</v>
      </c>
      <c r="Q2995" s="36" t="s">
        <v>7541</v>
      </c>
      <c r="R2995" s="6" t="s">
        <v>7542</v>
      </c>
    </row>
    <row r="2996">
      <c r="A2996" s="6" t="s">
        <v>7537</v>
      </c>
      <c r="B2996" s="6" t="s">
        <v>7537</v>
      </c>
      <c r="C2996" s="6">
        <v>1387.0</v>
      </c>
      <c r="D2996" s="9" t="str">
        <f>HYPERLINK("https://www.linkedin.com/ad-library/detail/1389737846","Open Ad")</f>
        <v>Open Ad</v>
      </c>
      <c r="E2996" s="6" t="s">
        <v>7543</v>
      </c>
      <c r="F2996" s="6" t="s">
        <v>53</v>
      </c>
      <c r="G2996" s="6" t="s">
        <v>7805</v>
      </c>
      <c r="H2996" s="6" t="s">
        <v>55</v>
      </c>
      <c r="I2996" s="6" t="s">
        <v>7566</v>
      </c>
      <c r="J2996" s="6" t="s">
        <v>7546</v>
      </c>
      <c r="K2996" s="6" t="s">
        <v>60</v>
      </c>
      <c r="L2996" s="6" t="s">
        <v>131</v>
      </c>
      <c r="M2996" s="6" t="s">
        <v>7537</v>
      </c>
      <c r="N2996" s="6" t="s">
        <v>132</v>
      </c>
      <c r="O2996" s="36" t="s">
        <v>132</v>
      </c>
      <c r="P2996" s="36">
        <v>1.389737846E9</v>
      </c>
      <c r="Q2996" s="36" t="s">
        <v>7541</v>
      </c>
      <c r="R2996" s="6" t="s">
        <v>7542</v>
      </c>
    </row>
    <row r="2997">
      <c r="A2997" s="6" t="s">
        <v>7537</v>
      </c>
      <c r="B2997" s="6" t="s">
        <v>7537</v>
      </c>
      <c r="C2997" s="6">
        <v>1388.0</v>
      </c>
      <c r="D2997" s="9" t="str">
        <f>HYPERLINK("https://www.linkedin.com/ad-library/detail/1389585896","Open Ad")</f>
        <v>Open Ad</v>
      </c>
      <c r="E2997" s="6" t="s">
        <v>154</v>
      </c>
      <c r="F2997" s="6" t="s">
        <v>53</v>
      </c>
      <c r="G2997" s="6" t="s">
        <v>7813</v>
      </c>
      <c r="H2997" s="6" t="s">
        <v>55</v>
      </c>
      <c r="I2997" s="6" t="s">
        <v>7566</v>
      </c>
      <c r="J2997" s="6" t="s">
        <v>154</v>
      </c>
      <c r="K2997" s="9" t="str">
        <f>HYPERLINK("https://dms.licdn.com/playlist/vid/v2/D4E10AQHb8aBgPz6yrg/mp4-360p-30fp-crf28/B4EZyQma5eHMB8-/0/1771952534337?e=2147483647&amp;v=beta&amp;t=vL255ZZj6UooCMMSuov9TYM4BA5F3J29zDbm5h_CfCY","Open Creative")</f>
        <v>Open Creative</v>
      </c>
      <c r="L2997" s="6" t="s">
        <v>131</v>
      </c>
      <c r="M2997" s="6" t="s">
        <v>7537</v>
      </c>
      <c r="N2997" s="6" t="s">
        <v>132</v>
      </c>
      <c r="O2997" s="36" t="s">
        <v>132</v>
      </c>
      <c r="P2997" s="36">
        <v>1.389585896E9</v>
      </c>
      <c r="Q2997" s="36" t="s">
        <v>7541</v>
      </c>
      <c r="R2997" s="6" t="s">
        <v>7542</v>
      </c>
    </row>
    <row r="2998">
      <c r="A2998" s="6" t="s">
        <v>7537</v>
      </c>
      <c r="B2998" s="6" t="s">
        <v>7537</v>
      </c>
      <c r="C2998" s="6">
        <v>1389.0</v>
      </c>
      <c r="D2998" s="9" t="str">
        <f>HYPERLINK("https://www.linkedin.com/ad-library/detail/1390144476","Open Ad")</f>
        <v>Open Ad</v>
      </c>
      <c r="E2998" s="6" t="s">
        <v>154</v>
      </c>
      <c r="F2998" s="6" t="s">
        <v>53</v>
      </c>
      <c r="G2998" s="6" t="s">
        <v>7638</v>
      </c>
      <c r="H2998" s="6" t="s">
        <v>55</v>
      </c>
      <c r="I2998" s="6" t="s">
        <v>7566</v>
      </c>
      <c r="J2998" s="6" t="s">
        <v>154</v>
      </c>
      <c r="K2998" s="9" t="str">
        <f>HYPERLINK("https://dms.licdn.com/playlist/vid/v2/D4E10AQHnB83vIjfNvw/mp4-720p-30fp-crf28/B4EZ2Mv_NUIwCA-/0/1776182899083?e=2147483647&amp;v=beta&amp;t=nwcHAIB3FZdkl9NAtwlYsm_4VdxfPzV34i_gMRpBVio","Open Creative")</f>
        <v>Open Creative</v>
      </c>
      <c r="L2998" s="6" t="s">
        <v>131</v>
      </c>
      <c r="M2998" s="6" t="s">
        <v>7537</v>
      </c>
      <c r="N2998" s="6" t="s">
        <v>132</v>
      </c>
      <c r="O2998" s="36" t="s">
        <v>132</v>
      </c>
      <c r="P2998" s="36">
        <v>1.390144476E9</v>
      </c>
      <c r="Q2998" s="36" t="s">
        <v>7541</v>
      </c>
      <c r="R2998" s="6" t="s">
        <v>7542</v>
      </c>
    </row>
    <row r="2999">
      <c r="A2999" s="6" t="s">
        <v>7537</v>
      </c>
      <c r="B2999" s="6" t="s">
        <v>7537</v>
      </c>
      <c r="C2999" s="6">
        <v>1390.0</v>
      </c>
      <c r="D2999" s="9" t="str">
        <f>HYPERLINK("https://www.linkedin.com/ad-library/detail/1389595306","Open Ad")</f>
        <v>Open Ad</v>
      </c>
      <c r="E2999" s="6" t="s">
        <v>154</v>
      </c>
      <c r="F2999" s="6" t="s">
        <v>53</v>
      </c>
      <c r="G2999" s="6" t="s">
        <v>7814</v>
      </c>
      <c r="H2999" s="6" t="s">
        <v>55</v>
      </c>
      <c r="I2999" s="6" t="s">
        <v>7566</v>
      </c>
      <c r="J2999" s="6" t="s">
        <v>154</v>
      </c>
      <c r="K2999" s="9" t="str">
        <f>HYPERLINK("https://dms.licdn.com/playlist/vid/v2/D4E10AQE5DaHYfIW59w/mp4-360p-30fp-crf28/B4EZ0ceEzkKICE-/0/1774299143927?e=2147483647&amp;v=beta&amp;t=KKfp2ber_Nc2aTshrP53eMPh211fJH_IXE1DbI6_3TQ","Open Creative")</f>
        <v>Open Creative</v>
      </c>
      <c r="L2999" s="6" t="s">
        <v>131</v>
      </c>
      <c r="M2999" s="6" t="s">
        <v>7537</v>
      </c>
      <c r="N2999" s="6" t="s">
        <v>132</v>
      </c>
      <c r="O2999" s="36" t="s">
        <v>132</v>
      </c>
      <c r="P2999" s="36">
        <v>1.389595306E9</v>
      </c>
      <c r="Q2999" s="36" t="s">
        <v>7541</v>
      </c>
      <c r="R2999" s="6" t="s">
        <v>7542</v>
      </c>
    </row>
    <row r="3000">
      <c r="A3000" s="6" t="s">
        <v>7537</v>
      </c>
      <c r="B3000" s="6" t="s">
        <v>7537</v>
      </c>
      <c r="C3000" s="6">
        <v>1391.0</v>
      </c>
      <c r="D3000" s="9" t="str">
        <f>HYPERLINK("https://www.linkedin.com/ad-library/detail/1389575526","Open Ad")</f>
        <v>Open Ad</v>
      </c>
      <c r="E3000" s="6" t="s">
        <v>91</v>
      </c>
      <c r="F3000" s="6" t="s">
        <v>53</v>
      </c>
      <c r="G3000" s="6" t="s">
        <v>7815</v>
      </c>
      <c r="H3000" s="6" t="s">
        <v>55</v>
      </c>
      <c r="I3000" s="6" t="s">
        <v>7566</v>
      </c>
      <c r="J3000" s="6" t="s">
        <v>91</v>
      </c>
      <c r="K3000" s="9" t="str">
        <f>HYPERLINK("https://media.licdn.com/dms/image/v2/D4E22AQG-isV4QpX2mA/feedshare-shrink_1280/B4EZ1E59koHkAM-/0/1774977538931?e=2147483647&amp;v=beta&amp;t=NfAekifcR1QwSyKCvuS9L8RrJ-nDWkB0zxp7a5zQHX8","Open Creative")</f>
        <v>Open Creative</v>
      </c>
      <c r="L3000" s="6" t="s">
        <v>131</v>
      </c>
      <c r="M3000" s="6" t="s">
        <v>7537</v>
      </c>
      <c r="N3000" s="6" t="s">
        <v>132</v>
      </c>
      <c r="O3000" s="36" t="s">
        <v>132</v>
      </c>
      <c r="P3000" s="36">
        <v>1.389575526E9</v>
      </c>
      <c r="Q3000" s="36" t="s">
        <v>7541</v>
      </c>
      <c r="R3000" s="6" t="s">
        <v>7542</v>
      </c>
    </row>
    <row r="3001">
      <c r="A3001" s="6" t="s">
        <v>7537</v>
      </c>
      <c r="B3001" s="6" t="s">
        <v>7537</v>
      </c>
      <c r="C3001" s="6">
        <v>1392.0</v>
      </c>
      <c r="D3001" s="9" t="str">
        <f>HYPERLINK("https://www.linkedin.com/ad-library/detail/1389795556","Open Ad")</f>
        <v>Open Ad</v>
      </c>
      <c r="E3001" s="6" t="s">
        <v>154</v>
      </c>
      <c r="F3001" s="6" t="s">
        <v>53</v>
      </c>
      <c r="G3001" s="6" t="s">
        <v>7816</v>
      </c>
      <c r="H3001" s="6" t="s">
        <v>55</v>
      </c>
      <c r="I3001" s="6" t="s">
        <v>7566</v>
      </c>
      <c r="J3001" s="6" t="s">
        <v>154</v>
      </c>
      <c r="K3001" s="9" t="str">
        <f>HYPERLINK("https://dms.licdn.com/playlist/vid/v2/D4E10AQHeAzMp6wXICg/mp4-720p-30fp-crf28/B4EZznY.k2IUCE-/0/1773408615246?e=2147483647&amp;v=beta&amp;t=8tlPTvtrKX28l-U0kqNlBMpijrCLL5x93WDV620buH4","Open Creative")</f>
        <v>Open Creative</v>
      </c>
      <c r="L3001" s="6" t="s">
        <v>131</v>
      </c>
      <c r="M3001" s="6" t="s">
        <v>7537</v>
      </c>
      <c r="N3001" s="6" t="s">
        <v>132</v>
      </c>
      <c r="O3001" s="36" t="s">
        <v>132</v>
      </c>
      <c r="P3001" s="36">
        <v>1.389795556E9</v>
      </c>
      <c r="Q3001" s="36" t="s">
        <v>7541</v>
      </c>
      <c r="R3001" s="6" t="s">
        <v>7542</v>
      </c>
    </row>
    <row r="3002">
      <c r="A3002" s="6" t="s">
        <v>7537</v>
      </c>
      <c r="B3002" s="6" t="s">
        <v>7537</v>
      </c>
      <c r="C3002" s="6">
        <v>1393.0</v>
      </c>
      <c r="D3002" s="9" t="str">
        <f>HYPERLINK("https://www.linkedin.com/ad-library/detail/1389595076","Open Ad")</f>
        <v>Open Ad</v>
      </c>
      <c r="E3002" s="6" t="s">
        <v>91</v>
      </c>
      <c r="F3002" s="6" t="s">
        <v>53</v>
      </c>
      <c r="G3002" s="6" t="s">
        <v>7817</v>
      </c>
      <c r="H3002" s="6" t="s">
        <v>55</v>
      </c>
      <c r="I3002" s="6" t="s">
        <v>7566</v>
      </c>
      <c r="J3002" s="6" t="s">
        <v>91</v>
      </c>
      <c r="K3002" s="9" t="str">
        <f>HYPERLINK("https://media.licdn.com/dms/image/v2/D4E22AQH89hDKeV79KQ/feedshare-image-high-res/B4EZy5vRsAJAAU-/0/1772642704374?e=2147483647&amp;v=beta&amp;t=VBy6klcva4JII_0pR-GTKgB4RWbcJCTANhnpkulS8Sw","Open Creative")</f>
        <v>Open Creative</v>
      </c>
      <c r="L3002" s="6" t="s">
        <v>131</v>
      </c>
      <c r="M3002" s="6" t="s">
        <v>7537</v>
      </c>
      <c r="N3002" s="6" t="s">
        <v>132</v>
      </c>
      <c r="O3002" s="36" t="s">
        <v>132</v>
      </c>
      <c r="P3002" s="36">
        <v>1.389595076E9</v>
      </c>
      <c r="Q3002" s="36" t="s">
        <v>7541</v>
      </c>
      <c r="R3002" s="6" t="s">
        <v>7542</v>
      </c>
    </row>
    <row r="3003">
      <c r="A3003" s="6" t="s">
        <v>7537</v>
      </c>
      <c r="B3003" s="6" t="s">
        <v>7537</v>
      </c>
      <c r="C3003" s="6">
        <v>1394.0</v>
      </c>
      <c r="D3003" s="9" t="str">
        <f>HYPERLINK("https://www.linkedin.com/ad-library/detail/1389662726","Open Ad")</f>
        <v>Open Ad</v>
      </c>
      <c r="E3003" s="6" t="s">
        <v>91</v>
      </c>
      <c r="F3003" s="6" t="s">
        <v>53</v>
      </c>
      <c r="G3003" s="6" t="s">
        <v>7809</v>
      </c>
      <c r="H3003" s="6" t="s">
        <v>55</v>
      </c>
      <c r="I3003" s="6" t="s">
        <v>7566</v>
      </c>
      <c r="J3003" s="6" t="s">
        <v>91</v>
      </c>
      <c r="K3003" s="9" t="str">
        <f>HYPERLINK("https://media.licdn.com/dms/image/v2/D4E22AQG5OiwEIDONrg/feedshare-image-high-res/B4EZ14ROdsJcAU-/0/1775839275119?e=2147483647&amp;v=beta&amp;t=CDqGebAcF3Q5ziKcbgGOb-hRNl4RQ_TCZwGtjqCHTes","Open Creative")</f>
        <v>Open Creative</v>
      </c>
      <c r="L3003" s="6" t="s">
        <v>131</v>
      </c>
      <c r="M3003" s="6" t="s">
        <v>7537</v>
      </c>
      <c r="N3003" s="6" t="s">
        <v>132</v>
      </c>
      <c r="O3003" s="36" t="s">
        <v>132</v>
      </c>
      <c r="P3003" s="36">
        <v>1.389662726E9</v>
      </c>
      <c r="Q3003" s="36" t="s">
        <v>7541</v>
      </c>
      <c r="R3003" s="6" t="s">
        <v>7542</v>
      </c>
    </row>
    <row r="3004">
      <c r="A3004" s="6" t="s">
        <v>7537</v>
      </c>
      <c r="B3004" s="6" t="s">
        <v>7537</v>
      </c>
      <c r="C3004" s="6">
        <v>1395.0</v>
      </c>
      <c r="D3004" s="9" t="str">
        <f>HYPERLINK("https://www.linkedin.com/ad-library/detail/1389225026","Open Ad")</f>
        <v>Open Ad</v>
      </c>
      <c r="E3004" s="6" t="s">
        <v>91</v>
      </c>
      <c r="F3004" s="6" t="s">
        <v>53</v>
      </c>
      <c r="G3004" s="6" t="s">
        <v>7810</v>
      </c>
      <c r="H3004" s="6" t="s">
        <v>55</v>
      </c>
      <c r="I3004" s="6" t="s">
        <v>7566</v>
      </c>
      <c r="J3004" s="6" t="s">
        <v>91</v>
      </c>
      <c r="K3004" s="9" t="str">
        <f t="shared" ref="K3004:K3006" si="144">HYPERLINK("https://media.licdn.com/dms/image/v2/D4E10AQE02M4AwdIpKg/image-shrink_1280/B4EZzjNoazHgAg-/0/1773338527903?e=2147483647&amp;v=beta&amp;t=M34sdSlaI0Zavq6spWkzXBQYfvzfdv65RLj0E7DPYhc","Open Creative")</f>
        <v>Open Creative</v>
      </c>
      <c r="L3004" s="6" t="s">
        <v>131</v>
      </c>
      <c r="M3004" s="6" t="s">
        <v>7537</v>
      </c>
      <c r="N3004" s="6" t="s">
        <v>132</v>
      </c>
      <c r="O3004" s="36" t="s">
        <v>132</v>
      </c>
      <c r="P3004" s="36">
        <v>1.389225026E9</v>
      </c>
      <c r="Q3004" s="36" t="s">
        <v>7541</v>
      </c>
      <c r="R3004" s="6" t="s">
        <v>7542</v>
      </c>
    </row>
    <row r="3005">
      <c r="A3005" s="6" t="s">
        <v>7537</v>
      </c>
      <c r="B3005" s="6" t="s">
        <v>7537</v>
      </c>
      <c r="C3005" s="6">
        <v>1396.0</v>
      </c>
      <c r="D3005" s="9" t="str">
        <f>HYPERLINK("https://www.linkedin.com/ad-library/detail/1389204786","Open Ad")</f>
        <v>Open Ad</v>
      </c>
      <c r="E3005" s="6" t="s">
        <v>91</v>
      </c>
      <c r="F3005" s="6" t="s">
        <v>53</v>
      </c>
      <c r="G3005" s="6" t="s">
        <v>7810</v>
      </c>
      <c r="H3005" s="6" t="s">
        <v>55</v>
      </c>
      <c r="I3005" s="6" t="s">
        <v>7566</v>
      </c>
      <c r="J3005" s="6" t="s">
        <v>91</v>
      </c>
      <c r="K3005" s="9" t="str">
        <f t="shared" si="144"/>
        <v>Open Creative</v>
      </c>
      <c r="L3005" s="6" t="s">
        <v>131</v>
      </c>
      <c r="M3005" s="6" t="s">
        <v>7537</v>
      </c>
      <c r="N3005" s="6" t="s">
        <v>132</v>
      </c>
      <c r="O3005" s="36" t="s">
        <v>132</v>
      </c>
      <c r="P3005" s="36">
        <v>1.389204786E9</v>
      </c>
      <c r="Q3005" s="36" t="s">
        <v>7541</v>
      </c>
      <c r="R3005" s="6" t="s">
        <v>7542</v>
      </c>
    </row>
    <row r="3006">
      <c r="A3006" s="6" t="s">
        <v>7537</v>
      </c>
      <c r="B3006" s="6" t="s">
        <v>7537</v>
      </c>
      <c r="C3006" s="6">
        <v>1397.0</v>
      </c>
      <c r="D3006" s="9" t="str">
        <f>HYPERLINK("https://www.linkedin.com/ad-library/detail/1389275156","Open Ad")</f>
        <v>Open Ad</v>
      </c>
      <c r="E3006" s="6" t="s">
        <v>91</v>
      </c>
      <c r="F3006" s="6" t="s">
        <v>53</v>
      </c>
      <c r="G3006" s="6" t="s">
        <v>7810</v>
      </c>
      <c r="H3006" s="6" t="s">
        <v>55</v>
      </c>
      <c r="I3006" s="6" t="s">
        <v>7566</v>
      </c>
      <c r="J3006" s="6" t="s">
        <v>91</v>
      </c>
      <c r="K3006" s="9" t="str">
        <f t="shared" si="144"/>
        <v>Open Creative</v>
      </c>
      <c r="L3006" s="6" t="s">
        <v>131</v>
      </c>
      <c r="M3006" s="6" t="s">
        <v>7537</v>
      </c>
      <c r="N3006" s="6" t="s">
        <v>132</v>
      </c>
      <c r="O3006" s="36" t="s">
        <v>132</v>
      </c>
      <c r="P3006" s="36">
        <v>1.389275156E9</v>
      </c>
      <c r="Q3006" s="36" t="s">
        <v>7541</v>
      </c>
      <c r="R3006" s="6" t="s">
        <v>7542</v>
      </c>
    </row>
    <row r="3007">
      <c r="A3007" s="6" t="s">
        <v>7537</v>
      </c>
      <c r="B3007" s="6" t="s">
        <v>7537</v>
      </c>
      <c r="C3007" s="6">
        <v>1398.0</v>
      </c>
      <c r="D3007" s="9" t="str">
        <f>HYPERLINK("https://www.linkedin.com/ad-library/detail/1389140046","Open Ad")</f>
        <v>Open Ad</v>
      </c>
      <c r="E3007" s="6" t="s">
        <v>154</v>
      </c>
      <c r="F3007" s="6" t="s">
        <v>53</v>
      </c>
      <c r="G3007" s="6" t="s">
        <v>7818</v>
      </c>
      <c r="H3007" s="6" t="s">
        <v>55</v>
      </c>
      <c r="I3007" s="6" t="s">
        <v>7566</v>
      </c>
      <c r="J3007" s="6" t="s">
        <v>154</v>
      </c>
      <c r="K3007" s="9" t="str">
        <f>HYPERLINK("https://dms.licdn.com/playlist/vid/v2/D4E10AQHjGeSJ9Q02Dw/mp4-640p-30fp-crf28/B4EZ1uho.9IkBo-/0/1775675809624?e=2147483647&amp;v=beta&amp;t=GzEPUH1FWKyyMAnVZj64tNcCeHC03ZrRoPONYCyNAzY","Open Creative")</f>
        <v>Open Creative</v>
      </c>
      <c r="L3007" s="6" t="s">
        <v>131</v>
      </c>
      <c r="M3007" s="6" t="s">
        <v>7537</v>
      </c>
      <c r="N3007" s="6" t="s">
        <v>132</v>
      </c>
      <c r="O3007" s="36" t="s">
        <v>132</v>
      </c>
      <c r="P3007" s="36">
        <v>1.389140046E9</v>
      </c>
      <c r="Q3007" s="36" t="s">
        <v>7541</v>
      </c>
      <c r="R3007" s="6" t="s">
        <v>7542</v>
      </c>
    </row>
    <row r="3008">
      <c r="A3008" s="6" t="s">
        <v>7537</v>
      </c>
      <c r="B3008" s="6" t="s">
        <v>7537</v>
      </c>
      <c r="C3008" s="6">
        <v>1399.0</v>
      </c>
      <c r="D3008" s="9" t="str">
        <f>HYPERLINK("https://www.linkedin.com/ad-library/detail/1386707926","Open Ad")</f>
        <v>Open Ad</v>
      </c>
      <c r="E3008" s="6" t="s">
        <v>91</v>
      </c>
      <c r="F3008" s="6" t="s">
        <v>53</v>
      </c>
      <c r="G3008" s="6" t="s">
        <v>7815</v>
      </c>
      <c r="H3008" s="6" t="s">
        <v>55</v>
      </c>
      <c r="I3008" s="6" t="s">
        <v>7566</v>
      </c>
      <c r="J3008" s="6" t="s">
        <v>91</v>
      </c>
      <c r="K3008" s="9" t="str">
        <f t="shared" ref="K3008:K3009" si="145">HYPERLINK("https://media.licdn.com/dms/image/v2/D4E22AQG-isV4QpX2mA/feedshare-shrink_1280/B4EZ1E59koHkAM-/0/1774977538931?e=2147483647&amp;v=beta&amp;t=NfAekifcR1QwSyKCvuS9L8RrJ-nDWkB0zxp7a5zQHX8","Open Creative")</f>
        <v>Open Creative</v>
      </c>
      <c r="L3008" s="6" t="s">
        <v>131</v>
      </c>
      <c r="M3008" s="6" t="s">
        <v>7537</v>
      </c>
      <c r="N3008" s="6" t="s">
        <v>132</v>
      </c>
      <c r="O3008" s="36" t="s">
        <v>132</v>
      </c>
      <c r="P3008" s="36">
        <v>1.386707926E9</v>
      </c>
      <c r="Q3008" s="36" t="s">
        <v>7541</v>
      </c>
      <c r="R3008" s="6" t="s">
        <v>7542</v>
      </c>
    </row>
    <row r="3009">
      <c r="A3009" s="6" t="s">
        <v>7537</v>
      </c>
      <c r="B3009" s="6" t="s">
        <v>7537</v>
      </c>
      <c r="C3009" s="6">
        <v>1400.0</v>
      </c>
      <c r="D3009" s="9" t="str">
        <f>HYPERLINK("https://www.linkedin.com/ad-library/detail/1386796446","Open Ad")</f>
        <v>Open Ad</v>
      </c>
      <c r="E3009" s="6" t="s">
        <v>91</v>
      </c>
      <c r="F3009" s="6" t="s">
        <v>53</v>
      </c>
      <c r="G3009" s="6" t="s">
        <v>7815</v>
      </c>
      <c r="H3009" s="6" t="s">
        <v>55</v>
      </c>
      <c r="I3009" s="6" t="s">
        <v>7566</v>
      </c>
      <c r="J3009" s="6" t="s">
        <v>91</v>
      </c>
      <c r="K3009" s="9" t="str">
        <f t="shared" si="145"/>
        <v>Open Creative</v>
      </c>
      <c r="L3009" s="6" t="s">
        <v>131</v>
      </c>
      <c r="M3009" s="6" t="s">
        <v>7537</v>
      </c>
      <c r="N3009" s="6" t="s">
        <v>132</v>
      </c>
      <c r="O3009" s="36" t="s">
        <v>132</v>
      </c>
      <c r="P3009" s="36">
        <v>1.386796446E9</v>
      </c>
      <c r="Q3009" s="36" t="s">
        <v>7541</v>
      </c>
      <c r="R3009" s="6" t="s">
        <v>7542</v>
      </c>
    </row>
    <row r="3010">
      <c r="A3010" s="6" t="s">
        <v>7537</v>
      </c>
      <c r="B3010" s="6" t="s">
        <v>7537</v>
      </c>
      <c r="C3010" s="6">
        <v>1401.0</v>
      </c>
      <c r="D3010" s="9" t="str">
        <f>HYPERLINK("https://www.linkedin.com/ad-library/detail/1212082213","Open Ad")</f>
        <v>Open Ad</v>
      </c>
      <c r="E3010" s="6" t="s">
        <v>91</v>
      </c>
      <c r="F3010" s="6" t="s">
        <v>53</v>
      </c>
      <c r="G3010" s="6" t="s">
        <v>7819</v>
      </c>
      <c r="H3010" s="6" t="s">
        <v>55</v>
      </c>
      <c r="I3010" s="6" t="s">
        <v>7566</v>
      </c>
      <c r="J3010" s="6" t="s">
        <v>91</v>
      </c>
      <c r="K3010" s="9" t="str">
        <f>HYPERLINK("https://media.licdn.com/dms/image/v2/D4D10AQGF-W44AnxRpQ/image-shrink_1280/B4DZ1wzQjNJ0Ac-/0/1775713978842/PF-TaxFilingAd2-13326png?e=2147483647&amp;v=beta&amp;t=XCsqe87hY1-_Vsw8XBfT1KdYXQs3HWX4ljuSFKzZnV8","Open Creative")</f>
        <v>Open Creative</v>
      </c>
      <c r="L3010" s="6" t="s">
        <v>131</v>
      </c>
      <c r="M3010" s="6" t="s">
        <v>7537</v>
      </c>
      <c r="N3010" s="6" t="s">
        <v>132</v>
      </c>
      <c r="O3010" s="36" t="s">
        <v>132</v>
      </c>
      <c r="P3010" s="36">
        <v>1.212082213E9</v>
      </c>
      <c r="Q3010" s="36" t="s">
        <v>7541</v>
      </c>
      <c r="R3010" s="6" t="s">
        <v>7542</v>
      </c>
    </row>
    <row r="3011">
      <c r="A3011" s="6" t="s">
        <v>7537</v>
      </c>
      <c r="B3011" s="6" t="s">
        <v>7537</v>
      </c>
      <c r="C3011" s="6">
        <v>1402.0</v>
      </c>
      <c r="D3011" s="9" t="str">
        <f>HYPERLINK("https://www.linkedin.com/ad-library/detail/1389712976","Open Ad")</f>
        <v>Open Ad</v>
      </c>
      <c r="E3011" s="6" t="s">
        <v>91</v>
      </c>
      <c r="F3011" s="6" t="s">
        <v>53</v>
      </c>
      <c r="G3011" s="6" t="s">
        <v>7809</v>
      </c>
      <c r="H3011" s="6" t="s">
        <v>55</v>
      </c>
      <c r="I3011" s="6" t="s">
        <v>7566</v>
      </c>
      <c r="J3011" s="6" t="s">
        <v>91</v>
      </c>
      <c r="K3011" s="9" t="str">
        <f>HYPERLINK("https://media.licdn.com/dms/image/v2/D4E22AQG5OiwEIDONrg/feedshare-image-high-res/B4EZ14ROdsJcAU-/0/1775839275119?e=2147483647&amp;v=beta&amp;t=CDqGebAcF3Q5ziKcbgGOb-hRNl4RQ_TCZwGtjqCHTes","Open Creative")</f>
        <v>Open Creative</v>
      </c>
      <c r="L3011" s="6" t="s">
        <v>131</v>
      </c>
      <c r="M3011" s="6" t="s">
        <v>7537</v>
      </c>
      <c r="N3011" s="6" t="s">
        <v>132</v>
      </c>
      <c r="O3011" s="36" t="s">
        <v>132</v>
      </c>
      <c r="P3011" s="36">
        <v>1.389712976E9</v>
      </c>
      <c r="Q3011" s="36" t="s">
        <v>7541</v>
      </c>
      <c r="R3011" s="6" t="s">
        <v>7542</v>
      </c>
    </row>
    <row r="3012">
      <c r="A3012" s="6" t="s">
        <v>7537</v>
      </c>
      <c r="B3012" s="6" t="s">
        <v>7537</v>
      </c>
      <c r="C3012" s="6">
        <v>1403.0</v>
      </c>
      <c r="D3012" s="9" t="str">
        <f>HYPERLINK("https://www.linkedin.com/ad-library/detail/1386717486","Open Ad")</f>
        <v>Open Ad</v>
      </c>
      <c r="E3012" s="6" t="s">
        <v>154</v>
      </c>
      <c r="F3012" s="6" t="s">
        <v>53</v>
      </c>
      <c r="G3012" s="6" t="s">
        <v>7802</v>
      </c>
      <c r="H3012" s="6" t="s">
        <v>55</v>
      </c>
      <c r="I3012" s="6" t="s">
        <v>7566</v>
      </c>
      <c r="J3012" s="6" t="s">
        <v>154</v>
      </c>
      <c r="K3012" s="9" t="str">
        <f>HYPERLINK("https://dms.licdn.com/playlist/vid/v2/D4E10AQHFU1k453OYrA/mp4-640p-30fp-crf28/B4EZ1T2oaIGoBk-/0/1775228339149?e=2147483647&amp;v=beta&amp;t=kBnW5fM4ijMUPneQ4OMxjdJ5g1DIFxIn44cnT0Y2FNs","Open Creative")</f>
        <v>Open Creative</v>
      </c>
      <c r="L3012" s="6" t="s">
        <v>131</v>
      </c>
      <c r="M3012" s="6" t="s">
        <v>7537</v>
      </c>
      <c r="N3012" s="6" t="s">
        <v>132</v>
      </c>
      <c r="O3012" s="36" t="s">
        <v>132</v>
      </c>
      <c r="P3012" s="36">
        <v>1.386717486E9</v>
      </c>
      <c r="Q3012" s="36" t="s">
        <v>7541</v>
      </c>
      <c r="R3012" s="6" t="s">
        <v>7542</v>
      </c>
    </row>
    <row r="3013">
      <c r="A3013" s="6" t="s">
        <v>7537</v>
      </c>
      <c r="B3013" s="6" t="s">
        <v>7537</v>
      </c>
      <c r="C3013" s="6">
        <v>1404.0</v>
      </c>
      <c r="D3013" s="9" t="str">
        <f>HYPERLINK("https://www.linkedin.com/ad-library/detail/1386943806","Open Ad")</f>
        <v>Open Ad</v>
      </c>
      <c r="E3013" s="6" t="s">
        <v>91</v>
      </c>
      <c r="F3013" s="6" t="s">
        <v>53</v>
      </c>
      <c r="G3013" s="6" t="s">
        <v>7815</v>
      </c>
      <c r="H3013" s="6" t="s">
        <v>55</v>
      </c>
      <c r="I3013" s="6" t="s">
        <v>7566</v>
      </c>
      <c r="J3013" s="6" t="s">
        <v>91</v>
      </c>
      <c r="K3013" s="9" t="str">
        <f>HYPERLINK("https://media.licdn.com/dms/image/v2/D4E22AQG-isV4QpX2mA/feedshare-shrink_1280/B4EZ1E59koHkAM-/0/1774977538931?e=2147483647&amp;v=beta&amp;t=NfAekifcR1QwSyKCvuS9L8RrJ-nDWkB0zxp7a5zQHX8","Open Creative")</f>
        <v>Open Creative</v>
      </c>
      <c r="L3013" s="6" t="s">
        <v>131</v>
      </c>
      <c r="M3013" s="6" t="s">
        <v>7537</v>
      </c>
      <c r="N3013" s="6" t="s">
        <v>132</v>
      </c>
      <c r="O3013" s="36" t="s">
        <v>132</v>
      </c>
      <c r="P3013" s="36">
        <v>1.386943806E9</v>
      </c>
      <c r="Q3013" s="36" t="s">
        <v>7541</v>
      </c>
      <c r="R3013" s="6" t="s">
        <v>7542</v>
      </c>
    </row>
    <row r="3014">
      <c r="A3014" s="6" t="s">
        <v>7537</v>
      </c>
      <c r="B3014" s="6" t="s">
        <v>7537</v>
      </c>
      <c r="C3014" s="6">
        <v>1405.0</v>
      </c>
      <c r="D3014" s="9" t="str">
        <f>HYPERLINK("https://www.linkedin.com/ad-library/detail/1389633046","Open Ad")</f>
        <v>Open Ad</v>
      </c>
      <c r="E3014" s="6" t="s">
        <v>91</v>
      </c>
      <c r="F3014" s="6" t="s">
        <v>53</v>
      </c>
      <c r="G3014" s="6" t="s">
        <v>7809</v>
      </c>
      <c r="H3014" s="6" t="s">
        <v>55</v>
      </c>
      <c r="I3014" s="6" t="s">
        <v>7566</v>
      </c>
      <c r="J3014" s="6" t="s">
        <v>91</v>
      </c>
      <c r="K3014" s="9" t="str">
        <f>HYPERLINK("https://media.licdn.com/dms/image/v2/D4E22AQG5OiwEIDONrg/feedshare-image-high-res/B4EZ14ROdsJcAU-/0/1775839275119?e=2147483647&amp;v=beta&amp;t=CDqGebAcF3Q5ziKcbgGOb-hRNl4RQ_TCZwGtjqCHTes","Open Creative")</f>
        <v>Open Creative</v>
      </c>
      <c r="L3014" s="6" t="s">
        <v>131</v>
      </c>
      <c r="M3014" s="6" t="s">
        <v>7537</v>
      </c>
      <c r="N3014" s="6" t="s">
        <v>132</v>
      </c>
      <c r="O3014" s="36" t="s">
        <v>132</v>
      </c>
      <c r="P3014" s="36">
        <v>1.389633046E9</v>
      </c>
      <c r="Q3014" s="36" t="s">
        <v>7541</v>
      </c>
      <c r="R3014" s="6" t="s">
        <v>7542</v>
      </c>
    </row>
    <row r="3015">
      <c r="A3015" s="6" t="s">
        <v>7537</v>
      </c>
      <c r="B3015" s="6" t="s">
        <v>7537</v>
      </c>
      <c r="C3015" s="6">
        <v>1406.0</v>
      </c>
      <c r="D3015" s="9" t="str">
        <f>HYPERLINK("https://www.linkedin.com/ad-library/detail/1389235176","Open Ad")</f>
        <v>Open Ad</v>
      </c>
      <c r="E3015" s="6" t="s">
        <v>91</v>
      </c>
      <c r="F3015" s="6" t="s">
        <v>53</v>
      </c>
      <c r="G3015" s="6" t="s">
        <v>7810</v>
      </c>
      <c r="H3015" s="6" t="s">
        <v>55</v>
      </c>
      <c r="I3015" s="6" t="s">
        <v>7566</v>
      </c>
      <c r="J3015" s="6" t="s">
        <v>91</v>
      </c>
      <c r="K3015" s="9" t="str">
        <f>HYPERLINK("https://media.licdn.com/dms/image/v2/D4E10AQE02M4AwdIpKg/image-shrink_1280/B4EZzjNoazHgAg-/0/1773338527903?e=2147483647&amp;v=beta&amp;t=M34sdSlaI0Zavq6spWkzXBQYfvzfdv65RLj0E7DPYhc","Open Creative")</f>
        <v>Open Creative</v>
      </c>
      <c r="L3015" s="6" t="s">
        <v>131</v>
      </c>
      <c r="M3015" s="6" t="s">
        <v>7537</v>
      </c>
      <c r="N3015" s="6" t="s">
        <v>132</v>
      </c>
      <c r="O3015" s="36" t="s">
        <v>132</v>
      </c>
      <c r="P3015" s="36">
        <v>1.389235176E9</v>
      </c>
      <c r="Q3015" s="36" t="s">
        <v>7541</v>
      </c>
      <c r="R3015" s="6" t="s">
        <v>7542</v>
      </c>
    </row>
    <row r="3016">
      <c r="A3016" s="6" t="s">
        <v>7537</v>
      </c>
      <c r="B3016" s="6" t="s">
        <v>7537</v>
      </c>
      <c r="C3016" s="6">
        <v>1407.0</v>
      </c>
      <c r="D3016" s="9" t="str">
        <f>HYPERLINK("https://www.linkedin.com/ad-library/detail/1386876426","Open Ad")</f>
        <v>Open Ad</v>
      </c>
      <c r="E3016" s="6" t="s">
        <v>91</v>
      </c>
      <c r="F3016" s="6" t="s">
        <v>53</v>
      </c>
      <c r="G3016" s="6" t="s">
        <v>7820</v>
      </c>
      <c r="H3016" s="6" t="s">
        <v>55</v>
      </c>
      <c r="I3016" s="6" t="s">
        <v>7566</v>
      </c>
      <c r="J3016" s="6" t="s">
        <v>91</v>
      </c>
      <c r="K3016" s="6" t="s">
        <v>60</v>
      </c>
      <c r="L3016" s="6" t="s">
        <v>131</v>
      </c>
      <c r="M3016" s="6" t="s">
        <v>7537</v>
      </c>
      <c r="N3016" s="6" t="s">
        <v>132</v>
      </c>
      <c r="O3016" s="36" t="s">
        <v>132</v>
      </c>
      <c r="P3016" s="36">
        <v>1.386876426E9</v>
      </c>
      <c r="Q3016" s="36" t="s">
        <v>7541</v>
      </c>
      <c r="R3016" s="6" t="s">
        <v>7542</v>
      </c>
    </row>
    <row r="3017">
      <c r="A3017" s="6" t="s">
        <v>7537</v>
      </c>
      <c r="B3017" s="6" t="s">
        <v>7537</v>
      </c>
      <c r="C3017" s="6">
        <v>1408.0</v>
      </c>
      <c r="D3017" s="9" t="str">
        <f>HYPERLINK("https://www.linkedin.com/ad-library/detail/1386766436","Open Ad")</f>
        <v>Open Ad</v>
      </c>
      <c r="E3017" s="6" t="s">
        <v>91</v>
      </c>
      <c r="F3017" s="6" t="s">
        <v>53</v>
      </c>
      <c r="G3017" s="6" t="s">
        <v>7815</v>
      </c>
      <c r="H3017" s="6" t="s">
        <v>55</v>
      </c>
      <c r="I3017" s="6" t="s">
        <v>7566</v>
      </c>
      <c r="J3017" s="6" t="s">
        <v>91</v>
      </c>
      <c r="K3017" s="9" t="str">
        <f>HYPERLINK("https://media.licdn.com/dms/image/v2/D4E22AQG-isV4QpX2mA/feedshare-shrink_1280/B4EZ1E59koHkAM-/0/1774977538931?e=2147483647&amp;v=beta&amp;t=NfAekifcR1QwSyKCvuS9L8RrJ-nDWkB0zxp7a5zQHX8","Open Creative")</f>
        <v>Open Creative</v>
      </c>
      <c r="L3017" s="6" t="s">
        <v>131</v>
      </c>
      <c r="M3017" s="6" t="s">
        <v>7537</v>
      </c>
      <c r="N3017" s="6" t="s">
        <v>132</v>
      </c>
      <c r="O3017" s="36" t="s">
        <v>132</v>
      </c>
      <c r="P3017" s="36">
        <v>1.386766436E9</v>
      </c>
      <c r="Q3017" s="36" t="s">
        <v>7541</v>
      </c>
      <c r="R3017" s="6" t="s">
        <v>7542</v>
      </c>
    </row>
    <row r="3018">
      <c r="A3018" s="6" t="s">
        <v>7537</v>
      </c>
      <c r="B3018" s="6" t="s">
        <v>7537</v>
      </c>
      <c r="C3018" s="6">
        <v>1409.0</v>
      </c>
      <c r="D3018" s="9" t="str">
        <f>HYPERLINK("https://www.linkedin.com/ad-library/detail/1389045066","Open Ad")</f>
        <v>Open Ad</v>
      </c>
      <c r="E3018" s="6" t="s">
        <v>91</v>
      </c>
      <c r="F3018" s="6" t="s">
        <v>53</v>
      </c>
      <c r="G3018" s="6" t="s">
        <v>7810</v>
      </c>
      <c r="H3018" s="6" t="s">
        <v>55</v>
      </c>
      <c r="I3018" s="6" t="s">
        <v>7566</v>
      </c>
      <c r="J3018" s="6" t="s">
        <v>91</v>
      </c>
      <c r="K3018" s="9" t="str">
        <f>HYPERLINK("https://media.licdn.com/dms/image/v2/D4E10AQE02M4AwdIpKg/image-shrink_1280/B4EZzjNoazHgAg-/0/1773338527903?e=2147483647&amp;v=beta&amp;t=M34sdSlaI0Zavq6spWkzXBQYfvzfdv65RLj0E7DPYhc","Open Creative")</f>
        <v>Open Creative</v>
      </c>
      <c r="L3018" s="6" t="s">
        <v>131</v>
      </c>
      <c r="M3018" s="6" t="s">
        <v>7537</v>
      </c>
      <c r="N3018" s="6" t="s">
        <v>132</v>
      </c>
      <c r="O3018" s="36" t="s">
        <v>132</v>
      </c>
      <c r="P3018" s="36">
        <v>1.389045066E9</v>
      </c>
      <c r="Q3018" s="36" t="s">
        <v>7541</v>
      </c>
      <c r="R3018" s="6" t="s">
        <v>7542</v>
      </c>
    </row>
    <row r="3019">
      <c r="A3019" s="6" t="s">
        <v>7537</v>
      </c>
      <c r="B3019" s="6" t="s">
        <v>7537</v>
      </c>
      <c r="C3019" s="6">
        <v>1410.0</v>
      </c>
      <c r="D3019" s="9" t="str">
        <f>HYPERLINK("https://www.linkedin.com/ad-library/detail/1386787336","Open Ad")</f>
        <v>Open Ad</v>
      </c>
      <c r="E3019" s="6" t="s">
        <v>91</v>
      </c>
      <c r="F3019" s="6" t="s">
        <v>53</v>
      </c>
      <c r="G3019" s="6" t="s">
        <v>7821</v>
      </c>
      <c r="H3019" s="6" t="s">
        <v>55</v>
      </c>
      <c r="I3019" s="6" t="s">
        <v>7566</v>
      </c>
      <c r="J3019" s="6" t="s">
        <v>91</v>
      </c>
      <c r="K3019" s="6" t="s">
        <v>60</v>
      </c>
      <c r="L3019" s="6" t="s">
        <v>131</v>
      </c>
      <c r="M3019" s="6" t="s">
        <v>7537</v>
      </c>
      <c r="N3019" s="6" t="s">
        <v>132</v>
      </c>
      <c r="O3019" s="36" t="s">
        <v>132</v>
      </c>
      <c r="P3019" s="36">
        <v>1.386787336E9</v>
      </c>
      <c r="Q3019" s="36" t="s">
        <v>7541</v>
      </c>
      <c r="R3019" s="6" t="s">
        <v>7542</v>
      </c>
    </row>
    <row r="3020">
      <c r="A3020" s="6" t="s">
        <v>7537</v>
      </c>
      <c r="B3020" s="6" t="s">
        <v>7537</v>
      </c>
      <c r="C3020" s="6">
        <v>1411.0</v>
      </c>
      <c r="D3020" s="9" t="str">
        <f>HYPERLINK("https://www.linkedin.com/ad-library/detail/1389693086","Open Ad")</f>
        <v>Open Ad</v>
      </c>
      <c r="E3020" s="6" t="s">
        <v>91</v>
      </c>
      <c r="F3020" s="6" t="s">
        <v>53</v>
      </c>
      <c r="G3020" s="6" t="s">
        <v>7809</v>
      </c>
      <c r="H3020" s="6" t="s">
        <v>55</v>
      </c>
      <c r="I3020" s="6" t="s">
        <v>7566</v>
      </c>
      <c r="J3020" s="6" t="s">
        <v>91</v>
      </c>
      <c r="K3020" s="9" t="str">
        <f t="shared" ref="K3020:K3021" si="146">HYPERLINK("https://media.licdn.com/dms/image/v2/D4E22AQG5OiwEIDONrg/feedshare-image-high-res/B4EZ14ROdsJcAU-/0/1775839275119?e=2147483647&amp;v=beta&amp;t=CDqGebAcF3Q5ziKcbgGOb-hRNl4RQ_TCZwGtjqCHTes","Open Creative")</f>
        <v>Open Creative</v>
      </c>
      <c r="L3020" s="6" t="s">
        <v>131</v>
      </c>
      <c r="M3020" s="6" t="s">
        <v>7537</v>
      </c>
      <c r="N3020" s="6" t="s">
        <v>132</v>
      </c>
      <c r="O3020" s="36" t="s">
        <v>132</v>
      </c>
      <c r="P3020" s="36">
        <v>1.389693086E9</v>
      </c>
      <c r="Q3020" s="36" t="s">
        <v>7541</v>
      </c>
      <c r="R3020" s="6" t="s">
        <v>7542</v>
      </c>
    </row>
    <row r="3021">
      <c r="A3021" s="6" t="s">
        <v>7537</v>
      </c>
      <c r="B3021" s="6" t="s">
        <v>7537</v>
      </c>
      <c r="C3021" s="6">
        <v>1412.0</v>
      </c>
      <c r="D3021" s="9" t="str">
        <f>HYPERLINK("https://www.linkedin.com/ad-library/detail/1389762946","Open Ad")</f>
        <v>Open Ad</v>
      </c>
      <c r="E3021" s="6" t="s">
        <v>91</v>
      </c>
      <c r="F3021" s="6" t="s">
        <v>53</v>
      </c>
      <c r="G3021" s="6" t="s">
        <v>7809</v>
      </c>
      <c r="H3021" s="6" t="s">
        <v>55</v>
      </c>
      <c r="I3021" s="6" t="s">
        <v>7566</v>
      </c>
      <c r="J3021" s="6" t="s">
        <v>91</v>
      </c>
      <c r="K3021" s="9" t="str">
        <f t="shared" si="146"/>
        <v>Open Creative</v>
      </c>
      <c r="L3021" s="6" t="s">
        <v>131</v>
      </c>
      <c r="M3021" s="6" t="s">
        <v>7537</v>
      </c>
      <c r="N3021" s="6" t="s">
        <v>132</v>
      </c>
      <c r="O3021" s="36" t="s">
        <v>132</v>
      </c>
      <c r="P3021" s="36">
        <v>1.389762946E9</v>
      </c>
      <c r="Q3021" s="36" t="s">
        <v>7541</v>
      </c>
      <c r="R3021" s="6" t="s">
        <v>7542</v>
      </c>
    </row>
    <row r="3022">
      <c r="A3022" s="6" t="s">
        <v>7537</v>
      </c>
      <c r="B3022" s="6" t="s">
        <v>7537</v>
      </c>
      <c r="C3022" s="6">
        <v>1413.0</v>
      </c>
      <c r="D3022" s="9" t="str">
        <f>HYPERLINK("https://www.linkedin.com/ad-library/detail/1389625176","Open Ad")</f>
        <v>Open Ad</v>
      </c>
      <c r="E3022" s="6" t="s">
        <v>91</v>
      </c>
      <c r="F3022" s="6" t="s">
        <v>53</v>
      </c>
      <c r="G3022" s="6" t="s">
        <v>7810</v>
      </c>
      <c r="H3022" s="6" t="s">
        <v>55</v>
      </c>
      <c r="I3022" s="6" t="s">
        <v>7566</v>
      </c>
      <c r="J3022" s="6" t="s">
        <v>91</v>
      </c>
      <c r="K3022" s="9" t="str">
        <f>HYPERLINK("https://media.licdn.com/dms/image/v2/D4E10AQE02M4AwdIpKg/image-shrink_1280/B4EZzjNoazHgAg-/0/1773338527903?e=2147483647&amp;v=beta&amp;t=M34sdSlaI0Zavq6spWkzXBQYfvzfdv65RLj0E7DPYhc","Open Creative")</f>
        <v>Open Creative</v>
      </c>
      <c r="L3022" s="6" t="s">
        <v>131</v>
      </c>
      <c r="M3022" s="6" t="s">
        <v>7537</v>
      </c>
      <c r="N3022" s="6" t="s">
        <v>132</v>
      </c>
      <c r="O3022" s="36" t="s">
        <v>132</v>
      </c>
      <c r="P3022" s="36">
        <v>1.389625176E9</v>
      </c>
      <c r="Q3022" s="36" t="s">
        <v>7541</v>
      </c>
      <c r="R3022" s="6" t="s">
        <v>7542</v>
      </c>
    </row>
    <row r="3023">
      <c r="A3023" s="6" t="s">
        <v>7537</v>
      </c>
      <c r="B3023" s="6" t="s">
        <v>7537</v>
      </c>
      <c r="C3023" s="6">
        <v>1414.0</v>
      </c>
      <c r="D3023" s="9" t="str">
        <f>HYPERLINK("https://www.linkedin.com/ad-library/detail/1386817456","Open Ad")</f>
        <v>Open Ad</v>
      </c>
      <c r="E3023" s="6" t="s">
        <v>91</v>
      </c>
      <c r="F3023" s="6" t="s">
        <v>53</v>
      </c>
      <c r="G3023" s="6" t="s">
        <v>7674</v>
      </c>
      <c r="H3023" s="6" t="s">
        <v>55</v>
      </c>
      <c r="I3023" s="6" t="s">
        <v>7566</v>
      </c>
      <c r="J3023" s="6" t="s">
        <v>91</v>
      </c>
      <c r="K3023" s="6" t="s">
        <v>60</v>
      </c>
      <c r="L3023" s="6" t="s">
        <v>131</v>
      </c>
      <c r="M3023" s="6" t="s">
        <v>7537</v>
      </c>
      <c r="N3023" s="6" t="s">
        <v>132</v>
      </c>
      <c r="O3023" s="36" t="s">
        <v>132</v>
      </c>
      <c r="P3023" s="36">
        <v>1.386817456E9</v>
      </c>
      <c r="Q3023" s="36" t="s">
        <v>7541</v>
      </c>
      <c r="R3023" s="6" t="s">
        <v>7542</v>
      </c>
    </row>
    <row r="3024">
      <c r="A3024" s="6" t="s">
        <v>7537</v>
      </c>
      <c r="B3024" s="6" t="s">
        <v>7537</v>
      </c>
      <c r="C3024" s="6">
        <v>1415.0</v>
      </c>
      <c r="D3024" s="9" t="str">
        <f>HYPERLINK("https://www.linkedin.com/ad-library/detail/1389124646","Open Ad")</f>
        <v>Open Ad</v>
      </c>
      <c r="E3024" s="6" t="s">
        <v>91</v>
      </c>
      <c r="F3024" s="6" t="s">
        <v>53</v>
      </c>
      <c r="G3024" s="6" t="s">
        <v>7810</v>
      </c>
      <c r="H3024" s="6" t="s">
        <v>55</v>
      </c>
      <c r="I3024" s="6" t="s">
        <v>7566</v>
      </c>
      <c r="J3024" s="6" t="s">
        <v>91</v>
      </c>
      <c r="K3024" s="9" t="str">
        <f>HYPERLINK("https://media.licdn.com/dms/image/v2/D4E10AQE02M4AwdIpKg/image-shrink_1280/B4EZzjNoazHgAg-/0/1773338527903?e=2147483647&amp;v=beta&amp;t=M34sdSlaI0Zavq6spWkzXBQYfvzfdv65RLj0E7DPYhc","Open Creative")</f>
        <v>Open Creative</v>
      </c>
      <c r="L3024" s="6" t="s">
        <v>131</v>
      </c>
      <c r="M3024" s="6" t="s">
        <v>7537</v>
      </c>
      <c r="N3024" s="6" t="s">
        <v>132</v>
      </c>
      <c r="O3024" s="36" t="s">
        <v>132</v>
      </c>
      <c r="P3024" s="36">
        <v>1.389124646E9</v>
      </c>
      <c r="Q3024" s="36" t="s">
        <v>7541</v>
      </c>
      <c r="R3024" s="6" t="s">
        <v>7542</v>
      </c>
    </row>
    <row r="3025">
      <c r="A3025" s="6" t="s">
        <v>7537</v>
      </c>
      <c r="B3025" s="6" t="s">
        <v>7537</v>
      </c>
      <c r="C3025" s="6">
        <v>1416.0</v>
      </c>
      <c r="D3025" s="9" t="str">
        <f>HYPERLINK("https://www.linkedin.com/ad-library/detail/1386766426","Open Ad")</f>
        <v>Open Ad</v>
      </c>
      <c r="E3025" s="6" t="s">
        <v>91</v>
      </c>
      <c r="F3025" s="6" t="s">
        <v>53</v>
      </c>
      <c r="G3025" s="6" t="s">
        <v>7815</v>
      </c>
      <c r="H3025" s="6" t="s">
        <v>55</v>
      </c>
      <c r="I3025" s="6" t="s">
        <v>7566</v>
      </c>
      <c r="J3025" s="6" t="s">
        <v>91</v>
      </c>
      <c r="K3025" s="9" t="str">
        <f>HYPERLINK("https://media.licdn.com/dms/image/v2/D4E22AQG-isV4QpX2mA/feedshare-shrink_1280/B4EZ1E59koHkAM-/0/1774977538931?e=2147483647&amp;v=beta&amp;t=NfAekifcR1QwSyKCvuS9L8RrJ-nDWkB0zxp7a5zQHX8","Open Creative")</f>
        <v>Open Creative</v>
      </c>
      <c r="L3025" s="6" t="s">
        <v>131</v>
      </c>
      <c r="M3025" s="6" t="s">
        <v>7537</v>
      </c>
      <c r="N3025" s="6" t="s">
        <v>132</v>
      </c>
      <c r="O3025" s="36" t="s">
        <v>132</v>
      </c>
      <c r="P3025" s="36">
        <v>1.386766426E9</v>
      </c>
      <c r="Q3025" s="36" t="s">
        <v>7541</v>
      </c>
      <c r="R3025" s="6" t="s">
        <v>7542</v>
      </c>
    </row>
    <row r="3026">
      <c r="A3026" s="6" t="s">
        <v>7537</v>
      </c>
      <c r="B3026" s="6" t="s">
        <v>7537</v>
      </c>
      <c r="C3026" s="6">
        <v>1417.0</v>
      </c>
      <c r="D3026" s="9" t="str">
        <f>HYPERLINK("https://www.linkedin.com/ad-library/detail/1386373536","Open Ad")</f>
        <v>Open Ad</v>
      </c>
      <c r="E3026" s="6" t="s">
        <v>154</v>
      </c>
      <c r="F3026" s="6" t="s">
        <v>53</v>
      </c>
      <c r="G3026" s="6" t="s">
        <v>7822</v>
      </c>
      <c r="H3026" s="6" t="s">
        <v>55</v>
      </c>
      <c r="I3026" s="6" t="s">
        <v>7566</v>
      </c>
      <c r="J3026" s="6" t="s">
        <v>154</v>
      </c>
      <c r="K3026" s="9" t="str">
        <f>HYPERLINK("https://dms.licdn.com/playlist/vid/v2/D5605AQE5q9Kn26LzKw/mp4-640p-30fp-crf28/B56Z1UOY8lKMBw-/0/1775234569554?e=2147483647&amp;v=beta&amp;t=zgVpzdGSNmy5mcaa-k7-_IZ-BlvkWSp4DPPJC7oYPrU","Open Creative")</f>
        <v>Open Creative</v>
      </c>
      <c r="L3026" s="6" t="s">
        <v>131</v>
      </c>
      <c r="M3026" s="6" t="s">
        <v>7537</v>
      </c>
      <c r="N3026" s="6" t="s">
        <v>132</v>
      </c>
      <c r="O3026" s="36" t="s">
        <v>132</v>
      </c>
      <c r="P3026" s="36">
        <v>1.386373536E9</v>
      </c>
      <c r="Q3026" s="36" t="s">
        <v>7541</v>
      </c>
      <c r="R3026" s="6" t="s">
        <v>7542</v>
      </c>
    </row>
    <row r="3027">
      <c r="A3027" s="6" t="s">
        <v>7537</v>
      </c>
      <c r="B3027" s="6" t="s">
        <v>7537</v>
      </c>
      <c r="C3027" s="6">
        <v>1418.0</v>
      </c>
      <c r="D3027" s="9" t="str">
        <f>HYPERLINK("https://www.linkedin.com/ad-library/detail/1384385916","Open Ad")</f>
        <v>Open Ad</v>
      </c>
      <c r="E3027" s="6" t="s">
        <v>91</v>
      </c>
      <c r="F3027" s="6" t="s">
        <v>53</v>
      </c>
      <c r="G3027" s="6" t="s">
        <v>7823</v>
      </c>
      <c r="H3027" s="6" t="s">
        <v>55</v>
      </c>
      <c r="I3027" s="6" t="s">
        <v>7566</v>
      </c>
      <c r="J3027" s="6" t="s">
        <v>91</v>
      </c>
      <c r="K3027" s="9" t="str">
        <f>HYPERLINK("https://media.licdn.com/dms/image/v2/D5622AQEInAZBmlWqLA/feedshare-shrink_1280/B56Z0v.8HQHEAM-/0/1774626522073?e=2147483647&amp;v=beta&amp;t=i1UxmNQIr7TJE4j57LyP5syoTi1z40rlnBaz77zMsLM","Open Creative")</f>
        <v>Open Creative</v>
      </c>
      <c r="L3027" s="6" t="s">
        <v>131</v>
      </c>
      <c r="M3027" s="6" t="s">
        <v>7537</v>
      </c>
      <c r="N3027" s="6" t="s">
        <v>132</v>
      </c>
      <c r="O3027" s="36" t="s">
        <v>132</v>
      </c>
      <c r="P3027" s="36">
        <v>1.384385916E9</v>
      </c>
      <c r="Q3027" s="36" t="s">
        <v>7541</v>
      </c>
      <c r="R3027" s="6" t="s">
        <v>7542</v>
      </c>
    </row>
    <row r="3028">
      <c r="A3028" s="6" t="s">
        <v>7537</v>
      </c>
      <c r="B3028" s="6" t="s">
        <v>7537</v>
      </c>
      <c r="C3028" s="6">
        <v>1419.0</v>
      </c>
      <c r="D3028" s="9" t="str">
        <f>HYPERLINK("https://www.linkedin.com/ad-library/detail/1382082196","Open Ad")</f>
        <v>Open Ad</v>
      </c>
      <c r="E3028" s="6" t="s">
        <v>154</v>
      </c>
      <c r="F3028" s="6" t="s">
        <v>53</v>
      </c>
      <c r="G3028" s="6" t="s">
        <v>7824</v>
      </c>
      <c r="H3028" s="6" t="s">
        <v>55</v>
      </c>
      <c r="I3028" s="6" t="s">
        <v>7566</v>
      </c>
      <c r="J3028" s="6" t="s">
        <v>154</v>
      </c>
      <c r="K3028" s="9" t="str">
        <f>HYPERLINK("https://dms.licdn.com/playlist/vid/v2/D4E05AQHfrsi8WLiiGg/mp4-720p-30fp-crf28/B4EZ0wzt51IgCI-/0/1774640363495?e=2147483647&amp;v=beta&amp;t=WzZ08_I7Ujq4TTuTSqSErEL6J_WQT3SwiKVQL5m00Kw","Open Creative")</f>
        <v>Open Creative</v>
      </c>
      <c r="L3028" s="6" t="s">
        <v>131</v>
      </c>
      <c r="M3028" s="6" t="s">
        <v>7537</v>
      </c>
      <c r="N3028" s="6" t="s">
        <v>132</v>
      </c>
      <c r="O3028" s="36" t="s">
        <v>132</v>
      </c>
      <c r="P3028" s="36">
        <v>1.382082196E9</v>
      </c>
      <c r="Q3028" s="36" t="s">
        <v>7541</v>
      </c>
      <c r="R3028" s="6" t="s">
        <v>7542</v>
      </c>
    </row>
    <row r="3029">
      <c r="A3029" s="6" t="s">
        <v>7537</v>
      </c>
      <c r="B3029" s="6" t="s">
        <v>7537</v>
      </c>
      <c r="C3029" s="6">
        <v>1420.0</v>
      </c>
      <c r="D3029" s="9" t="str">
        <f>HYPERLINK("https://www.linkedin.com/ad-library/detail/1386885586","Open Ad")</f>
        <v>Open Ad</v>
      </c>
      <c r="E3029" s="6" t="s">
        <v>154</v>
      </c>
      <c r="F3029" s="6" t="s">
        <v>53</v>
      </c>
      <c r="G3029" s="6" t="s">
        <v>7802</v>
      </c>
      <c r="H3029" s="6" t="s">
        <v>55</v>
      </c>
      <c r="I3029" s="6" t="s">
        <v>7566</v>
      </c>
      <c r="J3029" s="6" t="s">
        <v>154</v>
      </c>
      <c r="K3029" s="9" t="str">
        <f>HYPERLINK("https://dms.licdn.com/playlist/vid/v2/D4E10AQHFU1k453OYrA/mp4-640p-30fp-crf28/B4EZ1T2oaIGoBk-/0/1775228339149?e=2147483647&amp;v=beta&amp;t=kBnW5fM4ijMUPneQ4OMxjdJ5g1DIFxIn44cnT0Y2FNs","Open Creative")</f>
        <v>Open Creative</v>
      </c>
      <c r="L3029" s="6" t="s">
        <v>131</v>
      </c>
      <c r="M3029" s="6" t="s">
        <v>7537</v>
      </c>
      <c r="N3029" s="6" t="s">
        <v>132</v>
      </c>
      <c r="O3029" s="36" t="s">
        <v>132</v>
      </c>
      <c r="P3029" s="36">
        <v>1.386885586E9</v>
      </c>
      <c r="Q3029" s="36" t="s">
        <v>7541</v>
      </c>
      <c r="R3029" s="6" t="s">
        <v>7542</v>
      </c>
    </row>
    <row r="3030">
      <c r="A3030" s="6" t="s">
        <v>7537</v>
      </c>
      <c r="B3030" s="6" t="s">
        <v>7537</v>
      </c>
      <c r="C3030" s="6">
        <v>1421.0</v>
      </c>
      <c r="D3030" s="9" t="str">
        <f>HYPERLINK("https://www.linkedin.com/ad-library/detail/1382506676","Open Ad")</f>
        <v>Open Ad</v>
      </c>
      <c r="E3030" s="6" t="s">
        <v>154</v>
      </c>
      <c r="F3030" s="6" t="s">
        <v>53</v>
      </c>
      <c r="G3030" s="6" t="s">
        <v>7825</v>
      </c>
      <c r="H3030" s="6" t="s">
        <v>55</v>
      </c>
      <c r="I3030" s="6" t="s">
        <v>7566</v>
      </c>
      <c r="J3030" s="6" t="s">
        <v>154</v>
      </c>
      <c r="K3030" s="9" t="str">
        <f>HYPERLINK("https://dms.licdn.com/playlist/vid/v2/D4E05AQHGTJQKgeiwTg/mp4-640p-30fp-crf28/B4EZ0vEHRYJcBw-/0/1774611108366?e=2147483647&amp;v=beta&amp;t=wT0DP4iToOMmkr4T3oHIGREwgLctQr6Dy1WrXYa0GWU","Open Creative")</f>
        <v>Open Creative</v>
      </c>
      <c r="L3030" s="6" t="s">
        <v>131</v>
      </c>
      <c r="M3030" s="6" t="s">
        <v>7537</v>
      </c>
      <c r="N3030" s="6" t="s">
        <v>132</v>
      </c>
      <c r="O3030" s="36" t="s">
        <v>132</v>
      </c>
      <c r="P3030" s="36">
        <v>1.382506676E9</v>
      </c>
      <c r="Q3030" s="36" t="s">
        <v>7541</v>
      </c>
      <c r="R3030" s="6" t="s">
        <v>7542</v>
      </c>
    </row>
    <row r="3031">
      <c r="A3031" s="6" t="s">
        <v>7537</v>
      </c>
      <c r="B3031" s="6" t="s">
        <v>7537</v>
      </c>
      <c r="C3031" s="6">
        <v>1422.0</v>
      </c>
      <c r="D3031" s="9" t="str">
        <f>HYPERLINK("https://www.linkedin.com/ad-library/detail/1384444716","Open Ad")</f>
        <v>Open Ad</v>
      </c>
      <c r="E3031" s="6" t="s">
        <v>91</v>
      </c>
      <c r="F3031" s="6" t="s">
        <v>53</v>
      </c>
      <c r="G3031" s="6" t="s">
        <v>7826</v>
      </c>
      <c r="H3031" s="6" t="s">
        <v>55</v>
      </c>
      <c r="I3031" s="6" t="s">
        <v>7566</v>
      </c>
      <c r="J3031" s="6" t="s">
        <v>91</v>
      </c>
      <c r="K3031" s="9" t="str">
        <f>HYPERLINK("https://media.licdn.com/dms/image/v2/D5622AQGIj_U-NMkbOw/feedshare-shrink_1280/B56Z0g3OnDGYAM-/0/1774372842822?e=2147483647&amp;v=beta&amp;t=3Cs8-DhElG6aX6I2oASySXrymBEDYXJwR5meh6Vx_oU","Open Creative")</f>
        <v>Open Creative</v>
      </c>
      <c r="L3031" s="6" t="s">
        <v>131</v>
      </c>
      <c r="M3031" s="6" t="s">
        <v>7537</v>
      </c>
      <c r="N3031" s="6" t="s">
        <v>132</v>
      </c>
      <c r="O3031" s="36" t="s">
        <v>132</v>
      </c>
      <c r="P3031" s="36">
        <v>1.384444716E9</v>
      </c>
      <c r="Q3031" s="36" t="s">
        <v>7541</v>
      </c>
      <c r="R3031" s="6" t="s">
        <v>7542</v>
      </c>
    </row>
    <row r="3032">
      <c r="A3032" s="6" t="s">
        <v>7537</v>
      </c>
      <c r="B3032" s="6" t="s">
        <v>7537</v>
      </c>
      <c r="C3032" s="6">
        <v>1423.0</v>
      </c>
      <c r="D3032" s="9" t="str">
        <f>HYPERLINK("https://www.linkedin.com/ad-library/detail/1382506686","Open Ad")</f>
        <v>Open Ad</v>
      </c>
      <c r="E3032" s="6" t="s">
        <v>154</v>
      </c>
      <c r="F3032" s="6" t="s">
        <v>53</v>
      </c>
      <c r="G3032" s="6" t="s">
        <v>7827</v>
      </c>
      <c r="H3032" s="6" t="s">
        <v>55</v>
      </c>
      <c r="I3032" s="6" t="s">
        <v>7566</v>
      </c>
      <c r="J3032" s="6" t="s">
        <v>154</v>
      </c>
      <c r="K3032" s="9" t="str">
        <f>HYPERLINK("https://dms.licdn.com/playlist/vid/v2/D4E05AQEARG59OY5jLw/mp4-640p-30fp-crf28/B4EZ0xuhbyG4Bw-/0/1774655779707?e=2147483647&amp;v=beta&amp;t=UBzDipeQ1LEDsjatpxvHFZ8ppy-PxtwtBJ-IdAc2KlU","Open Creative")</f>
        <v>Open Creative</v>
      </c>
      <c r="L3032" s="6" t="s">
        <v>131</v>
      </c>
      <c r="M3032" s="6" t="s">
        <v>7537</v>
      </c>
      <c r="N3032" s="6" t="s">
        <v>132</v>
      </c>
      <c r="O3032" s="36" t="s">
        <v>132</v>
      </c>
      <c r="P3032" s="36">
        <v>1.382506686E9</v>
      </c>
      <c r="Q3032" s="36" t="s">
        <v>7541</v>
      </c>
      <c r="R3032" s="6" t="s">
        <v>7542</v>
      </c>
    </row>
    <row r="3033">
      <c r="A3033" s="6" t="s">
        <v>7537</v>
      </c>
      <c r="B3033" s="6" t="s">
        <v>7537</v>
      </c>
      <c r="C3033" s="6">
        <v>1424.0</v>
      </c>
      <c r="D3033" s="9" t="str">
        <f>HYPERLINK("https://www.linkedin.com/ad-library/detail/1382497426","Open Ad")</f>
        <v>Open Ad</v>
      </c>
      <c r="E3033" s="6" t="s">
        <v>154</v>
      </c>
      <c r="F3033" s="6" t="s">
        <v>53</v>
      </c>
      <c r="G3033" s="6" t="s">
        <v>7825</v>
      </c>
      <c r="H3033" s="6" t="s">
        <v>55</v>
      </c>
      <c r="I3033" s="6" t="s">
        <v>7566</v>
      </c>
      <c r="J3033" s="6" t="s">
        <v>154</v>
      </c>
      <c r="K3033" s="9" t="str">
        <f>HYPERLINK("https://dms.licdn.com/playlist/vid/v2/D4E05AQHGTJQKgeiwTg/mp4-640p-30fp-crf28/B4EZ0vEHRYJcBw-/0/1774611108366?e=2147483647&amp;v=beta&amp;t=wT0DP4iToOMmkr4T3oHIGREwgLctQr6Dy1WrXYa0GWU","Open Creative")</f>
        <v>Open Creative</v>
      </c>
      <c r="L3033" s="6" t="s">
        <v>131</v>
      </c>
      <c r="M3033" s="6" t="s">
        <v>7537</v>
      </c>
      <c r="N3033" s="6" t="s">
        <v>132</v>
      </c>
      <c r="O3033" s="36" t="s">
        <v>132</v>
      </c>
      <c r="P3033" s="36">
        <v>1.382497426E9</v>
      </c>
      <c r="Q3033" s="36" t="s">
        <v>7541</v>
      </c>
      <c r="R3033" s="6" t="s">
        <v>7542</v>
      </c>
    </row>
    <row r="3034">
      <c r="A3034" s="6" t="s">
        <v>7537</v>
      </c>
      <c r="B3034" s="6" t="s">
        <v>7537</v>
      </c>
      <c r="C3034" s="6">
        <v>1425.0</v>
      </c>
      <c r="D3034" s="9" t="str">
        <f>HYPERLINK("https://www.linkedin.com/ad-library/detail/1382511736","Open Ad")</f>
        <v>Open Ad</v>
      </c>
      <c r="E3034" s="6" t="s">
        <v>154</v>
      </c>
      <c r="F3034" s="6" t="s">
        <v>53</v>
      </c>
      <c r="G3034" s="6" t="s">
        <v>7827</v>
      </c>
      <c r="H3034" s="6" t="s">
        <v>55</v>
      </c>
      <c r="I3034" s="6" t="s">
        <v>7566</v>
      </c>
      <c r="J3034" s="6" t="s">
        <v>154</v>
      </c>
      <c r="K3034" s="9" t="str">
        <f>HYPERLINK("https://dms.licdn.com/playlist/vid/v2/D4E05AQEARG59OY5jLw/mp4-640p-30fp-crf28/B4EZ0xuhbyG4Bw-/0/1774655779707?e=2147483647&amp;v=beta&amp;t=UBzDipeQ1LEDsjatpxvHFZ8ppy-PxtwtBJ-IdAc2KlU","Open Creative")</f>
        <v>Open Creative</v>
      </c>
      <c r="L3034" s="6" t="s">
        <v>131</v>
      </c>
      <c r="M3034" s="6" t="s">
        <v>7537</v>
      </c>
      <c r="N3034" s="6" t="s">
        <v>132</v>
      </c>
      <c r="O3034" s="36" t="s">
        <v>132</v>
      </c>
      <c r="P3034" s="36">
        <v>1.382511736E9</v>
      </c>
      <c r="Q3034" s="36" t="s">
        <v>7541</v>
      </c>
      <c r="R3034" s="6" t="s">
        <v>7542</v>
      </c>
    </row>
    <row r="3035">
      <c r="A3035" s="6" t="s">
        <v>7537</v>
      </c>
      <c r="B3035" s="6" t="s">
        <v>7537</v>
      </c>
      <c r="C3035" s="6">
        <v>1426.0</v>
      </c>
      <c r="D3035" s="9" t="str">
        <f>HYPERLINK("https://www.linkedin.com/ad-library/detail/1382151926","Open Ad")</f>
        <v>Open Ad</v>
      </c>
      <c r="E3035" s="6" t="s">
        <v>154</v>
      </c>
      <c r="F3035" s="6" t="s">
        <v>53</v>
      </c>
      <c r="G3035" s="6" t="s">
        <v>7824</v>
      </c>
      <c r="H3035" s="6" t="s">
        <v>55</v>
      </c>
      <c r="I3035" s="6" t="s">
        <v>7566</v>
      </c>
      <c r="J3035" s="6" t="s">
        <v>154</v>
      </c>
      <c r="K3035" s="9" t="str">
        <f>HYPERLINK("https://dms.licdn.com/playlist/vid/v2/D4E05AQHfrsi8WLiiGg/mp4-720p-30fp-crf28/B4EZ0wzt51IgCI-/0/1774640363495?e=2147483647&amp;v=beta&amp;t=WzZ08_I7Ujq4TTuTSqSErEL6J_WQT3SwiKVQL5m00Kw","Open Creative")</f>
        <v>Open Creative</v>
      </c>
      <c r="L3035" s="6" t="s">
        <v>131</v>
      </c>
      <c r="M3035" s="6" t="s">
        <v>7537</v>
      </c>
      <c r="N3035" s="6" t="s">
        <v>132</v>
      </c>
      <c r="O3035" s="36" t="s">
        <v>132</v>
      </c>
      <c r="P3035" s="36">
        <v>1.382151926E9</v>
      </c>
      <c r="Q3035" s="36" t="s">
        <v>7541</v>
      </c>
      <c r="R3035" s="6" t="s">
        <v>7542</v>
      </c>
    </row>
    <row r="3036">
      <c r="A3036" s="6" t="s">
        <v>7537</v>
      </c>
      <c r="B3036" s="6" t="s">
        <v>7537</v>
      </c>
      <c r="C3036" s="6">
        <v>1427.0</v>
      </c>
      <c r="D3036" s="9" t="str">
        <f>HYPERLINK("https://www.linkedin.com/ad-library/detail/1384491946","Open Ad")</f>
        <v>Open Ad</v>
      </c>
      <c r="E3036" s="6" t="s">
        <v>91</v>
      </c>
      <c r="F3036" s="6" t="s">
        <v>53</v>
      </c>
      <c r="G3036" s="6" t="s">
        <v>7828</v>
      </c>
      <c r="H3036" s="6" t="s">
        <v>55</v>
      </c>
      <c r="I3036" s="6" t="s">
        <v>7566</v>
      </c>
      <c r="J3036" s="6" t="s">
        <v>91</v>
      </c>
      <c r="K3036" s="9" t="str">
        <f>HYPERLINK("https://media.licdn.com/dms/image/v2/D5622AQFlIG6P2EdjsQ/feedshare-image-high-res/B56Z0.71KjGYAU-/0/1774877365243?e=2147483647&amp;v=beta&amp;t=j_HdhEUM6wI2X4Yu_xRh8yXT_8rFMo09zGWD_3rbUHI","Open Creative")</f>
        <v>Open Creative</v>
      </c>
      <c r="L3036" s="6" t="s">
        <v>131</v>
      </c>
      <c r="M3036" s="6" t="s">
        <v>7537</v>
      </c>
      <c r="N3036" s="6" t="s">
        <v>132</v>
      </c>
      <c r="O3036" s="36" t="s">
        <v>132</v>
      </c>
      <c r="P3036" s="36">
        <v>1.384491946E9</v>
      </c>
      <c r="Q3036" s="36" t="s">
        <v>7541</v>
      </c>
      <c r="R3036" s="6" t="s">
        <v>7542</v>
      </c>
    </row>
    <row r="3037">
      <c r="A3037" s="6" t="s">
        <v>7537</v>
      </c>
      <c r="B3037" s="6" t="s">
        <v>7537</v>
      </c>
      <c r="C3037" s="6">
        <v>1428.0</v>
      </c>
      <c r="D3037" s="9" t="str">
        <f>HYPERLINK("https://www.linkedin.com/ad-library/detail/1382620546","Open Ad")</f>
        <v>Open Ad</v>
      </c>
      <c r="E3037" s="6" t="s">
        <v>154</v>
      </c>
      <c r="F3037" s="6" t="s">
        <v>53</v>
      </c>
      <c r="G3037" s="6" t="s">
        <v>7827</v>
      </c>
      <c r="H3037" s="6" t="s">
        <v>55</v>
      </c>
      <c r="I3037" s="6" t="s">
        <v>7566</v>
      </c>
      <c r="J3037" s="6" t="s">
        <v>154</v>
      </c>
      <c r="K3037" s="9" t="str">
        <f t="shared" ref="K3037:K3038" si="147">HYPERLINK("https://dms.licdn.com/playlist/vid/v2/D4E05AQEARG59OY5jLw/mp4-640p-30fp-crf28/B4EZ0xuhbyG4Bw-/0/1774655779707?e=2147483647&amp;v=beta&amp;t=UBzDipeQ1LEDsjatpxvHFZ8ppy-PxtwtBJ-IdAc2KlU","Open Creative")</f>
        <v>Open Creative</v>
      </c>
      <c r="L3037" s="6" t="s">
        <v>131</v>
      </c>
      <c r="M3037" s="6" t="s">
        <v>7537</v>
      </c>
      <c r="N3037" s="6" t="s">
        <v>132</v>
      </c>
      <c r="O3037" s="36" t="s">
        <v>132</v>
      </c>
      <c r="P3037" s="36">
        <v>1.382620546E9</v>
      </c>
      <c r="Q3037" s="36" t="s">
        <v>7541</v>
      </c>
      <c r="R3037" s="6" t="s">
        <v>7542</v>
      </c>
    </row>
    <row r="3038">
      <c r="A3038" s="6" t="s">
        <v>7537</v>
      </c>
      <c r="B3038" s="6" t="s">
        <v>7537</v>
      </c>
      <c r="C3038" s="6">
        <v>1429.0</v>
      </c>
      <c r="D3038" s="9" t="str">
        <f>HYPERLINK("https://www.linkedin.com/ad-library/detail/1382620536","Open Ad")</f>
        <v>Open Ad</v>
      </c>
      <c r="E3038" s="6" t="s">
        <v>154</v>
      </c>
      <c r="F3038" s="6" t="s">
        <v>53</v>
      </c>
      <c r="G3038" s="6" t="s">
        <v>7827</v>
      </c>
      <c r="H3038" s="6" t="s">
        <v>55</v>
      </c>
      <c r="I3038" s="6" t="s">
        <v>7566</v>
      </c>
      <c r="J3038" s="6" t="s">
        <v>154</v>
      </c>
      <c r="K3038" s="9" t="str">
        <f t="shared" si="147"/>
        <v>Open Creative</v>
      </c>
      <c r="L3038" s="6" t="s">
        <v>131</v>
      </c>
      <c r="M3038" s="6" t="s">
        <v>7537</v>
      </c>
      <c r="N3038" s="6" t="s">
        <v>132</v>
      </c>
      <c r="O3038" s="36" t="s">
        <v>132</v>
      </c>
      <c r="P3038" s="36">
        <v>1.382620536E9</v>
      </c>
      <c r="Q3038" s="36" t="s">
        <v>7541</v>
      </c>
      <c r="R3038" s="6" t="s">
        <v>7542</v>
      </c>
    </row>
    <row r="3039">
      <c r="A3039" s="6" t="s">
        <v>7537</v>
      </c>
      <c r="B3039" s="6" t="s">
        <v>7537</v>
      </c>
      <c r="C3039" s="6">
        <v>1430.0</v>
      </c>
      <c r="D3039" s="9" t="str">
        <f>HYPERLINK("https://www.linkedin.com/ad-library/detail/1382062186","Open Ad")</f>
        <v>Open Ad</v>
      </c>
      <c r="E3039" s="6" t="s">
        <v>154</v>
      </c>
      <c r="F3039" s="6" t="s">
        <v>53</v>
      </c>
      <c r="G3039" s="6" t="s">
        <v>7824</v>
      </c>
      <c r="H3039" s="6" t="s">
        <v>55</v>
      </c>
      <c r="I3039" s="6" t="s">
        <v>7566</v>
      </c>
      <c r="J3039" s="6" t="s">
        <v>154</v>
      </c>
      <c r="K3039" s="9" t="str">
        <f>HYPERLINK("https://dms.licdn.com/playlist/vid/v2/D4E05AQHfrsi8WLiiGg/mp4-720p-30fp-crf28/B4EZ0wzt51IgCI-/0/1774640363495?e=2147483647&amp;v=beta&amp;t=WzZ08_I7Ujq4TTuTSqSErEL6J_WQT3SwiKVQL5m00Kw","Open Creative")</f>
        <v>Open Creative</v>
      </c>
      <c r="L3039" s="6" t="s">
        <v>131</v>
      </c>
      <c r="M3039" s="6" t="s">
        <v>7537</v>
      </c>
      <c r="N3039" s="6" t="s">
        <v>132</v>
      </c>
      <c r="O3039" s="36" t="s">
        <v>132</v>
      </c>
      <c r="P3039" s="36">
        <v>1.382062186E9</v>
      </c>
      <c r="Q3039" s="36" t="s">
        <v>7541</v>
      </c>
      <c r="R3039" s="6" t="s">
        <v>7542</v>
      </c>
    </row>
    <row r="3040">
      <c r="A3040" s="6" t="s">
        <v>7537</v>
      </c>
      <c r="B3040" s="6" t="s">
        <v>7537</v>
      </c>
      <c r="C3040" s="6">
        <v>1431.0</v>
      </c>
      <c r="D3040" s="9" t="str">
        <f>HYPERLINK("https://www.linkedin.com/ad-library/detail/1386717476","Open Ad")</f>
        <v>Open Ad</v>
      </c>
      <c r="E3040" s="6" t="s">
        <v>154</v>
      </c>
      <c r="F3040" s="6" t="s">
        <v>53</v>
      </c>
      <c r="G3040" s="6" t="s">
        <v>7802</v>
      </c>
      <c r="H3040" s="6" t="s">
        <v>55</v>
      </c>
      <c r="I3040" s="6" t="s">
        <v>7566</v>
      </c>
      <c r="J3040" s="6" t="s">
        <v>154</v>
      </c>
      <c r="K3040" s="9" t="str">
        <f>HYPERLINK("https://dms.licdn.com/playlist/vid/v2/D4E10AQHFU1k453OYrA/mp4-640p-30fp-crf28/B4EZ1T2oaIGoBk-/0/1775228339149?e=2147483647&amp;v=beta&amp;t=kBnW5fM4ijMUPneQ4OMxjdJ5g1DIFxIn44cnT0Y2FNs","Open Creative")</f>
        <v>Open Creative</v>
      </c>
      <c r="L3040" s="6" t="s">
        <v>131</v>
      </c>
      <c r="M3040" s="6" t="s">
        <v>7537</v>
      </c>
      <c r="N3040" s="6" t="s">
        <v>132</v>
      </c>
      <c r="O3040" s="36" t="s">
        <v>132</v>
      </c>
      <c r="P3040" s="36">
        <v>1.386717476E9</v>
      </c>
      <c r="Q3040" s="36" t="s">
        <v>7541</v>
      </c>
      <c r="R3040" s="6" t="s">
        <v>7542</v>
      </c>
    </row>
    <row r="3041">
      <c r="A3041" s="6" t="s">
        <v>7537</v>
      </c>
      <c r="B3041" s="6" t="s">
        <v>7537</v>
      </c>
      <c r="C3041" s="6">
        <v>1432.0</v>
      </c>
      <c r="D3041" s="9" t="str">
        <f>HYPERLINK("https://www.linkedin.com/ad-library/detail/1382121886","Open Ad")</f>
        <v>Open Ad</v>
      </c>
      <c r="E3041" s="6" t="s">
        <v>154</v>
      </c>
      <c r="F3041" s="6" t="s">
        <v>53</v>
      </c>
      <c r="G3041" s="6" t="s">
        <v>7824</v>
      </c>
      <c r="H3041" s="6" t="s">
        <v>55</v>
      </c>
      <c r="I3041" s="6" t="s">
        <v>7566</v>
      </c>
      <c r="J3041" s="6" t="s">
        <v>154</v>
      </c>
      <c r="K3041" s="9" t="str">
        <f>HYPERLINK("https://dms.licdn.com/playlist/vid/v2/D4E05AQHfrsi8WLiiGg/mp4-720p-30fp-crf28/B4EZ0wzt51IgCI-/0/1774640363495?e=2147483647&amp;v=beta&amp;t=WzZ08_I7Ujq4TTuTSqSErEL6J_WQT3SwiKVQL5m00Kw","Open Creative")</f>
        <v>Open Creative</v>
      </c>
      <c r="L3041" s="6" t="s">
        <v>131</v>
      </c>
      <c r="M3041" s="6" t="s">
        <v>7537</v>
      </c>
      <c r="N3041" s="6" t="s">
        <v>132</v>
      </c>
      <c r="O3041" s="36" t="s">
        <v>132</v>
      </c>
      <c r="P3041" s="36">
        <v>1.382121886E9</v>
      </c>
      <c r="Q3041" s="36" t="s">
        <v>7541</v>
      </c>
      <c r="R3041" s="6" t="s">
        <v>7542</v>
      </c>
    </row>
    <row r="3042">
      <c r="A3042" s="6" t="s">
        <v>7537</v>
      </c>
      <c r="B3042" s="6" t="s">
        <v>7537</v>
      </c>
      <c r="C3042" s="6">
        <v>1433.0</v>
      </c>
      <c r="D3042" s="9" t="str">
        <f>HYPERLINK("https://www.linkedin.com/ad-library/detail/1386688956","Open Ad")</f>
        <v>Open Ad</v>
      </c>
      <c r="E3042" s="6" t="s">
        <v>154</v>
      </c>
      <c r="F3042" s="6" t="s">
        <v>53</v>
      </c>
      <c r="G3042" s="6" t="s">
        <v>7802</v>
      </c>
      <c r="H3042" s="6" t="s">
        <v>55</v>
      </c>
      <c r="I3042" s="6" t="s">
        <v>7566</v>
      </c>
      <c r="J3042" s="6" t="s">
        <v>154</v>
      </c>
      <c r="K3042" s="9" t="str">
        <f>HYPERLINK("https://dms.licdn.com/playlist/vid/v2/D4E10AQHFU1k453OYrA/mp4-640p-30fp-crf28/B4EZ1T2oaIGoBk-/0/1775228339149?e=2147483647&amp;v=beta&amp;t=kBnW5fM4ijMUPneQ4OMxjdJ5g1DIFxIn44cnT0Y2FNs","Open Creative")</f>
        <v>Open Creative</v>
      </c>
      <c r="L3042" s="6" t="s">
        <v>131</v>
      </c>
      <c r="M3042" s="6" t="s">
        <v>7537</v>
      </c>
      <c r="N3042" s="6" t="s">
        <v>132</v>
      </c>
      <c r="O3042" s="36" t="s">
        <v>132</v>
      </c>
      <c r="P3042" s="36">
        <v>1.386688956E9</v>
      </c>
      <c r="Q3042" s="36" t="s">
        <v>7541</v>
      </c>
      <c r="R3042" s="6" t="s">
        <v>7542</v>
      </c>
    </row>
    <row r="3043">
      <c r="A3043" s="6" t="s">
        <v>7537</v>
      </c>
      <c r="B3043" s="6" t="s">
        <v>7537</v>
      </c>
      <c r="C3043" s="6">
        <v>1434.0</v>
      </c>
      <c r="D3043" s="9" t="str">
        <f>HYPERLINK("https://www.linkedin.com/ad-library/detail/1383924326","Open Ad")</f>
        <v>Open Ad</v>
      </c>
      <c r="E3043" s="6" t="s">
        <v>91</v>
      </c>
      <c r="F3043" s="6" t="s">
        <v>53</v>
      </c>
      <c r="G3043" s="6" t="s">
        <v>7829</v>
      </c>
      <c r="H3043" s="6" t="s">
        <v>55</v>
      </c>
      <c r="I3043" s="6" t="s">
        <v>7566</v>
      </c>
      <c r="J3043" s="6" t="s">
        <v>91</v>
      </c>
      <c r="K3043" s="9" t="str">
        <f>HYPERLINK("https://media.licdn.com/dms/image/v2/D5622AQHymv3jVfVoyQ/feedshare-shrink_1280/B56Z0CaYbmIMAM-/0/1773861963941?e=2147483647&amp;v=beta&amp;t=GhJlbgMohhMZOy9Q5-4V1VAPjwriHqOK0CCUt3ilOzI","Open Creative")</f>
        <v>Open Creative</v>
      </c>
      <c r="L3043" s="6" t="s">
        <v>131</v>
      </c>
      <c r="M3043" s="6" t="s">
        <v>7537</v>
      </c>
      <c r="N3043" s="6" t="s">
        <v>132</v>
      </c>
      <c r="O3043" s="36" t="s">
        <v>132</v>
      </c>
      <c r="P3043" s="36">
        <v>1.383924326E9</v>
      </c>
      <c r="Q3043" s="36" t="s">
        <v>7541</v>
      </c>
      <c r="R3043" s="6" t="s">
        <v>7542</v>
      </c>
    </row>
    <row r="3044">
      <c r="A3044" s="6" t="s">
        <v>7537</v>
      </c>
      <c r="B3044" s="6" t="s">
        <v>7537</v>
      </c>
      <c r="C3044" s="6">
        <v>1435.0</v>
      </c>
      <c r="D3044" s="9" t="str">
        <f>HYPERLINK("https://www.linkedin.com/ad-library/detail/1382690396","Open Ad")</f>
        <v>Open Ad</v>
      </c>
      <c r="E3044" s="6" t="s">
        <v>154</v>
      </c>
      <c r="F3044" s="6" t="s">
        <v>53</v>
      </c>
      <c r="G3044" s="6" t="s">
        <v>7825</v>
      </c>
      <c r="H3044" s="6" t="s">
        <v>55</v>
      </c>
      <c r="I3044" s="6" t="s">
        <v>7566</v>
      </c>
      <c r="J3044" s="6" t="s">
        <v>154</v>
      </c>
      <c r="K3044" s="9" t="str">
        <f>HYPERLINK("https://dms.licdn.com/playlist/vid/v2/D4E05AQHGTJQKgeiwTg/mp4-640p-30fp-crf28/B4EZ0vEHRYJcBw-/0/1774611108366?e=2147483647&amp;v=beta&amp;t=wT0DP4iToOMmkr4T3oHIGREwgLctQr6Dy1WrXYa0GWU","Open Creative")</f>
        <v>Open Creative</v>
      </c>
      <c r="L3044" s="6" t="s">
        <v>131</v>
      </c>
      <c r="M3044" s="6" t="s">
        <v>7537</v>
      </c>
      <c r="N3044" s="6" t="s">
        <v>132</v>
      </c>
      <c r="O3044" s="36" t="s">
        <v>132</v>
      </c>
      <c r="P3044" s="36">
        <v>1.382690396E9</v>
      </c>
      <c r="Q3044" s="36" t="s">
        <v>7541</v>
      </c>
      <c r="R3044" s="6" t="s">
        <v>7542</v>
      </c>
    </row>
    <row r="3045">
      <c r="A3045" s="6" t="s">
        <v>7537</v>
      </c>
      <c r="B3045" s="6" t="s">
        <v>7537</v>
      </c>
      <c r="C3045" s="6">
        <v>1436.0</v>
      </c>
      <c r="D3045" s="9" t="str">
        <f>HYPERLINK("https://www.linkedin.com/ad-library/detail/1385437496","Open Ad")</f>
        <v>Open Ad</v>
      </c>
      <c r="E3045" s="6" t="s">
        <v>154</v>
      </c>
      <c r="F3045" s="6" t="s">
        <v>53</v>
      </c>
      <c r="G3045" s="6" t="s">
        <v>7802</v>
      </c>
      <c r="H3045" s="6" t="s">
        <v>55</v>
      </c>
      <c r="I3045" s="6" t="s">
        <v>7566</v>
      </c>
      <c r="J3045" s="6" t="s">
        <v>154</v>
      </c>
      <c r="K3045" s="9" t="str">
        <f>HYPERLINK("https://dms.licdn.com/playlist/vid/v2/D4E10AQHFU1k453OYrA/mp4-640p-30fp-crf28/B4EZ1T2oaIGoBk-/0/1775228339149?e=2147483647&amp;v=beta&amp;t=kBnW5fM4ijMUPneQ4OMxjdJ5g1DIFxIn44cnT0Y2FNs","Open Creative")</f>
        <v>Open Creative</v>
      </c>
      <c r="L3045" s="6" t="s">
        <v>131</v>
      </c>
      <c r="M3045" s="6" t="s">
        <v>7537</v>
      </c>
      <c r="N3045" s="6" t="s">
        <v>132</v>
      </c>
      <c r="O3045" s="36" t="s">
        <v>132</v>
      </c>
      <c r="P3045" s="36">
        <v>1.385437496E9</v>
      </c>
      <c r="Q3045" s="36" t="s">
        <v>7541</v>
      </c>
      <c r="R3045" s="6" t="s">
        <v>7542</v>
      </c>
    </row>
    <row r="3046">
      <c r="A3046" s="6" t="s">
        <v>7537</v>
      </c>
      <c r="B3046" s="6" t="s">
        <v>7537</v>
      </c>
      <c r="C3046" s="6">
        <v>1437.0</v>
      </c>
      <c r="D3046" s="9" t="str">
        <f>HYPERLINK("https://www.linkedin.com/ad-library/detail/1385406976","Open Ad")</f>
        <v>Open Ad</v>
      </c>
      <c r="E3046" s="6" t="s">
        <v>154</v>
      </c>
      <c r="F3046" s="6" t="s">
        <v>53</v>
      </c>
      <c r="G3046" s="6" t="s">
        <v>7830</v>
      </c>
      <c r="H3046" s="6" t="s">
        <v>55</v>
      </c>
      <c r="I3046" s="6" t="s">
        <v>7566</v>
      </c>
      <c r="J3046" s="6" t="s">
        <v>154</v>
      </c>
      <c r="K3046" s="9" t="str">
        <f>HYPERLINK("https://dms.licdn.com/playlist/vid/v2/D4E10AQFTQFrZ1-023Q/mp4-720p-30fp-crf28/B4EZ0wwjmpIQCA-/0/1774639535357?e=2147483647&amp;v=beta&amp;t=1Kq5dSRwTzNRBP5O_G9O95O8Y6yfbvJLqVMr8Z5_uWI","Open Creative")</f>
        <v>Open Creative</v>
      </c>
      <c r="L3046" s="6" t="s">
        <v>131</v>
      </c>
      <c r="M3046" s="6" t="s">
        <v>7537</v>
      </c>
      <c r="N3046" s="6" t="s">
        <v>132</v>
      </c>
      <c r="O3046" s="36" t="s">
        <v>132</v>
      </c>
      <c r="P3046" s="36">
        <v>1.385406976E9</v>
      </c>
      <c r="Q3046" s="36" t="s">
        <v>7541</v>
      </c>
      <c r="R3046" s="6" t="s">
        <v>7542</v>
      </c>
    </row>
    <row r="3047">
      <c r="A3047" s="6" t="s">
        <v>7537</v>
      </c>
      <c r="B3047" s="6" t="s">
        <v>7537</v>
      </c>
      <c r="C3047" s="6">
        <v>1438.0</v>
      </c>
      <c r="D3047" s="9" t="str">
        <f>HYPERLINK("https://www.linkedin.com/ad-library/detail/1384453796","Open Ad")</f>
        <v>Open Ad</v>
      </c>
      <c r="E3047" s="6" t="s">
        <v>91</v>
      </c>
      <c r="F3047" s="6" t="s">
        <v>53</v>
      </c>
      <c r="G3047" s="6" t="s">
        <v>7831</v>
      </c>
      <c r="H3047" s="6" t="s">
        <v>55</v>
      </c>
      <c r="I3047" s="6" t="s">
        <v>7566</v>
      </c>
      <c r="J3047" s="6" t="s">
        <v>91</v>
      </c>
      <c r="K3047" s="9" t="str">
        <f>HYPERLINK("https://media.licdn.com/dms/image/v2/D4E22AQEIlutytlVzAQ/feedshare-shrink_1280/B4EZ0.ZtmvIgAM-/0/1774868422021?e=2147483647&amp;v=beta&amp;t=pmFyrR7qT2PKP1ZxWMjbjZcuU7hLs-zGQkbyHmTVq6M","Open Creative")</f>
        <v>Open Creative</v>
      </c>
      <c r="L3047" s="6" t="s">
        <v>131</v>
      </c>
      <c r="M3047" s="6" t="s">
        <v>7537</v>
      </c>
      <c r="N3047" s="6" t="s">
        <v>132</v>
      </c>
      <c r="O3047" s="36" t="s">
        <v>132</v>
      </c>
      <c r="P3047" s="36">
        <v>1.384453796E9</v>
      </c>
      <c r="Q3047" s="36" t="s">
        <v>7541</v>
      </c>
      <c r="R3047" s="6" t="s">
        <v>7542</v>
      </c>
    </row>
    <row r="3048">
      <c r="A3048" s="6" t="s">
        <v>7537</v>
      </c>
      <c r="B3048" s="6" t="s">
        <v>7537</v>
      </c>
      <c r="C3048" s="6">
        <v>1439.0</v>
      </c>
      <c r="D3048" s="9" t="str">
        <f>HYPERLINK("https://www.linkedin.com/ad-library/detail/1385333946","Open Ad")</f>
        <v>Open Ad</v>
      </c>
      <c r="E3048" s="6" t="s">
        <v>91</v>
      </c>
      <c r="F3048" s="6" t="s">
        <v>53</v>
      </c>
      <c r="G3048" s="6" t="s">
        <v>7832</v>
      </c>
      <c r="H3048" s="6" t="s">
        <v>55</v>
      </c>
      <c r="I3048" s="6" t="s">
        <v>7566</v>
      </c>
      <c r="J3048" s="6" t="s">
        <v>91</v>
      </c>
      <c r="K3048" s="9" t="str">
        <f>HYPERLINK("https://media.licdn.com/dms/image/v2/D4E22AQFEqr3tr1ekLA/feedshare-shrink_1280/B4EZ09MkLWIwAM-/0/1774848197631?e=2147483647&amp;v=beta&amp;t=KQ-SfRhoCXmAtMM1FpQaGIUcQS2Z-mfwBODYGikegIE","Open Creative")</f>
        <v>Open Creative</v>
      </c>
      <c r="L3048" s="6" t="s">
        <v>131</v>
      </c>
      <c r="M3048" s="6" t="s">
        <v>7537</v>
      </c>
      <c r="N3048" s="6" t="s">
        <v>132</v>
      </c>
      <c r="O3048" s="36" t="s">
        <v>132</v>
      </c>
      <c r="P3048" s="36">
        <v>1.385333946E9</v>
      </c>
      <c r="Q3048" s="36" t="s">
        <v>7541</v>
      </c>
      <c r="R3048" s="6" t="s">
        <v>7542</v>
      </c>
    </row>
    <row r="3049">
      <c r="A3049" s="6" t="s">
        <v>7537</v>
      </c>
      <c r="B3049" s="6" t="s">
        <v>7537</v>
      </c>
      <c r="C3049" s="6">
        <v>1440.0</v>
      </c>
      <c r="D3049" s="9" t="str">
        <f>HYPERLINK("https://www.linkedin.com/ad-library/detail/1382630476","Open Ad")</f>
        <v>Open Ad</v>
      </c>
      <c r="E3049" s="6" t="s">
        <v>154</v>
      </c>
      <c r="F3049" s="6" t="s">
        <v>53</v>
      </c>
      <c r="G3049" s="6" t="s">
        <v>7825</v>
      </c>
      <c r="H3049" s="6" t="s">
        <v>55</v>
      </c>
      <c r="I3049" s="6" t="s">
        <v>7566</v>
      </c>
      <c r="J3049" s="6" t="s">
        <v>154</v>
      </c>
      <c r="K3049" s="9" t="str">
        <f>HYPERLINK("https://dms.licdn.com/playlist/vid/v2/D4E05AQHGTJQKgeiwTg/mp4-640p-30fp-crf28/B4EZ0vEHRYJcBw-/0/1774611108366?e=2147483647&amp;v=beta&amp;t=wT0DP4iToOMmkr4T3oHIGREwgLctQr6Dy1WrXYa0GWU","Open Creative")</f>
        <v>Open Creative</v>
      </c>
      <c r="L3049" s="6" t="s">
        <v>131</v>
      </c>
      <c r="M3049" s="6" t="s">
        <v>7537</v>
      </c>
      <c r="N3049" s="6" t="s">
        <v>132</v>
      </c>
      <c r="O3049" s="36" t="s">
        <v>132</v>
      </c>
      <c r="P3049" s="36">
        <v>1.382630476E9</v>
      </c>
      <c r="Q3049" s="36" t="s">
        <v>7541</v>
      </c>
      <c r="R3049" s="6" t="s">
        <v>7542</v>
      </c>
    </row>
    <row r="3050">
      <c r="A3050" s="6" t="s">
        <v>7537</v>
      </c>
      <c r="B3050" s="6" t="s">
        <v>7537</v>
      </c>
      <c r="C3050" s="6">
        <v>1441.0</v>
      </c>
      <c r="D3050" s="9" t="str">
        <f>HYPERLINK("https://www.linkedin.com/ad-library/detail/1382231896","Open Ad")</f>
        <v>Open Ad</v>
      </c>
      <c r="E3050" s="6" t="s">
        <v>154</v>
      </c>
      <c r="F3050" s="6" t="s">
        <v>53</v>
      </c>
      <c r="G3050" s="6" t="s">
        <v>7830</v>
      </c>
      <c r="H3050" s="6" t="s">
        <v>55</v>
      </c>
      <c r="I3050" s="6" t="s">
        <v>7566</v>
      </c>
      <c r="J3050" s="6" t="s">
        <v>154</v>
      </c>
      <c r="K3050" s="9" t="str">
        <f>HYPERLINK("https://dms.licdn.com/playlist/vid/v2/D4E10AQFTQFrZ1-023Q/mp4-720p-30fp-crf28/B4EZ0wwjmpIQCA-/0/1774639535357?e=2147483647&amp;v=beta&amp;t=1Kq5dSRwTzNRBP5O_G9O95O8Y6yfbvJLqVMr8Z5_uWI","Open Creative")</f>
        <v>Open Creative</v>
      </c>
      <c r="L3050" s="6" t="s">
        <v>131</v>
      </c>
      <c r="M3050" s="6" t="s">
        <v>7537</v>
      </c>
      <c r="N3050" s="6" t="s">
        <v>132</v>
      </c>
      <c r="O3050" s="36" t="s">
        <v>132</v>
      </c>
      <c r="P3050" s="36">
        <v>1.382231896E9</v>
      </c>
      <c r="Q3050" s="36" t="s">
        <v>7541</v>
      </c>
      <c r="R3050" s="6" t="s">
        <v>7542</v>
      </c>
    </row>
    <row r="3051">
      <c r="A3051" s="6" t="s">
        <v>7537</v>
      </c>
      <c r="B3051" s="6" t="s">
        <v>7537</v>
      </c>
      <c r="C3051" s="6">
        <v>1442.0</v>
      </c>
      <c r="D3051" s="9" t="str">
        <f>HYPERLINK("https://www.linkedin.com/ad-library/detail/1381666976","Open Ad")</f>
        <v>Open Ad</v>
      </c>
      <c r="E3051" s="6" t="s">
        <v>154</v>
      </c>
      <c r="F3051" s="6" t="s">
        <v>53</v>
      </c>
      <c r="G3051" s="6" t="s">
        <v>7833</v>
      </c>
      <c r="H3051" s="6" t="s">
        <v>55</v>
      </c>
      <c r="I3051" s="6" t="s">
        <v>7566</v>
      </c>
      <c r="J3051" s="6" t="s">
        <v>154</v>
      </c>
      <c r="K3051" s="9" t="str">
        <f>HYPERLINK("https://dms.licdn.com/playlist/vid/v2/D4E05AQFN8BvYBir-Uw/mp4-720p-30fp-crf28/B4EZ0lnLUlIgCI-/0/1774452533080?e=2147483647&amp;v=beta&amp;t=y06QEnC1jpo5QszeBYV4UgikBLFER7W7WAwBOyfKm8I","Open Creative")</f>
        <v>Open Creative</v>
      </c>
      <c r="L3051" s="6" t="s">
        <v>131</v>
      </c>
      <c r="M3051" s="6" t="s">
        <v>7537</v>
      </c>
      <c r="N3051" s="6" t="s">
        <v>132</v>
      </c>
      <c r="O3051" s="36" t="s">
        <v>132</v>
      </c>
      <c r="P3051" s="36">
        <v>1.381666976E9</v>
      </c>
      <c r="Q3051" s="36" t="s">
        <v>7541</v>
      </c>
      <c r="R3051" s="6" t="s">
        <v>7542</v>
      </c>
    </row>
    <row r="3052">
      <c r="A3052" s="6" t="s">
        <v>7537</v>
      </c>
      <c r="B3052" s="6" t="s">
        <v>7537</v>
      </c>
      <c r="C3052" s="6">
        <v>1443.0</v>
      </c>
      <c r="D3052" s="9" t="str">
        <f>HYPERLINK("https://www.linkedin.com/ad-library/detail/1380394736","Open Ad")</f>
        <v>Open Ad</v>
      </c>
      <c r="E3052" s="6" t="s">
        <v>154</v>
      </c>
      <c r="F3052" s="6" t="s">
        <v>53</v>
      </c>
      <c r="G3052" s="6" t="s">
        <v>7806</v>
      </c>
      <c r="H3052" s="6" t="s">
        <v>55</v>
      </c>
      <c r="I3052" s="6" t="s">
        <v>7566</v>
      </c>
      <c r="J3052" s="6" t="s">
        <v>154</v>
      </c>
      <c r="K3052" s="9" t="str">
        <f>HYPERLINK("https://dms.licdn.com/playlist/vid/v2/D5605AQHDR1EE1SCFgQ/mp4-640p-30fp-crf28/B56Z0LqvhkKYBw-/0/1774017252150?e=2147483647&amp;v=beta&amp;t=-oLCASX73dlWtk9XBKDc3ik62wW-_HedEFTy3cH5scI","Open Creative")</f>
        <v>Open Creative</v>
      </c>
      <c r="L3052" s="6" t="s">
        <v>131</v>
      </c>
      <c r="M3052" s="6" t="s">
        <v>7537</v>
      </c>
      <c r="N3052" s="6" t="s">
        <v>132</v>
      </c>
      <c r="O3052" s="36" t="s">
        <v>132</v>
      </c>
      <c r="P3052" s="36">
        <v>1.380394736E9</v>
      </c>
      <c r="Q3052" s="36" t="s">
        <v>7541</v>
      </c>
      <c r="R3052" s="6" t="s">
        <v>7542</v>
      </c>
    </row>
    <row r="3053">
      <c r="A3053" s="6" t="s">
        <v>7537</v>
      </c>
      <c r="B3053" s="6" t="s">
        <v>7537</v>
      </c>
      <c r="C3053" s="6">
        <v>1444.0</v>
      </c>
      <c r="D3053" s="9" t="str">
        <f>HYPERLINK("https://www.linkedin.com/ad-library/detail/1381477716","Open Ad")</f>
        <v>Open Ad</v>
      </c>
      <c r="E3053" s="6" t="s">
        <v>154</v>
      </c>
      <c r="F3053" s="6" t="s">
        <v>53</v>
      </c>
      <c r="G3053" s="6" t="s">
        <v>7834</v>
      </c>
      <c r="H3053" s="6" t="s">
        <v>55</v>
      </c>
      <c r="I3053" s="6" t="s">
        <v>7566</v>
      </c>
      <c r="J3053" s="6" t="s">
        <v>154</v>
      </c>
      <c r="K3053" s="9" t="str">
        <f>HYPERLINK("https://dms.licdn.com/playlist/vid/v2/D4E10AQGb7OlQ8J1lXA/mp4-640p-30fp-crf28/B4EZ0rbiD.HABo-/0/1774550145558?e=2147483647&amp;v=beta&amp;t=udTrEVVanqx-25BqUAgYlh5NRRLU4V-b3rd9JoKaIFY","Open Creative")</f>
        <v>Open Creative</v>
      </c>
      <c r="L3053" s="6" t="s">
        <v>131</v>
      </c>
      <c r="M3053" s="6" t="s">
        <v>7537</v>
      </c>
      <c r="N3053" s="6" t="s">
        <v>132</v>
      </c>
      <c r="O3053" s="36" t="s">
        <v>132</v>
      </c>
      <c r="P3053" s="36">
        <v>1.381477716E9</v>
      </c>
      <c r="Q3053" s="36" t="s">
        <v>7541</v>
      </c>
      <c r="R3053" s="6" t="s">
        <v>7542</v>
      </c>
    </row>
    <row r="3054">
      <c r="A3054" s="6" t="s">
        <v>7537</v>
      </c>
      <c r="B3054" s="6" t="s">
        <v>7537</v>
      </c>
      <c r="C3054" s="6">
        <v>1445.0</v>
      </c>
      <c r="D3054" s="9" t="str">
        <f>HYPERLINK("https://www.linkedin.com/ad-library/detail/1382082186","Open Ad")</f>
        <v>Open Ad</v>
      </c>
      <c r="E3054" s="6" t="s">
        <v>154</v>
      </c>
      <c r="F3054" s="6" t="s">
        <v>53</v>
      </c>
      <c r="G3054" s="6" t="s">
        <v>7830</v>
      </c>
      <c r="H3054" s="6" t="s">
        <v>55</v>
      </c>
      <c r="I3054" s="6" t="s">
        <v>7566</v>
      </c>
      <c r="J3054" s="6" t="s">
        <v>154</v>
      </c>
      <c r="K3054" s="9" t="str">
        <f>HYPERLINK("https://dms.licdn.com/playlist/vid/v2/D4E10AQFTQFrZ1-023Q/mp4-720p-30fp-crf28/B4EZ0wwjmpIQCA-/0/1774639535357?e=2147483647&amp;v=beta&amp;t=1Kq5dSRwTzNRBP5O_G9O95O8Y6yfbvJLqVMr8Z5_uWI","Open Creative")</f>
        <v>Open Creative</v>
      </c>
      <c r="L3054" s="6" t="s">
        <v>131</v>
      </c>
      <c r="M3054" s="6" t="s">
        <v>7537</v>
      </c>
      <c r="N3054" s="6" t="s">
        <v>132</v>
      </c>
      <c r="O3054" s="36" t="s">
        <v>132</v>
      </c>
      <c r="P3054" s="36">
        <v>1.382082186E9</v>
      </c>
      <c r="Q3054" s="36" t="s">
        <v>7541</v>
      </c>
      <c r="R3054" s="6" t="s">
        <v>7542</v>
      </c>
    </row>
    <row r="3055">
      <c r="A3055" s="6" t="s">
        <v>7537</v>
      </c>
      <c r="B3055" s="6" t="s">
        <v>7537</v>
      </c>
      <c r="C3055" s="6">
        <v>1446.0</v>
      </c>
      <c r="D3055" s="9" t="str">
        <f>HYPERLINK("https://www.linkedin.com/ad-library/detail/1380443096","Open Ad")</f>
        <v>Open Ad</v>
      </c>
      <c r="E3055" s="6" t="s">
        <v>154</v>
      </c>
      <c r="F3055" s="6" t="s">
        <v>53</v>
      </c>
      <c r="G3055" s="6" t="s">
        <v>7835</v>
      </c>
      <c r="H3055" s="6" t="s">
        <v>55</v>
      </c>
      <c r="I3055" s="6" t="s">
        <v>7566</v>
      </c>
      <c r="J3055" s="6" t="s">
        <v>154</v>
      </c>
      <c r="K3055" s="9" t="str">
        <f>HYPERLINK("https://dms.licdn.com/playlist/vid/v2/D5610AQEGGDf4GMZ9nQ/mp4-640p-30fp-crf28/B56Z0buyEeGYBo-/0/1774286746303?e=2147483647&amp;v=beta&amp;t=OIZ0mvOqAF5L4OnrqQEj4e5H2fp8ZGmAnoEo915_8PA","Open Creative")</f>
        <v>Open Creative</v>
      </c>
      <c r="L3055" s="6" t="s">
        <v>131</v>
      </c>
      <c r="M3055" s="6" t="s">
        <v>7537</v>
      </c>
      <c r="N3055" s="6" t="s">
        <v>132</v>
      </c>
      <c r="O3055" s="36" t="s">
        <v>132</v>
      </c>
      <c r="P3055" s="36">
        <v>1.380443096E9</v>
      </c>
      <c r="Q3055" s="36" t="s">
        <v>7541</v>
      </c>
      <c r="R3055" s="6" t="s">
        <v>7542</v>
      </c>
    </row>
    <row r="3056">
      <c r="A3056" s="6" t="s">
        <v>7537</v>
      </c>
      <c r="B3056" s="6" t="s">
        <v>7537</v>
      </c>
      <c r="C3056" s="6">
        <v>1447.0</v>
      </c>
      <c r="D3056" s="9" t="str">
        <f>HYPERLINK("https://www.linkedin.com/ad-library/detail/1381507176","Open Ad")</f>
        <v>Open Ad</v>
      </c>
      <c r="E3056" s="6" t="s">
        <v>154</v>
      </c>
      <c r="F3056" s="6" t="s">
        <v>53</v>
      </c>
      <c r="G3056" s="6" t="s">
        <v>7834</v>
      </c>
      <c r="H3056" s="6" t="s">
        <v>55</v>
      </c>
      <c r="I3056" s="6" t="s">
        <v>7566</v>
      </c>
      <c r="J3056" s="6" t="s">
        <v>154</v>
      </c>
      <c r="K3056" s="9" t="str">
        <f>HYPERLINK("https://dms.licdn.com/playlist/vid/v2/D4E10AQGb7OlQ8J1lXA/mp4-640p-30fp-crf28/B4EZ0rbiD.HABo-/0/1774550145558?e=2147483647&amp;v=beta&amp;t=udTrEVVanqx-25BqUAgYlh5NRRLU4V-b3rd9JoKaIFY","Open Creative")</f>
        <v>Open Creative</v>
      </c>
      <c r="L3056" s="6" t="s">
        <v>131</v>
      </c>
      <c r="M3056" s="6" t="s">
        <v>7537</v>
      </c>
      <c r="N3056" s="6" t="s">
        <v>132</v>
      </c>
      <c r="O3056" s="36" t="s">
        <v>132</v>
      </c>
      <c r="P3056" s="36">
        <v>1.381507176E9</v>
      </c>
      <c r="Q3056" s="36" t="s">
        <v>7541</v>
      </c>
      <c r="R3056" s="6" t="s">
        <v>7542</v>
      </c>
    </row>
    <row r="3057">
      <c r="A3057" s="6" t="s">
        <v>7537</v>
      </c>
      <c r="B3057" s="6" t="s">
        <v>7537</v>
      </c>
      <c r="C3057" s="6">
        <v>1448.0</v>
      </c>
      <c r="D3057" s="9" t="str">
        <f>HYPERLINK("https://www.linkedin.com/ad-library/detail/1380375356","Open Ad")</f>
        <v>Open Ad</v>
      </c>
      <c r="E3057" s="6" t="s">
        <v>154</v>
      </c>
      <c r="F3057" s="6" t="s">
        <v>53</v>
      </c>
      <c r="G3057" s="6" t="s">
        <v>7806</v>
      </c>
      <c r="H3057" s="6" t="s">
        <v>55</v>
      </c>
      <c r="I3057" s="6" t="s">
        <v>7566</v>
      </c>
      <c r="J3057" s="6" t="s">
        <v>154</v>
      </c>
      <c r="K3057" s="9" t="str">
        <f>HYPERLINK("https://dms.licdn.com/playlist/vid/v2/D5605AQHDR1EE1SCFgQ/mp4-640p-30fp-crf28/B56Z0LqvhkKYBw-/0/1774017252150?e=2147483647&amp;v=beta&amp;t=-oLCASX73dlWtk9XBKDc3ik62wW-_HedEFTy3cH5scI","Open Creative")</f>
        <v>Open Creative</v>
      </c>
      <c r="L3057" s="6" t="s">
        <v>131</v>
      </c>
      <c r="M3057" s="6" t="s">
        <v>7537</v>
      </c>
      <c r="N3057" s="6" t="s">
        <v>132</v>
      </c>
      <c r="O3057" s="36" t="s">
        <v>132</v>
      </c>
      <c r="P3057" s="36">
        <v>1.380375356E9</v>
      </c>
      <c r="Q3057" s="36" t="s">
        <v>7541</v>
      </c>
      <c r="R3057" s="6" t="s">
        <v>7542</v>
      </c>
    </row>
    <row r="3058">
      <c r="A3058" s="6" t="s">
        <v>7537</v>
      </c>
      <c r="B3058" s="6" t="s">
        <v>7537</v>
      </c>
      <c r="C3058" s="6">
        <v>1449.0</v>
      </c>
      <c r="D3058" s="9" t="str">
        <f>HYPERLINK("https://www.linkedin.com/ad-library/detail/1381437246","Open Ad")</f>
        <v>Open Ad</v>
      </c>
      <c r="E3058" s="6" t="s">
        <v>154</v>
      </c>
      <c r="F3058" s="6" t="s">
        <v>53</v>
      </c>
      <c r="G3058" s="6" t="s">
        <v>7814</v>
      </c>
      <c r="H3058" s="6" t="s">
        <v>55</v>
      </c>
      <c r="I3058" s="6" t="s">
        <v>7566</v>
      </c>
      <c r="J3058" s="6" t="s">
        <v>154</v>
      </c>
      <c r="K3058" s="9" t="str">
        <f>HYPERLINK("https://dms.licdn.com/playlist/vid/v2/D4E10AQE5DaHYfIW59w/mp4-360p-30fp-crf28/B4EZ0ceEzkKICE-/0/1774299143927?e=2147483647&amp;v=beta&amp;t=KKfp2ber_Nc2aTshrP53eMPh211fJH_IXE1DbI6_3TQ","Open Creative")</f>
        <v>Open Creative</v>
      </c>
      <c r="L3058" s="6" t="s">
        <v>131</v>
      </c>
      <c r="M3058" s="6" t="s">
        <v>7537</v>
      </c>
      <c r="N3058" s="6" t="s">
        <v>132</v>
      </c>
      <c r="O3058" s="36" t="s">
        <v>132</v>
      </c>
      <c r="P3058" s="36">
        <v>1.381437246E9</v>
      </c>
      <c r="Q3058" s="36" t="s">
        <v>7541</v>
      </c>
      <c r="R3058" s="6" t="s">
        <v>7542</v>
      </c>
    </row>
    <row r="3059">
      <c r="A3059" s="6" t="s">
        <v>7537</v>
      </c>
      <c r="B3059" s="6" t="s">
        <v>7537</v>
      </c>
      <c r="C3059" s="6">
        <v>1450.0</v>
      </c>
      <c r="D3059" s="9" t="str">
        <f>HYPERLINK("https://www.linkedin.com/ad-library/detail/1237795334","Open Ad")</f>
        <v>Open Ad</v>
      </c>
      <c r="E3059" s="6" t="s">
        <v>91</v>
      </c>
      <c r="F3059" s="6" t="s">
        <v>53</v>
      </c>
      <c r="G3059" s="6" t="s">
        <v>7836</v>
      </c>
      <c r="H3059" s="6" t="s">
        <v>55</v>
      </c>
      <c r="I3059" s="6" t="s">
        <v>7566</v>
      </c>
      <c r="J3059" s="6" t="s">
        <v>91</v>
      </c>
      <c r="K3059" s="9" t="str">
        <f>HYPERLINK("https://media.licdn.com/dms/image/v2/D5622AQEkxd1lcTFFUg/feedshare-image-high-res/B56Zz4tyw7JMAU-/0/1773699280180?e=2147483647&amp;v=beta&amp;t=ppGxFFOoMGpuu1MDr9avzowazqourgLIqiPjDR1DwmU","Open Creative")</f>
        <v>Open Creative</v>
      </c>
      <c r="L3059" s="6" t="s">
        <v>131</v>
      </c>
      <c r="M3059" s="6" t="s">
        <v>7537</v>
      </c>
      <c r="N3059" s="6" t="s">
        <v>132</v>
      </c>
      <c r="O3059" s="36" t="s">
        <v>132</v>
      </c>
      <c r="P3059" s="36">
        <v>1.237795334E9</v>
      </c>
      <c r="Q3059" s="36" t="s">
        <v>7541</v>
      </c>
      <c r="R3059" s="6" t="s">
        <v>7542</v>
      </c>
    </row>
    <row r="3060">
      <c r="A3060" s="6" t="s">
        <v>7537</v>
      </c>
      <c r="B3060" s="6" t="s">
        <v>7537</v>
      </c>
      <c r="C3060" s="6">
        <v>1451.0</v>
      </c>
      <c r="D3060" s="9" t="str">
        <f>HYPERLINK("https://www.linkedin.com/ad-library/detail/1380490376","Open Ad")</f>
        <v>Open Ad</v>
      </c>
      <c r="E3060" s="6" t="s">
        <v>154</v>
      </c>
      <c r="F3060" s="6" t="s">
        <v>53</v>
      </c>
      <c r="G3060" s="6" t="s">
        <v>7835</v>
      </c>
      <c r="H3060" s="6" t="s">
        <v>55</v>
      </c>
      <c r="I3060" s="6" t="s">
        <v>7566</v>
      </c>
      <c r="J3060" s="6" t="s">
        <v>154</v>
      </c>
      <c r="K3060" s="9" t="str">
        <f t="shared" ref="K3060:K3061" si="148">HYPERLINK("https://dms.licdn.com/playlist/vid/v2/D5610AQEGGDf4GMZ9nQ/mp4-640p-30fp-crf28/B56Z0buyEeGYBo-/0/1774286746303?e=2147483647&amp;v=beta&amp;t=OIZ0mvOqAF5L4OnrqQEj4e5H2fp8ZGmAnoEo915_8PA","Open Creative")</f>
        <v>Open Creative</v>
      </c>
      <c r="L3060" s="6" t="s">
        <v>131</v>
      </c>
      <c r="M3060" s="6" t="s">
        <v>7537</v>
      </c>
      <c r="N3060" s="6" t="s">
        <v>132</v>
      </c>
      <c r="O3060" s="36" t="s">
        <v>132</v>
      </c>
      <c r="P3060" s="36">
        <v>1.380490376E9</v>
      </c>
      <c r="Q3060" s="36" t="s">
        <v>7541</v>
      </c>
      <c r="R3060" s="6" t="s">
        <v>7542</v>
      </c>
    </row>
    <row r="3061">
      <c r="A3061" s="6" t="s">
        <v>7537</v>
      </c>
      <c r="B3061" s="6" t="s">
        <v>7537</v>
      </c>
      <c r="C3061" s="6">
        <v>1452.0</v>
      </c>
      <c r="D3061" s="9" t="str">
        <f>HYPERLINK("https://www.linkedin.com/ad-library/detail/1380423806","Open Ad")</f>
        <v>Open Ad</v>
      </c>
      <c r="E3061" s="6" t="s">
        <v>154</v>
      </c>
      <c r="F3061" s="6" t="s">
        <v>53</v>
      </c>
      <c r="G3061" s="6" t="s">
        <v>7835</v>
      </c>
      <c r="H3061" s="6" t="s">
        <v>55</v>
      </c>
      <c r="I3061" s="6" t="s">
        <v>7566</v>
      </c>
      <c r="J3061" s="6" t="s">
        <v>154</v>
      </c>
      <c r="K3061" s="9" t="str">
        <f t="shared" si="148"/>
        <v>Open Creative</v>
      </c>
      <c r="L3061" s="6" t="s">
        <v>131</v>
      </c>
      <c r="M3061" s="6" t="s">
        <v>7537</v>
      </c>
      <c r="N3061" s="6" t="s">
        <v>132</v>
      </c>
      <c r="O3061" s="36" t="s">
        <v>132</v>
      </c>
      <c r="P3061" s="36">
        <v>1.380423806E9</v>
      </c>
      <c r="Q3061" s="36" t="s">
        <v>7541</v>
      </c>
      <c r="R3061" s="6" t="s">
        <v>7542</v>
      </c>
    </row>
    <row r="3062">
      <c r="A3062" s="6" t="s">
        <v>7537</v>
      </c>
      <c r="B3062" s="6" t="s">
        <v>7537</v>
      </c>
      <c r="C3062" s="6">
        <v>1453.0</v>
      </c>
      <c r="D3062" s="9" t="str">
        <f>HYPERLINK("https://www.linkedin.com/ad-library/detail/1381588056","Open Ad")</f>
        <v>Open Ad</v>
      </c>
      <c r="E3062" s="6" t="s">
        <v>154</v>
      </c>
      <c r="F3062" s="6" t="s">
        <v>53</v>
      </c>
      <c r="G3062" s="6" t="s">
        <v>7814</v>
      </c>
      <c r="H3062" s="6" t="s">
        <v>55</v>
      </c>
      <c r="I3062" s="6" t="s">
        <v>7566</v>
      </c>
      <c r="J3062" s="6" t="s">
        <v>154</v>
      </c>
      <c r="K3062" s="9" t="str">
        <f>HYPERLINK("https://dms.licdn.com/playlist/vid/v2/D4E10AQE5DaHYfIW59w/mp4-360p-30fp-crf28/B4EZ0ceEzkKICE-/0/1774299143927?e=2147483647&amp;v=beta&amp;t=KKfp2ber_Nc2aTshrP53eMPh211fJH_IXE1DbI6_3TQ","Open Creative")</f>
        <v>Open Creative</v>
      </c>
      <c r="L3062" s="6" t="s">
        <v>131</v>
      </c>
      <c r="M3062" s="6" t="s">
        <v>7537</v>
      </c>
      <c r="N3062" s="6" t="s">
        <v>132</v>
      </c>
      <c r="O3062" s="36" t="s">
        <v>132</v>
      </c>
      <c r="P3062" s="36">
        <v>1.381588056E9</v>
      </c>
      <c r="Q3062" s="36" t="s">
        <v>7541</v>
      </c>
      <c r="R3062" s="6" t="s">
        <v>7542</v>
      </c>
    </row>
    <row r="3063">
      <c r="A3063" s="6" t="s">
        <v>7537</v>
      </c>
      <c r="B3063" s="6" t="s">
        <v>7537</v>
      </c>
      <c r="C3063" s="6">
        <v>1454.0</v>
      </c>
      <c r="D3063" s="9" t="str">
        <f>HYPERLINK("https://www.linkedin.com/ad-library/detail/1381587276","Open Ad")</f>
        <v>Open Ad</v>
      </c>
      <c r="E3063" s="6" t="s">
        <v>154</v>
      </c>
      <c r="F3063" s="6" t="s">
        <v>53</v>
      </c>
      <c r="G3063" s="6" t="s">
        <v>7834</v>
      </c>
      <c r="H3063" s="6" t="s">
        <v>55</v>
      </c>
      <c r="I3063" s="6" t="s">
        <v>7566</v>
      </c>
      <c r="J3063" s="6" t="s">
        <v>154</v>
      </c>
      <c r="K3063" s="9" t="str">
        <f>HYPERLINK("https://dms.licdn.com/playlist/vid/v2/D4E10AQGb7OlQ8J1lXA/mp4-640p-30fp-crf28/B4EZ0rbiD.HABo-/0/1774550145558?e=2147483647&amp;v=beta&amp;t=udTrEVVanqx-25BqUAgYlh5NRRLU4V-b3rd9JoKaIFY","Open Creative")</f>
        <v>Open Creative</v>
      </c>
      <c r="L3063" s="6" t="s">
        <v>131</v>
      </c>
      <c r="M3063" s="6" t="s">
        <v>7537</v>
      </c>
      <c r="N3063" s="6" t="s">
        <v>132</v>
      </c>
      <c r="O3063" s="36" t="s">
        <v>132</v>
      </c>
      <c r="P3063" s="36">
        <v>1.381587276E9</v>
      </c>
      <c r="Q3063" s="36" t="s">
        <v>7541</v>
      </c>
      <c r="R3063" s="6" t="s">
        <v>7542</v>
      </c>
    </row>
    <row r="3064">
      <c r="A3064" s="6" t="s">
        <v>7537</v>
      </c>
      <c r="B3064" s="6" t="s">
        <v>7537</v>
      </c>
      <c r="C3064" s="6">
        <v>1455.0</v>
      </c>
      <c r="D3064" s="9" t="str">
        <f>HYPERLINK("https://www.linkedin.com/ad-library/detail/1381547736","Open Ad")</f>
        <v>Open Ad</v>
      </c>
      <c r="E3064" s="6" t="s">
        <v>154</v>
      </c>
      <c r="F3064" s="6" t="s">
        <v>53</v>
      </c>
      <c r="G3064" s="6" t="s">
        <v>7814</v>
      </c>
      <c r="H3064" s="6" t="s">
        <v>55</v>
      </c>
      <c r="I3064" s="6" t="s">
        <v>7566</v>
      </c>
      <c r="J3064" s="6" t="s">
        <v>154</v>
      </c>
      <c r="K3064" s="9" t="str">
        <f>HYPERLINK("https://dms.licdn.com/playlist/vid/v2/D4E10AQE5DaHYfIW59w/mp4-360p-30fp-crf28/B4EZ0ceEzkKICE-/0/1774299143927?e=2147483647&amp;v=beta&amp;t=KKfp2ber_Nc2aTshrP53eMPh211fJH_IXE1DbI6_3TQ","Open Creative")</f>
        <v>Open Creative</v>
      </c>
      <c r="L3064" s="6" t="s">
        <v>131</v>
      </c>
      <c r="M3064" s="6" t="s">
        <v>7537</v>
      </c>
      <c r="N3064" s="6" t="s">
        <v>132</v>
      </c>
      <c r="O3064" s="36" t="s">
        <v>132</v>
      </c>
      <c r="P3064" s="36">
        <v>1.381547736E9</v>
      </c>
      <c r="Q3064" s="36" t="s">
        <v>7541</v>
      </c>
      <c r="R3064" s="6" t="s">
        <v>7542</v>
      </c>
    </row>
    <row r="3065">
      <c r="A3065" s="6" t="s">
        <v>7537</v>
      </c>
      <c r="B3065" s="6" t="s">
        <v>7537</v>
      </c>
      <c r="C3065" s="6">
        <v>1456.0</v>
      </c>
      <c r="D3065" s="9" t="str">
        <f>HYPERLINK("https://www.linkedin.com/ad-library/detail/1381606376","Open Ad")</f>
        <v>Open Ad</v>
      </c>
      <c r="E3065" s="6" t="s">
        <v>154</v>
      </c>
      <c r="F3065" s="6" t="s">
        <v>53</v>
      </c>
      <c r="G3065" s="6" t="s">
        <v>7834</v>
      </c>
      <c r="H3065" s="6" t="s">
        <v>55</v>
      </c>
      <c r="I3065" s="6" t="s">
        <v>7566</v>
      </c>
      <c r="J3065" s="6" t="s">
        <v>154</v>
      </c>
      <c r="K3065" s="9" t="str">
        <f>HYPERLINK("https://dms.licdn.com/playlist/vid/v2/D4E10AQGb7OlQ8J1lXA/mp4-640p-30fp-crf28/B4EZ0rbiD.HABo-/0/1774550145558?e=2147483647&amp;v=beta&amp;t=udTrEVVanqx-25BqUAgYlh5NRRLU4V-b3rd9JoKaIFY","Open Creative")</f>
        <v>Open Creative</v>
      </c>
      <c r="L3065" s="6" t="s">
        <v>131</v>
      </c>
      <c r="M3065" s="6" t="s">
        <v>7537</v>
      </c>
      <c r="N3065" s="6" t="s">
        <v>132</v>
      </c>
      <c r="O3065" s="36" t="s">
        <v>132</v>
      </c>
      <c r="P3065" s="36">
        <v>1.381606376E9</v>
      </c>
      <c r="Q3065" s="36" t="s">
        <v>7541</v>
      </c>
      <c r="R3065" s="6" t="s">
        <v>7542</v>
      </c>
    </row>
    <row r="3066">
      <c r="A3066" s="6" t="s">
        <v>7537</v>
      </c>
      <c r="B3066" s="6" t="s">
        <v>7537</v>
      </c>
      <c r="C3066" s="6">
        <v>1457.0</v>
      </c>
      <c r="D3066" s="9" t="str">
        <f>HYPERLINK("https://www.linkedin.com/ad-library/detail/1380509906","Open Ad")</f>
        <v>Open Ad</v>
      </c>
      <c r="E3066" s="6" t="s">
        <v>154</v>
      </c>
      <c r="F3066" s="6" t="s">
        <v>53</v>
      </c>
      <c r="G3066" s="6" t="s">
        <v>7812</v>
      </c>
      <c r="H3066" s="6" t="s">
        <v>55</v>
      </c>
      <c r="I3066" s="6" t="s">
        <v>7566</v>
      </c>
      <c r="J3066" s="6" t="s">
        <v>154</v>
      </c>
      <c r="K3066" s="9" t="str">
        <f>HYPERLINK("https://dms.licdn.com/playlist/vid/v2/D4E10AQHEMWiDNQa5VQ/mp4-640p-30fp-crf28/B4EZ0bOltZIQBo-/0/1774278306504?e=2147483647&amp;v=beta&amp;t=ZhpAXkN8yaIizGZJRhLGj5UJbzxZwVKaj-9Z2QWIL_Y","Open Creative")</f>
        <v>Open Creative</v>
      </c>
      <c r="L3066" s="6" t="s">
        <v>131</v>
      </c>
      <c r="M3066" s="6" t="s">
        <v>7537</v>
      </c>
      <c r="N3066" s="6" t="s">
        <v>132</v>
      </c>
      <c r="O3066" s="36" t="s">
        <v>132</v>
      </c>
      <c r="P3066" s="36">
        <v>1.380509906E9</v>
      </c>
      <c r="Q3066" s="36" t="s">
        <v>7541</v>
      </c>
      <c r="R3066" s="6" t="s">
        <v>7542</v>
      </c>
    </row>
    <row r="3067">
      <c r="A3067" s="6" t="s">
        <v>7537</v>
      </c>
      <c r="B3067" s="6" t="s">
        <v>7537</v>
      </c>
      <c r="C3067" s="6">
        <v>1458.0</v>
      </c>
      <c r="D3067" s="9" t="str">
        <f>HYPERLINK("https://www.linkedin.com/ad-library/detail/1381607466","Open Ad")</f>
        <v>Open Ad</v>
      </c>
      <c r="E3067" s="6" t="s">
        <v>154</v>
      </c>
      <c r="F3067" s="6" t="s">
        <v>53</v>
      </c>
      <c r="G3067" s="6" t="s">
        <v>7814</v>
      </c>
      <c r="H3067" s="6" t="s">
        <v>55</v>
      </c>
      <c r="I3067" s="6" t="s">
        <v>7566</v>
      </c>
      <c r="J3067" s="6" t="s">
        <v>154</v>
      </c>
      <c r="K3067" s="9" t="str">
        <f>HYPERLINK("https://dms.licdn.com/playlist/vid/v2/D4E10AQE5DaHYfIW59w/mp4-360p-30fp-crf28/B4EZ0ceEzkKICE-/0/1774299143927?e=2147483647&amp;v=beta&amp;t=KKfp2ber_Nc2aTshrP53eMPh211fJH_IXE1DbI6_3TQ","Open Creative")</f>
        <v>Open Creative</v>
      </c>
      <c r="L3067" s="6" t="s">
        <v>131</v>
      </c>
      <c r="M3067" s="6" t="s">
        <v>7537</v>
      </c>
      <c r="N3067" s="6" t="s">
        <v>132</v>
      </c>
      <c r="O3067" s="36" t="s">
        <v>132</v>
      </c>
      <c r="P3067" s="36">
        <v>1.381607466E9</v>
      </c>
      <c r="Q3067" s="36" t="s">
        <v>7541</v>
      </c>
      <c r="R3067" s="6" t="s">
        <v>7542</v>
      </c>
    </row>
    <row r="3068">
      <c r="A3068" s="6" t="s">
        <v>7537</v>
      </c>
      <c r="B3068" s="6" t="s">
        <v>7537</v>
      </c>
      <c r="C3068" s="6">
        <v>1459.0</v>
      </c>
      <c r="D3068" s="9" t="str">
        <f>HYPERLINK("https://www.linkedin.com/ad-library/detail/1380433156","Open Ad")</f>
        <v>Open Ad</v>
      </c>
      <c r="E3068" s="6" t="s">
        <v>154</v>
      </c>
      <c r="F3068" s="6" t="s">
        <v>53</v>
      </c>
      <c r="G3068" s="6" t="s">
        <v>7806</v>
      </c>
      <c r="H3068" s="6" t="s">
        <v>55</v>
      </c>
      <c r="I3068" s="6" t="s">
        <v>7566</v>
      </c>
      <c r="J3068" s="6" t="s">
        <v>154</v>
      </c>
      <c r="K3068" s="9" t="str">
        <f t="shared" ref="K3068:K3069" si="149">HYPERLINK("https://dms.licdn.com/playlist/vid/v2/D5605AQHDR1EE1SCFgQ/mp4-640p-30fp-crf28/B56Z0LqvhkKYBw-/0/1774017252150?e=2147483647&amp;v=beta&amp;t=-oLCASX73dlWtk9XBKDc3ik62wW-_HedEFTy3cH5scI","Open Creative")</f>
        <v>Open Creative</v>
      </c>
      <c r="L3068" s="6" t="s">
        <v>131</v>
      </c>
      <c r="M3068" s="6" t="s">
        <v>7537</v>
      </c>
      <c r="N3068" s="6" t="s">
        <v>132</v>
      </c>
      <c r="O3068" s="36" t="s">
        <v>132</v>
      </c>
      <c r="P3068" s="36">
        <v>1.380433156E9</v>
      </c>
      <c r="Q3068" s="36" t="s">
        <v>7541</v>
      </c>
      <c r="R3068" s="6" t="s">
        <v>7542</v>
      </c>
    </row>
    <row r="3069">
      <c r="A3069" s="6" t="s">
        <v>7537</v>
      </c>
      <c r="B3069" s="6" t="s">
        <v>7537</v>
      </c>
      <c r="C3069" s="6">
        <v>1460.0</v>
      </c>
      <c r="D3069" s="9" t="str">
        <f>HYPERLINK("https://www.linkedin.com/ad-library/detail/1380433166","Open Ad")</f>
        <v>Open Ad</v>
      </c>
      <c r="E3069" s="6" t="s">
        <v>154</v>
      </c>
      <c r="F3069" s="6" t="s">
        <v>53</v>
      </c>
      <c r="G3069" s="6" t="s">
        <v>7806</v>
      </c>
      <c r="H3069" s="6" t="s">
        <v>55</v>
      </c>
      <c r="I3069" s="6" t="s">
        <v>7566</v>
      </c>
      <c r="J3069" s="6" t="s">
        <v>154</v>
      </c>
      <c r="K3069" s="9" t="str">
        <f t="shared" si="149"/>
        <v>Open Creative</v>
      </c>
      <c r="L3069" s="6" t="s">
        <v>131</v>
      </c>
      <c r="M3069" s="6" t="s">
        <v>7537</v>
      </c>
      <c r="N3069" s="6" t="s">
        <v>132</v>
      </c>
      <c r="O3069" s="36" t="s">
        <v>132</v>
      </c>
      <c r="P3069" s="36">
        <v>1.380433166E9</v>
      </c>
      <c r="Q3069" s="36" t="s">
        <v>7541</v>
      </c>
      <c r="R3069" s="6" t="s">
        <v>7542</v>
      </c>
    </row>
    <row r="3070">
      <c r="A3070" s="6" t="s">
        <v>7537</v>
      </c>
      <c r="B3070" s="6" t="s">
        <v>7537</v>
      </c>
      <c r="C3070" s="6">
        <v>1461.0</v>
      </c>
      <c r="D3070" s="9" t="str">
        <f>HYPERLINK("https://www.linkedin.com/ad-library/detail/1198098743","Open Ad")</f>
        <v>Open Ad</v>
      </c>
      <c r="E3070" s="6" t="s">
        <v>91</v>
      </c>
      <c r="F3070" s="6" t="s">
        <v>53</v>
      </c>
      <c r="G3070" s="6" t="s">
        <v>7819</v>
      </c>
      <c r="H3070" s="6" t="s">
        <v>55</v>
      </c>
      <c r="I3070" s="6" t="s">
        <v>7566</v>
      </c>
      <c r="J3070" s="6" t="s">
        <v>91</v>
      </c>
      <c r="K3070" s="9" t="str">
        <f>HYPERLINK("https://media.licdn.com/dms/image/v2/D4D10AQHFGRVBM8WoaQ/image-shrink_1280/B4DZ0uxcCRKMAc-/0/1774606205374/PF-TaxFilingAd1-13326png?e=2147483647&amp;v=beta&amp;t=qsM3fuxqztHYAsNS2xEXc_a6yEWz4uRpknUL5h3yvVg","Open Creative")</f>
        <v>Open Creative</v>
      </c>
      <c r="L3070" s="6" t="s">
        <v>131</v>
      </c>
      <c r="M3070" s="6" t="s">
        <v>7537</v>
      </c>
      <c r="N3070" s="6" t="s">
        <v>132</v>
      </c>
      <c r="O3070" s="36" t="s">
        <v>132</v>
      </c>
      <c r="P3070" s="36">
        <v>1.198098743E9</v>
      </c>
      <c r="Q3070" s="36" t="s">
        <v>7541</v>
      </c>
      <c r="R3070" s="6" t="s">
        <v>7542</v>
      </c>
    </row>
    <row r="3071">
      <c r="A3071" s="6" t="s">
        <v>7537</v>
      </c>
      <c r="B3071" s="6" t="s">
        <v>7537</v>
      </c>
      <c r="C3071" s="6">
        <v>1462.0</v>
      </c>
      <c r="D3071" s="9" t="str">
        <f>HYPERLINK("https://www.linkedin.com/ad-library/detail/1382162186","Open Ad")</f>
        <v>Open Ad</v>
      </c>
      <c r="E3071" s="6" t="s">
        <v>154</v>
      </c>
      <c r="F3071" s="6" t="s">
        <v>53</v>
      </c>
      <c r="G3071" s="6" t="s">
        <v>7830</v>
      </c>
      <c r="H3071" s="6" t="s">
        <v>55</v>
      </c>
      <c r="I3071" s="6" t="s">
        <v>7566</v>
      </c>
      <c r="J3071" s="6" t="s">
        <v>154</v>
      </c>
      <c r="K3071" s="9" t="str">
        <f>HYPERLINK("https://dms.licdn.com/playlist/vid/v2/D4E10AQFTQFrZ1-023Q/mp4-720p-30fp-crf28/B4EZ0wwjmpIQCA-/0/1774639535357?e=2147483647&amp;v=beta&amp;t=1Kq5dSRwTzNRBP5O_G9O95O8Y6yfbvJLqVMr8Z5_uWI","Open Creative")</f>
        <v>Open Creative</v>
      </c>
      <c r="L3071" s="6" t="s">
        <v>131</v>
      </c>
      <c r="M3071" s="6" t="s">
        <v>7537</v>
      </c>
      <c r="N3071" s="6" t="s">
        <v>132</v>
      </c>
      <c r="O3071" s="36" t="s">
        <v>132</v>
      </c>
      <c r="P3071" s="36">
        <v>1.382162186E9</v>
      </c>
      <c r="Q3071" s="36" t="s">
        <v>7541</v>
      </c>
      <c r="R3071" s="6" t="s">
        <v>7542</v>
      </c>
    </row>
    <row r="3072">
      <c r="A3072" s="6" t="s">
        <v>7537</v>
      </c>
      <c r="B3072" s="6" t="s">
        <v>7537</v>
      </c>
      <c r="C3072" s="6">
        <v>1463.0</v>
      </c>
      <c r="D3072" s="9" t="str">
        <f>HYPERLINK("https://www.linkedin.com/ad-library/detail/1381703246","Open Ad")</f>
        <v>Open Ad</v>
      </c>
      <c r="E3072" s="6" t="s">
        <v>154</v>
      </c>
      <c r="F3072" s="6" t="s">
        <v>53</v>
      </c>
      <c r="G3072" s="6" t="s">
        <v>7834</v>
      </c>
      <c r="H3072" s="6" t="s">
        <v>55</v>
      </c>
      <c r="I3072" s="6" t="s">
        <v>7566</v>
      </c>
      <c r="J3072" s="6" t="s">
        <v>154</v>
      </c>
      <c r="K3072" s="9" t="str">
        <f>HYPERLINK("https://dms.licdn.com/playlist/vid/v2/D4E10AQGb7OlQ8J1lXA/mp4-640p-30fp-crf28/B4EZ0rbiD.HABo-/0/1774550145558?e=2147483647&amp;v=beta&amp;t=udTrEVVanqx-25BqUAgYlh5NRRLU4V-b3rd9JoKaIFY","Open Creative")</f>
        <v>Open Creative</v>
      </c>
      <c r="L3072" s="6" t="s">
        <v>131</v>
      </c>
      <c r="M3072" s="6" t="s">
        <v>7537</v>
      </c>
      <c r="N3072" s="6" t="s">
        <v>132</v>
      </c>
      <c r="O3072" s="36" t="s">
        <v>132</v>
      </c>
      <c r="P3072" s="36">
        <v>1.381703246E9</v>
      </c>
      <c r="Q3072" s="36" t="s">
        <v>7541</v>
      </c>
      <c r="R3072" s="6" t="s">
        <v>7542</v>
      </c>
    </row>
    <row r="3073">
      <c r="A3073" s="6" t="s">
        <v>7537</v>
      </c>
      <c r="B3073" s="6" t="s">
        <v>7537</v>
      </c>
      <c r="C3073" s="6">
        <v>1464.0</v>
      </c>
      <c r="D3073" s="9" t="str">
        <f>HYPERLINK("https://www.linkedin.com/ad-library/detail/1380298956","Open Ad")</f>
        <v>Open Ad</v>
      </c>
      <c r="E3073" s="6" t="s">
        <v>154</v>
      </c>
      <c r="F3073" s="6" t="s">
        <v>53</v>
      </c>
      <c r="G3073" s="6" t="s">
        <v>7812</v>
      </c>
      <c r="H3073" s="6" t="s">
        <v>55</v>
      </c>
      <c r="I3073" s="6" t="s">
        <v>7566</v>
      </c>
      <c r="J3073" s="6" t="s">
        <v>154</v>
      </c>
      <c r="K3073" s="9" t="str">
        <f>HYPERLINK("https://dms.licdn.com/playlist/vid/v2/D4E10AQHEMWiDNQa5VQ/mp4-640p-30fp-crf28/B4EZ0bOltZIQBo-/0/1774278306504?e=2147483647&amp;v=beta&amp;t=ZhpAXkN8yaIizGZJRhLGj5UJbzxZwVKaj-9Z2QWIL_Y","Open Creative")</f>
        <v>Open Creative</v>
      </c>
      <c r="L3073" s="6" t="s">
        <v>131</v>
      </c>
      <c r="M3073" s="6" t="s">
        <v>7537</v>
      </c>
      <c r="N3073" s="6" t="s">
        <v>132</v>
      </c>
      <c r="O3073" s="36" t="s">
        <v>132</v>
      </c>
      <c r="P3073" s="36">
        <v>1.380298956E9</v>
      </c>
      <c r="Q3073" s="36" t="s">
        <v>7541</v>
      </c>
      <c r="R3073" s="6" t="s">
        <v>7542</v>
      </c>
    </row>
    <row r="3074">
      <c r="A3074" s="6" t="s">
        <v>7537</v>
      </c>
      <c r="B3074" s="6" t="s">
        <v>7537</v>
      </c>
      <c r="C3074" s="6">
        <v>1465.0</v>
      </c>
      <c r="D3074" s="9" t="str">
        <f>HYPERLINK("https://www.linkedin.com/ad-library/detail/1376699956","Open Ad")</f>
        <v>Open Ad</v>
      </c>
      <c r="E3074" s="6" t="s">
        <v>91</v>
      </c>
      <c r="F3074" s="6" t="s">
        <v>53</v>
      </c>
      <c r="G3074" s="6" t="s">
        <v>7837</v>
      </c>
      <c r="H3074" s="6" t="s">
        <v>55</v>
      </c>
      <c r="I3074" s="6" t="s">
        <v>7566</v>
      </c>
      <c r="J3074" s="6" t="s">
        <v>91</v>
      </c>
      <c r="K3074" s="9" t="str">
        <f>HYPERLINK("https://media.licdn.com/dms/image/v2/D4E10AQGY22FAQCO5ng/image-shrink_1280/B4EZ0IF2gZG8Ag-/0/1773957245603?e=2147483647&amp;v=beta&amp;t=1vDXAP-1eibkzbEY9usOeyFZZ7kFaEalz2CsnX2EaAA","Open Creative")</f>
        <v>Open Creative</v>
      </c>
      <c r="L3074" s="6" t="s">
        <v>131</v>
      </c>
      <c r="M3074" s="6" t="s">
        <v>7537</v>
      </c>
      <c r="N3074" s="6" t="s">
        <v>132</v>
      </c>
      <c r="O3074" s="36" t="s">
        <v>132</v>
      </c>
      <c r="P3074" s="36">
        <v>1.376699956E9</v>
      </c>
      <c r="Q3074" s="36" t="s">
        <v>7541</v>
      </c>
      <c r="R3074" s="6" t="s">
        <v>7542</v>
      </c>
    </row>
    <row r="3075">
      <c r="A3075" s="6" t="s">
        <v>7537</v>
      </c>
      <c r="B3075" s="6" t="s">
        <v>7537</v>
      </c>
      <c r="C3075" s="6">
        <v>1466.0</v>
      </c>
      <c r="D3075" s="9" t="str">
        <f>HYPERLINK("https://www.linkedin.com/ad-library/detail/1378106916","Open Ad")</f>
        <v>Open Ad</v>
      </c>
      <c r="E3075" s="6" t="s">
        <v>91</v>
      </c>
      <c r="F3075" s="6" t="s">
        <v>53</v>
      </c>
      <c r="G3075" s="6" t="s">
        <v>7821</v>
      </c>
      <c r="H3075" s="6" t="s">
        <v>55</v>
      </c>
      <c r="I3075" s="6" t="s">
        <v>7566</v>
      </c>
      <c r="J3075" s="6" t="s">
        <v>91</v>
      </c>
      <c r="K3075" s="6" t="s">
        <v>60</v>
      </c>
      <c r="L3075" s="6" t="s">
        <v>131</v>
      </c>
      <c r="M3075" s="6" t="s">
        <v>7537</v>
      </c>
      <c r="N3075" s="6" t="s">
        <v>132</v>
      </c>
      <c r="O3075" s="36" t="s">
        <v>132</v>
      </c>
      <c r="P3075" s="36">
        <v>1.378106916E9</v>
      </c>
      <c r="Q3075" s="36" t="s">
        <v>7541</v>
      </c>
      <c r="R3075" s="6" t="s">
        <v>7542</v>
      </c>
    </row>
    <row r="3076">
      <c r="A3076" s="6" t="s">
        <v>7537</v>
      </c>
      <c r="B3076" s="6" t="s">
        <v>7537</v>
      </c>
      <c r="C3076" s="6">
        <v>1467.0</v>
      </c>
      <c r="D3076" s="9" t="str">
        <f>HYPERLINK("https://www.linkedin.com/ad-library/detail/1376592726","Open Ad")</f>
        <v>Open Ad</v>
      </c>
      <c r="E3076" s="6" t="s">
        <v>91</v>
      </c>
      <c r="F3076" s="6" t="s">
        <v>53</v>
      </c>
      <c r="G3076" s="6" t="s">
        <v>7837</v>
      </c>
      <c r="H3076" s="6" t="s">
        <v>55</v>
      </c>
      <c r="I3076" s="6" t="s">
        <v>7566</v>
      </c>
      <c r="J3076" s="6" t="s">
        <v>91</v>
      </c>
      <c r="K3076" s="9" t="str">
        <f>HYPERLINK("https://media.licdn.com/dms/image/v2/D4E10AQGY22FAQCO5ng/image-shrink_1280/B4EZ0IF2gZG8Ag-/0/1773957245603?e=2147483647&amp;v=beta&amp;t=1vDXAP-1eibkzbEY9usOeyFZZ7kFaEalz2CsnX2EaAA","Open Creative")</f>
        <v>Open Creative</v>
      </c>
      <c r="L3076" s="6" t="s">
        <v>131</v>
      </c>
      <c r="M3076" s="6" t="s">
        <v>7537</v>
      </c>
      <c r="N3076" s="6" t="s">
        <v>132</v>
      </c>
      <c r="O3076" s="36" t="s">
        <v>132</v>
      </c>
      <c r="P3076" s="36">
        <v>1.376592726E9</v>
      </c>
      <c r="Q3076" s="36" t="s">
        <v>7541</v>
      </c>
      <c r="R3076" s="6" t="s">
        <v>7542</v>
      </c>
    </row>
    <row r="3077">
      <c r="A3077" s="6" t="s">
        <v>7537</v>
      </c>
      <c r="B3077" s="6" t="s">
        <v>7537</v>
      </c>
      <c r="C3077" s="6">
        <v>1468.0</v>
      </c>
      <c r="D3077" s="9" t="str">
        <f>HYPERLINK("https://www.linkedin.com/ad-library/detail/1380327716","Open Ad")</f>
        <v>Open Ad</v>
      </c>
      <c r="E3077" s="6" t="s">
        <v>154</v>
      </c>
      <c r="F3077" s="6" t="s">
        <v>53</v>
      </c>
      <c r="G3077" s="6" t="s">
        <v>7814</v>
      </c>
      <c r="H3077" s="6" t="s">
        <v>55</v>
      </c>
      <c r="I3077" s="6" t="s">
        <v>7566</v>
      </c>
      <c r="J3077" s="6" t="s">
        <v>154</v>
      </c>
      <c r="K3077" s="9" t="str">
        <f>HYPERLINK("https://dms.licdn.com/playlist/vid/v2/D4E10AQE5DaHYfIW59w/mp4-360p-30fp-crf28/B4EZ0ceEzkKICE-/0/1774299143927?e=2147483647&amp;v=beta&amp;t=KKfp2ber_Nc2aTshrP53eMPh211fJH_IXE1DbI6_3TQ","Open Creative")</f>
        <v>Open Creative</v>
      </c>
      <c r="L3077" s="6" t="s">
        <v>131</v>
      </c>
      <c r="M3077" s="6" t="s">
        <v>7537</v>
      </c>
      <c r="N3077" s="6" t="s">
        <v>132</v>
      </c>
      <c r="O3077" s="36" t="s">
        <v>132</v>
      </c>
      <c r="P3077" s="36">
        <v>1.380327716E9</v>
      </c>
      <c r="Q3077" s="36" t="s">
        <v>7541</v>
      </c>
      <c r="R3077" s="6" t="s">
        <v>7542</v>
      </c>
    </row>
    <row r="3078">
      <c r="A3078" s="6" t="s">
        <v>7537</v>
      </c>
      <c r="B3078" s="6" t="s">
        <v>7537</v>
      </c>
      <c r="C3078" s="6">
        <v>1469.0</v>
      </c>
      <c r="D3078" s="9" t="str">
        <f>HYPERLINK("https://www.linkedin.com/ad-library/detail/1380452876","Open Ad")</f>
        <v>Open Ad</v>
      </c>
      <c r="E3078" s="6" t="s">
        <v>154</v>
      </c>
      <c r="F3078" s="6" t="s">
        <v>53</v>
      </c>
      <c r="G3078" s="6" t="s">
        <v>7812</v>
      </c>
      <c r="H3078" s="6" t="s">
        <v>55</v>
      </c>
      <c r="I3078" s="6" t="s">
        <v>7566</v>
      </c>
      <c r="J3078" s="6" t="s">
        <v>154</v>
      </c>
      <c r="K3078" s="9" t="str">
        <f>HYPERLINK("https://dms.licdn.com/playlist/vid/v2/D4E10AQHEMWiDNQa5VQ/mp4-640p-30fp-crf28/B4EZ0bOltZIQBo-/0/1774278306504?e=2147483647&amp;v=beta&amp;t=ZhpAXkN8yaIizGZJRhLGj5UJbzxZwVKaj-9Z2QWIL_Y","Open Creative")</f>
        <v>Open Creative</v>
      </c>
      <c r="L3078" s="6" t="s">
        <v>131</v>
      </c>
      <c r="M3078" s="6" t="s">
        <v>7537</v>
      </c>
      <c r="N3078" s="6" t="s">
        <v>132</v>
      </c>
      <c r="O3078" s="36" t="s">
        <v>132</v>
      </c>
      <c r="P3078" s="36">
        <v>1.380452876E9</v>
      </c>
      <c r="Q3078" s="36" t="s">
        <v>7541</v>
      </c>
      <c r="R3078" s="6" t="s">
        <v>7542</v>
      </c>
    </row>
    <row r="3079">
      <c r="A3079" s="6" t="s">
        <v>7537</v>
      </c>
      <c r="B3079" s="6" t="s">
        <v>7537</v>
      </c>
      <c r="C3079" s="6">
        <v>1470.0</v>
      </c>
      <c r="D3079" s="9" t="str">
        <f>HYPERLINK("https://www.linkedin.com/ad-library/detail/1376621616","Open Ad")</f>
        <v>Open Ad</v>
      </c>
      <c r="E3079" s="6" t="s">
        <v>154</v>
      </c>
      <c r="F3079" s="6" t="s">
        <v>53</v>
      </c>
      <c r="G3079" s="6" t="s">
        <v>7811</v>
      </c>
      <c r="H3079" s="6" t="s">
        <v>55</v>
      </c>
      <c r="I3079" s="6" t="s">
        <v>7566</v>
      </c>
      <c r="J3079" s="6" t="s">
        <v>154</v>
      </c>
      <c r="K3079" s="9" t="str">
        <f>HYPERLINK("https://dms.licdn.com/playlist/vid/v2/D5605AQF83_DNHS-pdw/mp4-720p-30fp-crf28/B56Z0BfAhmKcCM-/0/1773846401302?e=2147483647&amp;v=beta&amp;t=I2BiW3EDO9MiWAszXKxdAhtpjQUHNoLmO19yGv-3td4","Open Creative")</f>
        <v>Open Creative</v>
      </c>
      <c r="L3079" s="6" t="s">
        <v>131</v>
      </c>
      <c r="M3079" s="6" t="s">
        <v>7537</v>
      </c>
      <c r="N3079" s="6" t="s">
        <v>132</v>
      </c>
      <c r="O3079" s="36" t="s">
        <v>132</v>
      </c>
      <c r="P3079" s="36">
        <v>1.376621616E9</v>
      </c>
      <c r="Q3079" s="36" t="s">
        <v>7541</v>
      </c>
      <c r="R3079" s="6" t="s">
        <v>7542</v>
      </c>
    </row>
    <row r="3080">
      <c r="A3080" s="6" t="s">
        <v>7537</v>
      </c>
      <c r="B3080" s="6" t="s">
        <v>7537</v>
      </c>
      <c r="C3080" s="6">
        <v>1471.0</v>
      </c>
      <c r="D3080" s="9" t="str">
        <f>HYPERLINK("https://www.linkedin.com/ad-library/detail/1376641366","Open Ad")</f>
        <v>Open Ad</v>
      </c>
      <c r="E3080" s="6" t="s">
        <v>91</v>
      </c>
      <c r="F3080" s="6" t="s">
        <v>53</v>
      </c>
      <c r="G3080" s="6" t="s">
        <v>7837</v>
      </c>
      <c r="H3080" s="6" t="s">
        <v>55</v>
      </c>
      <c r="I3080" s="6" t="s">
        <v>7566</v>
      </c>
      <c r="J3080" s="6" t="s">
        <v>91</v>
      </c>
      <c r="K3080" s="9" t="str">
        <f>HYPERLINK("https://media.licdn.com/dms/image/v2/D4E10AQGY22FAQCO5ng/image-shrink_1280/B4EZ0IF2gZG8Ag-/0/1773957245603?e=2147483647&amp;v=beta&amp;t=1vDXAP-1eibkzbEY9usOeyFZZ7kFaEalz2CsnX2EaAA","Open Creative")</f>
        <v>Open Creative</v>
      </c>
      <c r="L3080" s="6" t="s">
        <v>131</v>
      </c>
      <c r="M3080" s="6" t="s">
        <v>7537</v>
      </c>
      <c r="N3080" s="6" t="s">
        <v>132</v>
      </c>
      <c r="O3080" s="36" t="s">
        <v>132</v>
      </c>
      <c r="P3080" s="36">
        <v>1.376641366E9</v>
      </c>
      <c r="Q3080" s="36" t="s">
        <v>7541</v>
      </c>
      <c r="R3080" s="6" t="s">
        <v>7542</v>
      </c>
    </row>
    <row r="3081">
      <c r="A3081" s="6" t="s">
        <v>7537</v>
      </c>
      <c r="B3081" s="6" t="s">
        <v>7537</v>
      </c>
      <c r="C3081" s="6">
        <v>1472.0</v>
      </c>
      <c r="D3081" s="9" t="str">
        <f>HYPERLINK("https://www.linkedin.com/ad-library/detail/1380307626","Open Ad")</f>
        <v>Open Ad</v>
      </c>
      <c r="E3081" s="6" t="s">
        <v>154</v>
      </c>
      <c r="F3081" s="6" t="s">
        <v>53</v>
      </c>
      <c r="G3081" s="6" t="s">
        <v>7814</v>
      </c>
      <c r="H3081" s="6" t="s">
        <v>55</v>
      </c>
      <c r="I3081" s="6" t="s">
        <v>7566</v>
      </c>
      <c r="J3081" s="6" t="s">
        <v>154</v>
      </c>
      <c r="K3081" s="9" t="str">
        <f>HYPERLINK("https://dms.licdn.com/playlist/vid/v2/D4E10AQE5DaHYfIW59w/mp4-360p-30fp-crf28/B4EZ0ceEzkKICE-/0/1774299143927?e=2147483647&amp;v=beta&amp;t=KKfp2ber_Nc2aTshrP53eMPh211fJH_IXE1DbI6_3TQ","Open Creative")</f>
        <v>Open Creative</v>
      </c>
      <c r="L3081" s="6" t="s">
        <v>131</v>
      </c>
      <c r="M3081" s="6" t="s">
        <v>7537</v>
      </c>
      <c r="N3081" s="6" t="s">
        <v>132</v>
      </c>
      <c r="O3081" s="36" t="s">
        <v>132</v>
      </c>
      <c r="P3081" s="36">
        <v>1.380307626E9</v>
      </c>
      <c r="Q3081" s="36" t="s">
        <v>7541</v>
      </c>
      <c r="R3081" s="6" t="s">
        <v>7542</v>
      </c>
    </row>
    <row r="3082">
      <c r="A3082" s="6" t="s">
        <v>7537</v>
      </c>
      <c r="B3082" s="6" t="s">
        <v>7537</v>
      </c>
      <c r="C3082" s="6">
        <v>1473.0</v>
      </c>
      <c r="D3082" s="9" t="str">
        <f>HYPERLINK("https://www.linkedin.com/ad-library/detail/1378077946","Open Ad")</f>
        <v>Open Ad</v>
      </c>
      <c r="E3082" s="6" t="s">
        <v>91</v>
      </c>
      <c r="F3082" s="6" t="s">
        <v>53</v>
      </c>
      <c r="G3082" s="6" t="s">
        <v>7674</v>
      </c>
      <c r="H3082" s="6" t="s">
        <v>55</v>
      </c>
      <c r="I3082" s="6" t="s">
        <v>7566</v>
      </c>
      <c r="J3082" s="6" t="s">
        <v>91</v>
      </c>
      <c r="K3082" s="6" t="s">
        <v>60</v>
      </c>
      <c r="L3082" s="6" t="s">
        <v>131</v>
      </c>
      <c r="M3082" s="6" t="s">
        <v>7537</v>
      </c>
      <c r="N3082" s="6" t="s">
        <v>132</v>
      </c>
      <c r="O3082" s="36" t="s">
        <v>132</v>
      </c>
      <c r="P3082" s="36">
        <v>1.378077946E9</v>
      </c>
      <c r="Q3082" s="36" t="s">
        <v>7541</v>
      </c>
      <c r="R3082" s="6" t="s">
        <v>7542</v>
      </c>
    </row>
    <row r="3083">
      <c r="A3083" s="6" t="s">
        <v>7537</v>
      </c>
      <c r="B3083" s="6" t="s">
        <v>7537</v>
      </c>
      <c r="C3083" s="6">
        <v>1474.0</v>
      </c>
      <c r="D3083" s="9" t="str">
        <f>HYPERLINK("https://www.linkedin.com/ad-library/detail/1376621626","Open Ad")</f>
        <v>Open Ad</v>
      </c>
      <c r="E3083" s="6" t="s">
        <v>91</v>
      </c>
      <c r="F3083" s="6" t="s">
        <v>53</v>
      </c>
      <c r="G3083" s="6" t="s">
        <v>7837</v>
      </c>
      <c r="H3083" s="6" t="s">
        <v>55</v>
      </c>
      <c r="I3083" s="6" t="s">
        <v>7566</v>
      </c>
      <c r="J3083" s="6" t="s">
        <v>91</v>
      </c>
      <c r="K3083" s="9" t="str">
        <f>HYPERLINK("https://media.licdn.com/dms/image/v2/D4E10AQGY22FAQCO5ng/image-shrink_1280/B4EZ0IF2gZG8Ag-/0/1773957245603?e=2147483647&amp;v=beta&amp;t=1vDXAP-1eibkzbEY9usOeyFZZ7kFaEalz2CsnX2EaAA","Open Creative")</f>
        <v>Open Creative</v>
      </c>
      <c r="L3083" s="6" t="s">
        <v>131</v>
      </c>
      <c r="M3083" s="6" t="s">
        <v>7537</v>
      </c>
      <c r="N3083" s="6" t="s">
        <v>132</v>
      </c>
      <c r="O3083" s="36" t="s">
        <v>132</v>
      </c>
      <c r="P3083" s="36">
        <v>1.376621626E9</v>
      </c>
      <c r="Q3083" s="36" t="s">
        <v>7541</v>
      </c>
      <c r="R3083" s="6" t="s">
        <v>7542</v>
      </c>
    </row>
    <row r="3084">
      <c r="A3084" s="6" t="s">
        <v>7537</v>
      </c>
      <c r="B3084" s="6" t="s">
        <v>7537</v>
      </c>
      <c r="C3084" s="6">
        <v>1475.0</v>
      </c>
      <c r="D3084" s="9" t="str">
        <f>HYPERLINK("https://www.linkedin.com/ad-library/detail/1380509886","Open Ad")</f>
        <v>Open Ad</v>
      </c>
      <c r="E3084" s="6" t="s">
        <v>154</v>
      </c>
      <c r="F3084" s="6" t="s">
        <v>53</v>
      </c>
      <c r="G3084" s="6" t="s">
        <v>7814</v>
      </c>
      <c r="H3084" s="6" t="s">
        <v>55</v>
      </c>
      <c r="I3084" s="6" t="s">
        <v>7566</v>
      </c>
      <c r="J3084" s="6" t="s">
        <v>154</v>
      </c>
      <c r="K3084" s="9" t="str">
        <f>HYPERLINK("https://dms.licdn.com/playlist/vid/v2/D4E10AQE5DaHYfIW59w/mp4-360p-30fp-crf28/B4EZ0ceEzkKICE-/0/1774299143927?e=2147483647&amp;v=beta&amp;t=KKfp2ber_Nc2aTshrP53eMPh211fJH_IXE1DbI6_3TQ","Open Creative")</f>
        <v>Open Creative</v>
      </c>
      <c r="L3084" s="6" t="s">
        <v>131</v>
      </c>
      <c r="M3084" s="6" t="s">
        <v>7537</v>
      </c>
      <c r="N3084" s="6" t="s">
        <v>132</v>
      </c>
      <c r="O3084" s="36" t="s">
        <v>132</v>
      </c>
      <c r="P3084" s="36">
        <v>1.380509886E9</v>
      </c>
      <c r="Q3084" s="36" t="s">
        <v>7541</v>
      </c>
      <c r="R3084" s="6" t="s">
        <v>7542</v>
      </c>
    </row>
    <row r="3085">
      <c r="A3085" s="6" t="s">
        <v>7537</v>
      </c>
      <c r="B3085" s="6" t="s">
        <v>7537</v>
      </c>
      <c r="C3085" s="6">
        <v>1476.0</v>
      </c>
      <c r="D3085" s="9" t="str">
        <f>HYPERLINK("https://www.linkedin.com/ad-library/detail/1376661436","Open Ad")</f>
        <v>Open Ad</v>
      </c>
      <c r="E3085" s="6" t="s">
        <v>91</v>
      </c>
      <c r="F3085" s="6" t="s">
        <v>53</v>
      </c>
      <c r="G3085" s="6" t="s">
        <v>7838</v>
      </c>
      <c r="H3085" s="6" t="s">
        <v>55</v>
      </c>
      <c r="I3085" s="6" t="s">
        <v>7566</v>
      </c>
      <c r="J3085" s="6" t="s">
        <v>91</v>
      </c>
      <c r="K3085" s="9" t="str">
        <f>HYPERLINK("https://media.licdn.com/dms/image/v2/D4E10AQF9FEF6t70B0Q/image-shrink_1280/B4EZ0HdkEuIQAg-/0/1773946684354?e=2147483647&amp;v=beta&amp;t=T-NeBiEkZ0oh1ML2teK_ZVX3hPlSjj6HjCw-GW1C0a8","Open Creative")</f>
        <v>Open Creative</v>
      </c>
      <c r="L3085" s="6" t="s">
        <v>131</v>
      </c>
      <c r="M3085" s="6" t="s">
        <v>7537</v>
      </c>
      <c r="N3085" s="6" t="s">
        <v>132</v>
      </c>
      <c r="O3085" s="36" t="s">
        <v>132</v>
      </c>
      <c r="P3085" s="36">
        <v>1.376661436E9</v>
      </c>
      <c r="Q3085" s="36" t="s">
        <v>7541</v>
      </c>
      <c r="R3085" s="6" t="s">
        <v>7542</v>
      </c>
    </row>
    <row r="3086">
      <c r="A3086" s="6" t="s">
        <v>7537</v>
      </c>
      <c r="B3086" s="6" t="s">
        <v>7537</v>
      </c>
      <c r="C3086" s="6">
        <v>1477.0</v>
      </c>
      <c r="D3086" s="9" t="str">
        <f>HYPERLINK("https://www.linkedin.com/ad-library/detail/1235593984","Open Ad")</f>
        <v>Open Ad</v>
      </c>
      <c r="E3086" s="6" t="s">
        <v>91</v>
      </c>
      <c r="F3086" s="6" t="s">
        <v>53</v>
      </c>
      <c r="G3086" s="6" t="s">
        <v>7836</v>
      </c>
      <c r="H3086" s="6" t="s">
        <v>55</v>
      </c>
      <c r="I3086" s="6" t="s">
        <v>7566</v>
      </c>
      <c r="J3086" s="6" t="s">
        <v>91</v>
      </c>
      <c r="K3086" s="9" t="str">
        <f t="shared" ref="K3086:K3087" si="150">HYPERLINK("https://media.licdn.com/dms/image/v2/D5622AQEkxd1lcTFFUg/feedshare-image-high-res/B56Zz4tyw7JMAU-/0/1773699280180?e=2147483647&amp;v=beta&amp;t=ppGxFFOoMGpuu1MDr9avzowazqourgLIqiPjDR1DwmU","Open Creative")</f>
        <v>Open Creative</v>
      </c>
      <c r="L3086" s="6" t="s">
        <v>131</v>
      </c>
      <c r="M3086" s="6" t="s">
        <v>7537</v>
      </c>
      <c r="N3086" s="6" t="s">
        <v>132</v>
      </c>
      <c r="O3086" s="36" t="s">
        <v>132</v>
      </c>
      <c r="P3086" s="36">
        <v>1.235593984E9</v>
      </c>
      <c r="Q3086" s="36" t="s">
        <v>7541</v>
      </c>
      <c r="R3086" s="6" t="s">
        <v>7542</v>
      </c>
    </row>
    <row r="3087">
      <c r="A3087" s="6" t="s">
        <v>7537</v>
      </c>
      <c r="B3087" s="6" t="s">
        <v>7537</v>
      </c>
      <c r="C3087" s="6">
        <v>1478.0</v>
      </c>
      <c r="D3087" s="9" t="str">
        <f>HYPERLINK("https://www.linkedin.com/ad-library/detail/1234902624","Open Ad")</f>
        <v>Open Ad</v>
      </c>
      <c r="E3087" s="6" t="s">
        <v>91</v>
      </c>
      <c r="F3087" s="6" t="s">
        <v>53</v>
      </c>
      <c r="G3087" s="6" t="s">
        <v>7836</v>
      </c>
      <c r="H3087" s="6" t="s">
        <v>55</v>
      </c>
      <c r="I3087" s="6" t="s">
        <v>7566</v>
      </c>
      <c r="J3087" s="6" t="s">
        <v>91</v>
      </c>
      <c r="K3087" s="9" t="str">
        <f t="shared" si="150"/>
        <v>Open Creative</v>
      </c>
      <c r="L3087" s="6" t="s">
        <v>131</v>
      </c>
      <c r="M3087" s="6" t="s">
        <v>7537</v>
      </c>
      <c r="N3087" s="6" t="s">
        <v>132</v>
      </c>
      <c r="O3087" s="36" t="s">
        <v>132</v>
      </c>
      <c r="P3087" s="36">
        <v>1.234902624E9</v>
      </c>
      <c r="Q3087" s="36" t="s">
        <v>7541</v>
      </c>
      <c r="R3087" s="6" t="s">
        <v>7542</v>
      </c>
    </row>
    <row r="3088">
      <c r="A3088" s="6" t="s">
        <v>7537</v>
      </c>
      <c r="B3088" s="6" t="s">
        <v>7537</v>
      </c>
      <c r="C3088" s="6">
        <v>1479.0</v>
      </c>
      <c r="D3088" s="9" t="str">
        <f>HYPERLINK("https://www.linkedin.com/ad-library/detail/1376621816","Open Ad")</f>
        <v>Open Ad</v>
      </c>
      <c r="E3088" s="6" t="s">
        <v>154</v>
      </c>
      <c r="F3088" s="6" t="s">
        <v>53</v>
      </c>
      <c r="G3088" s="6" t="s">
        <v>7839</v>
      </c>
      <c r="H3088" s="6" t="s">
        <v>55</v>
      </c>
      <c r="I3088" s="6" t="s">
        <v>7566</v>
      </c>
      <c r="J3088" s="6" t="s">
        <v>154</v>
      </c>
      <c r="K3088" s="9" t="str">
        <f>HYPERLINK("https://dms.licdn.com/playlist/vid/v2/D4E05AQEuwG5UGC7_DQ/mp4-640p-30fp-crf28/B4EZ0Le92jG8B0-/0/1774014185257?e=2147483647&amp;v=beta&amp;t=3GNBArbx3DfHju8iaSeyEqm9wocRhx2UqQwc2DaL_gM","Open Creative")</f>
        <v>Open Creative</v>
      </c>
      <c r="L3088" s="6" t="s">
        <v>131</v>
      </c>
      <c r="M3088" s="6" t="s">
        <v>7537</v>
      </c>
      <c r="N3088" s="6" t="s">
        <v>132</v>
      </c>
      <c r="O3088" s="36" t="s">
        <v>132</v>
      </c>
      <c r="P3088" s="36">
        <v>1.376621816E9</v>
      </c>
      <c r="Q3088" s="36" t="s">
        <v>7541</v>
      </c>
      <c r="R3088" s="6" t="s">
        <v>7542</v>
      </c>
    </row>
    <row r="3089">
      <c r="A3089" s="6" t="s">
        <v>7537</v>
      </c>
      <c r="B3089" s="6" t="s">
        <v>7537</v>
      </c>
      <c r="C3089" s="6">
        <v>1480.0</v>
      </c>
      <c r="D3089" s="9" t="str">
        <f>HYPERLINK("https://www.linkedin.com/ad-library/detail/1380499936","Open Ad")</f>
        <v>Open Ad</v>
      </c>
      <c r="E3089" s="6" t="s">
        <v>154</v>
      </c>
      <c r="F3089" s="6" t="s">
        <v>53</v>
      </c>
      <c r="G3089" s="6" t="s">
        <v>7814</v>
      </c>
      <c r="H3089" s="6" t="s">
        <v>55</v>
      </c>
      <c r="I3089" s="6" t="s">
        <v>7566</v>
      </c>
      <c r="J3089" s="6" t="s">
        <v>154</v>
      </c>
      <c r="K3089" s="9" t="str">
        <f>HYPERLINK("https://dms.licdn.com/playlist/vid/v2/D4E10AQE5DaHYfIW59w/mp4-360p-30fp-crf28/B4EZ0ceEzkKICE-/0/1774299143927?e=2147483647&amp;v=beta&amp;t=KKfp2ber_Nc2aTshrP53eMPh211fJH_IXE1DbI6_3TQ","Open Creative")</f>
        <v>Open Creative</v>
      </c>
      <c r="L3089" s="6" t="s">
        <v>131</v>
      </c>
      <c r="M3089" s="6" t="s">
        <v>7537</v>
      </c>
      <c r="N3089" s="6" t="s">
        <v>132</v>
      </c>
      <c r="O3089" s="36" t="s">
        <v>132</v>
      </c>
      <c r="P3089" s="36">
        <v>1.380499936E9</v>
      </c>
      <c r="Q3089" s="36" t="s">
        <v>7541</v>
      </c>
      <c r="R3089" s="6" t="s">
        <v>7542</v>
      </c>
    </row>
    <row r="3090">
      <c r="A3090" s="6" t="s">
        <v>7537</v>
      </c>
      <c r="B3090" s="6" t="s">
        <v>7537</v>
      </c>
      <c r="C3090" s="6">
        <v>1481.0</v>
      </c>
      <c r="D3090" s="9" t="str">
        <f>HYPERLINK("https://www.linkedin.com/ad-library/detail/1380317646","Open Ad")</f>
        <v>Open Ad</v>
      </c>
      <c r="E3090" s="6" t="s">
        <v>154</v>
      </c>
      <c r="F3090" s="6" t="s">
        <v>53</v>
      </c>
      <c r="G3090" s="6" t="s">
        <v>7812</v>
      </c>
      <c r="H3090" s="6" t="s">
        <v>55</v>
      </c>
      <c r="I3090" s="6" t="s">
        <v>7566</v>
      </c>
      <c r="J3090" s="6" t="s">
        <v>154</v>
      </c>
      <c r="K3090" s="9" t="str">
        <f>HYPERLINK("https://dms.licdn.com/playlist/vid/v2/D4E10AQHEMWiDNQa5VQ/mp4-640p-30fp-crf28/B4EZ0bOltZIQBo-/0/1774278306504?e=2147483647&amp;v=beta&amp;t=ZhpAXkN8yaIizGZJRhLGj5UJbzxZwVKaj-9Z2QWIL_Y","Open Creative")</f>
        <v>Open Creative</v>
      </c>
      <c r="L3090" s="6" t="s">
        <v>131</v>
      </c>
      <c r="M3090" s="6" t="s">
        <v>7537</v>
      </c>
      <c r="N3090" s="6" t="s">
        <v>132</v>
      </c>
      <c r="O3090" s="36" t="s">
        <v>132</v>
      </c>
      <c r="P3090" s="36">
        <v>1.380317646E9</v>
      </c>
      <c r="Q3090" s="36" t="s">
        <v>7541</v>
      </c>
      <c r="R3090" s="6" t="s">
        <v>7542</v>
      </c>
    </row>
    <row r="3091">
      <c r="A3091" s="6" t="s">
        <v>7537</v>
      </c>
      <c r="B3091" s="6" t="s">
        <v>7537</v>
      </c>
      <c r="C3091" s="6">
        <v>1482.0</v>
      </c>
      <c r="D3091" s="9" t="str">
        <f>HYPERLINK("https://www.linkedin.com/ad-library/detail/1376661186","Open Ad")</f>
        <v>Open Ad</v>
      </c>
      <c r="E3091" s="6" t="s">
        <v>154</v>
      </c>
      <c r="F3091" s="6" t="s">
        <v>53</v>
      </c>
      <c r="G3091" s="6" t="s">
        <v>7839</v>
      </c>
      <c r="H3091" s="6" t="s">
        <v>55</v>
      </c>
      <c r="I3091" s="6" t="s">
        <v>7566</v>
      </c>
      <c r="J3091" s="6" t="s">
        <v>154</v>
      </c>
      <c r="K3091" s="9" t="str">
        <f>HYPERLINK("https://dms.licdn.com/playlist/vid/v2/D4E05AQEuwG5UGC7_DQ/mp4-640p-30fp-crf28/B4EZ0Le92jG8B0-/0/1774014185257?e=2147483647&amp;v=beta&amp;t=3GNBArbx3DfHju8iaSeyEqm9wocRhx2UqQwc2DaL_gM","Open Creative")</f>
        <v>Open Creative</v>
      </c>
      <c r="L3091" s="6" t="s">
        <v>131</v>
      </c>
      <c r="M3091" s="6" t="s">
        <v>7537</v>
      </c>
      <c r="N3091" s="6" t="s">
        <v>132</v>
      </c>
      <c r="O3091" s="36" t="s">
        <v>132</v>
      </c>
      <c r="P3091" s="36">
        <v>1.376661186E9</v>
      </c>
      <c r="Q3091" s="36" t="s">
        <v>7541</v>
      </c>
      <c r="R3091" s="6" t="s">
        <v>7542</v>
      </c>
    </row>
    <row r="3092">
      <c r="A3092" s="6" t="s">
        <v>7537</v>
      </c>
      <c r="B3092" s="6" t="s">
        <v>7537</v>
      </c>
      <c r="C3092" s="6">
        <v>1483.0</v>
      </c>
      <c r="D3092" s="9" t="str">
        <f>HYPERLINK("https://www.linkedin.com/ad-library/detail/1376670836","Open Ad")</f>
        <v>Open Ad</v>
      </c>
      <c r="E3092" s="6" t="s">
        <v>91</v>
      </c>
      <c r="F3092" s="6" t="s">
        <v>53</v>
      </c>
      <c r="G3092" s="6" t="s">
        <v>7837</v>
      </c>
      <c r="H3092" s="6" t="s">
        <v>55</v>
      </c>
      <c r="I3092" s="6" t="s">
        <v>7566</v>
      </c>
      <c r="J3092" s="6" t="s">
        <v>91</v>
      </c>
      <c r="K3092" s="9" t="str">
        <f>HYPERLINK("https://media.licdn.com/dms/image/v2/D4E10AQGY22FAQCO5ng/image-shrink_1280/B4EZ0IF2gZG8Ag-/0/1773957245603?e=2147483647&amp;v=beta&amp;t=1vDXAP-1eibkzbEY9usOeyFZZ7kFaEalz2CsnX2EaAA","Open Creative")</f>
        <v>Open Creative</v>
      </c>
      <c r="L3092" s="6" t="s">
        <v>131</v>
      </c>
      <c r="M3092" s="6" t="s">
        <v>7537</v>
      </c>
      <c r="N3092" s="6" t="s">
        <v>132</v>
      </c>
      <c r="O3092" s="36" t="s">
        <v>132</v>
      </c>
      <c r="P3092" s="36">
        <v>1.376670836E9</v>
      </c>
      <c r="Q3092" s="36" t="s">
        <v>7541</v>
      </c>
      <c r="R3092" s="6" t="s">
        <v>7542</v>
      </c>
    </row>
    <row r="3093">
      <c r="A3093" s="6" t="s">
        <v>7537</v>
      </c>
      <c r="B3093" s="6" t="s">
        <v>7537</v>
      </c>
      <c r="C3093" s="6">
        <v>1484.0</v>
      </c>
      <c r="D3093" s="9" t="str">
        <f>HYPERLINK("https://www.linkedin.com/ad-library/detail/1376631416","Open Ad")</f>
        <v>Open Ad</v>
      </c>
      <c r="E3093" s="6" t="s">
        <v>154</v>
      </c>
      <c r="F3093" s="6" t="s">
        <v>53</v>
      </c>
      <c r="G3093" s="6" t="s">
        <v>7839</v>
      </c>
      <c r="H3093" s="6" t="s">
        <v>55</v>
      </c>
      <c r="I3093" s="6" t="s">
        <v>7566</v>
      </c>
      <c r="J3093" s="6" t="s">
        <v>154</v>
      </c>
      <c r="K3093" s="9" t="str">
        <f>HYPERLINK("https://dms.licdn.com/playlist/vid/v2/D4E05AQEuwG5UGC7_DQ/mp4-640p-30fp-crf28/B4EZ0Le92jG8B0-/0/1774014185257?e=2147483647&amp;v=beta&amp;t=3GNBArbx3DfHju8iaSeyEqm9wocRhx2UqQwc2DaL_gM","Open Creative")</f>
        <v>Open Creative</v>
      </c>
      <c r="L3093" s="6" t="s">
        <v>131</v>
      </c>
      <c r="M3093" s="6" t="s">
        <v>7537</v>
      </c>
      <c r="N3093" s="6" t="s">
        <v>132</v>
      </c>
      <c r="O3093" s="36" t="s">
        <v>132</v>
      </c>
      <c r="P3093" s="36">
        <v>1.376631416E9</v>
      </c>
      <c r="Q3093" s="36" t="s">
        <v>68</v>
      </c>
      <c r="R3093" s="6" t="s">
        <v>7840</v>
      </c>
    </row>
    <row r="3094">
      <c r="A3094" s="6" t="s">
        <v>7537</v>
      </c>
      <c r="B3094" s="6" t="s">
        <v>7537</v>
      </c>
      <c r="C3094" s="6">
        <v>1485.0</v>
      </c>
      <c r="D3094" s="9" t="str">
        <f>HYPERLINK("https://www.linkedin.com/ad-library/detail/1376689996","Open Ad")</f>
        <v>Open Ad</v>
      </c>
      <c r="E3094" s="6" t="s">
        <v>154</v>
      </c>
      <c r="F3094" s="6" t="s">
        <v>53</v>
      </c>
      <c r="G3094" s="6" t="s">
        <v>7811</v>
      </c>
      <c r="H3094" s="6" t="s">
        <v>55</v>
      </c>
      <c r="I3094" s="6" t="s">
        <v>7566</v>
      </c>
      <c r="J3094" s="6" t="s">
        <v>154</v>
      </c>
      <c r="K3094" s="9" t="str">
        <f>HYPERLINK("https://dms.licdn.com/playlist/vid/v2/D5605AQF83_DNHS-pdw/mp4-720p-30fp-crf28/B56Z0BfAhmKcCM-/0/1773846401302?e=2147483647&amp;v=beta&amp;t=I2BiW3EDO9MiWAszXKxdAhtpjQUHNoLmO19yGv-3td4","Open Creative")</f>
        <v>Open Creative</v>
      </c>
      <c r="L3094" s="6" t="s">
        <v>131</v>
      </c>
      <c r="M3094" s="6" t="s">
        <v>7537</v>
      </c>
      <c r="N3094" s="6" t="s">
        <v>132</v>
      </c>
      <c r="O3094" s="36" t="s">
        <v>132</v>
      </c>
      <c r="P3094" s="36">
        <v>1.376689996E9</v>
      </c>
      <c r="Q3094" s="36" t="s">
        <v>7541</v>
      </c>
      <c r="R3094" s="6" t="s">
        <v>7542</v>
      </c>
    </row>
    <row r="3095">
      <c r="A3095" s="6" t="s">
        <v>7537</v>
      </c>
      <c r="B3095" s="6" t="s">
        <v>7537</v>
      </c>
      <c r="C3095" s="6">
        <v>1486.0</v>
      </c>
      <c r="D3095" s="9" t="str">
        <f>HYPERLINK("https://www.linkedin.com/ad-library/detail/1376488626","Open Ad")</f>
        <v>Open Ad</v>
      </c>
      <c r="E3095" s="6" t="s">
        <v>154</v>
      </c>
      <c r="F3095" s="6" t="s">
        <v>53</v>
      </c>
      <c r="G3095" s="6" t="s">
        <v>7839</v>
      </c>
      <c r="H3095" s="6" t="s">
        <v>55</v>
      </c>
      <c r="I3095" s="6" t="s">
        <v>7566</v>
      </c>
      <c r="J3095" s="6" t="s">
        <v>154</v>
      </c>
      <c r="K3095" s="9" t="str">
        <f>HYPERLINK("https://dms.licdn.com/playlist/vid/v2/D4E05AQEuwG5UGC7_DQ/mp4-640p-30fp-crf28/B4EZ0Le92jG8B0-/0/1774014185257?e=2147483647&amp;v=beta&amp;t=3GNBArbx3DfHju8iaSeyEqm9wocRhx2UqQwc2DaL_gM","Open Creative")</f>
        <v>Open Creative</v>
      </c>
      <c r="L3095" s="6" t="s">
        <v>131</v>
      </c>
      <c r="M3095" s="6" t="s">
        <v>7537</v>
      </c>
      <c r="N3095" s="6" t="s">
        <v>132</v>
      </c>
      <c r="O3095" s="36" t="s">
        <v>132</v>
      </c>
      <c r="P3095" s="36">
        <v>1.376488626E9</v>
      </c>
      <c r="Q3095" s="36" t="s">
        <v>7541</v>
      </c>
      <c r="R3095" s="6" t="s">
        <v>7542</v>
      </c>
    </row>
    <row r="3096">
      <c r="A3096" s="6" t="s">
        <v>7537</v>
      </c>
      <c r="B3096" s="6" t="s">
        <v>7537</v>
      </c>
      <c r="C3096" s="6">
        <v>1487.0</v>
      </c>
      <c r="D3096" s="9" t="str">
        <f>HYPERLINK("https://www.linkedin.com/ad-library/detail/1376612126","Open Ad")</f>
        <v>Open Ad</v>
      </c>
      <c r="E3096" s="6" t="s">
        <v>91</v>
      </c>
      <c r="F3096" s="6" t="s">
        <v>53</v>
      </c>
      <c r="G3096" s="6" t="s">
        <v>7841</v>
      </c>
      <c r="H3096" s="6" t="s">
        <v>55</v>
      </c>
      <c r="I3096" s="6" t="s">
        <v>7566</v>
      </c>
      <c r="J3096" s="6" t="s">
        <v>91</v>
      </c>
      <c r="K3096" s="9" t="str">
        <f>HYPERLINK("https://media.licdn.com/dms/image/v2/D4E10AQECh6zbJh9ySw/image-shrink_1280/B4EZ0LoqnsHsAc-/0/1774016703434?e=2147483647&amp;v=beta&amp;t=BLAKQU_47SK300Ny7ilo9yWJBAKgn4_nQBZxpiP8bvI","Open Creative")</f>
        <v>Open Creative</v>
      </c>
      <c r="L3096" s="6" t="s">
        <v>131</v>
      </c>
      <c r="M3096" s="6" t="s">
        <v>7537</v>
      </c>
      <c r="N3096" s="6" t="s">
        <v>132</v>
      </c>
      <c r="O3096" s="36" t="s">
        <v>132</v>
      </c>
      <c r="P3096" s="36">
        <v>1.376612126E9</v>
      </c>
      <c r="Q3096" s="36" t="s">
        <v>7541</v>
      </c>
      <c r="R3096" s="6" t="s">
        <v>7542</v>
      </c>
    </row>
    <row r="3097">
      <c r="A3097" s="6" t="s">
        <v>7537</v>
      </c>
      <c r="B3097" s="6" t="s">
        <v>7537</v>
      </c>
      <c r="C3097" s="6">
        <v>1488.0</v>
      </c>
      <c r="D3097" s="9" t="str">
        <f>HYPERLINK("https://www.linkedin.com/ad-library/detail/1376535096","Open Ad")</f>
        <v>Open Ad</v>
      </c>
      <c r="E3097" s="6" t="s">
        <v>91</v>
      </c>
      <c r="F3097" s="6" t="s">
        <v>53</v>
      </c>
      <c r="G3097" s="6" t="s">
        <v>7837</v>
      </c>
      <c r="H3097" s="6" t="s">
        <v>55</v>
      </c>
      <c r="I3097" s="6" t="s">
        <v>7566</v>
      </c>
      <c r="J3097" s="6" t="s">
        <v>91</v>
      </c>
      <c r="K3097" s="9" t="str">
        <f>HYPERLINK("https://media.licdn.com/dms/image/v2/D4E10AQGY22FAQCO5ng/image-shrink_1280/B4EZ0IF2gZG8Ag-/0/1773957245603?e=2147483647&amp;v=beta&amp;t=1vDXAP-1eibkzbEY9usOeyFZZ7kFaEalz2CsnX2EaAA","Open Creative")</f>
        <v>Open Creative</v>
      </c>
      <c r="L3097" s="6" t="s">
        <v>131</v>
      </c>
      <c r="M3097" s="6" t="s">
        <v>7537</v>
      </c>
      <c r="N3097" s="6" t="s">
        <v>132</v>
      </c>
      <c r="O3097" s="36" t="s">
        <v>132</v>
      </c>
      <c r="P3097" s="36">
        <v>1.376535096E9</v>
      </c>
      <c r="Q3097" s="36" t="s">
        <v>7541</v>
      </c>
      <c r="R3097" s="6" t="s">
        <v>7542</v>
      </c>
    </row>
    <row r="3098">
      <c r="A3098" s="6" t="s">
        <v>7537</v>
      </c>
      <c r="B3098" s="6" t="s">
        <v>7537</v>
      </c>
      <c r="C3098" s="6">
        <v>1489.0</v>
      </c>
      <c r="D3098" s="9" t="str">
        <f>HYPERLINK("https://www.linkedin.com/ad-library/detail/1376680806","Open Ad")</f>
        <v>Open Ad</v>
      </c>
      <c r="E3098" s="6" t="s">
        <v>91</v>
      </c>
      <c r="F3098" s="6" t="s">
        <v>53</v>
      </c>
      <c r="G3098" s="6" t="s">
        <v>7842</v>
      </c>
      <c r="H3098" s="6" t="s">
        <v>55</v>
      </c>
      <c r="I3098" s="6" t="s">
        <v>7566</v>
      </c>
      <c r="J3098" s="6" t="s">
        <v>91</v>
      </c>
      <c r="K3098" s="9" t="str">
        <f>HYPERLINK("https://media.licdn.com/dms/image/v2/D4D22AQGm5LOrSRj7aw/feedshare-shrink_1280/B4DZ0Bchf8JQAQ-/0/1773845748275?e=2147483647&amp;v=beta&amp;t=Jv9axNVTQVrchfNmOkBWi9DdKcrOZuX1iH5ckZDxJ_A","Open Creative")</f>
        <v>Open Creative</v>
      </c>
      <c r="L3098" s="6" t="s">
        <v>131</v>
      </c>
      <c r="M3098" s="6" t="s">
        <v>7537</v>
      </c>
      <c r="N3098" s="6" t="s">
        <v>132</v>
      </c>
      <c r="O3098" s="36" t="s">
        <v>132</v>
      </c>
      <c r="P3098" s="36">
        <v>1.376680806E9</v>
      </c>
      <c r="Q3098" s="36" t="s">
        <v>7541</v>
      </c>
      <c r="R3098" s="6" t="s">
        <v>7542</v>
      </c>
    </row>
    <row r="3099">
      <c r="A3099" s="6" t="s">
        <v>7537</v>
      </c>
      <c r="B3099" s="6" t="s">
        <v>7537</v>
      </c>
      <c r="C3099" s="6">
        <v>1490.0</v>
      </c>
      <c r="D3099" s="9" t="str">
        <f>HYPERLINK("https://www.linkedin.com/ad-library/detail/1375925546","Open Ad")</f>
        <v>Open Ad</v>
      </c>
      <c r="E3099" s="6" t="s">
        <v>91</v>
      </c>
      <c r="F3099" s="6" t="s">
        <v>53</v>
      </c>
      <c r="G3099" s="6" t="s">
        <v>7843</v>
      </c>
      <c r="H3099" s="6" t="s">
        <v>55</v>
      </c>
      <c r="I3099" s="6" t="s">
        <v>7566</v>
      </c>
      <c r="J3099" s="6" t="s">
        <v>91</v>
      </c>
      <c r="K3099" s="6" t="s">
        <v>60</v>
      </c>
      <c r="L3099" s="6" t="s">
        <v>131</v>
      </c>
      <c r="M3099" s="6" t="s">
        <v>7537</v>
      </c>
      <c r="N3099" s="6" t="s">
        <v>132</v>
      </c>
      <c r="O3099" s="36" t="s">
        <v>132</v>
      </c>
      <c r="P3099" s="36">
        <v>1.375925546E9</v>
      </c>
      <c r="Q3099" s="36" t="s">
        <v>7541</v>
      </c>
      <c r="R3099" s="6" t="s">
        <v>7542</v>
      </c>
    </row>
    <row r="3100">
      <c r="A3100" s="6" t="s">
        <v>7537</v>
      </c>
      <c r="B3100" s="6" t="s">
        <v>7537</v>
      </c>
      <c r="C3100" s="6">
        <v>1491.0</v>
      </c>
      <c r="D3100" s="9" t="str">
        <f>HYPERLINK("https://www.linkedin.com/ad-library/detail/1376289626","Open Ad")</f>
        <v>Open Ad</v>
      </c>
      <c r="E3100" s="6" t="s">
        <v>154</v>
      </c>
      <c r="F3100" s="6" t="s">
        <v>53</v>
      </c>
      <c r="G3100" s="6" t="s">
        <v>7844</v>
      </c>
      <c r="H3100" s="6" t="s">
        <v>55</v>
      </c>
      <c r="I3100" s="6" t="s">
        <v>7566</v>
      </c>
      <c r="J3100" s="6" t="s">
        <v>154</v>
      </c>
      <c r="K3100" s="9" t="str">
        <f>HYPERLINK("https://dms.licdn.com/playlist/vid/v2/D4E10AQFKaGAU7r1Fuw/mp4-640p-30fp-crf28/B4EZ0BoxeKJABk-/0/1773848962445?e=2147483647&amp;v=beta&amp;t=cqR-uToC7tXeBvApJUrNWAdyVxFZXIdfYyJ4dBqG8uc","Open Creative")</f>
        <v>Open Creative</v>
      </c>
      <c r="L3100" s="6" t="s">
        <v>131</v>
      </c>
      <c r="M3100" s="6" t="s">
        <v>7537</v>
      </c>
      <c r="N3100" s="6" t="s">
        <v>132</v>
      </c>
      <c r="O3100" s="36" t="s">
        <v>132</v>
      </c>
      <c r="P3100" s="36">
        <v>1.376289626E9</v>
      </c>
      <c r="Q3100" s="36" t="s">
        <v>7541</v>
      </c>
      <c r="R3100" s="6" t="s">
        <v>7542</v>
      </c>
    </row>
    <row r="3101">
      <c r="A3101" s="6" t="s">
        <v>7537</v>
      </c>
      <c r="B3101" s="6" t="s">
        <v>7537</v>
      </c>
      <c r="C3101" s="6">
        <v>1492.0</v>
      </c>
      <c r="D3101" s="9" t="str">
        <f>HYPERLINK("https://www.linkedin.com/ad-library/detail/1376592656","Open Ad")</f>
        <v>Open Ad</v>
      </c>
      <c r="E3101" s="6" t="s">
        <v>91</v>
      </c>
      <c r="F3101" s="6" t="s">
        <v>53</v>
      </c>
      <c r="G3101" s="6" t="s">
        <v>7842</v>
      </c>
      <c r="H3101" s="6" t="s">
        <v>55</v>
      </c>
      <c r="I3101" s="6" t="s">
        <v>7566</v>
      </c>
      <c r="J3101" s="6" t="s">
        <v>91</v>
      </c>
      <c r="K3101" s="9" t="str">
        <f>HYPERLINK("https://media.licdn.com/dms/image/v2/D4D22AQGm5LOrSRj7aw/feedshare-shrink_1280/B4DZ0Bchf8JQAQ-/0/1773845748275?e=2147483647&amp;v=beta&amp;t=Jv9axNVTQVrchfNmOkBWi9DdKcrOZuX1iH5ckZDxJ_A","Open Creative")</f>
        <v>Open Creative</v>
      </c>
      <c r="L3101" s="6" t="s">
        <v>131</v>
      </c>
      <c r="M3101" s="6" t="s">
        <v>7537</v>
      </c>
      <c r="N3101" s="6" t="s">
        <v>132</v>
      </c>
      <c r="O3101" s="36" t="s">
        <v>132</v>
      </c>
      <c r="P3101" s="36">
        <v>1.376592656E9</v>
      </c>
      <c r="Q3101" s="36" t="s">
        <v>7541</v>
      </c>
      <c r="R3101" s="6" t="s">
        <v>7542</v>
      </c>
    </row>
    <row r="3102">
      <c r="A3102" s="6" t="s">
        <v>7537</v>
      </c>
      <c r="B3102" s="6" t="s">
        <v>7537</v>
      </c>
      <c r="C3102" s="6">
        <v>1493.0</v>
      </c>
      <c r="D3102" s="9" t="str">
        <f>HYPERLINK("https://www.linkedin.com/ad-library/detail/1374117356","Open Ad")</f>
        <v>Open Ad</v>
      </c>
      <c r="E3102" s="6" t="s">
        <v>154</v>
      </c>
      <c r="F3102" s="6" t="s">
        <v>53</v>
      </c>
      <c r="G3102" s="6" t="s">
        <v>7816</v>
      </c>
      <c r="H3102" s="6" t="s">
        <v>55</v>
      </c>
      <c r="I3102" s="6" t="s">
        <v>7566</v>
      </c>
      <c r="J3102" s="6" t="s">
        <v>154</v>
      </c>
      <c r="K3102" s="9" t="str">
        <f>HYPERLINK("https://dms.licdn.com/playlist/vid/v2/D4E10AQHeAzMp6wXICg/mp4-720p-30fp-crf28/B4EZznY.k2IUCE-/0/1773408615246?e=2147483647&amp;v=beta&amp;t=8tlPTvtrKX28l-U0kqNlBMpijrCLL5x93WDV620buH4","Open Creative")</f>
        <v>Open Creative</v>
      </c>
      <c r="L3102" s="6" t="s">
        <v>131</v>
      </c>
      <c r="M3102" s="6" t="s">
        <v>7537</v>
      </c>
      <c r="N3102" s="6" t="s">
        <v>132</v>
      </c>
      <c r="O3102" s="36" t="s">
        <v>132</v>
      </c>
      <c r="P3102" s="36">
        <v>1.374117356E9</v>
      </c>
      <c r="Q3102" s="36" t="s">
        <v>7541</v>
      </c>
      <c r="R3102" s="6" t="s">
        <v>7542</v>
      </c>
    </row>
    <row r="3103">
      <c r="A3103" s="6" t="s">
        <v>7537</v>
      </c>
      <c r="B3103" s="6" t="s">
        <v>7537</v>
      </c>
      <c r="C3103" s="6">
        <v>1494.0</v>
      </c>
      <c r="D3103" s="9" t="str">
        <f>HYPERLINK("https://www.linkedin.com/ad-library/detail/1376515796","Open Ad")</f>
        <v>Open Ad</v>
      </c>
      <c r="E3103" s="6" t="s">
        <v>91</v>
      </c>
      <c r="F3103" s="6" t="s">
        <v>53</v>
      </c>
      <c r="G3103" s="6" t="s">
        <v>7842</v>
      </c>
      <c r="H3103" s="6" t="s">
        <v>55</v>
      </c>
      <c r="I3103" s="6" t="s">
        <v>7566</v>
      </c>
      <c r="J3103" s="6" t="s">
        <v>91</v>
      </c>
      <c r="K3103" s="9" t="str">
        <f>HYPERLINK("https://media.licdn.com/dms/image/v2/D4D22AQGm5LOrSRj7aw/feedshare-shrink_1280/B4DZ0Bchf8JQAQ-/0/1773845748275?e=2147483647&amp;v=beta&amp;t=Jv9axNVTQVrchfNmOkBWi9DdKcrOZuX1iH5ckZDxJ_A","Open Creative")</f>
        <v>Open Creative</v>
      </c>
      <c r="L3103" s="6" t="s">
        <v>131</v>
      </c>
      <c r="M3103" s="6" t="s">
        <v>7537</v>
      </c>
      <c r="N3103" s="6" t="s">
        <v>132</v>
      </c>
      <c r="O3103" s="36" t="s">
        <v>132</v>
      </c>
      <c r="P3103" s="36">
        <v>1.376515796E9</v>
      </c>
      <c r="Q3103" s="36" t="s">
        <v>7541</v>
      </c>
      <c r="R3103" s="6" t="s">
        <v>7542</v>
      </c>
    </row>
    <row r="3104">
      <c r="A3104" s="6" t="s">
        <v>7537</v>
      </c>
      <c r="B3104" s="6" t="s">
        <v>7537</v>
      </c>
      <c r="C3104" s="6">
        <v>1495.0</v>
      </c>
      <c r="D3104" s="9" t="str">
        <f>HYPERLINK("https://www.linkedin.com/ad-library/detail/1375964086","Open Ad")</f>
        <v>Open Ad</v>
      </c>
      <c r="E3104" s="6" t="s">
        <v>91</v>
      </c>
      <c r="F3104" s="6" t="s">
        <v>53</v>
      </c>
      <c r="G3104" s="6" t="s">
        <v>7845</v>
      </c>
      <c r="H3104" s="6" t="s">
        <v>55</v>
      </c>
      <c r="I3104" s="6" t="s">
        <v>7566</v>
      </c>
      <c r="J3104" s="6" t="s">
        <v>91</v>
      </c>
      <c r="K3104" s="6" t="s">
        <v>60</v>
      </c>
      <c r="L3104" s="6" t="s">
        <v>131</v>
      </c>
      <c r="M3104" s="6" t="s">
        <v>7537</v>
      </c>
      <c r="N3104" s="6" t="s">
        <v>132</v>
      </c>
      <c r="O3104" s="36" t="s">
        <v>132</v>
      </c>
      <c r="P3104" s="36">
        <v>1.375964086E9</v>
      </c>
      <c r="Q3104" s="36" t="s">
        <v>7541</v>
      </c>
      <c r="R3104" s="6" t="s">
        <v>7542</v>
      </c>
    </row>
    <row r="3105">
      <c r="A3105" s="6" t="s">
        <v>7537</v>
      </c>
      <c r="B3105" s="6" t="s">
        <v>7537</v>
      </c>
      <c r="C3105" s="6">
        <v>1496.0</v>
      </c>
      <c r="D3105" s="9" t="str">
        <f>HYPERLINK("https://www.linkedin.com/ad-library/detail/1375964186","Open Ad")</f>
        <v>Open Ad</v>
      </c>
      <c r="E3105" s="6" t="s">
        <v>91</v>
      </c>
      <c r="F3105" s="6" t="s">
        <v>53</v>
      </c>
      <c r="G3105" s="6" t="s">
        <v>7845</v>
      </c>
      <c r="H3105" s="6" t="s">
        <v>55</v>
      </c>
      <c r="I3105" s="6" t="s">
        <v>7566</v>
      </c>
      <c r="J3105" s="6" t="s">
        <v>91</v>
      </c>
      <c r="K3105" s="6" t="s">
        <v>60</v>
      </c>
      <c r="L3105" s="6" t="s">
        <v>131</v>
      </c>
      <c r="M3105" s="6" t="s">
        <v>7537</v>
      </c>
      <c r="N3105" s="6" t="s">
        <v>132</v>
      </c>
      <c r="O3105" s="36" t="s">
        <v>132</v>
      </c>
      <c r="P3105" s="36">
        <v>1.375964186E9</v>
      </c>
      <c r="Q3105" s="36" t="s">
        <v>7541</v>
      </c>
      <c r="R3105" s="6" t="s">
        <v>7542</v>
      </c>
    </row>
    <row r="3106">
      <c r="A3106" s="6" t="s">
        <v>7537</v>
      </c>
      <c r="B3106" s="6" t="s">
        <v>7537</v>
      </c>
      <c r="C3106" s="6">
        <v>1497.0</v>
      </c>
      <c r="D3106" s="9" t="str">
        <f>HYPERLINK("https://www.linkedin.com/ad-library/detail/1376621606","Open Ad")</f>
        <v>Open Ad</v>
      </c>
      <c r="E3106" s="6" t="s">
        <v>154</v>
      </c>
      <c r="F3106" s="6" t="s">
        <v>53</v>
      </c>
      <c r="G3106" s="6" t="s">
        <v>7811</v>
      </c>
      <c r="H3106" s="6" t="s">
        <v>55</v>
      </c>
      <c r="I3106" s="6" t="s">
        <v>7566</v>
      </c>
      <c r="J3106" s="6" t="s">
        <v>154</v>
      </c>
      <c r="K3106" s="9" t="str">
        <f>HYPERLINK("https://dms.licdn.com/playlist/vid/v2/D5605AQF83_DNHS-pdw/mp4-720p-30fp-crf28/B56Z0BfAhmKcCM-/0/1773846401302?e=2147483647&amp;v=beta&amp;t=I2BiW3EDO9MiWAszXKxdAhtpjQUHNoLmO19yGv-3td4","Open Creative")</f>
        <v>Open Creative</v>
      </c>
      <c r="L3106" s="6" t="s">
        <v>131</v>
      </c>
      <c r="M3106" s="6" t="s">
        <v>7537</v>
      </c>
      <c r="N3106" s="6" t="s">
        <v>132</v>
      </c>
      <c r="O3106" s="36" t="s">
        <v>132</v>
      </c>
      <c r="P3106" s="36">
        <v>1.376621606E9</v>
      </c>
      <c r="Q3106" s="36" t="s">
        <v>7541</v>
      </c>
      <c r="R3106" s="6" t="s">
        <v>7542</v>
      </c>
    </row>
    <row r="3107">
      <c r="A3107" s="6" t="s">
        <v>7537</v>
      </c>
      <c r="B3107" s="6" t="s">
        <v>7537</v>
      </c>
      <c r="C3107" s="6">
        <v>1498.0</v>
      </c>
      <c r="D3107" s="9" t="str">
        <f>HYPERLINK("https://www.linkedin.com/ad-library/detail/1376641336","Open Ad")</f>
        <v>Open Ad</v>
      </c>
      <c r="E3107" s="6" t="s">
        <v>154</v>
      </c>
      <c r="F3107" s="6" t="s">
        <v>53</v>
      </c>
      <c r="G3107" s="6" t="s">
        <v>7804</v>
      </c>
      <c r="H3107" s="6" t="s">
        <v>55</v>
      </c>
      <c r="I3107" s="6" t="s">
        <v>7566</v>
      </c>
      <c r="J3107" s="6" t="s">
        <v>154</v>
      </c>
      <c r="K3107" s="9" t="str">
        <f>HYPERLINK("https://dms.licdn.com/playlist/vid/v2/D5610AQGG1v8LxW2J2Q/mp4-360p-30fp-crf28/B56Z0H6F.wHICA-/0/1773954175177?e=2147483647&amp;v=beta&amp;t=s4GCVN-Klk_yVFXAFC0Vw3E19Ib0k1_UJT7G4PFeIYI","Open Creative")</f>
        <v>Open Creative</v>
      </c>
      <c r="L3107" s="6" t="s">
        <v>131</v>
      </c>
      <c r="M3107" s="6" t="s">
        <v>7537</v>
      </c>
      <c r="N3107" s="6" t="s">
        <v>132</v>
      </c>
      <c r="O3107" s="36" t="s">
        <v>132</v>
      </c>
      <c r="P3107" s="36">
        <v>1.376641336E9</v>
      </c>
      <c r="Q3107" s="36" t="s">
        <v>7541</v>
      </c>
      <c r="R3107" s="6" t="s">
        <v>7542</v>
      </c>
    </row>
    <row r="3108">
      <c r="A3108" s="6" t="s">
        <v>7537</v>
      </c>
      <c r="B3108" s="6" t="s">
        <v>7537</v>
      </c>
      <c r="C3108" s="6">
        <v>1499.0</v>
      </c>
      <c r="D3108" s="9" t="str">
        <f>HYPERLINK("https://www.linkedin.com/ad-library/detail/1374241596","Open Ad")</f>
        <v>Open Ad</v>
      </c>
      <c r="E3108" s="6" t="s">
        <v>154</v>
      </c>
      <c r="F3108" s="6" t="s">
        <v>53</v>
      </c>
      <c r="G3108" s="6" t="s">
        <v>7816</v>
      </c>
      <c r="H3108" s="6" t="s">
        <v>55</v>
      </c>
      <c r="I3108" s="6" t="s">
        <v>7566</v>
      </c>
      <c r="J3108" s="6" t="s">
        <v>154</v>
      </c>
      <c r="K3108" s="9" t="str">
        <f>HYPERLINK("https://dms.licdn.com/playlist/vid/v2/D4E10AQHeAzMp6wXICg/mp4-720p-30fp-crf28/B4EZznY.k2IUCE-/0/1773408615246?e=2147483647&amp;v=beta&amp;t=8tlPTvtrKX28l-U0kqNlBMpijrCLL5x93WDV620buH4","Open Creative")</f>
        <v>Open Creative</v>
      </c>
      <c r="L3108" s="6" t="s">
        <v>131</v>
      </c>
      <c r="M3108" s="6" t="s">
        <v>7537</v>
      </c>
      <c r="N3108" s="6" t="s">
        <v>132</v>
      </c>
      <c r="O3108" s="36" t="s">
        <v>132</v>
      </c>
      <c r="P3108" s="36">
        <v>1.374241596E9</v>
      </c>
      <c r="Q3108" s="36" t="s">
        <v>7541</v>
      </c>
      <c r="R3108" s="6" t="s">
        <v>7542</v>
      </c>
    </row>
    <row r="3109">
      <c r="A3109" s="6" t="s">
        <v>7537</v>
      </c>
      <c r="B3109" s="6" t="s">
        <v>7537</v>
      </c>
      <c r="C3109" s="6">
        <v>1500.0</v>
      </c>
      <c r="D3109" s="9" t="str">
        <f>HYPERLINK("https://www.linkedin.com/ad-library/detail/1376680826","Open Ad")</f>
        <v>Open Ad</v>
      </c>
      <c r="E3109" s="6" t="s">
        <v>154</v>
      </c>
      <c r="F3109" s="6" t="s">
        <v>53</v>
      </c>
      <c r="G3109" s="6" t="s">
        <v>7804</v>
      </c>
      <c r="H3109" s="6" t="s">
        <v>55</v>
      </c>
      <c r="I3109" s="6" t="s">
        <v>7566</v>
      </c>
      <c r="J3109" s="6" t="s">
        <v>154</v>
      </c>
      <c r="K3109" s="9" t="str">
        <f>HYPERLINK("https://dms.licdn.com/playlist/vid/v2/D5610AQGG1v8LxW2J2Q/mp4-360p-30fp-crf28/B56Z0H6F.wHICA-/0/1773954175177?e=2147483647&amp;v=beta&amp;t=s4GCVN-Klk_yVFXAFC0Vw3E19Ib0k1_UJT7G4PFeIYI","Open Creative")</f>
        <v>Open Creative</v>
      </c>
      <c r="L3109" s="6" t="s">
        <v>131</v>
      </c>
      <c r="M3109" s="6" t="s">
        <v>7537</v>
      </c>
      <c r="N3109" s="6" t="s">
        <v>132</v>
      </c>
      <c r="O3109" s="36" t="s">
        <v>132</v>
      </c>
      <c r="P3109" s="36">
        <v>1.376680826E9</v>
      </c>
      <c r="Q3109" s="36" t="s">
        <v>7541</v>
      </c>
      <c r="R3109" s="6" t="s">
        <v>7542</v>
      </c>
    </row>
    <row r="3110">
      <c r="A3110" s="6" t="s">
        <v>7537</v>
      </c>
      <c r="B3110" s="6" t="s">
        <v>7537</v>
      </c>
      <c r="C3110" s="6">
        <v>1501.0</v>
      </c>
      <c r="D3110" s="9" t="str">
        <f>HYPERLINK("https://www.linkedin.com/ad-library/detail/1374280836","Open Ad")</f>
        <v>Open Ad</v>
      </c>
      <c r="E3110" s="6" t="s">
        <v>154</v>
      </c>
      <c r="F3110" s="6" t="s">
        <v>53</v>
      </c>
      <c r="G3110" s="6" t="s">
        <v>7816</v>
      </c>
      <c r="H3110" s="6" t="s">
        <v>55</v>
      </c>
      <c r="I3110" s="6" t="s">
        <v>7566</v>
      </c>
      <c r="J3110" s="6" t="s">
        <v>154</v>
      </c>
      <c r="K3110" s="9" t="str">
        <f>HYPERLINK("https://dms.licdn.com/playlist/vid/v2/D4E10AQHeAzMp6wXICg/mp4-720p-30fp-crf28/B4EZznY.k2IUCE-/0/1773408615246?e=2147483647&amp;v=beta&amp;t=8tlPTvtrKX28l-U0kqNlBMpijrCLL5x93WDV620buH4","Open Creative")</f>
        <v>Open Creative</v>
      </c>
      <c r="L3110" s="6" t="s">
        <v>131</v>
      </c>
      <c r="M3110" s="6" t="s">
        <v>7537</v>
      </c>
      <c r="N3110" s="6" t="s">
        <v>132</v>
      </c>
      <c r="O3110" s="36" t="s">
        <v>132</v>
      </c>
      <c r="P3110" s="36">
        <v>1.374280836E9</v>
      </c>
      <c r="Q3110" s="36" t="s">
        <v>7541</v>
      </c>
      <c r="R3110" s="6" t="s">
        <v>7542</v>
      </c>
    </row>
    <row r="3111">
      <c r="A3111" s="6" t="s">
        <v>7537</v>
      </c>
      <c r="B3111" s="6" t="s">
        <v>7537</v>
      </c>
      <c r="C3111" s="6">
        <v>1502.0</v>
      </c>
      <c r="D3111" s="9" t="str">
        <f>HYPERLINK("https://www.linkedin.com/ad-library/detail/1376680846","Open Ad")</f>
        <v>Open Ad</v>
      </c>
      <c r="E3111" s="6" t="s">
        <v>154</v>
      </c>
      <c r="F3111" s="6" t="s">
        <v>53</v>
      </c>
      <c r="G3111" s="6" t="s">
        <v>7804</v>
      </c>
      <c r="H3111" s="6" t="s">
        <v>55</v>
      </c>
      <c r="I3111" s="6" t="s">
        <v>7566</v>
      </c>
      <c r="J3111" s="6" t="s">
        <v>154</v>
      </c>
      <c r="K3111" s="9" t="str">
        <f>HYPERLINK("https://dms.licdn.com/playlist/vid/v2/D5610AQGG1v8LxW2J2Q/mp4-360p-30fp-crf28/B56Z0H6F.wHICA-/0/1773954175177?e=2147483647&amp;v=beta&amp;t=s4GCVN-Klk_yVFXAFC0Vw3E19Ib0k1_UJT7G4PFeIYI","Open Creative")</f>
        <v>Open Creative</v>
      </c>
      <c r="L3111" s="6" t="s">
        <v>131</v>
      </c>
      <c r="M3111" s="6" t="s">
        <v>7537</v>
      </c>
      <c r="N3111" s="6" t="s">
        <v>132</v>
      </c>
      <c r="O3111" s="36" t="s">
        <v>132</v>
      </c>
      <c r="P3111" s="36">
        <v>1.376680846E9</v>
      </c>
      <c r="Q3111" s="36" t="s">
        <v>7541</v>
      </c>
      <c r="R3111" s="6" t="s">
        <v>7542</v>
      </c>
    </row>
    <row r="3112">
      <c r="A3112" s="6" t="s">
        <v>7537</v>
      </c>
      <c r="B3112" s="6" t="s">
        <v>7537</v>
      </c>
      <c r="C3112" s="6">
        <v>1503.0</v>
      </c>
      <c r="D3112" s="9" t="str">
        <f>HYPERLINK("https://www.linkedin.com/ad-library/detail/1375809406","Open Ad")</f>
        <v>Open Ad</v>
      </c>
      <c r="E3112" s="6" t="s">
        <v>91</v>
      </c>
      <c r="F3112" s="6" t="s">
        <v>53</v>
      </c>
      <c r="G3112" s="6" t="s">
        <v>7846</v>
      </c>
      <c r="H3112" s="6" t="s">
        <v>55</v>
      </c>
      <c r="I3112" s="6" t="s">
        <v>7566</v>
      </c>
      <c r="J3112" s="6" t="s">
        <v>91</v>
      </c>
      <c r="K3112" s="6" t="s">
        <v>60</v>
      </c>
      <c r="L3112" s="6" t="s">
        <v>131</v>
      </c>
      <c r="M3112" s="6" t="s">
        <v>7537</v>
      </c>
      <c r="N3112" s="6" t="s">
        <v>132</v>
      </c>
      <c r="O3112" s="36" t="s">
        <v>132</v>
      </c>
      <c r="P3112" s="36">
        <v>1.375809406E9</v>
      </c>
      <c r="Q3112" s="36" t="s">
        <v>7541</v>
      </c>
      <c r="R3112" s="6" t="s">
        <v>7542</v>
      </c>
    </row>
    <row r="3113">
      <c r="A3113" s="6" t="s">
        <v>7537</v>
      </c>
      <c r="B3113" s="6" t="s">
        <v>7537</v>
      </c>
      <c r="C3113" s="6">
        <v>1504.0</v>
      </c>
      <c r="D3113" s="9" t="str">
        <f>HYPERLINK("https://www.linkedin.com/ad-library/detail/1376554246","Open Ad")</f>
        <v>Open Ad</v>
      </c>
      <c r="E3113" s="6" t="s">
        <v>154</v>
      </c>
      <c r="F3113" s="6" t="s">
        <v>53</v>
      </c>
      <c r="G3113" s="6" t="s">
        <v>7811</v>
      </c>
      <c r="H3113" s="6" t="s">
        <v>55</v>
      </c>
      <c r="I3113" s="6" t="s">
        <v>7566</v>
      </c>
      <c r="J3113" s="6" t="s">
        <v>154</v>
      </c>
      <c r="K3113" s="9" t="str">
        <f>HYPERLINK("https://dms.licdn.com/playlist/vid/v2/D5605AQF83_DNHS-pdw/mp4-720p-30fp-crf28/B56Z0BfAhmKcCM-/0/1773846401302?e=2147483647&amp;v=beta&amp;t=I2BiW3EDO9MiWAszXKxdAhtpjQUHNoLmO19yGv-3td4","Open Creative")</f>
        <v>Open Creative</v>
      </c>
      <c r="L3113" s="6" t="s">
        <v>131</v>
      </c>
      <c r="M3113" s="6" t="s">
        <v>7537</v>
      </c>
      <c r="N3113" s="6" t="s">
        <v>132</v>
      </c>
      <c r="O3113" s="36" t="s">
        <v>132</v>
      </c>
      <c r="P3113" s="36">
        <v>1.376554246E9</v>
      </c>
      <c r="Q3113" s="36" t="s">
        <v>7541</v>
      </c>
      <c r="R3113" s="6" t="s">
        <v>7542</v>
      </c>
    </row>
    <row r="3114">
      <c r="A3114" s="6" t="s">
        <v>7537</v>
      </c>
      <c r="B3114" s="6" t="s">
        <v>7537</v>
      </c>
      <c r="C3114" s="6">
        <v>1505.0</v>
      </c>
      <c r="D3114" s="9" t="str">
        <f>HYPERLINK("https://www.linkedin.com/ad-library/detail/1376611736","Open Ad")</f>
        <v>Open Ad</v>
      </c>
      <c r="E3114" s="6" t="s">
        <v>154</v>
      </c>
      <c r="F3114" s="6" t="s">
        <v>53</v>
      </c>
      <c r="G3114" s="6" t="s">
        <v>7804</v>
      </c>
      <c r="H3114" s="6" t="s">
        <v>55</v>
      </c>
      <c r="I3114" s="6" t="s">
        <v>7566</v>
      </c>
      <c r="J3114" s="6" t="s">
        <v>154</v>
      </c>
      <c r="K3114" s="9" t="str">
        <f>HYPERLINK("https://dms.licdn.com/playlist/vid/v2/D5610AQGG1v8LxW2J2Q/mp4-360p-30fp-crf28/B56Z0H6F.wHICA-/0/1773954175177?e=2147483647&amp;v=beta&amp;t=s4GCVN-Klk_yVFXAFC0Vw3E19Ib0k1_UJT7G4PFeIYI","Open Creative")</f>
        <v>Open Creative</v>
      </c>
      <c r="L3114" s="6" t="s">
        <v>131</v>
      </c>
      <c r="M3114" s="6" t="s">
        <v>7537</v>
      </c>
      <c r="N3114" s="6" t="s">
        <v>132</v>
      </c>
      <c r="O3114" s="36" t="s">
        <v>132</v>
      </c>
      <c r="P3114" s="36">
        <v>1.376611736E9</v>
      </c>
      <c r="Q3114" s="36" t="s">
        <v>7541</v>
      </c>
      <c r="R3114" s="6" t="s">
        <v>7542</v>
      </c>
    </row>
    <row r="3115">
      <c r="A3115" s="6" t="s">
        <v>7537</v>
      </c>
      <c r="B3115" s="6" t="s">
        <v>7537</v>
      </c>
      <c r="C3115" s="6">
        <v>1506.0</v>
      </c>
      <c r="D3115" s="9" t="str">
        <f>HYPERLINK("https://www.linkedin.com/ad-library/detail/1376506236","Open Ad")</f>
        <v>Open Ad</v>
      </c>
      <c r="E3115" s="6" t="s">
        <v>154</v>
      </c>
      <c r="F3115" s="6" t="s">
        <v>53</v>
      </c>
      <c r="G3115" s="6" t="s">
        <v>7847</v>
      </c>
      <c r="H3115" s="6" t="s">
        <v>55</v>
      </c>
      <c r="I3115" s="6" t="s">
        <v>7566</v>
      </c>
      <c r="J3115" s="6" t="s">
        <v>154</v>
      </c>
      <c r="K3115" s="9" t="str">
        <f>HYPERLINK("https://dms.licdn.com/playlist/vid/v2/D5605AQGJbimoWp5Ntg/mp4-640p-30fp-crf28/B56Z0B7HMnKsBw-/0/1773853769943?e=2147483647&amp;v=beta&amp;t=qYORMK-kNDZFVgCdkqebwayIAJKDfmMFSIloMVN9weo","Open Creative")</f>
        <v>Open Creative</v>
      </c>
      <c r="L3115" s="6" t="s">
        <v>131</v>
      </c>
      <c r="M3115" s="6" t="s">
        <v>7537</v>
      </c>
      <c r="N3115" s="6" t="s">
        <v>132</v>
      </c>
      <c r="O3115" s="36" t="s">
        <v>132</v>
      </c>
      <c r="P3115" s="36">
        <v>1.376506236E9</v>
      </c>
      <c r="Q3115" s="36" t="s">
        <v>7541</v>
      </c>
      <c r="R3115" s="6" t="s">
        <v>7542</v>
      </c>
    </row>
    <row r="3116">
      <c r="A3116" s="6" t="s">
        <v>7537</v>
      </c>
      <c r="B3116" s="6" t="s">
        <v>7537</v>
      </c>
      <c r="C3116" s="6">
        <v>1507.0</v>
      </c>
      <c r="D3116" s="9" t="str">
        <f>HYPERLINK("https://www.linkedin.com/ad-library/detail/1376010476","Open Ad")</f>
        <v>Open Ad</v>
      </c>
      <c r="E3116" s="6" t="s">
        <v>91</v>
      </c>
      <c r="F3116" s="6" t="s">
        <v>53</v>
      </c>
      <c r="G3116" s="6" t="s">
        <v>7845</v>
      </c>
      <c r="H3116" s="6" t="s">
        <v>55</v>
      </c>
      <c r="I3116" s="6" t="s">
        <v>7566</v>
      </c>
      <c r="J3116" s="6" t="s">
        <v>91</v>
      </c>
      <c r="K3116" s="6" t="s">
        <v>60</v>
      </c>
      <c r="L3116" s="6" t="s">
        <v>131</v>
      </c>
      <c r="M3116" s="6" t="s">
        <v>7537</v>
      </c>
      <c r="N3116" s="6" t="s">
        <v>132</v>
      </c>
      <c r="O3116" s="36" t="s">
        <v>132</v>
      </c>
      <c r="P3116" s="36">
        <v>1.376010476E9</v>
      </c>
      <c r="Q3116" s="36" t="s">
        <v>7541</v>
      </c>
      <c r="R3116" s="6" t="s">
        <v>7542</v>
      </c>
    </row>
    <row r="3117">
      <c r="A3117" s="6" t="s">
        <v>7537</v>
      </c>
      <c r="B3117" s="6" t="s">
        <v>7537</v>
      </c>
      <c r="C3117" s="6">
        <v>1508.0</v>
      </c>
      <c r="D3117" s="9" t="str">
        <f>HYPERLINK("https://www.linkedin.com/ad-library/detail/1376554156","Open Ad")</f>
        <v>Open Ad</v>
      </c>
      <c r="E3117" s="6" t="s">
        <v>91</v>
      </c>
      <c r="F3117" s="6" t="s">
        <v>53</v>
      </c>
      <c r="G3117" s="6" t="s">
        <v>7842</v>
      </c>
      <c r="H3117" s="6" t="s">
        <v>55</v>
      </c>
      <c r="I3117" s="6" t="s">
        <v>7566</v>
      </c>
      <c r="J3117" s="6" t="s">
        <v>91</v>
      </c>
      <c r="K3117" s="9" t="str">
        <f t="shared" ref="K3117:K3118" si="151">HYPERLINK("https://media.licdn.com/dms/image/v2/D4D22AQGm5LOrSRj7aw/feedshare-shrink_1280/B4DZ0Bchf8JQAQ-/0/1773845748275?e=2147483647&amp;v=beta&amp;t=Jv9axNVTQVrchfNmOkBWi9DdKcrOZuX1iH5ckZDxJ_A","Open Creative")</f>
        <v>Open Creative</v>
      </c>
      <c r="L3117" s="6" t="s">
        <v>131</v>
      </c>
      <c r="M3117" s="6" t="s">
        <v>7537</v>
      </c>
      <c r="N3117" s="6" t="s">
        <v>132</v>
      </c>
      <c r="O3117" s="36" t="s">
        <v>132</v>
      </c>
      <c r="P3117" s="36">
        <v>1.376554156E9</v>
      </c>
      <c r="Q3117" s="36" t="s">
        <v>7541</v>
      </c>
      <c r="R3117" s="6" t="s">
        <v>7542</v>
      </c>
    </row>
    <row r="3118">
      <c r="A3118" s="6" t="s">
        <v>7537</v>
      </c>
      <c r="B3118" s="6" t="s">
        <v>7537</v>
      </c>
      <c r="C3118" s="6">
        <v>1509.0</v>
      </c>
      <c r="D3118" s="9" t="str">
        <f>HYPERLINK("https://www.linkedin.com/ad-library/detail/1376670806","Open Ad")</f>
        <v>Open Ad</v>
      </c>
      <c r="E3118" s="6" t="s">
        <v>91</v>
      </c>
      <c r="F3118" s="6" t="s">
        <v>53</v>
      </c>
      <c r="G3118" s="6" t="s">
        <v>7842</v>
      </c>
      <c r="H3118" s="6" t="s">
        <v>55</v>
      </c>
      <c r="I3118" s="6" t="s">
        <v>7566</v>
      </c>
      <c r="J3118" s="6" t="s">
        <v>91</v>
      </c>
      <c r="K3118" s="9" t="str">
        <f t="shared" si="151"/>
        <v>Open Creative</v>
      </c>
      <c r="L3118" s="6" t="s">
        <v>131</v>
      </c>
      <c r="M3118" s="6" t="s">
        <v>7537</v>
      </c>
      <c r="N3118" s="6" t="s">
        <v>132</v>
      </c>
      <c r="O3118" s="36" t="s">
        <v>132</v>
      </c>
      <c r="P3118" s="36">
        <v>1.376670806E9</v>
      </c>
      <c r="Q3118" s="36" t="s">
        <v>7541</v>
      </c>
      <c r="R3118" s="6" t="s">
        <v>7542</v>
      </c>
    </row>
    <row r="3119">
      <c r="A3119" s="6" t="s">
        <v>7537</v>
      </c>
      <c r="B3119" s="6" t="s">
        <v>7537</v>
      </c>
      <c r="C3119" s="6">
        <v>1510.0</v>
      </c>
      <c r="D3119" s="9" t="str">
        <f>HYPERLINK("https://www.linkedin.com/ad-library/detail/1375817966","Open Ad")</f>
        <v>Open Ad</v>
      </c>
      <c r="E3119" s="6" t="s">
        <v>91</v>
      </c>
      <c r="F3119" s="6" t="s">
        <v>53</v>
      </c>
      <c r="G3119" s="6" t="s">
        <v>7848</v>
      </c>
      <c r="H3119" s="6" t="s">
        <v>55</v>
      </c>
      <c r="I3119" s="6" t="s">
        <v>7680</v>
      </c>
      <c r="J3119" s="6" t="s">
        <v>91</v>
      </c>
      <c r="K3119" s="6" t="s">
        <v>60</v>
      </c>
      <c r="L3119" s="6" t="s">
        <v>131</v>
      </c>
      <c r="M3119" s="6" t="s">
        <v>7537</v>
      </c>
      <c r="N3119" s="6" t="s">
        <v>132</v>
      </c>
      <c r="O3119" s="36" t="s">
        <v>132</v>
      </c>
      <c r="P3119" s="36">
        <v>1.375817966E9</v>
      </c>
      <c r="Q3119" s="36" t="s">
        <v>7541</v>
      </c>
      <c r="R3119" s="6" t="s">
        <v>7542</v>
      </c>
    </row>
    <row r="3120">
      <c r="A3120" s="6" t="s">
        <v>7537</v>
      </c>
      <c r="B3120" s="6" t="s">
        <v>7537</v>
      </c>
      <c r="C3120" s="6">
        <v>1511.0</v>
      </c>
      <c r="D3120" s="9" t="str">
        <f>HYPERLINK("https://www.linkedin.com/ad-library/detail/1375944366","Open Ad")</f>
        <v>Open Ad</v>
      </c>
      <c r="E3120" s="6" t="s">
        <v>91</v>
      </c>
      <c r="F3120" s="6" t="s">
        <v>53</v>
      </c>
      <c r="G3120" s="6" t="s">
        <v>7845</v>
      </c>
      <c r="H3120" s="6" t="s">
        <v>55</v>
      </c>
      <c r="I3120" s="6" t="s">
        <v>7566</v>
      </c>
      <c r="J3120" s="6" t="s">
        <v>91</v>
      </c>
      <c r="K3120" s="6" t="s">
        <v>60</v>
      </c>
      <c r="L3120" s="6" t="s">
        <v>131</v>
      </c>
      <c r="M3120" s="6" t="s">
        <v>7537</v>
      </c>
      <c r="N3120" s="6" t="s">
        <v>132</v>
      </c>
      <c r="O3120" s="36" t="s">
        <v>132</v>
      </c>
      <c r="P3120" s="36">
        <v>1.375944366E9</v>
      </c>
      <c r="Q3120" s="36" t="s">
        <v>7541</v>
      </c>
      <c r="R3120" s="6" t="s">
        <v>7542</v>
      </c>
    </row>
    <row r="3121">
      <c r="A3121" s="6" t="s">
        <v>7537</v>
      </c>
      <c r="B3121" s="6" t="s">
        <v>7537</v>
      </c>
      <c r="C3121" s="6">
        <v>1512.0</v>
      </c>
      <c r="D3121" s="9" t="str">
        <f>HYPERLINK("https://www.linkedin.com/ad-library/detail/1375964116","Open Ad")</f>
        <v>Open Ad</v>
      </c>
      <c r="E3121" s="6" t="s">
        <v>91</v>
      </c>
      <c r="F3121" s="6" t="s">
        <v>53</v>
      </c>
      <c r="G3121" s="6" t="s">
        <v>7846</v>
      </c>
      <c r="H3121" s="6" t="s">
        <v>55</v>
      </c>
      <c r="I3121" s="6" t="s">
        <v>7566</v>
      </c>
      <c r="J3121" s="6" t="s">
        <v>91</v>
      </c>
      <c r="K3121" s="6" t="s">
        <v>60</v>
      </c>
      <c r="L3121" s="6" t="s">
        <v>131</v>
      </c>
      <c r="M3121" s="6" t="s">
        <v>7537</v>
      </c>
      <c r="N3121" s="6" t="s">
        <v>132</v>
      </c>
      <c r="O3121" s="36" t="s">
        <v>132</v>
      </c>
      <c r="P3121" s="36">
        <v>1.375964116E9</v>
      </c>
      <c r="Q3121" s="36" t="s">
        <v>7541</v>
      </c>
      <c r="R3121" s="6" t="s">
        <v>7542</v>
      </c>
    </row>
    <row r="3122">
      <c r="A3122" s="6" t="s">
        <v>7537</v>
      </c>
      <c r="B3122" s="6" t="s">
        <v>7537</v>
      </c>
      <c r="C3122" s="6">
        <v>1513.0</v>
      </c>
      <c r="D3122" s="9" t="str">
        <f>HYPERLINK("https://www.linkedin.com/ad-library/detail/1372769456","Open Ad")</f>
        <v>Open Ad</v>
      </c>
      <c r="E3122" s="6" t="s">
        <v>91</v>
      </c>
      <c r="F3122" s="6" t="s">
        <v>53</v>
      </c>
      <c r="G3122" s="6" t="s">
        <v>7849</v>
      </c>
      <c r="H3122" s="6" t="s">
        <v>55</v>
      </c>
      <c r="I3122" s="6" t="s">
        <v>7566</v>
      </c>
      <c r="J3122" s="6" t="s">
        <v>91</v>
      </c>
      <c r="K3122" s="9" t="str">
        <f>HYPERLINK("https://media.licdn.com/dms/image/v2/D5610AQEm_N6bv9Kq-A/image-shrink_1280/B56Zz8gqqiKMAc-/0/1773762948101/oolufractionalleadershippng?e=2147483647&amp;v=beta&amp;t=yOP4NJcgaCgiWtYgy2rgVe-oneGnJgiPYy8B98ddpEA","Open Creative")</f>
        <v>Open Creative</v>
      </c>
      <c r="L3122" s="6" t="s">
        <v>131</v>
      </c>
      <c r="M3122" s="6" t="s">
        <v>7537</v>
      </c>
      <c r="N3122" s="6" t="s">
        <v>132</v>
      </c>
      <c r="O3122" s="36" t="s">
        <v>132</v>
      </c>
      <c r="P3122" s="36">
        <v>1.372769456E9</v>
      </c>
      <c r="Q3122" s="36" t="s">
        <v>7541</v>
      </c>
      <c r="R3122" s="6" t="s">
        <v>7542</v>
      </c>
    </row>
    <row r="3123">
      <c r="A3123" s="6" t="s">
        <v>7537</v>
      </c>
      <c r="B3123" s="6" t="s">
        <v>7537</v>
      </c>
      <c r="C3123" s="6">
        <v>1514.0</v>
      </c>
      <c r="D3123" s="9" t="str">
        <f>HYPERLINK("https://www.linkedin.com/ad-library/detail/1374166756","Open Ad")</f>
        <v>Open Ad</v>
      </c>
      <c r="E3123" s="6" t="s">
        <v>91</v>
      </c>
      <c r="F3123" s="6" t="s">
        <v>53</v>
      </c>
      <c r="G3123" s="6" t="s">
        <v>7801</v>
      </c>
      <c r="H3123" s="6" t="s">
        <v>55</v>
      </c>
      <c r="I3123" s="6" t="s">
        <v>7566</v>
      </c>
      <c r="J3123" s="6" t="s">
        <v>91</v>
      </c>
      <c r="K3123" s="9" t="str">
        <f t="shared" ref="K3123:K3124" si="152">HYPERLINK("https://media.licdn.com/dms/image/v2/D4E10AQHh8QXsUTwTLQ/image-shrink_1280/B4EZzj8CgOKQAc-/0/1773350693435?e=2147483647&amp;v=beta&amp;t=oOeNo28sJ1rA9BvUwJALGKNmBemHszGNk9sT0ZhnDIw","Open Creative")</f>
        <v>Open Creative</v>
      </c>
      <c r="L3123" s="6" t="s">
        <v>131</v>
      </c>
      <c r="M3123" s="6" t="s">
        <v>7537</v>
      </c>
      <c r="N3123" s="6" t="s">
        <v>132</v>
      </c>
      <c r="O3123" s="36" t="s">
        <v>132</v>
      </c>
      <c r="P3123" s="36">
        <v>1.374166756E9</v>
      </c>
      <c r="Q3123" s="36" t="s">
        <v>7541</v>
      </c>
      <c r="R3123" s="6" t="s">
        <v>7542</v>
      </c>
    </row>
    <row r="3124">
      <c r="A3124" s="6" t="s">
        <v>7537</v>
      </c>
      <c r="B3124" s="6" t="s">
        <v>7537</v>
      </c>
      <c r="C3124" s="6">
        <v>1515.0</v>
      </c>
      <c r="D3124" s="9" t="str">
        <f>HYPERLINK("https://www.linkedin.com/ad-library/detail/1374117336","Open Ad")</f>
        <v>Open Ad</v>
      </c>
      <c r="E3124" s="6" t="s">
        <v>91</v>
      </c>
      <c r="F3124" s="6" t="s">
        <v>53</v>
      </c>
      <c r="G3124" s="6" t="s">
        <v>7801</v>
      </c>
      <c r="H3124" s="6" t="s">
        <v>55</v>
      </c>
      <c r="I3124" s="6" t="s">
        <v>7566</v>
      </c>
      <c r="J3124" s="6" t="s">
        <v>91</v>
      </c>
      <c r="K3124" s="9" t="str">
        <f t="shared" si="152"/>
        <v>Open Creative</v>
      </c>
      <c r="L3124" s="6" t="s">
        <v>131</v>
      </c>
      <c r="M3124" s="6" t="s">
        <v>7537</v>
      </c>
      <c r="N3124" s="6" t="s">
        <v>132</v>
      </c>
      <c r="O3124" s="36" t="s">
        <v>132</v>
      </c>
      <c r="P3124" s="36">
        <v>1.374117336E9</v>
      </c>
      <c r="Q3124" s="36" t="s">
        <v>7541</v>
      </c>
      <c r="R3124" s="6" t="s">
        <v>7542</v>
      </c>
    </row>
    <row r="3125">
      <c r="A3125" s="6" t="s">
        <v>7537</v>
      </c>
      <c r="B3125" s="6" t="s">
        <v>7537</v>
      </c>
      <c r="C3125" s="6">
        <v>1516.0</v>
      </c>
      <c r="D3125" s="9" t="str">
        <f>HYPERLINK("https://www.linkedin.com/ad-library/detail/1374166736","Open Ad")</f>
        <v>Open Ad</v>
      </c>
      <c r="E3125" s="6" t="s">
        <v>91</v>
      </c>
      <c r="F3125" s="6" t="s">
        <v>53</v>
      </c>
      <c r="G3125" s="6" t="s">
        <v>7850</v>
      </c>
      <c r="H3125" s="6" t="s">
        <v>55</v>
      </c>
      <c r="I3125" s="6" t="s">
        <v>7566</v>
      </c>
      <c r="J3125" s="6" t="s">
        <v>91</v>
      </c>
      <c r="K3125" s="9" t="str">
        <f>HYPERLINK("https://media.licdn.com/dms/image/v2/D4E10AQGHiNtXjVwnLw/image-shrink_1280/B4EZz75zt.GwAc-/0/1773752761744?e=2147483647&amp;v=beta&amp;t=J9mqFtNSJjW0JhFfDanM9cwcBVnF0Id8r9zvUjP_PPA","Open Creative")</f>
        <v>Open Creative</v>
      </c>
      <c r="L3125" s="6" t="s">
        <v>131</v>
      </c>
      <c r="M3125" s="6" t="s">
        <v>7537</v>
      </c>
      <c r="N3125" s="6" t="s">
        <v>132</v>
      </c>
      <c r="O3125" s="36" t="s">
        <v>132</v>
      </c>
      <c r="P3125" s="36">
        <v>1.374166736E9</v>
      </c>
      <c r="Q3125" s="36" t="s">
        <v>7541</v>
      </c>
      <c r="R3125" s="6" t="s">
        <v>7542</v>
      </c>
    </row>
    <row r="3126">
      <c r="A3126" s="6" t="s">
        <v>7537</v>
      </c>
      <c r="B3126" s="6" t="s">
        <v>7537</v>
      </c>
      <c r="C3126" s="6">
        <v>1517.0</v>
      </c>
      <c r="D3126" s="9" t="str">
        <f>HYPERLINK("https://www.linkedin.com/ad-library/detail/1374137236","Open Ad")</f>
        <v>Open Ad</v>
      </c>
      <c r="E3126" s="6" t="s">
        <v>91</v>
      </c>
      <c r="F3126" s="6" t="s">
        <v>53</v>
      </c>
      <c r="G3126" s="6" t="s">
        <v>7801</v>
      </c>
      <c r="H3126" s="6" t="s">
        <v>55</v>
      </c>
      <c r="I3126" s="6" t="s">
        <v>7566</v>
      </c>
      <c r="J3126" s="6" t="s">
        <v>91</v>
      </c>
      <c r="K3126" s="9" t="str">
        <f t="shared" ref="K3126:K3127" si="153">HYPERLINK("https://media.licdn.com/dms/image/v2/D4E10AQHh8QXsUTwTLQ/image-shrink_1280/B4EZzj8CgOKQAc-/0/1773350693435?e=2147483647&amp;v=beta&amp;t=oOeNo28sJ1rA9BvUwJALGKNmBemHszGNk9sT0ZhnDIw","Open Creative")</f>
        <v>Open Creative</v>
      </c>
      <c r="L3126" s="6" t="s">
        <v>131</v>
      </c>
      <c r="M3126" s="6" t="s">
        <v>7537</v>
      </c>
      <c r="N3126" s="6" t="s">
        <v>132</v>
      </c>
      <c r="O3126" s="36" t="s">
        <v>132</v>
      </c>
      <c r="P3126" s="36">
        <v>1.374137236E9</v>
      </c>
      <c r="Q3126" s="36" t="s">
        <v>7541</v>
      </c>
      <c r="R3126" s="6" t="s">
        <v>7542</v>
      </c>
    </row>
    <row r="3127">
      <c r="A3127" s="6" t="s">
        <v>7537</v>
      </c>
      <c r="B3127" s="6" t="s">
        <v>7537</v>
      </c>
      <c r="C3127" s="6">
        <v>1518.0</v>
      </c>
      <c r="D3127" s="9" t="str">
        <f>HYPERLINK("https://www.linkedin.com/ad-library/detail/1374241586","Open Ad")</f>
        <v>Open Ad</v>
      </c>
      <c r="E3127" s="6" t="s">
        <v>91</v>
      </c>
      <c r="F3127" s="6" t="s">
        <v>53</v>
      </c>
      <c r="G3127" s="6" t="s">
        <v>7801</v>
      </c>
      <c r="H3127" s="6" t="s">
        <v>55</v>
      </c>
      <c r="I3127" s="6" t="s">
        <v>7566</v>
      </c>
      <c r="J3127" s="6" t="s">
        <v>91</v>
      </c>
      <c r="K3127" s="9" t="str">
        <f t="shared" si="153"/>
        <v>Open Creative</v>
      </c>
      <c r="L3127" s="6" t="s">
        <v>131</v>
      </c>
      <c r="M3127" s="6" t="s">
        <v>7537</v>
      </c>
      <c r="N3127" s="6" t="s">
        <v>132</v>
      </c>
      <c r="O3127" s="36" t="s">
        <v>132</v>
      </c>
      <c r="P3127" s="36">
        <v>1.374241586E9</v>
      </c>
      <c r="Q3127" s="36" t="s">
        <v>7541</v>
      </c>
      <c r="R3127" s="6" t="s">
        <v>7542</v>
      </c>
    </row>
    <row r="3128">
      <c r="A3128" s="6" t="s">
        <v>7537</v>
      </c>
      <c r="B3128" s="6" t="s">
        <v>7537</v>
      </c>
      <c r="C3128" s="6">
        <v>1519.0</v>
      </c>
      <c r="D3128" s="9" t="str">
        <f>HYPERLINK("https://www.linkedin.com/ad-library/detail/1372739476","Open Ad")</f>
        <v>Open Ad</v>
      </c>
      <c r="E3128" s="6" t="s">
        <v>91</v>
      </c>
      <c r="F3128" s="6" t="s">
        <v>53</v>
      </c>
      <c r="G3128" s="6" t="s">
        <v>7851</v>
      </c>
      <c r="H3128" s="6" t="s">
        <v>55</v>
      </c>
      <c r="I3128" s="6" t="s">
        <v>7566</v>
      </c>
      <c r="J3128" s="6" t="s">
        <v>91</v>
      </c>
      <c r="K3128" s="9" t="str">
        <f>HYPERLINK("https://media.licdn.com/dms/image/v2/D5610AQEdrppt29Uszw/image-shrink_1280/B56Zz8fygzKIAc-/0/1773762718011/oolufractionalspng?e=2147483647&amp;v=beta&amp;t=Psl4rEXX-uXU5hOaFEm8VmcATnxltrdScCg7kE2Mv2Q","Open Creative")</f>
        <v>Open Creative</v>
      </c>
      <c r="L3128" s="6" t="s">
        <v>131</v>
      </c>
      <c r="M3128" s="6" t="s">
        <v>7537</v>
      </c>
      <c r="N3128" s="6" t="s">
        <v>132</v>
      </c>
      <c r="O3128" s="36" t="s">
        <v>132</v>
      </c>
      <c r="P3128" s="36">
        <v>1.372739476E9</v>
      </c>
      <c r="Q3128" s="36" t="s">
        <v>7541</v>
      </c>
      <c r="R3128" s="6" t="s">
        <v>7542</v>
      </c>
    </row>
    <row r="3129">
      <c r="A3129" s="6" t="s">
        <v>7537</v>
      </c>
      <c r="B3129" s="6" t="s">
        <v>7537</v>
      </c>
      <c r="C3129" s="6">
        <v>1520.0</v>
      </c>
      <c r="D3129" s="9" t="str">
        <f>HYPERLINK("https://www.linkedin.com/ad-library/detail/1372790206","Open Ad")</f>
        <v>Open Ad</v>
      </c>
      <c r="E3129" s="6" t="s">
        <v>91</v>
      </c>
      <c r="F3129" s="6" t="s">
        <v>53</v>
      </c>
      <c r="G3129" s="6" t="s">
        <v>7852</v>
      </c>
      <c r="H3129" s="6" t="s">
        <v>55</v>
      </c>
      <c r="I3129" s="6" t="s">
        <v>7566</v>
      </c>
      <c r="J3129" s="6" t="s">
        <v>91</v>
      </c>
      <c r="K3129" s="9" t="str">
        <f t="shared" ref="K3129:K3130" si="154">HYPERLINK("https://media.licdn.com/dms/image/v2/D5610AQEsX8RB5dt9ng/image-shrink_1280/B56Zz44Oh9H0Ac-/0/1773702016142/image40png?e=2147483647&amp;v=beta&amp;t=B57DB4IPqqOmNeTnbzcWpFkbuj6PmKFs-l4H1UTF9rI","Open Creative")</f>
        <v>Open Creative</v>
      </c>
      <c r="L3129" s="6" t="s">
        <v>131</v>
      </c>
      <c r="M3129" s="6" t="s">
        <v>7537</v>
      </c>
      <c r="N3129" s="6" t="s">
        <v>132</v>
      </c>
      <c r="O3129" s="36" t="s">
        <v>132</v>
      </c>
      <c r="P3129" s="36">
        <v>1.372790206E9</v>
      </c>
      <c r="Q3129" s="36" t="s">
        <v>7541</v>
      </c>
      <c r="R3129" s="6" t="s">
        <v>7542</v>
      </c>
    </row>
    <row r="3130">
      <c r="A3130" s="6" t="s">
        <v>7537</v>
      </c>
      <c r="B3130" s="6" t="s">
        <v>7537</v>
      </c>
      <c r="C3130" s="6">
        <v>1521.0</v>
      </c>
      <c r="D3130" s="9" t="str">
        <f>HYPERLINK("https://www.linkedin.com/ad-library/detail/1372772036","Open Ad")</f>
        <v>Open Ad</v>
      </c>
      <c r="E3130" s="6" t="s">
        <v>91</v>
      </c>
      <c r="F3130" s="6" t="s">
        <v>53</v>
      </c>
      <c r="G3130" s="6" t="s">
        <v>7853</v>
      </c>
      <c r="H3130" s="6" t="s">
        <v>55</v>
      </c>
      <c r="I3130" s="6" t="s">
        <v>7566</v>
      </c>
      <c r="J3130" s="6" t="s">
        <v>91</v>
      </c>
      <c r="K3130" s="9" t="str">
        <f t="shared" si="154"/>
        <v>Open Creative</v>
      </c>
      <c r="L3130" s="6" t="s">
        <v>131</v>
      </c>
      <c r="M3130" s="6" t="s">
        <v>7537</v>
      </c>
      <c r="N3130" s="6" t="s">
        <v>132</v>
      </c>
      <c r="O3130" s="36" t="s">
        <v>132</v>
      </c>
      <c r="P3130" s="36">
        <v>1.372772036E9</v>
      </c>
      <c r="Q3130" s="36" t="s">
        <v>7541</v>
      </c>
      <c r="R3130" s="6" t="s">
        <v>7542</v>
      </c>
    </row>
    <row r="3131">
      <c r="A3131" s="6" t="s">
        <v>7537</v>
      </c>
      <c r="B3131" s="6" t="s">
        <v>7537</v>
      </c>
      <c r="C3131" s="6">
        <v>1522.0</v>
      </c>
      <c r="D3131" s="9" t="str">
        <f>HYPERLINK("https://www.linkedin.com/ad-library/detail/1374077456","Open Ad")</f>
        <v>Open Ad</v>
      </c>
      <c r="E3131" s="6" t="s">
        <v>91</v>
      </c>
      <c r="F3131" s="6" t="s">
        <v>53</v>
      </c>
      <c r="G3131" s="6" t="s">
        <v>7850</v>
      </c>
      <c r="H3131" s="6" t="s">
        <v>55</v>
      </c>
      <c r="I3131" s="6" t="s">
        <v>7566</v>
      </c>
      <c r="J3131" s="6" t="s">
        <v>91</v>
      </c>
      <c r="K3131" s="9" t="str">
        <f t="shared" ref="K3131:K3132" si="155">HYPERLINK("https://media.licdn.com/dms/image/v2/D4E10AQGHiNtXjVwnLw/image-shrink_1280/B4EZz75zt.GwAc-/0/1773752761744?e=2147483647&amp;v=beta&amp;t=J9mqFtNSJjW0JhFfDanM9cwcBVnF0Id8r9zvUjP_PPA","Open Creative")</f>
        <v>Open Creative</v>
      </c>
      <c r="L3131" s="6" t="s">
        <v>131</v>
      </c>
      <c r="M3131" s="6" t="s">
        <v>7537</v>
      </c>
      <c r="N3131" s="6" t="s">
        <v>132</v>
      </c>
      <c r="O3131" s="36" t="s">
        <v>132</v>
      </c>
      <c r="P3131" s="36">
        <v>1.374077456E9</v>
      </c>
      <c r="Q3131" s="36" t="s">
        <v>7541</v>
      </c>
      <c r="R3131" s="6" t="s">
        <v>7542</v>
      </c>
    </row>
    <row r="3132">
      <c r="A3132" s="6" t="s">
        <v>7537</v>
      </c>
      <c r="B3132" s="6" t="s">
        <v>7537</v>
      </c>
      <c r="C3132" s="6">
        <v>1523.0</v>
      </c>
      <c r="D3132" s="9" t="str">
        <f>HYPERLINK("https://www.linkedin.com/ad-library/detail/1374117306","Open Ad")</f>
        <v>Open Ad</v>
      </c>
      <c r="E3132" s="6" t="s">
        <v>91</v>
      </c>
      <c r="F3132" s="6" t="s">
        <v>53</v>
      </c>
      <c r="G3132" s="6" t="s">
        <v>7850</v>
      </c>
      <c r="H3132" s="6" t="s">
        <v>55</v>
      </c>
      <c r="I3132" s="6" t="s">
        <v>7566</v>
      </c>
      <c r="J3132" s="6" t="s">
        <v>91</v>
      </c>
      <c r="K3132" s="9" t="str">
        <f t="shared" si="155"/>
        <v>Open Creative</v>
      </c>
      <c r="L3132" s="6" t="s">
        <v>131</v>
      </c>
      <c r="M3132" s="6" t="s">
        <v>7537</v>
      </c>
      <c r="N3132" s="6" t="s">
        <v>132</v>
      </c>
      <c r="O3132" s="36" t="s">
        <v>132</v>
      </c>
      <c r="P3132" s="36">
        <v>1.374117306E9</v>
      </c>
      <c r="Q3132" s="36" t="s">
        <v>7541</v>
      </c>
      <c r="R3132" s="6" t="s">
        <v>7542</v>
      </c>
    </row>
    <row r="3133">
      <c r="A3133" s="6" t="s">
        <v>7537</v>
      </c>
      <c r="B3133" s="6" t="s">
        <v>7537</v>
      </c>
      <c r="C3133" s="6">
        <v>1524.0</v>
      </c>
      <c r="D3133" s="9" t="str">
        <f>HYPERLINK("https://www.linkedin.com/ad-library/detail/1374261456","Open Ad")</f>
        <v>Open Ad</v>
      </c>
      <c r="E3133" s="6" t="s">
        <v>91</v>
      </c>
      <c r="F3133" s="6" t="s">
        <v>53</v>
      </c>
      <c r="G3133" s="6" t="s">
        <v>7801</v>
      </c>
      <c r="H3133" s="6" t="s">
        <v>55</v>
      </c>
      <c r="I3133" s="6" t="s">
        <v>7566</v>
      </c>
      <c r="J3133" s="6" t="s">
        <v>91</v>
      </c>
      <c r="K3133" s="9" t="str">
        <f>HYPERLINK("https://media.licdn.com/dms/image/v2/D4E10AQHh8QXsUTwTLQ/image-shrink_1280/B4EZzj8CgOKQAc-/0/1773350693435?e=2147483647&amp;v=beta&amp;t=oOeNo28sJ1rA9BvUwJALGKNmBemHszGNk9sT0ZhnDIw","Open Creative")</f>
        <v>Open Creative</v>
      </c>
      <c r="L3133" s="6" t="s">
        <v>131</v>
      </c>
      <c r="M3133" s="6" t="s">
        <v>7537</v>
      </c>
      <c r="N3133" s="6" t="s">
        <v>132</v>
      </c>
      <c r="O3133" s="36" t="s">
        <v>132</v>
      </c>
      <c r="P3133" s="36">
        <v>1.374261456E9</v>
      </c>
      <c r="Q3133" s="36" t="s">
        <v>7541</v>
      </c>
      <c r="R3133" s="6" t="s">
        <v>7542</v>
      </c>
    </row>
    <row r="3134">
      <c r="A3134" s="6" t="s">
        <v>7537</v>
      </c>
      <c r="B3134" s="6" t="s">
        <v>7537</v>
      </c>
      <c r="C3134" s="6">
        <v>1525.0</v>
      </c>
      <c r="D3134" s="9" t="str">
        <f>HYPERLINK("https://www.linkedin.com/ad-library/detail/1374127556","Open Ad")</f>
        <v>Open Ad</v>
      </c>
      <c r="E3134" s="6" t="s">
        <v>91</v>
      </c>
      <c r="F3134" s="6" t="s">
        <v>53</v>
      </c>
      <c r="G3134" s="6" t="s">
        <v>7850</v>
      </c>
      <c r="H3134" s="6" t="s">
        <v>55</v>
      </c>
      <c r="I3134" s="6" t="s">
        <v>7566</v>
      </c>
      <c r="J3134" s="6" t="s">
        <v>91</v>
      </c>
      <c r="K3134" s="9" t="str">
        <f>HYPERLINK("https://media.licdn.com/dms/image/v2/D4E10AQGHiNtXjVwnLw/image-shrink_1280/B4EZz75zt.GwAc-/0/1773752761744?e=2147483647&amp;v=beta&amp;t=J9mqFtNSJjW0JhFfDanM9cwcBVnF0Id8r9zvUjP_PPA","Open Creative")</f>
        <v>Open Creative</v>
      </c>
      <c r="L3134" s="6" t="s">
        <v>131</v>
      </c>
      <c r="M3134" s="6" t="s">
        <v>7537</v>
      </c>
      <c r="N3134" s="6" t="s">
        <v>132</v>
      </c>
      <c r="O3134" s="36" t="s">
        <v>132</v>
      </c>
      <c r="P3134" s="36">
        <v>1.374127556E9</v>
      </c>
      <c r="Q3134" s="36" t="s">
        <v>7541</v>
      </c>
      <c r="R3134" s="6" t="s">
        <v>7542</v>
      </c>
    </row>
    <row r="3135">
      <c r="A3135" s="6" t="s">
        <v>7537</v>
      </c>
      <c r="B3135" s="6" t="s">
        <v>7537</v>
      </c>
      <c r="C3135" s="6">
        <v>1526.0</v>
      </c>
      <c r="D3135" s="9" t="str">
        <f>HYPERLINK("https://www.linkedin.com/ad-library/detail/1374156556","Open Ad")</f>
        <v>Open Ad</v>
      </c>
      <c r="E3135" s="6" t="s">
        <v>91</v>
      </c>
      <c r="F3135" s="6" t="s">
        <v>53</v>
      </c>
      <c r="G3135" s="6" t="s">
        <v>7801</v>
      </c>
      <c r="H3135" s="6" t="s">
        <v>55</v>
      </c>
      <c r="I3135" s="6" t="s">
        <v>7566</v>
      </c>
      <c r="J3135" s="6" t="s">
        <v>91</v>
      </c>
      <c r="K3135" s="9" t="str">
        <f>HYPERLINK("https://media.licdn.com/dms/image/v2/D4E10AQHh8QXsUTwTLQ/image-shrink_1280/B4EZzj8CgOKQAc-/0/1773350693435?e=2147483647&amp;v=beta&amp;t=oOeNo28sJ1rA9BvUwJALGKNmBemHszGNk9sT0ZhnDIw","Open Creative")</f>
        <v>Open Creative</v>
      </c>
      <c r="L3135" s="6" t="s">
        <v>131</v>
      </c>
      <c r="M3135" s="6" t="s">
        <v>7537</v>
      </c>
      <c r="N3135" s="6" t="s">
        <v>132</v>
      </c>
      <c r="O3135" s="36" t="s">
        <v>132</v>
      </c>
      <c r="P3135" s="36">
        <v>1.374156556E9</v>
      </c>
      <c r="Q3135" s="36" t="s">
        <v>7541</v>
      </c>
      <c r="R3135" s="6" t="s">
        <v>7542</v>
      </c>
    </row>
    <row r="3136">
      <c r="A3136" s="6" t="s">
        <v>7537</v>
      </c>
      <c r="B3136" s="6" t="s">
        <v>7537</v>
      </c>
      <c r="C3136" s="6">
        <v>1527.0</v>
      </c>
      <c r="D3136" s="9" t="str">
        <f>HYPERLINK("https://www.linkedin.com/ad-library/detail/1374097716","Open Ad")</f>
        <v>Open Ad</v>
      </c>
      <c r="E3136" s="6" t="s">
        <v>91</v>
      </c>
      <c r="F3136" s="6" t="s">
        <v>53</v>
      </c>
      <c r="G3136" s="6" t="s">
        <v>7850</v>
      </c>
      <c r="H3136" s="6" t="s">
        <v>55</v>
      </c>
      <c r="I3136" s="6" t="s">
        <v>7566</v>
      </c>
      <c r="J3136" s="6" t="s">
        <v>91</v>
      </c>
      <c r="K3136" s="9" t="str">
        <f>HYPERLINK("https://media.licdn.com/dms/image/v2/D4E10AQGHiNtXjVwnLw/image-shrink_1280/B4EZz75zt.GwAc-/0/1773752761744?e=2147483647&amp;v=beta&amp;t=J9mqFtNSJjW0JhFfDanM9cwcBVnF0Id8r9zvUjP_PPA","Open Creative")</f>
        <v>Open Creative</v>
      </c>
      <c r="L3136" s="6" t="s">
        <v>131</v>
      </c>
      <c r="M3136" s="6" t="s">
        <v>7537</v>
      </c>
      <c r="N3136" s="6" t="s">
        <v>132</v>
      </c>
      <c r="O3136" s="36" t="s">
        <v>132</v>
      </c>
      <c r="P3136" s="36">
        <v>1.374097716E9</v>
      </c>
      <c r="Q3136" s="36" t="s">
        <v>7541</v>
      </c>
      <c r="R3136" s="6" t="s">
        <v>7542</v>
      </c>
    </row>
    <row r="3137">
      <c r="A3137" s="6" t="s">
        <v>7537</v>
      </c>
      <c r="B3137" s="6" t="s">
        <v>7537</v>
      </c>
      <c r="C3137" s="6">
        <v>1528.0</v>
      </c>
      <c r="D3137" s="9" t="str">
        <f>HYPERLINK("https://www.linkedin.com/ad-library/detail/1230922774","Open Ad")</f>
        <v>Open Ad</v>
      </c>
      <c r="E3137" s="6" t="s">
        <v>91</v>
      </c>
      <c r="F3137" s="6" t="s">
        <v>53</v>
      </c>
      <c r="G3137" s="6" t="s">
        <v>7817</v>
      </c>
      <c r="H3137" s="6" t="s">
        <v>55</v>
      </c>
      <c r="I3137" s="6" t="s">
        <v>7566</v>
      </c>
      <c r="J3137" s="6" t="s">
        <v>91</v>
      </c>
      <c r="K3137" s="9" t="str">
        <f>HYPERLINK("https://media.licdn.com/dms/image/v2/D4E22AQH89hDKeV79KQ/feedshare-image-high-res/B4EZy5vRsAJAAU-/0/1772642704374?e=2147483647&amp;v=beta&amp;t=VBy6klcva4JII_0pR-GTKgB4RWbcJCTANhnpkulS8Sw","Open Creative")</f>
        <v>Open Creative</v>
      </c>
      <c r="L3137" s="6" t="s">
        <v>131</v>
      </c>
      <c r="M3137" s="6" t="s">
        <v>7537</v>
      </c>
      <c r="N3137" s="6" t="s">
        <v>132</v>
      </c>
      <c r="O3137" s="36" t="s">
        <v>132</v>
      </c>
      <c r="P3137" s="36">
        <v>1.230922774E9</v>
      </c>
      <c r="Q3137" s="36" t="s">
        <v>7541</v>
      </c>
      <c r="R3137" s="6" t="s">
        <v>7542</v>
      </c>
    </row>
    <row r="3138">
      <c r="A3138" s="6" t="s">
        <v>7537</v>
      </c>
      <c r="B3138" s="6" t="s">
        <v>7537</v>
      </c>
      <c r="C3138" s="6">
        <v>1529.0</v>
      </c>
      <c r="D3138" s="9" t="str">
        <f>HYPERLINK("https://www.linkedin.com/ad-library/detail/1374127586","Open Ad")</f>
        <v>Open Ad</v>
      </c>
      <c r="E3138" s="6" t="s">
        <v>154</v>
      </c>
      <c r="F3138" s="6" t="s">
        <v>53</v>
      </c>
      <c r="G3138" s="6" t="s">
        <v>7816</v>
      </c>
      <c r="H3138" s="6" t="s">
        <v>55</v>
      </c>
      <c r="I3138" s="6" t="s">
        <v>7566</v>
      </c>
      <c r="J3138" s="6" t="s">
        <v>154</v>
      </c>
      <c r="K3138" s="9" t="str">
        <f>HYPERLINK("https://dms.licdn.com/playlist/vid/v2/D4E10AQHeAzMp6wXICg/mp4-720p-30fp-crf28/B4EZznY.k2IUCE-/0/1773408615246?e=2147483647&amp;v=beta&amp;t=8tlPTvtrKX28l-U0kqNlBMpijrCLL5x93WDV620buH4","Open Creative")</f>
        <v>Open Creative</v>
      </c>
      <c r="L3138" s="6" t="s">
        <v>131</v>
      </c>
      <c r="M3138" s="6" t="s">
        <v>7537</v>
      </c>
      <c r="N3138" s="6" t="s">
        <v>132</v>
      </c>
      <c r="O3138" s="36" t="s">
        <v>132</v>
      </c>
      <c r="P3138" s="36">
        <v>1.374127586E9</v>
      </c>
      <c r="Q3138" s="36" t="s">
        <v>7541</v>
      </c>
      <c r="R3138" s="6" t="s">
        <v>7542</v>
      </c>
    </row>
    <row r="3139">
      <c r="A3139" s="6" t="s">
        <v>7537</v>
      </c>
      <c r="B3139" s="6" t="s">
        <v>7537</v>
      </c>
      <c r="C3139" s="6">
        <v>1530.0</v>
      </c>
      <c r="D3139" s="9" t="str">
        <f>HYPERLINK("https://www.linkedin.com/ad-library/detail/1230528444","Open Ad")</f>
        <v>Open Ad</v>
      </c>
      <c r="E3139" s="6" t="s">
        <v>91</v>
      </c>
      <c r="F3139" s="6" t="s">
        <v>53</v>
      </c>
      <c r="G3139" s="6" t="s">
        <v>7817</v>
      </c>
      <c r="H3139" s="6" t="s">
        <v>55</v>
      </c>
      <c r="I3139" s="6" t="s">
        <v>7566</v>
      </c>
      <c r="J3139" s="6" t="s">
        <v>91</v>
      </c>
      <c r="K3139" s="9" t="str">
        <f>HYPERLINK("https://media.licdn.com/dms/image/v2/D4E22AQH89hDKeV79KQ/feedshare-image-high-res/B4EZy5vRsAJAAU-/0/1772642704374?e=2147483647&amp;v=beta&amp;t=VBy6klcva4JII_0pR-GTKgB4RWbcJCTANhnpkulS8Sw","Open Creative")</f>
        <v>Open Creative</v>
      </c>
      <c r="L3139" s="6" t="s">
        <v>131</v>
      </c>
      <c r="M3139" s="6" t="s">
        <v>7537</v>
      </c>
      <c r="N3139" s="6" t="s">
        <v>132</v>
      </c>
      <c r="O3139" s="36" t="s">
        <v>132</v>
      </c>
      <c r="P3139" s="36">
        <v>1.230528444E9</v>
      </c>
      <c r="Q3139" s="36" t="s">
        <v>7541</v>
      </c>
      <c r="R3139" s="6" t="s">
        <v>7542</v>
      </c>
    </row>
    <row r="3140">
      <c r="A3140" s="6" t="s">
        <v>7537</v>
      </c>
      <c r="B3140" s="6" t="s">
        <v>7537</v>
      </c>
      <c r="C3140" s="6">
        <v>1531.0</v>
      </c>
      <c r="D3140" s="9" t="str">
        <f>HYPERLINK("https://www.linkedin.com/ad-library/detail/1193130913","Open Ad")</f>
        <v>Open Ad</v>
      </c>
      <c r="E3140" s="6" t="s">
        <v>91</v>
      </c>
      <c r="F3140" s="6" t="s">
        <v>53</v>
      </c>
      <c r="G3140" s="6" t="s">
        <v>7854</v>
      </c>
      <c r="H3140" s="6" t="s">
        <v>55</v>
      </c>
      <c r="I3140" s="6" t="s">
        <v>7566</v>
      </c>
      <c r="J3140" s="6" t="s">
        <v>91</v>
      </c>
      <c r="K3140" s="6" t="s">
        <v>60</v>
      </c>
      <c r="L3140" s="6" t="s">
        <v>131</v>
      </c>
      <c r="M3140" s="6" t="s">
        <v>7537</v>
      </c>
      <c r="N3140" s="6" t="s">
        <v>132</v>
      </c>
      <c r="O3140" s="36" t="s">
        <v>132</v>
      </c>
      <c r="P3140" s="36">
        <v>1.193130913E9</v>
      </c>
      <c r="Q3140" s="36" t="s">
        <v>7541</v>
      </c>
      <c r="R3140" s="6" t="s">
        <v>7542</v>
      </c>
    </row>
    <row r="3141">
      <c r="A3141" s="6" t="s">
        <v>7537</v>
      </c>
      <c r="B3141" s="6" t="s">
        <v>7537</v>
      </c>
      <c r="C3141" s="6">
        <v>1532.0</v>
      </c>
      <c r="D3141" s="9" t="str">
        <f>HYPERLINK("https://www.linkedin.com/ad-library/detail/1193330363","Open Ad")</f>
        <v>Open Ad</v>
      </c>
      <c r="E3141" s="6" t="s">
        <v>91</v>
      </c>
      <c r="F3141" s="6" t="s">
        <v>53</v>
      </c>
      <c r="G3141" s="6" t="s">
        <v>7854</v>
      </c>
      <c r="H3141" s="6" t="s">
        <v>55</v>
      </c>
      <c r="I3141" s="6" t="s">
        <v>7566</v>
      </c>
      <c r="J3141" s="6" t="s">
        <v>91</v>
      </c>
      <c r="K3141" s="6" t="s">
        <v>60</v>
      </c>
      <c r="L3141" s="6" t="s">
        <v>131</v>
      </c>
      <c r="M3141" s="6" t="s">
        <v>7537</v>
      </c>
      <c r="N3141" s="6" t="s">
        <v>132</v>
      </c>
      <c r="O3141" s="36" t="s">
        <v>132</v>
      </c>
      <c r="P3141" s="36">
        <v>1.193330363E9</v>
      </c>
      <c r="Q3141" s="36" t="s">
        <v>7541</v>
      </c>
      <c r="R3141" s="6" t="s">
        <v>7542</v>
      </c>
    </row>
    <row r="3142">
      <c r="A3142" s="6" t="s">
        <v>7537</v>
      </c>
      <c r="B3142" s="6" t="s">
        <v>7537</v>
      </c>
      <c r="C3142" s="6">
        <v>1533.0</v>
      </c>
      <c r="D3142" s="9" t="str">
        <f>HYPERLINK("https://www.linkedin.com/ad-library/detail/1374233796","Open Ad")</f>
        <v>Open Ad</v>
      </c>
      <c r="E3142" s="6" t="s">
        <v>91</v>
      </c>
      <c r="F3142" s="6" t="s">
        <v>53</v>
      </c>
      <c r="G3142" s="6" t="s">
        <v>7850</v>
      </c>
      <c r="H3142" s="6" t="s">
        <v>55</v>
      </c>
      <c r="I3142" s="6" t="s">
        <v>7566</v>
      </c>
      <c r="J3142" s="6" t="s">
        <v>91</v>
      </c>
      <c r="K3142" s="9" t="str">
        <f>HYPERLINK("https://media.licdn.com/dms/image/v2/D4E10AQGHiNtXjVwnLw/image-shrink_1280/B4EZz75zt.GwAc-/0/1773752761744?e=2147483647&amp;v=beta&amp;t=J9mqFtNSJjW0JhFfDanM9cwcBVnF0Id8r9zvUjP_PPA","Open Creative")</f>
        <v>Open Creative</v>
      </c>
      <c r="L3142" s="6" t="s">
        <v>131</v>
      </c>
      <c r="M3142" s="6" t="s">
        <v>7537</v>
      </c>
      <c r="N3142" s="6" t="s">
        <v>132</v>
      </c>
      <c r="O3142" s="36" t="s">
        <v>132</v>
      </c>
      <c r="P3142" s="36">
        <v>1.374233796E9</v>
      </c>
      <c r="Q3142" s="36" t="s">
        <v>7541</v>
      </c>
      <c r="R3142" s="6" t="s">
        <v>7542</v>
      </c>
    </row>
    <row r="3143">
      <c r="A3143" s="6" t="s">
        <v>7537</v>
      </c>
      <c r="B3143" s="6" t="s">
        <v>7537</v>
      </c>
      <c r="C3143" s="6">
        <v>1534.0</v>
      </c>
      <c r="D3143" s="9" t="str">
        <f>HYPERLINK("https://www.linkedin.com/ad-library/detail/1372767576","Open Ad")</f>
        <v>Open Ad</v>
      </c>
      <c r="E3143" s="6" t="s">
        <v>91</v>
      </c>
      <c r="F3143" s="6" t="s">
        <v>53</v>
      </c>
      <c r="G3143" s="6" t="s">
        <v>7855</v>
      </c>
      <c r="H3143" s="6" t="s">
        <v>55</v>
      </c>
      <c r="I3143" s="6" t="s">
        <v>7566</v>
      </c>
      <c r="J3143" s="6" t="s">
        <v>91</v>
      </c>
      <c r="K3143" s="6" t="s">
        <v>60</v>
      </c>
      <c r="L3143" s="6" t="s">
        <v>131</v>
      </c>
      <c r="M3143" s="6" t="s">
        <v>7537</v>
      </c>
      <c r="N3143" s="6" t="s">
        <v>132</v>
      </c>
      <c r="O3143" s="36" t="s">
        <v>132</v>
      </c>
      <c r="P3143" s="36">
        <v>1.372767576E9</v>
      </c>
      <c r="Q3143" s="36" t="s">
        <v>7541</v>
      </c>
      <c r="R3143" s="6" t="s">
        <v>7542</v>
      </c>
    </row>
    <row r="3144">
      <c r="A3144" s="6" t="s">
        <v>7537</v>
      </c>
      <c r="B3144" s="6" t="s">
        <v>7537</v>
      </c>
      <c r="C3144" s="6">
        <v>1535.0</v>
      </c>
      <c r="D3144" s="9" t="str">
        <f>HYPERLINK("https://www.linkedin.com/ad-library/detail/1374087566","Open Ad")</f>
        <v>Open Ad</v>
      </c>
      <c r="E3144" s="6" t="s">
        <v>91</v>
      </c>
      <c r="F3144" s="6" t="s">
        <v>53</v>
      </c>
      <c r="G3144" s="6" t="s">
        <v>7850</v>
      </c>
      <c r="H3144" s="6" t="s">
        <v>55</v>
      </c>
      <c r="I3144" s="6" t="s">
        <v>7566</v>
      </c>
      <c r="J3144" s="6" t="s">
        <v>91</v>
      </c>
      <c r="K3144" s="9" t="str">
        <f>HYPERLINK("https://media.licdn.com/dms/image/v2/D4E10AQGHiNtXjVwnLw/image-shrink_1280/B4EZz75zt.GwAc-/0/1773752761744?e=2147483647&amp;v=beta&amp;t=J9mqFtNSJjW0JhFfDanM9cwcBVnF0Id8r9zvUjP_PPA","Open Creative")</f>
        <v>Open Creative</v>
      </c>
      <c r="L3144" s="6" t="s">
        <v>131</v>
      </c>
      <c r="M3144" s="6" t="s">
        <v>7537</v>
      </c>
      <c r="N3144" s="6" t="s">
        <v>132</v>
      </c>
      <c r="O3144" s="36" t="s">
        <v>132</v>
      </c>
      <c r="P3144" s="36">
        <v>1.374087566E9</v>
      </c>
      <c r="Q3144" s="36" t="s">
        <v>7541</v>
      </c>
      <c r="R3144" s="6" t="s">
        <v>7542</v>
      </c>
    </row>
    <row r="3145">
      <c r="A3145" s="6" t="s">
        <v>7537</v>
      </c>
      <c r="B3145" s="6" t="s">
        <v>7537</v>
      </c>
      <c r="C3145" s="6">
        <v>1536.0</v>
      </c>
      <c r="D3145" s="9" t="str">
        <f>HYPERLINK("https://www.linkedin.com/ad-library/detail/1372762466","Open Ad")</f>
        <v>Open Ad</v>
      </c>
      <c r="E3145" s="6" t="s">
        <v>91</v>
      </c>
      <c r="F3145" s="6" t="s">
        <v>53</v>
      </c>
      <c r="G3145" s="6" t="s">
        <v>7856</v>
      </c>
      <c r="H3145" s="6" t="s">
        <v>55</v>
      </c>
      <c r="I3145" s="6" t="s">
        <v>7566</v>
      </c>
      <c r="J3145" s="6" t="s">
        <v>91</v>
      </c>
      <c r="K3145" s="9" t="str">
        <f>HYPERLINK("https://media.licdn.com/dms/image/v2/D5610AQEsX8RB5dt9ng/image-shrink_1280/B56Zz44Oh9H0Ac-/0/1773702016142/image40png?e=2147483647&amp;v=beta&amp;t=B57DB4IPqqOmNeTnbzcWpFkbuj6PmKFs-l4H1UTF9rI","Open Creative")</f>
        <v>Open Creative</v>
      </c>
      <c r="L3145" s="6" t="s">
        <v>131</v>
      </c>
      <c r="M3145" s="6" t="s">
        <v>7537</v>
      </c>
      <c r="N3145" s="6" t="s">
        <v>132</v>
      </c>
      <c r="O3145" s="36" t="s">
        <v>132</v>
      </c>
      <c r="P3145" s="36">
        <v>1.372762466E9</v>
      </c>
      <c r="Q3145" s="36" t="s">
        <v>7541</v>
      </c>
      <c r="R3145" s="6" t="s">
        <v>7542</v>
      </c>
    </row>
    <row r="3146">
      <c r="A3146" s="6" t="s">
        <v>7537</v>
      </c>
      <c r="B3146" s="6" t="s">
        <v>7537</v>
      </c>
      <c r="C3146" s="6">
        <v>1537.0</v>
      </c>
      <c r="D3146" s="9" t="str">
        <f>HYPERLINK("https://www.linkedin.com/ad-library/detail/1365901476","Open Ad")</f>
        <v>Open Ad</v>
      </c>
      <c r="E3146" s="6" t="s">
        <v>91</v>
      </c>
      <c r="F3146" s="6" t="s">
        <v>53</v>
      </c>
      <c r="G3146" s="6" t="s">
        <v>7857</v>
      </c>
      <c r="H3146" s="6" t="s">
        <v>55</v>
      </c>
      <c r="I3146" s="6" t="s">
        <v>7566</v>
      </c>
      <c r="J3146" s="6" t="s">
        <v>91</v>
      </c>
      <c r="K3146" s="9" t="str">
        <f>HYPERLINK("https://media.licdn.com/dms/image/v2/D5622AQFkqw5otyD-Qw/feedshare-image-high-res/B56ZzEh_92H8AU-/0/1772823775732?e=2147483647&amp;v=beta&amp;t=Poi64wrsiMxNeGZ53-Zfd5We10ByTAvHXx4dPIk5Gn0","Open Creative")</f>
        <v>Open Creative</v>
      </c>
      <c r="L3146" s="6" t="s">
        <v>131</v>
      </c>
      <c r="M3146" s="6" t="s">
        <v>7537</v>
      </c>
      <c r="N3146" s="6" t="s">
        <v>132</v>
      </c>
      <c r="O3146" s="36" t="s">
        <v>132</v>
      </c>
      <c r="P3146" s="36">
        <v>1.365901476E9</v>
      </c>
      <c r="Q3146" s="36" t="s">
        <v>7541</v>
      </c>
      <c r="R3146" s="6" t="s">
        <v>7542</v>
      </c>
    </row>
    <row r="3147">
      <c r="A3147" s="6" t="s">
        <v>7537</v>
      </c>
      <c r="B3147" s="6" t="s">
        <v>7537</v>
      </c>
      <c r="C3147" s="6">
        <v>1538.0</v>
      </c>
      <c r="D3147" s="9" t="str">
        <f>HYPERLINK("https://www.linkedin.com/ad-library/detail/1365844436","Open Ad")</f>
        <v>Open Ad</v>
      </c>
      <c r="E3147" s="6" t="s">
        <v>154</v>
      </c>
      <c r="F3147" s="6" t="s">
        <v>53</v>
      </c>
      <c r="G3147" s="6" t="s">
        <v>7858</v>
      </c>
      <c r="H3147" s="6" t="s">
        <v>55</v>
      </c>
      <c r="I3147" s="6" t="s">
        <v>7566</v>
      </c>
      <c r="J3147" s="6" t="s">
        <v>154</v>
      </c>
      <c r="K3147" s="9" t="str">
        <f>HYPERLINK("https://dms.licdn.com/playlist/vid/v2/D4E05AQER3AE4MRJbHg/mp4-640p-30fp-crf28/B4EZzTDhUrJsB0-/0/1773067448717?e=2147483647&amp;v=beta&amp;t=84eH2Og1T5g3Dc_4t_lLc0ZHibdbhHyCK1VvcLyCFIU","Open Creative")</f>
        <v>Open Creative</v>
      </c>
      <c r="L3147" s="6" t="s">
        <v>131</v>
      </c>
      <c r="M3147" s="6" t="s">
        <v>7537</v>
      </c>
      <c r="N3147" s="6" t="s">
        <v>132</v>
      </c>
      <c r="O3147" s="36" t="s">
        <v>132</v>
      </c>
      <c r="P3147" s="36">
        <v>1.365844436E9</v>
      </c>
      <c r="Q3147" s="36" t="s">
        <v>7541</v>
      </c>
      <c r="R3147" s="6" t="s">
        <v>7542</v>
      </c>
    </row>
    <row r="3148">
      <c r="A3148" s="6" t="s">
        <v>7537</v>
      </c>
      <c r="B3148" s="6" t="s">
        <v>7537</v>
      </c>
      <c r="C3148" s="6">
        <v>1539.0</v>
      </c>
      <c r="D3148" s="9" t="str">
        <f>HYPERLINK("https://www.linkedin.com/ad-library/detail/1365785546","Open Ad")</f>
        <v>Open Ad</v>
      </c>
      <c r="E3148" s="6" t="s">
        <v>7543</v>
      </c>
      <c r="F3148" s="6" t="s">
        <v>53</v>
      </c>
      <c r="G3148" s="6" t="s">
        <v>7859</v>
      </c>
      <c r="H3148" s="6" t="s">
        <v>55</v>
      </c>
      <c r="I3148" s="6" t="s">
        <v>7566</v>
      </c>
      <c r="J3148" s="6" t="s">
        <v>7546</v>
      </c>
      <c r="K3148" s="6" t="s">
        <v>60</v>
      </c>
      <c r="L3148" s="6" t="s">
        <v>131</v>
      </c>
      <c r="M3148" s="6" t="s">
        <v>7537</v>
      </c>
      <c r="N3148" s="6" t="s">
        <v>132</v>
      </c>
      <c r="O3148" s="36" t="s">
        <v>132</v>
      </c>
      <c r="P3148" s="36">
        <v>1.365785546E9</v>
      </c>
      <c r="Q3148" s="36" t="s">
        <v>7541</v>
      </c>
      <c r="R3148" s="6" t="s">
        <v>7542</v>
      </c>
    </row>
    <row r="3149">
      <c r="A3149" s="6" t="s">
        <v>7537</v>
      </c>
      <c r="B3149" s="6" t="s">
        <v>7537</v>
      </c>
      <c r="C3149" s="6">
        <v>1540.0</v>
      </c>
      <c r="D3149" s="9" t="str">
        <f>HYPERLINK("https://www.linkedin.com/ad-library/detail/1191842823","Open Ad")</f>
        <v>Open Ad</v>
      </c>
      <c r="E3149" s="6" t="s">
        <v>91</v>
      </c>
      <c r="F3149" s="6" t="s">
        <v>53</v>
      </c>
      <c r="G3149" s="6" t="s">
        <v>7860</v>
      </c>
      <c r="H3149" s="6" t="s">
        <v>55</v>
      </c>
      <c r="I3149" s="6" t="s">
        <v>7566</v>
      </c>
      <c r="J3149" s="6" t="s">
        <v>91</v>
      </c>
      <c r="K3149" s="9" t="str">
        <f>HYPERLINK("https://media.licdn.com/dms/image/v2/D4E22AQEcQfQtZW_Jtw/feedshare-shrink_1280/B4EZzbzDXYIEAM-/0/1773214120334?e=2147483647&amp;v=beta&amp;t=D-ZQGQsRwY9ly0NLUcDgrzJoB1leulTufxBnL9yC6tU","Open Creative")</f>
        <v>Open Creative</v>
      </c>
      <c r="L3149" s="6" t="s">
        <v>131</v>
      </c>
      <c r="M3149" s="6" t="s">
        <v>7537</v>
      </c>
      <c r="N3149" s="6" t="s">
        <v>132</v>
      </c>
      <c r="O3149" s="36" t="s">
        <v>132</v>
      </c>
      <c r="P3149" s="36">
        <v>1.191842823E9</v>
      </c>
      <c r="Q3149" s="36" t="s">
        <v>7541</v>
      </c>
      <c r="R3149" s="6" t="s">
        <v>7542</v>
      </c>
    </row>
    <row r="3150">
      <c r="A3150" s="6" t="s">
        <v>7537</v>
      </c>
      <c r="B3150" s="6" t="s">
        <v>7537</v>
      </c>
      <c r="C3150" s="6">
        <v>1541.0</v>
      </c>
      <c r="D3150" s="9" t="str">
        <f>HYPERLINK("https://www.linkedin.com/ad-library/detail/1230528404","Open Ad")</f>
        <v>Open Ad</v>
      </c>
      <c r="E3150" s="6" t="s">
        <v>91</v>
      </c>
      <c r="F3150" s="6" t="s">
        <v>53</v>
      </c>
      <c r="G3150" s="6" t="s">
        <v>7817</v>
      </c>
      <c r="H3150" s="6" t="s">
        <v>55</v>
      </c>
      <c r="I3150" s="6" t="s">
        <v>7566</v>
      </c>
      <c r="J3150" s="6" t="s">
        <v>91</v>
      </c>
      <c r="K3150" s="9" t="str">
        <f>HYPERLINK("https://media.licdn.com/dms/image/v2/D4E22AQH89hDKeV79KQ/feedshare-image-high-res/B4EZy5vRsAJAAU-/0/1772642704374?e=2147483647&amp;v=beta&amp;t=VBy6klcva4JII_0pR-GTKgB4RWbcJCTANhnpkulS8Sw","Open Creative")</f>
        <v>Open Creative</v>
      </c>
      <c r="L3150" s="6" t="s">
        <v>131</v>
      </c>
      <c r="M3150" s="6" t="s">
        <v>7537</v>
      </c>
      <c r="N3150" s="6" t="s">
        <v>132</v>
      </c>
      <c r="O3150" s="36" t="s">
        <v>132</v>
      </c>
      <c r="P3150" s="36">
        <v>1.230528404E9</v>
      </c>
      <c r="Q3150" s="36" t="s">
        <v>7541</v>
      </c>
      <c r="R3150" s="6" t="s">
        <v>7542</v>
      </c>
    </row>
    <row r="3151">
      <c r="A3151" s="6" t="s">
        <v>7537</v>
      </c>
      <c r="B3151" s="6" t="s">
        <v>7537</v>
      </c>
      <c r="C3151" s="6">
        <v>1542.0</v>
      </c>
      <c r="D3151" s="9" t="str">
        <f>HYPERLINK("https://www.linkedin.com/ad-library/detail/1370176366","Open Ad")</f>
        <v>Open Ad</v>
      </c>
      <c r="E3151" s="6" t="s">
        <v>91</v>
      </c>
      <c r="F3151" s="6" t="s">
        <v>53</v>
      </c>
      <c r="G3151" s="6" t="s">
        <v>7861</v>
      </c>
      <c r="H3151" s="6" t="s">
        <v>55</v>
      </c>
      <c r="I3151" s="6" t="s">
        <v>7566</v>
      </c>
      <c r="J3151" s="6" t="s">
        <v>91</v>
      </c>
      <c r="K3151" s="9" t="str">
        <f>HYPERLINK("https://media.licdn.com/dms/image/v2/D5622AQHMjvUdk6yyAw/feedshare-shrink_1280/B56ZzZnd5eGkAU-/0/1773177529021?e=2147483647&amp;v=beta&amp;t=pH-uzhnHEvsoB7W0qiFLaOtww9DFZSfX18rf8maIV7M","Open Creative")</f>
        <v>Open Creative</v>
      </c>
      <c r="L3151" s="6" t="s">
        <v>131</v>
      </c>
      <c r="M3151" s="6" t="s">
        <v>7537</v>
      </c>
      <c r="N3151" s="6" t="s">
        <v>132</v>
      </c>
      <c r="O3151" s="36" t="s">
        <v>132</v>
      </c>
      <c r="P3151" s="36">
        <v>1.370176366E9</v>
      </c>
      <c r="Q3151" s="36" t="s">
        <v>7541</v>
      </c>
      <c r="R3151" s="6" t="s">
        <v>7542</v>
      </c>
    </row>
    <row r="3152">
      <c r="A3152" s="6" t="s">
        <v>7537</v>
      </c>
      <c r="B3152" s="6" t="s">
        <v>7537</v>
      </c>
      <c r="C3152" s="6">
        <v>1543.0</v>
      </c>
      <c r="D3152" s="9" t="str">
        <f>HYPERLINK("https://www.linkedin.com/ad-library/detail/1230528424","Open Ad")</f>
        <v>Open Ad</v>
      </c>
      <c r="E3152" s="6" t="s">
        <v>91</v>
      </c>
      <c r="F3152" s="6" t="s">
        <v>53</v>
      </c>
      <c r="G3152" s="6" t="s">
        <v>7817</v>
      </c>
      <c r="H3152" s="6" t="s">
        <v>55</v>
      </c>
      <c r="I3152" s="6" t="s">
        <v>7566</v>
      </c>
      <c r="J3152" s="6" t="s">
        <v>91</v>
      </c>
      <c r="K3152" s="9" t="str">
        <f>HYPERLINK("https://media.licdn.com/dms/image/v2/D4E22AQH89hDKeV79KQ/feedshare-image-high-res/B4EZy5vRsAJAAU-/0/1772642704374?e=2147483647&amp;v=beta&amp;t=VBy6klcva4JII_0pR-GTKgB4RWbcJCTANhnpkulS8Sw","Open Creative")</f>
        <v>Open Creative</v>
      </c>
      <c r="L3152" s="6" t="s">
        <v>131</v>
      </c>
      <c r="M3152" s="6" t="s">
        <v>7537</v>
      </c>
      <c r="N3152" s="6" t="s">
        <v>132</v>
      </c>
      <c r="O3152" s="36" t="s">
        <v>132</v>
      </c>
      <c r="P3152" s="36">
        <v>1.230528424E9</v>
      </c>
      <c r="Q3152" s="36" t="s">
        <v>7541</v>
      </c>
      <c r="R3152" s="6" t="s">
        <v>7542</v>
      </c>
    </row>
    <row r="3153">
      <c r="A3153" s="6" t="s">
        <v>7537</v>
      </c>
      <c r="B3153" s="6" t="s">
        <v>7537</v>
      </c>
      <c r="C3153" s="6">
        <v>1544.0</v>
      </c>
      <c r="D3153" s="9" t="str">
        <f>HYPERLINK("https://www.linkedin.com/ad-library/detail/1365891356","Open Ad")</f>
        <v>Open Ad</v>
      </c>
      <c r="E3153" s="6" t="s">
        <v>91</v>
      </c>
      <c r="F3153" s="6" t="s">
        <v>53</v>
      </c>
      <c r="G3153" s="6" t="s">
        <v>7862</v>
      </c>
      <c r="H3153" s="6" t="s">
        <v>55</v>
      </c>
      <c r="I3153" s="6" t="s">
        <v>7566</v>
      </c>
      <c r="J3153" s="6" t="s">
        <v>91</v>
      </c>
      <c r="K3153" s="9" t="str">
        <f>HYPERLINK("https://media.licdn.com/dms/image/v2/D4E22AQGR7qmjnHGYJg/feedshare-shrink_1280/B4EZzYL7eVHYAM-/0/1773153532148?e=2147483647&amp;v=beta&amp;t=aZiWNEsw5GYjMXYmZRkirnrKdhORkXT1iqpigBmXM_4","Open Creative")</f>
        <v>Open Creative</v>
      </c>
      <c r="L3153" s="6" t="s">
        <v>131</v>
      </c>
      <c r="M3153" s="6" t="s">
        <v>7537</v>
      </c>
      <c r="N3153" s="6" t="s">
        <v>132</v>
      </c>
      <c r="O3153" s="36" t="s">
        <v>132</v>
      </c>
      <c r="P3153" s="36">
        <v>1.365891356E9</v>
      </c>
      <c r="Q3153" s="36" t="s">
        <v>7541</v>
      </c>
      <c r="R3153" s="6" t="s">
        <v>7542</v>
      </c>
    </row>
    <row r="3154">
      <c r="A3154" s="6" t="s">
        <v>7537</v>
      </c>
      <c r="B3154" s="6" t="s">
        <v>7537</v>
      </c>
      <c r="C3154" s="6">
        <v>1545.0</v>
      </c>
      <c r="D3154" s="9" t="str">
        <f>HYPERLINK("https://www.linkedin.com/ad-library/detail/1370330566","Open Ad")</f>
        <v>Open Ad</v>
      </c>
      <c r="E3154" s="6" t="s">
        <v>91</v>
      </c>
      <c r="F3154" s="6" t="s">
        <v>53</v>
      </c>
      <c r="G3154" s="6" t="s">
        <v>7861</v>
      </c>
      <c r="H3154" s="6" t="s">
        <v>55</v>
      </c>
      <c r="I3154" s="6" t="s">
        <v>7566</v>
      </c>
      <c r="J3154" s="6" t="s">
        <v>91</v>
      </c>
      <c r="K3154" s="9" t="str">
        <f>HYPERLINK("https://media.licdn.com/dms/image/v2/D5622AQHMjvUdk6yyAw/feedshare-shrink_1280/B56ZzZnd5eGkAU-/0/1773177529021?e=2147483647&amp;v=beta&amp;t=pH-uzhnHEvsoB7W0qiFLaOtww9DFZSfX18rf8maIV7M","Open Creative")</f>
        <v>Open Creative</v>
      </c>
      <c r="L3154" s="6" t="s">
        <v>131</v>
      </c>
      <c r="M3154" s="6" t="s">
        <v>7537</v>
      </c>
      <c r="N3154" s="6" t="s">
        <v>132</v>
      </c>
      <c r="O3154" s="36" t="s">
        <v>132</v>
      </c>
      <c r="P3154" s="36">
        <v>1.370330566E9</v>
      </c>
      <c r="Q3154" s="36" t="s">
        <v>7541</v>
      </c>
      <c r="R3154" s="6" t="s">
        <v>7542</v>
      </c>
    </row>
    <row r="3155">
      <c r="A3155" s="6" t="s">
        <v>7537</v>
      </c>
      <c r="B3155" s="6" t="s">
        <v>7537</v>
      </c>
      <c r="C3155" s="6">
        <v>1546.0</v>
      </c>
      <c r="D3155" s="9" t="str">
        <f>HYPERLINK("https://www.linkedin.com/ad-library/detail/1370282786","Open Ad")</f>
        <v>Open Ad</v>
      </c>
      <c r="E3155" s="6" t="s">
        <v>91</v>
      </c>
      <c r="F3155" s="6" t="s">
        <v>53</v>
      </c>
      <c r="G3155" s="6" t="s">
        <v>7855</v>
      </c>
      <c r="H3155" s="6" t="s">
        <v>55</v>
      </c>
      <c r="I3155" s="6" t="s">
        <v>7566</v>
      </c>
      <c r="J3155" s="6" t="s">
        <v>91</v>
      </c>
      <c r="K3155" s="6" t="s">
        <v>60</v>
      </c>
      <c r="L3155" s="6" t="s">
        <v>131</v>
      </c>
      <c r="M3155" s="6" t="s">
        <v>7537</v>
      </c>
      <c r="N3155" s="6" t="s">
        <v>132</v>
      </c>
      <c r="O3155" s="36" t="s">
        <v>132</v>
      </c>
      <c r="P3155" s="36">
        <v>1.370282786E9</v>
      </c>
      <c r="Q3155" s="36" t="s">
        <v>7541</v>
      </c>
      <c r="R3155" s="6" t="s">
        <v>7542</v>
      </c>
    </row>
    <row r="3156">
      <c r="A3156" s="6" t="s">
        <v>7537</v>
      </c>
      <c r="B3156" s="6" t="s">
        <v>7537</v>
      </c>
      <c r="C3156" s="6">
        <v>1547.0</v>
      </c>
      <c r="D3156" s="9" t="str">
        <f>HYPERLINK("https://www.linkedin.com/ad-library/detail/1230726824","Open Ad")</f>
        <v>Open Ad</v>
      </c>
      <c r="E3156" s="6" t="s">
        <v>91</v>
      </c>
      <c r="F3156" s="6" t="s">
        <v>53</v>
      </c>
      <c r="G3156" s="6" t="s">
        <v>7817</v>
      </c>
      <c r="H3156" s="6" t="s">
        <v>55</v>
      </c>
      <c r="I3156" s="6" t="s">
        <v>7566</v>
      </c>
      <c r="J3156" s="6" t="s">
        <v>91</v>
      </c>
      <c r="K3156" s="9" t="str">
        <f t="shared" ref="K3156:K3157" si="156">HYPERLINK("https://media.licdn.com/dms/image/v2/D4E22AQH89hDKeV79KQ/feedshare-image-high-res/B4EZy5vRsAJAAU-/0/1772642704374?e=2147483647&amp;v=beta&amp;t=VBy6klcva4JII_0pR-GTKgB4RWbcJCTANhnpkulS8Sw","Open Creative")</f>
        <v>Open Creative</v>
      </c>
      <c r="L3156" s="6" t="s">
        <v>131</v>
      </c>
      <c r="M3156" s="6" t="s">
        <v>7537</v>
      </c>
      <c r="N3156" s="6" t="s">
        <v>132</v>
      </c>
      <c r="O3156" s="36" t="s">
        <v>132</v>
      </c>
      <c r="P3156" s="36">
        <v>1.230726824E9</v>
      </c>
      <c r="Q3156" s="36" t="s">
        <v>7541</v>
      </c>
      <c r="R3156" s="6" t="s">
        <v>7542</v>
      </c>
    </row>
    <row r="3157">
      <c r="A3157" s="6" t="s">
        <v>7537</v>
      </c>
      <c r="B3157" s="6" t="s">
        <v>7537</v>
      </c>
      <c r="C3157" s="6">
        <v>1548.0</v>
      </c>
      <c r="D3157" s="9" t="str">
        <f>HYPERLINK("https://www.linkedin.com/ad-library/detail/1232009654","Open Ad")</f>
        <v>Open Ad</v>
      </c>
      <c r="E3157" s="6" t="s">
        <v>91</v>
      </c>
      <c r="F3157" s="6" t="s">
        <v>53</v>
      </c>
      <c r="G3157" s="6" t="s">
        <v>7817</v>
      </c>
      <c r="H3157" s="6" t="s">
        <v>55</v>
      </c>
      <c r="I3157" s="6" t="s">
        <v>7566</v>
      </c>
      <c r="J3157" s="6" t="s">
        <v>91</v>
      </c>
      <c r="K3157" s="9" t="str">
        <f t="shared" si="156"/>
        <v>Open Creative</v>
      </c>
      <c r="L3157" s="6" t="s">
        <v>131</v>
      </c>
      <c r="M3157" s="6" t="s">
        <v>7537</v>
      </c>
      <c r="N3157" s="6" t="s">
        <v>132</v>
      </c>
      <c r="O3157" s="36" t="s">
        <v>132</v>
      </c>
      <c r="P3157" s="36">
        <v>1.232009654E9</v>
      </c>
      <c r="Q3157" s="36" t="s">
        <v>7541</v>
      </c>
      <c r="R3157" s="6" t="s">
        <v>7542</v>
      </c>
    </row>
    <row r="3158">
      <c r="A3158" s="6" t="s">
        <v>7537</v>
      </c>
      <c r="B3158" s="6" t="s">
        <v>7537</v>
      </c>
      <c r="C3158" s="6">
        <v>1549.0</v>
      </c>
      <c r="D3158" s="9" t="str">
        <f>HYPERLINK("https://www.linkedin.com/ad-library/detail/1370156536","Open Ad")</f>
        <v>Open Ad</v>
      </c>
      <c r="E3158" s="6" t="s">
        <v>154</v>
      </c>
      <c r="F3158" s="6" t="s">
        <v>53</v>
      </c>
      <c r="G3158" s="6" t="s">
        <v>7863</v>
      </c>
      <c r="H3158" s="6" t="s">
        <v>55</v>
      </c>
      <c r="I3158" s="6" t="s">
        <v>7566</v>
      </c>
      <c r="J3158" s="6" t="s">
        <v>154</v>
      </c>
      <c r="K3158" s="9" t="str">
        <f>HYPERLINK("https://dms.licdn.com/playlist/vid/v2/D4E05AQHDvDOJkla70A/mp4-640p-30fp-crf28/B4EZziRW8gGUBw-/0/1773322733945?e=2147483647&amp;v=beta&amp;t=vJ4f_cpSJGhd3rEwMdQXW6glvUe3yYvL0kCBZk83ix8","Open Creative")</f>
        <v>Open Creative</v>
      </c>
      <c r="L3158" s="6" t="s">
        <v>131</v>
      </c>
      <c r="M3158" s="6" t="s">
        <v>7537</v>
      </c>
      <c r="N3158" s="6" t="s">
        <v>132</v>
      </c>
      <c r="O3158" s="36" t="s">
        <v>132</v>
      </c>
      <c r="P3158" s="36">
        <v>1.370156536E9</v>
      </c>
      <c r="Q3158" s="36" t="s">
        <v>7541</v>
      </c>
      <c r="R3158" s="6" t="s">
        <v>7542</v>
      </c>
    </row>
    <row r="3159">
      <c r="A3159" s="6" t="s">
        <v>7537</v>
      </c>
      <c r="B3159" s="6" t="s">
        <v>7537</v>
      </c>
      <c r="C3159" s="6">
        <v>1550.0</v>
      </c>
      <c r="D3159" s="9" t="str">
        <f>HYPERLINK("https://www.linkedin.com/ad-library/detail/1365910366","Open Ad")</f>
        <v>Open Ad</v>
      </c>
      <c r="E3159" s="6" t="s">
        <v>91</v>
      </c>
      <c r="F3159" s="6" t="s">
        <v>53</v>
      </c>
      <c r="G3159" s="6" t="s">
        <v>7862</v>
      </c>
      <c r="H3159" s="6" t="s">
        <v>55</v>
      </c>
      <c r="I3159" s="6" t="s">
        <v>7566</v>
      </c>
      <c r="J3159" s="6" t="s">
        <v>91</v>
      </c>
      <c r="K3159" s="9" t="str">
        <f>HYPERLINK("https://media.licdn.com/dms/image/v2/D4E22AQGR7qmjnHGYJg/feedshare-shrink_1280/B4EZzYL7eVHYAM-/0/1773153532148?e=2147483647&amp;v=beta&amp;t=aZiWNEsw5GYjMXYmZRkirnrKdhORkXT1iqpigBmXM_4","Open Creative")</f>
        <v>Open Creative</v>
      </c>
      <c r="L3159" s="6" t="s">
        <v>131</v>
      </c>
      <c r="M3159" s="6" t="s">
        <v>7537</v>
      </c>
      <c r="N3159" s="6" t="s">
        <v>132</v>
      </c>
      <c r="O3159" s="36" t="s">
        <v>132</v>
      </c>
      <c r="P3159" s="36">
        <v>1.365910366E9</v>
      </c>
      <c r="Q3159" s="36" t="s">
        <v>7541</v>
      </c>
      <c r="R3159" s="6" t="s">
        <v>7542</v>
      </c>
    </row>
    <row r="3160">
      <c r="A3160" s="6" t="s">
        <v>7537</v>
      </c>
      <c r="B3160" s="6" t="s">
        <v>7537</v>
      </c>
      <c r="C3160" s="6">
        <v>1551.0</v>
      </c>
      <c r="D3160" s="9" t="str">
        <f>HYPERLINK("https://www.linkedin.com/ad-library/detail/1365862956","Open Ad")</f>
        <v>Open Ad</v>
      </c>
      <c r="E3160" s="6" t="s">
        <v>154</v>
      </c>
      <c r="F3160" s="6" t="s">
        <v>53</v>
      </c>
      <c r="G3160" s="6" t="s">
        <v>7858</v>
      </c>
      <c r="H3160" s="6" t="s">
        <v>55</v>
      </c>
      <c r="I3160" s="6" t="s">
        <v>7566</v>
      </c>
      <c r="J3160" s="6" t="s">
        <v>154</v>
      </c>
      <c r="K3160" s="9" t="str">
        <f>HYPERLINK("https://dms.licdn.com/playlist/vid/v2/D4E05AQER3AE4MRJbHg/mp4-640p-30fp-crf28/B4EZzTDhUrJsB0-/0/1773067448717?e=2147483647&amp;v=beta&amp;t=84eH2Og1T5g3Dc_4t_lLc0ZHibdbhHyCK1VvcLyCFIU","Open Creative")</f>
        <v>Open Creative</v>
      </c>
      <c r="L3160" s="6" t="s">
        <v>131</v>
      </c>
      <c r="M3160" s="6" t="s">
        <v>7537</v>
      </c>
      <c r="N3160" s="6" t="s">
        <v>132</v>
      </c>
      <c r="O3160" s="36" t="s">
        <v>132</v>
      </c>
      <c r="P3160" s="36">
        <v>1.365862956E9</v>
      </c>
      <c r="Q3160" s="36" t="s">
        <v>7541</v>
      </c>
      <c r="R3160" s="6" t="s">
        <v>7542</v>
      </c>
    </row>
    <row r="3161">
      <c r="A3161" s="6" t="s">
        <v>7537</v>
      </c>
      <c r="B3161" s="6" t="s">
        <v>7537</v>
      </c>
      <c r="C3161" s="6">
        <v>1552.0</v>
      </c>
      <c r="D3161" s="9" t="str">
        <f>HYPERLINK("https://www.linkedin.com/ad-library/detail/1370282926","Open Ad")</f>
        <v>Open Ad</v>
      </c>
      <c r="E3161" s="6" t="s">
        <v>91</v>
      </c>
      <c r="F3161" s="6" t="s">
        <v>53</v>
      </c>
      <c r="G3161" s="6" t="s">
        <v>7861</v>
      </c>
      <c r="H3161" s="6" t="s">
        <v>55</v>
      </c>
      <c r="I3161" s="6" t="s">
        <v>7566</v>
      </c>
      <c r="J3161" s="6" t="s">
        <v>91</v>
      </c>
      <c r="K3161" s="9" t="str">
        <f t="shared" ref="K3161:K3162" si="157">HYPERLINK("https://media.licdn.com/dms/image/v2/D5622AQHMjvUdk6yyAw/feedshare-shrink_1280/B56ZzZnd5eGkAU-/0/1773177529021?e=2147483647&amp;v=beta&amp;t=pH-uzhnHEvsoB7W0qiFLaOtww9DFZSfX18rf8maIV7M","Open Creative")</f>
        <v>Open Creative</v>
      </c>
      <c r="L3161" s="6" t="s">
        <v>131</v>
      </c>
      <c r="M3161" s="6" t="s">
        <v>7537</v>
      </c>
      <c r="N3161" s="6" t="s">
        <v>132</v>
      </c>
      <c r="O3161" s="36" t="s">
        <v>132</v>
      </c>
      <c r="P3161" s="36">
        <v>1.370282926E9</v>
      </c>
      <c r="Q3161" s="36" t="s">
        <v>7541</v>
      </c>
      <c r="R3161" s="6" t="s">
        <v>7542</v>
      </c>
    </row>
    <row r="3162">
      <c r="A3162" s="6" t="s">
        <v>7537</v>
      </c>
      <c r="B3162" s="6" t="s">
        <v>7537</v>
      </c>
      <c r="C3162" s="6">
        <v>1553.0</v>
      </c>
      <c r="D3162" s="9" t="str">
        <f>HYPERLINK("https://www.linkedin.com/ad-library/detail/1370254766","Open Ad")</f>
        <v>Open Ad</v>
      </c>
      <c r="E3162" s="6" t="s">
        <v>91</v>
      </c>
      <c r="F3162" s="6" t="s">
        <v>53</v>
      </c>
      <c r="G3162" s="6" t="s">
        <v>7861</v>
      </c>
      <c r="H3162" s="6" t="s">
        <v>55</v>
      </c>
      <c r="I3162" s="6" t="s">
        <v>7566</v>
      </c>
      <c r="J3162" s="6" t="s">
        <v>91</v>
      </c>
      <c r="K3162" s="9" t="str">
        <f t="shared" si="157"/>
        <v>Open Creative</v>
      </c>
      <c r="L3162" s="6" t="s">
        <v>131</v>
      </c>
      <c r="M3162" s="6" t="s">
        <v>7537</v>
      </c>
      <c r="N3162" s="6" t="s">
        <v>132</v>
      </c>
      <c r="O3162" s="36" t="s">
        <v>132</v>
      </c>
      <c r="P3162" s="36">
        <v>1.370254766E9</v>
      </c>
      <c r="Q3162" s="36" t="s">
        <v>7541</v>
      </c>
      <c r="R3162" s="6" t="s">
        <v>7542</v>
      </c>
    </row>
    <row r="3163">
      <c r="A3163" s="6" t="s">
        <v>7537</v>
      </c>
      <c r="B3163" s="6" t="s">
        <v>7537</v>
      </c>
      <c r="C3163" s="6">
        <v>1554.0</v>
      </c>
      <c r="D3163" s="9" t="str">
        <f>HYPERLINK("https://www.linkedin.com/ad-library/detail/1230047954","Open Ad")</f>
        <v>Open Ad</v>
      </c>
      <c r="E3163" s="6" t="s">
        <v>91</v>
      </c>
      <c r="F3163" s="6" t="s">
        <v>53</v>
      </c>
      <c r="G3163" s="6" t="s">
        <v>7817</v>
      </c>
      <c r="H3163" s="6" t="s">
        <v>55</v>
      </c>
      <c r="I3163" s="6" t="s">
        <v>7566</v>
      </c>
      <c r="J3163" s="6" t="s">
        <v>91</v>
      </c>
      <c r="K3163" s="9" t="str">
        <f>HYPERLINK("https://media.licdn.com/dms/image/v2/D4E22AQH89hDKeV79KQ/feedshare-image-high-res/B4EZy5vRsAJAAU-/0/1772642704374?e=2147483647&amp;v=beta&amp;t=VBy6klcva4JII_0pR-GTKgB4RWbcJCTANhnpkulS8Sw","Open Creative")</f>
        <v>Open Creative</v>
      </c>
      <c r="L3163" s="6" t="s">
        <v>131</v>
      </c>
      <c r="M3163" s="6" t="s">
        <v>7537</v>
      </c>
      <c r="N3163" s="6" t="s">
        <v>132</v>
      </c>
      <c r="O3163" s="36" t="s">
        <v>132</v>
      </c>
      <c r="P3163" s="36">
        <v>1.230047954E9</v>
      </c>
      <c r="Q3163" s="36" t="s">
        <v>7541</v>
      </c>
      <c r="R3163" s="6" t="s">
        <v>7542</v>
      </c>
    </row>
    <row r="3164">
      <c r="A3164" s="6" t="s">
        <v>7537</v>
      </c>
      <c r="B3164" s="6" t="s">
        <v>7537</v>
      </c>
      <c r="C3164" s="6">
        <v>1555.0</v>
      </c>
      <c r="D3164" s="9" t="str">
        <f>HYPERLINK("https://www.linkedin.com/ad-library/detail/1365881386","Open Ad")</f>
        <v>Open Ad</v>
      </c>
      <c r="E3164" s="6" t="s">
        <v>91</v>
      </c>
      <c r="F3164" s="6" t="s">
        <v>53</v>
      </c>
      <c r="G3164" s="6" t="s">
        <v>7862</v>
      </c>
      <c r="H3164" s="6" t="s">
        <v>55</v>
      </c>
      <c r="I3164" s="6" t="s">
        <v>7566</v>
      </c>
      <c r="J3164" s="6" t="s">
        <v>91</v>
      </c>
      <c r="K3164" s="9" t="str">
        <f t="shared" ref="K3164:K3165" si="158">HYPERLINK("https://media.licdn.com/dms/image/v2/D4E22AQGR7qmjnHGYJg/feedshare-shrink_1280/B4EZzYL7eVHYAM-/0/1773153532148?e=2147483647&amp;v=beta&amp;t=aZiWNEsw5GYjMXYmZRkirnrKdhORkXT1iqpigBmXM_4","Open Creative")</f>
        <v>Open Creative</v>
      </c>
      <c r="L3164" s="6" t="s">
        <v>131</v>
      </c>
      <c r="M3164" s="6" t="s">
        <v>7537</v>
      </c>
      <c r="N3164" s="6" t="s">
        <v>132</v>
      </c>
      <c r="O3164" s="36" t="s">
        <v>132</v>
      </c>
      <c r="P3164" s="36">
        <v>1.365881386E9</v>
      </c>
      <c r="Q3164" s="36" t="s">
        <v>7541</v>
      </c>
      <c r="R3164" s="6" t="s">
        <v>7542</v>
      </c>
    </row>
    <row r="3165">
      <c r="A3165" s="6" t="s">
        <v>7537</v>
      </c>
      <c r="B3165" s="6" t="s">
        <v>7537</v>
      </c>
      <c r="C3165" s="6">
        <v>1556.0</v>
      </c>
      <c r="D3165" s="9" t="str">
        <f>HYPERLINK("https://www.linkedin.com/ad-library/detail/1365920356","Open Ad")</f>
        <v>Open Ad</v>
      </c>
      <c r="E3165" s="6" t="s">
        <v>91</v>
      </c>
      <c r="F3165" s="6" t="s">
        <v>53</v>
      </c>
      <c r="G3165" s="6" t="s">
        <v>7862</v>
      </c>
      <c r="H3165" s="6" t="s">
        <v>55</v>
      </c>
      <c r="I3165" s="6" t="s">
        <v>7566</v>
      </c>
      <c r="J3165" s="6" t="s">
        <v>91</v>
      </c>
      <c r="K3165" s="9" t="str">
        <f t="shared" si="158"/>
        <v>Open Creative</v>
      </c>
      <c r="L3165" s="6" t="s">
        <v>131</v>
      </c>
      <c r="M3165" s="6" t="s">
        <v>7537</v>
      </c>
      <c r="N3165" s="6" t="s">
        <v>132</v>
      </c>
      <c r="O3165" s="36" t="s">
        <v>132</v>
      </c>
      <c r="P3165" s="36">
        <v>1.365920356E9</v>
      </c>
      <c r="Q3165" s="36" t="s">
        <v>7541</v>
      </c>
      <c r="R3165" s="6" t="s">
        <v>7542</v>
      </c>
    </row>
    <row r="3166">
      <c r="A3166" s="6" t="s">
        <v>7537</v>
      </c>
      <c r="B3166" s="6" t="s">
        <v>7537</v>
      </c>
      <c r="C3166" s="6">
        <v>1557.0</v>
      </c>
      <c r="D3166" s="9" t="str">
        <f>HYPERLINK("https://www.linkedin.com/ad-library/detail/1370108526","Open Ad")</f>
        <v>Open Ad</v>
      </c>
      <c r="E3166" s="6" t="s">
        <v>154</v>
      </c>
      <c r="F3166" s="6" t="s">
        <v>53</v>
      </c>
      <c r="G3166" s="6" t="s">
        <v>7863</v>
      </c>
      <c r="H3166" s="6" t="s">
        <v>55</v>
      </c>
      <c r="I3166" s="6" t="s">
        <v>7566</v>
      </c>
      <c r="J3166" s="6" t="s">
        <v>154</v>
      </c>
      <c r="K3166" s="9" t="str">
        <f>HYPERLINK("https://dms.licdn.com/playlist/vid/v2/D4E05AQHDvDOJkla70A/mp4-640p-30fp-crf28/B4EZziRW8gGUBw-/0/1773322733945?e=2147483647&amp;v=beta&amp;t=vJ4f_cpSJGhd3rEwMdQXW6glvUe3yYvL0kCBZk83ix8","Open Creative")</f>
        <v>Open Creative</v>
      </c>
      <c r="L3166" s="6" t="s">
        <v>131</v>
      </c>
      <c r="M3166" s="6" t="s">
        <v>7537</v>
      </c>
      <c r="N3166" s="6" t="s">
        <v>132</v>
      </c>
      <c r="O3166" s="36" t="s">
        <v>132</v>
      </c>
      <c r="P3166" s="36">
        <v>1.370108526E9</v>
      </c>
      <c r="Q3166" s="36" t="s">
        <v>7541</v>
      </c>
      <c r="R3166" s="6" t="s">
        <v>7542</v>
      </c>
    </row>
    <row r="3167">
      <c r="A3167" s="6" t="s">
        <v>7537</v>
      </c>
      <c r="B3167" s="6" t="s">
        <v>7537</v>
      </c>
      <c r="C3167" s="6">
        <v>1558.0</v>
      </c>
      <c r="D3167" s="9" t="str">
        <f>HYPERLINK("https://www.linkedin.com/ad-library/detail/1370340396","Open Ad")</f>
        <v>Open Ad</v>
      </c>
      <c r="E3167" s="6" t="s">
        <v>91</v>
      </c>
      <c r="F3167" s="6" t="s">
        <v>53</v>
      </c>
      <c r="G3167" s="6" t="s">
        <v>7861</v>
      </c>
      <c r="H3167" s="6" t="s">
        <v>55</v>
      </c>
      <c r="I3167" s="6" t="s">
        <v>7566</v>
      </c>
      <c r="J3167" s="6" t="s">
        <v>91</v>
      </c>
      <c r="K3167" s="9" t="str">
        <f>HYPERLINK("https://media.licdn.com/dms/image/v2/D5622AQHMjvUdk6yyAw/feedshare-shrink_1280/B56ZzZnd5eGkAU-/0/1773177529021?e=2147483647&amp;v=beta&amp;t=pH-uzhnHEvsoB7W0qiFLaOtww9DFZSfX18rf8maIV7M","Open Creative")</f>
        <v>Open Creative</v>
      </c>
      <c r="L3167" s="6" t="s">
        <v>131</v>
      </c>
      <c r="M3167" s="6" t="s">
        <v>7537</v>
      </c>
      <c r="N3167" s="6" t="s">
        <v>132</v>
      </c>
      <c r="O3167" s="36" t="s">
        <v>132</v>
      </c>
      <c r="P3167" s="36">
        <v>1.370340396E9</v>
      </c>
      <c r="Q3167" s="36" t="s">
        <v>7541</v>
      </c>
      <c r="R3167" s="6" t="s">
        <v>7542</v>
      </c>
    </row>
    <row r="3168">
      <c r="A3168" s="6" t="s">
        <v>7537</v>
      </c>
      <c r="B3168" s="6" t="s">
        <v>7537</v>
      </c>
      <c r="C3168" s="6">
        <v>1559.0</v>
      </c>
      <c r="D3168" s="9" t="str">
        <f>HYPERLINK("https://www.linkedin.com/ad-library/detail/1370235136","Open Ad")</f>
        <v>Open Ad</v>
      </c>
      <c r="E3168" s="6" t="s">
        <v>154</v>
      </c>
      <c r="F3168" s="6" t="s">
        <v>53</v>
      </c>
      <c r="G3168" s="6" t="s">
        <v>7863</v>
      </c>
      <c r="H3168" s="6" t="s">
        <v>55</v>
      </c>
      <c r="I3168" s="6" t="s">
        <v>7566</v>
      </c>
      <c r="J3168" s="6" t="s">
        <v>154</v>
      </c>
      <c r="K3168" s="9" t="str">
        <f>HYPERLINK("https://dms.licdn.com/playlist/vid/v2/D4E05AQHDvDOJkla70A/mp4-640p-30fp-crf28/B4EZziRW8gGUBw-/0/1773322733945?e=2147483647&amp;v=beta&amp;t=vJ4f_cpSJGhd3rEwMdQXW6glvUe3yYvL0kCBZk83ix8","Open Creative")</f>
        <v>Open Creative</v>
      </c>
      <c r="L3168" s="6" t="s">
        <v>131</v>
      </c>
      <c r="M3168" s="6" t="s">
        <v>7537</v>
      </c>
      <c r="N3168" s="6" t="s">
        <v>132</v>
      </c>
      <c r="O3168" s="36" t="s">
        <v>132</v>
      </c>
      <c r="P3168" s="36">
        <v>1.370235136E9</v>
      </c>
      <c r="Q3168" s="36" t="s">
        <v>7541</v>
      </c>
      <c r="R3168" s="6" t="s">
        <v>7542</v>
      </c>
    </row>
    <row r="3169">
      <c r="A3169" s="6" t="s">
        <v>7537</v>
      </c>
      <c r="B3169" s="6" t="s">
        <v>7537</v>
      </c>
      <c r="C3169" s="6">
        <v>1560.0</v>
      </c>
      <c r="D3169" s="9" t="str">
        <f>HYPERLINK("https://www.linkedin.com/ad-library/detail/1365852856","Open Ad")</f>
        <v>Open Ad</v>
      </c>
      <c r="E3169" s="6" t="s">
        <v>7543</v>
      </c>
      <c r="F3169" s="6" t="s">
        <v>53</v>
      </c>
      <c r="G3169" s="6" t="s">
        <v>7864</v>
      </c>
      <c r="H3169" s="6" t="s">
        <v>55</v>
      </c>
      <c r="I3169" s="6" t="s">
        <v>7566</v>
      </c>
      <c r="J3169" s="6" t="s">
        <v>7546</v>
      </c>
      <c r="K3169" s="6" t="s">
        <v>60</v>
      </c>
      <c r="L3169" s="6" t="s">
        <v>131</v>
      </c>
      <c r="M3169" s="6" t="s">
        <v>7537</v>
      </c>
      <c r="N3169" s="6" t="s">
        <v>132</v>
      </c>
      <c r="O3169" s="36" t="s">
        <v>132</v>
      </c>
      <c r="P3169" s="36">
        <v>1.365852856E9</v>
      </c>
      <c r="Q3169" s="36" t="s">
        <v>7541</v>
      </c>
      <c r="R3169" s="6" t="s">
        <v>7542</v>
      </c>
    </row>
    <row r="3170">
      <c r="A3170" s="6" t="s">
        <v>7537</v>
      </c>
      <c r="B3170" s="6" t="s">
        <v>7537</v>
      </c>
      <c r="C3170" s="6">
        <v>1561.0</v>
      </c>
      <c r="D3170" s="9" t="str">
        <f>HYPERLINK("https://www.linkedin.com/ad-library/detail/1365766926","Open Ad")</f>
        <v>Open Ad</v>
      </c>
      <c r="E3170" s="6" t="s">
        <v>154</v>
      </c>
      <c r="F3170" s="6" t="s">
        <v>53</v>
      </c>
      <c r="G3170" s="6" t="s">
        <v>7808</v>
      </c>
      <c r="H3170" s="6" t="s">
        <v>55</v>
      </c>
      <c r="I3170" s="6" t="s">
        <v>7566</v>
      </c>
      <c r="J3170" s="6" t="s">
        <v>154</v>
      </c>
      <c r="K3170" s="9" t="str">
        <f>HYPERLINK("https://dms.licdn.com/playlist/vid/v2/D4E05AQGG9pTneoArWw/mp4-720p-30fp-crf28/B4EZyP31JjGcCE-/0/1771940309947?e=2147483647&amp;v=beta&amp;t=lSy7EwO1JEElxw9V179dp__-TMnTYtNVUoAcpawSboQ","Open Creative")</f>
        <v>Open Creative</v>
      </c>
      <c r="L3170" s="6" t="s">
        <v>131</v>
      </c>
      <c r="M3170" s="6" t="s">
        <v>7537</v>
      </c>
      <c r="N3170" s="6" t="s">
        <v>132</v>
      </c>
      <c r="O3170" s="36" t="s">
        <v>132</v>
      </c>
      <c r="P3170" s="36">
        <v>1.365766926E9</v>
      </c>
      <c r="Q3170" s="36" t="s">
        <v>7541</v>
      </c>
      <c r="R3170" s="6" t="s">
        <v>7542</v>
      </c>
    </row>
    <row r="3171">
      <c r="A3171" s="6" t="s">
        <v>7537</v>
      </c>
      <c r="B3171" s="6" t="s">
        <v>7537</v>
      </c>
      <c r="C3171" s="6">
        <v>1562.0</v>
      </c>
      <c r="D3171" s="9" t="str">
        <f>HYPERLINK("https://www.linkedin.com/ad-library/detail/1365871986","Open Ad")</f>
        <v>Open Ad</v>
      </c>
      <c r="E3171" s="6" t="s">
        <v>154</v>
      </c>
      <c r="F3171" s="6" t="s">
        <v>53</v>
      </c>
      <c r="G3171" s="6" t="s">
        <v>7865</v>
      </c>
      <c r="H3171" s="6" t="s">
        <v>55</v>
      </c>
      <c r="I3171" s="6" t="s">
        <v>7566</v>
      </c>
      <c r="J3171" s="6" t="s">
        <v>154</v>
      </c>
      <c r="K3171" s="9" t="str">
        <f t="shared" ref="K3171:K3172" si="159">HYPERLINK("https://dms.licdn.com/playlist/vid/v2/D4E05AQGHFiTXPZuz-Q/mp4-640p-30fp-crf28/B4EZzPTuOeI8Bw-/0/1773004586045?e=2147483647&amp;v=beta&amp;t=j-RY_EIwSaBKfkAjY7uDcXAzGpf4rVvklCOvR8CyxGI","Open Creative")</f>
        <v>Open Creative</v>
      </c>
      <c r="L3171" s="6" t="s">
        <v>131</v>
      </c>
      <c r="M3171" s="6" t="s">
        <v>7537</v>
      </c>
      <c r="N3171" s="6" t="s">
        <v>132</v>
      </c>
      <c r="O3171" s="36" t="s">
        <v>132</v>
      </c>
      <c r="P3171" s="36">
        <v>1.365871986E9</v>
      </c>
      <c r="Q3171" s="36" t="s">
        <v>7541</v>
      </c>
      <c r="R3171" s="6" t="s">
        <v>7542</v>
      </c>
    </row>
    <row r="3172">
      <c r="A3172" s="6" t="s">
        <v>7537</v>
      </c>
      <c r="B3172" s="6" t="s">
        <v>7537</v>
      </c>
      <c r="C3172" s="6">
        <v>1563.0</v>
      </c>
      <c r="D3172" s="9" t="str">
        <f>HYPERLINK("https://www.linkedin.com/ad-library/detail/1365844006","Open Ad")</f>
        <v>Open Ad</v>
      </c>
      <c r="E3172" s="6" t="s">
        <v>154</v>
      </c>
      <c r="F3172" s="6" t="s">
        <v>53</v>
      </c>
      <c r="G3172" s="6" t="s">
        <v>7865</v>
      </c>
      <c r="H3172" s="6" t="s">
        <v>55</v>
      </c>
      <c r="I3172" s="6" t="s">
        <v>7566</v>
      </c>
      <c r="J3172" s="6" t="s">
        <v>154</v>
      </c>
      <c r="K3172" s="9" t="str">
        <f t="shared" si="159"/>
        <v>Open Creative</v>
      </c>
      <c r="L3172" s="6" t="s">
        <v>131</v>
      </c>
      <c r="M3172" s="6" t="s">
        <v>7537</v>
      </c>
      <c r="N3172" s="6" t="s">
        <v>132</v>
      </c>
      <c r="O3172" s="36" t="s">
        <v>132</v>
      </c>
      <c r="P3172" s="36">
        <v>1.365844006E9</v>
      </c>
      <c r="Q3172" s="36" t="s">
        <v>7541</v>
      </c>
      <c r="R3172" s="6" t="s">
        <v>7542</v>
      </c>
    </row>
    <row r="3173">
      <c r="A3173" s="6" t="s">
        <v>7537</v>
      </c>
      <c r="B3173" s="6" t="s">
        <v>7537</v>
      </c>
      <c r="C3173" s="6">
        <v>1564.0</v>
      </c>
      <c r="D3173" s="9" t="str">
        <f>HYPERLINK("https://www.linkedin.com/ad-library/detail/1365757576","Open Ad")</f>
        <v>Open Ad</v>
      </c>
      <c r="E3173" s="6" t="s">
        <v>91</v>
      </c>
      <c r="F3173" s="6" t="s">
        <v>53</v>
      </c>
      <c r="G3173" s="6" t="s">
        <v>7866</v>
      </c>
      <c r="H3173" s="6" t="s">
        <v>55</v>
      </c>
      <c r="I3173" s="6" t="s">
        <v>7566</v>
      </c>
      <c r="J3173" s="6" t="s">
        <v>91</v>
      </c>
      <c r="K3173" s="9" t="str">
        <f>HYPERLINK("https://media.licdn.com/dms/image/v2/D4E22AQFRLyVYYbOF8w/feedshare-shrink_1280/B4EZzT4ekwKQAM-/0/1773081325419?e=2147483647&amp;v=beta&amp;t=gVb3yjIIzIwCMxq--XhZbnbBGbBMEG8JCtRN9oqUWDM","Open Creative")</f>
        <v>Open Creative</v>
      </c>
      <c r="L3173" s="6" t="s">
        <v>131</v>
      </c>
      <c r="M3173" s="6" t="s">
        <v>7537</v>
      </c>
      <c r="N3173" s="6" t="s">
        <v>132</v>
      </c>
      <c r="O3173" s="36" t="s">
        <v>132</v>
      </c>
      <c r="P3173" s="36">
        <v>1.365757576E9</v>
      </c>
      <c r="Q3173" s="36" t="s">
        <v>7541</v>
      </c>
      <c r="R3173" s="6" t="s">
        <v>7542</v>
      </c>
    </row>
    <row r="3174">
      <c r="A3174" s="6" t="s">
        <v>7537</v>
      </c>
      <c r="B3174" s="6" t="s">
        <v>7537</v>
      </c>
      <c r="C3174" s="6">
        <v>1565.0</v>
      </c>
      <c r="D3174" s="9" t="str">
        <f>HYPERLINK("https://www.linkedin.com/ad-library/detail/1365814386","Open Ad")</f>
        <v>Open Ad</v>
      </c>
      <c r="E3174" s="6" t="s">
        <v>154</v>
      </c>
      <c r="F3174" s="6" t="s">
        <v>53</v>
      </c>
      <c r="G3174" s="6" t="s">
        <v>7640</v>
      </c>
      <c r="H3174" s="6" t="s">
        <v>55</v>
      </c>
      <c r="I3174" s="6" t="s">
        <v>7566</v>
      </c>
      <c r="J3174" s="6" t="s">
        <v>154</v>
      </c>
      <c r="K3174" s="9" t="str">
        <f>HYPERLINK("https://dms.licdn.com/playlist/vid/v2/D4E05AQEZIBMQ5dvMiw/mp4-640p-30fp-crf28/B4EZq7fWtpGcB0-/0/1764082160741?e=2147483647&amp;v=beta&amp;t=XFL1jBqfg-_iulKKPx99xtiUuPTR1oKXosCHSzSTLSs","Open Creative")</f>
        <v>Open Creative</v>
      </c>
      <c r="L3174" s="6" t="s">
        <v>131</v>
      </c>
      <c r="M3174" s="6" t="s">
        <v>7537</v>
      </c>
      <c r="N3174" s="6" t="s">
        <v>132</v>
      </c>
      <c r="O3174" s="36" t="s">
        <v>132</v>
      </c>
      <c r="P3174" s="36">
        <v>1.365814386E9</v>
      </c>
      <c r="Q3174" s="36" t="s">
        <v>7541</v>
      </c>
      <c r="R3174" s="6" t="s">
        <v>7542</v>
      </c>
    </row>
    <row r="3175">
      <c r="A3175" s="6" t="s">
        <v>7537</v>
      </c>
      <c r="B3175" s="6" t="s">
        <v>7537</v>
      </c>
      <c r="C3175" s="6">
        <v>1566.0</v>
      </c>
      <c r="D3175" s="9" t="str">
        <f>HYPERLINK("https://www.linkedin.com/ad-library/detail/1365862376","Open Ad")</f>
        <v>Open Ad</v>
      </c>
      <c r="E3175" s="6" t="s">
        <v>154</v>
      </c>
      <c r="F3175" s="6" t="s">
        <v>53</v>
      </c>
      <c r="G3175" s="6" t="s">
        <v>7867</v>
      </c>
      <c r="H3175" s="6" t="s">
        <v>55</v>
      </c>
      <c r="I3175" s="6" t="s">
        <v>7566</v>
      </c>
      <c r="J3175" s="6" t="s">
        <v>154</v>
      </c>
      <c r="K3175" s="9" t="str">
        <f>HYPERLINK("https://dms.licdn.com/playlist/vid/v2/D4E05AQGAOnplbh8hAw/mp4-720p-30fp-crf28/B4EZwQtYHkJ8CI-/0/1769806864428?e=2147483647&amp;v=beta&amp;t=3-UIWf1rDZw5tlZrHM0UonIMZWbkC01VTW3-pNMlJPE","Open Creative")</f>
        <v>Open Creative</v>
      </c>
      <c r="L3175" s="6" t="s">
        <v>131</v>
      </c>
      <c r="M3175" s="6" t="s">
        <v>7537</v>
      </c>
      <c r="N3175" s="6" t="s">
        <v>132</v>
      </c>
      <c r="O3175" s="36" t="s">
        <v>132</v>
      </c>
      <c r="P3175" s="36">
        <v>1.365862376E9</v>
      </c>
      <c r="Q3175" s="36" t="s">
        <v>7541</v>
      </c>
      <c r="R3175" s="6" t="s">
        <v>7542</v>
      </c>
    </row>
    <row r="3176">
      <c r="A3176" s="6" t="s">
        <v>7537</v>
      </c>
      <c r="B3176" s="6" t="s">
        <v>7537</v>
      </c>
      <c r="C3176" s="6">
        <v>1567.0</v>
      </c>
      <c r="D3176" s="9" t="str">
        <f>HYPERLINK("https://www.linkedin.com/ad-library/detail/1365757306","Open Ad")</f>
        <v>Open Ad</v>
      </c>
      <c r="E3176" s="6" t="s">
        <v>91</v>
      </c>
      <c r="F3176" s="6" t="s">
        <v>53</v>
      </c>
      <c r="G3176" s="6" t="s">
        <v>7748</v>
      </c>
      <c r="H3176" s="6" t="s">
        <v>55</v>
      </c>
      <c r="I3176" s="6" t="s">
        <v>7566</v>
      </c>
      <c r="J3176" s="6" t="s">
        <v>91</v>
      </c>
      <c r="K3176" s="9" t="str">
        <f>HYPERLINK("https://media.licdn.com/dms/image/v2/D4E22AQHbFCQCDCGG3g/feedshare-image-high-res/B4EZpOeqO1HgAw-/0/1762253252103?e=2147483647&amp;v=beta&amp;t=Br5vflKeqacS-e7vktti7ZfaCAL9Qm6QJloy5pf7CYw","Open Creative")</f>
        <v>Open Creative</v>
      </c>
      <c r="L3176" s="6" t="s">
        <v>131</v>
      </c>
      <c r="M3176" s="6" t="s">
        <v>7537</v>
      </c>
      <c r="N3176" s="6" t="s">
        <v>132</v>
      </c>
      <c r="O3176" s="36" t="s">
        <v>132</v>
      </c>
      <c r="P3176" s="36">
        <v>1.365757306E9</v>
      </c>
      <c r="Q3176" s="36" t="s">
        <v>7541</v>
      </c>
      <c r="R3176" s="6" t="s">
        <v>7542</v>
      </c>
    </row>
    <row r="3177">
      <c r="A3177" s="6" t="s">
        <v>7537</v>
      </c>
      <c r="B3177" s="6" t="s">
        <v>7537</v>
      </c>
      <c r="C3177" s="6">
        <v>1568.0</v>
      </c>
      <c r="D3177" s="9" t="str">
        <f>HYPERLINK("https://www.linkedin.com/ad-library/detail/1365862356","Open Ad")</f>
        <v>Open Ad</v>
      </c>
      <c r="E3177" s="6" t="s">
        <v>91</v>
      </c>
      <c r="F3177" s="6" t="s">
        <v>53</v>
      </c>
      <c r="G3177" s="6" t="s">
        <v>7868</v>
      </c>
      <c r="H3177" s="6" t="s">
        <v>55</v>
      </c>
      <c r="I3177" s="6" t="s">
        <v>7566</v>
      </c>
      <c r="J3177" s="6" t="s">
        <v>91</v>
      </c>
      <c r="K3177" s="9" t="str">
        <f>HYPERLINK("https://media.licdn.com/dms/image/v2/D4E10AQFC__9NnIVfQg/image-shrink_1280/B4EZyRg5EMHkAc-/0/1771967845235?e=2147483647&amp;v=beta&amp;t=wzygX8IX6tpH5uwG_iGjdivN14QXrFQc-OLuHLg7reY","Open Creative")</f>
        <v>Open Creative</v>
      </c>
      <c r="L3177" s="6" t="s">
        <v>131</v>
      </c>
      <c r="M3177" s="6" t="s">
        <v>7537</v>
      </c>
      <c r="N3177" s="6" t="s">
        <v>132</v>
      </c>
      <c r="O3177" s="36" t="s">
        <v>132</v>
      </c>
      <c r="P3177" s="36">
        <v>1.365862356E9</v>
      </c>
      <c r="Q3177" s="36" t="s">
        <v>7541</v>
      </c>
      <c r="R3177" s="6" t="s">
        <v>7542</v>
      </c>
    </row>
    <row r="3178">
      <c r="A3178" s="6" t="s">
        <v>7537</v>
      </c>
      <c r="B3178" s="6" t="s">
        <v>7537</v>
      </c>
      <c r="C3178" s="6">
        <v>1569.0</v>
      </c>
      <c r="D3178" s="9" t="str">
        <f>HYPERLINK("https://www.linkedin.com/ad-library/detail/1365843916","Open Ad")</f>
        <v>Open Ad</v>
      </c>
      <c r="E3178" s="6" t="s">
        <v>154</v>
      </c>
      <c r="F3178" s="6" t="s">
        <v>53</v>
      </c>
      <c r="G3178" s="6" t="s">
        <v>7813</v>
      </c>
      <c r="H3178" s="6" t="s">
        <v>55</v>
      </c>
      <c r="I3178" s="6" t="s">
        <v>7566</v>
      </c>
      <c r="J3178" s="6" t="s">
        <v>154</v>
      </c>
      <c r="K3178" s="9" t="str">
        <f>HYPERLINK("https://dms.licdn.com/playlist/vid/v2/D4E10AQHb8aBgPz6yrg/mp4-360p-30fp-crf28/B4EZyQma5eHMB8-/0/1771952534337?e=2147483647&amp;v=beta&amp;t=vL255ZZj6UooCMMSuov9TYM4BA5F3J29zDbm5h_CfCY","Open Creative")</f>
        <v>Open Creative</v>
      </c>
      <c r="L3178" s="6" t="s">
        <v>131</v>
      </c>
      <c r="M3178" s="6" t="s">
        <v>7537</v>
      </c>
      <c r="N3178" s="6" t="s">
        <v>132</v>
      </c>
      <c r="O3178" s="36" t="s">
        <v>132</v>
      </c>
      <c r="P3178" s="36">
        <v>1.365843916E9</v>
      </c>
      <c r="Q3178" s="36" t="s">
        <v>7541</v>
      </c>
      <c r="R3178" s="6" t="s">
        <v>7542</v>
      </c>
    </row>
    <row r="3179">
      <c r="A3179" s="6" t="s">
        <v>7537</v>
      </c>
      <c r="B3179" s="6" t="s">
        <v>7537</v>
      </c>
      <c r="C3179" s="6">
        <v>1570.0</v>
      </c>
      <c r="D3179" s="9" t="str">
        <f>HYPERLINK("https://www.linkedin.com/ad-library/detail/1365919876","Open Ad")</f>
        <v>Open Ad</v>
      </c>
      <c r="E3179" s="6" t="s">
        <v>91</v>
      </c>
      <c r="F3179" s="6" t="s">
        <v>53</v>
      </c>
      <c r="G3179" s="6" t="s">
        <v>7866</v>
      </c>
      <c r="H3179" s="6" t="s">
        <v>55</v>
      </c>
      <c r="I3179" s="6" t="s">
        <v>7566</v>
      </c>
      <c r="J3179" s="6" t="s">
        <v>91</v>
      </c>
      <c r="K3179" s="9" t="str">
        <f>HYPERLINK("https://media.licdn.com/dms/image/v2/D4E22AQFRLyVYYbOF8w/feedshare-shrink_1280/B4EZzT4ekwKQAM-/0/1773081325419?e=2147483647&amp;v=beta&amp;t=gVb3yjIIzIwCMxq--XhZbnbBGbBMEG8JCtRN9oqUWDM","Open Creative")</f>
        <v>Open Creative</v>
      </c>
      <c r="L3179" s="6" t="s">
        <v>131</v>
      </c>
      <c r="M3179" s="6" t="s">
        <v>7537</v>
      </c>
      <c r="N3179" s="6" t="s">
        <v>132</v>
      </c>
      <c r="O3179" s="36" t="s">
        <v>132</v>
      </c>
      <c r="P3179" s="36">
        <v>1.365919876E9</v>
      </c>
      <c r="Q3179" s="36" t="s">
        <v>7541</v>
      </c>
      <c r="R3179" s="6" t="s">
        <v>7542</v>
      </c>
    </row>
    <row r="3180">
      <c r="A3180" s="6" t="s">
        <v>7537</v>
      </c>
      <c r="B3180" s="6" t="s">
        <v>7537</v>
      </c>
      <c r="C3180" s="6">
        <v>1571.0</v>
      </c>
      <c r="D3180" s="9" t="str">
        <f>HYPERLINK("https://www.linkedin.com/ad-library/detail/1365718406","Open Ad")</f>
        <v>Open Ad</v>
      </c>
      <c r="E3180" s="6" t="s">
        <v>91</v>
      </c>
      <c r="F3180" s="6" t="s">
        <v>53</v>
      </c>
      <c r="G3180" s="6" t="s">
        <v>7869</v>
      </c>
      <c r="H3180" s="6" t="s">
        <v>55</v>
      </c>
      <c r="I3180" s="6" t="s">
        <v>7566</v>
      </c>
      <c r="J3180" s="6" t="s">
        <v>91</v>
      </c>
      <c r="K3180" s="9" t="str">
        <f>HYPERLINK("https://media.licdn.com/dms/image/v2/D4E22AQGSTukpFdZDmw/feedshare-shrink_1280/B4EZud_VF7K8As-/0/1767882183787?e=2147483647&amp;v=beta&amp;t=FCfv5eRdq1jL7SmRWSLlJuRvnvLS1FLmcswXIV-lxPA","Open Creative")</f>
        <v>Open Creative</v>
      </c>
      <c r="L3180" s="6" t="s">
        <v>131</v>
      </c>
      <c r="M3180" s="6" t="s">
        <v>7537</v>
      </c>
      <c r="N3180" s="6" t="s">
        <v>132</v>
      </c>
      <c r="O3180" s="36" t="s">
        <v>132</v>
      </c>
      <c r="P3180" s="36">
        <v>1.365718406E9</v>
      </c>
      <c r="Q3180" s="36" t="s">
        <v>7541</v>
      </c>
      <c r="R3180" s="6" t="s">
        <v>7542</v>
      </c>
    </row>
    <row r="3181">
      <c r="A3181" s="6" t="s">
        <v>7537</v>
      </c>
      <c r="B3181" s="6" t="s">
        <v>7537</v>
      </c>
      <c r="C3181" s="6">
        <v>1572.0</v>
      </c>
      <c r="D3181" s="9" t="str">
        <f>HYPERLINK("https://www.linkedin.com/ad-library/detail/1365748156","Open Ad")</f>
        <v>Open Ad</v>
      </c>
      <c r="E3181" s="6" t="s">
        <v>154</v>
      </c>
      <c r="F3181" s="6" t="s">
        <v>53</v>
      </c>
      <c r="G3181" s="6" t="s">
        <v>7870</v>
      </c>
      <c r="H3181" s="6" t="s">
        <v>55</v>
      </c>
      <c r="I3181" s="6" t="s">
        <v>7566</v>
      </c>
      <c r="J3181" s="6" t="s">
        <v>154</v>
      </c>
      <c r="K3181" s="9" t="str">
        <f>HYPERLINK("https://dms.licdn.com/playlist/vid/v2/D4E05AQEhrnRYKjmo1Q/mp4-640p-30fp-crf28/B4EZyRZRDhIQBw-/0/1771965851664?e=2147483647&amp;v=beta&amp;t=N52c5WjyoRskLmJrAvHh7JrG7yKpkOyiRldlifVVdV8","Open Creative")</f>
        <v>Open Creative</v>
      </c>
      <c r="L3181" s="6" t="s">
        <v>131</v>
      </c>
      <c r="M3181" s="6" t="s">
        <v>7537</v>
      </c>
      <c r="N3181" s="6" t="s">
        <v>132</v>
      </c>
      <c r="O3181" s="36" t="s">
        <v>132</v>
      </c>
      <c r="P3181" s="36">
        <v>1.365748156E9</v>
      </c>
      <c r="Q3181" s="36" t="s">
        <v>7541</v>
      </c>
      <c r="R3181" s="6" t="s">
        <v>7542</v>
      </c>
    </row>
    <row r="3182">
      <c r="A3182" s="6" t="s">
        <v>7537</v>
      </c>
      <c r="B3182" s="6" t="s">
        <v>7537</v>
      </c>
      <c r="C3182" s="6">
        <v>1573.0</v>
      </c>
      <c r="D3182" s="9" t="str">
        <f>HYPERLINK("https://www.linkedin.com/ad-library/detail/1365919886","Open Ad")</f>
        <v>Open Ad</v>
      </c>
      <c r="E3182" s="6" t="s">
        <v>91</v>
      </c>
      <c r="F3182" s="6" t="s">
        <v>53</v>
      </c>
      <c r="G3182" s="6" t="s">
        <v>7866</v>
      </c>
      <c r="H3182" s="6" t="s">
        <v>55</v>
      </c>
      <c r="I3182" s="6" t="s">
        <v>7566</v>
      </c>
      <c r="J3182" s="6" t="s">
        <v>91</v>
      </c>
      <c r="K3182" s="9" t="str">
        <f>HYPERLINK("https://media.licdn.com/dms/image/v2/D4E22AQFRLyVYYbOF8w/feedshare-shrink_1280/B4EZzT4ekwKQAM-/0/1773081325419?e=2147483647&amp;v=beta&amp;t=gVb3yjIIzIwCMxq--XhZbnbBGbBMEG8JCtRN9oqUWDM","Open Creative")</f>
        <v>Open Creative</v>
      </c>
      <c r="L3182" s="6" t="s">
        <v>131</v>
      </c>
      <c r="M3182" s="6" t="s">
        <v>7537</v>
      </c>
      <c r="N3182" s="6" t="s">
        <v>132</v>
      </c>
      <c r="O3182" s="36" t="s">
        <v>132</v>
      </c>
      <c r="P3182" s="36">
        <v>1.365919886E9</v>
      </c>
      <c r="Q3182" s="36" t="s">
        <v>7541</v>
      </c>
      <c r="R3182" s="6" t="s">
        <v>7542</v>
      </c>
    </row>
    <row r="3183">
      <c r="A3183" s="6" t="s">
        <v>7537</v>
      </c>
      <c r="B3183" s="6" t="s">
        <v>7537</v>
      </c>
      <c r="C3183" s="6">
        <v>1574.0</v>
      </c>
      <c r="D3183" s="9" t="str">
        <f>HYPERLINK("https://www.linkedin.com/ad-library/detail/1365748066","Open Ad")</f>
        <v>Open Ad</v>
      </c>
      <c r="E3183" s="6" t="s">
        <v>91</v>
      </c>
      <c r="F3183" s="6" t="s">
        <v>53</v>
      </c>
      <c r="G3183" s="6" t="s">
        <v>7871</v>
      </c>
      <c r="H3183" s="6" t="s">
        <v>55</v>
      </c>
      <c r="I3183" s="6" t="s">
        <v>7566</v>
      </c>
      <c r="J3183" s="6" t="s">
        <v>91</v>
      </c>
      <c r="K3183" s="9" t="str">
        <f>HYPERLINK("https://media.licdn.com/dms/image/v2/D4E22AQFy1Oz048X5Zw/feedshare-shrink_1280/B4EZxsp.7NIsAg-/0/1771349471279?e=2147483647&amp;v=beta&amp;t=vIsxUzaS4oXWbQU3DX8AsKdV3pQR5qqC3FIkevYbeR0","Open Creative")</f>
        <v>Open Creative</v>
      </c>
      <c r="L3183" s="6" t="s">
        <v>131</v>
      </c>
      <c r="M3183" s="6" t="s">
        <v>7537</v>
      </c>
      <c r="N3183" s="6" t="s">
        <v>132</v>
      </c>
      <c r="O3183" s="36" t="s">
        <v>132</v>
      </c>
      <c r="P3183" s="36">
        <v>1.365748066E9</v>
      </c>
      <c r="Q3183" s="36" t="s">
        <v>7541</v>
      </c>
      <c r="R3183" s="6" t="s">
        <v>7542</v>
      </c>
    </row>
    <row r="3184">
      <c r="A3184" s="6" t="s">
        <v>7537</v>
      </c>
      <c r="B3184" s="6" t="s">
        <v>7537</v>
      </c>
      <c r="C3184" s="6">
        <v>1575.0</v>
      </c>
      <c r="D3184" s="9" t="str">
        <f>HYPERLINK("https://www.linkedin.com/ad-library/detail/1365814806","Open Ad")</f>
        <v>Open Ad</v>
      </c>
      <c r="E3184" s="6" t="s">
        <v>7543</v>
      </c>
      <c r="F3184" s="6" t="s">
        <v>53</v>
      </c>
      <c r="G3184" s="6" t="s">
        <v>7864</v>
      </c>
      <c r="H3184" s="6" t="s">
        <v>55</v>
      </c>
      <c r="I3184" s="6" t="s">
        <v>7566</v>
      </c>
      <c r="J3184" s="6" t="s">
        <v>7546</v>
      </c>
      <c r="K3184" s="6" t="s">
        <v>60</v>
      </c>
      <c r="L3184" s="6" t="s">
        <v>131</v>
      </c>
      <c r="M3184" s="6" t="s">
        <v>7537</v>
      </c>
      <c r="N3184" s="6" t="s">
        <v>132</v>
      </c>
      <c r="O3184" s="36" t="s">
        <v>132</v>
      </c>
      <c r="P3184" s="36">
        <v>1.365814806E9</v>
      </c>
      <c r="Q3184" s="36" t="s">
        <v>7541</v>
      </c>
      <c r="R3184" s="6" t="s">
        <v>7542</v>
      </c>
    </row>
    <row r="3185">
      <c r="A3185" s="6" t="s">
        <v>7537</v>
      </c>
      <c r="B3185" s="6" t="s">
        <v>7537</v>
      </c>
      <c r="C3185" s="6">
        <v>1576.0</v>
      </c>
      <c r="D3185" s="9" t="str">
        <f>HYPERLINK("https://www.linkedin.com/ad-library/detail/1365804396","Open Ad")</f>
        <v>Open Ad</v>
      </c>
      <c r="E3185" s="6" t="s">
        <v>154</v>
      </c>
      <c r="F3185" s="6" t="s">
        <v>53</v>
      </c>
      <c r="G3185" s="6" t="s">
        <v>7867</v>
      </c>
      <c r="H3185" s="6" t="s">
        <v>55</v>
      </c>
      <c r="I3185" s="6" t="s">
        <v>7566</v>
      </c>
      <c r="J3185" s="6" t="s">
        <v>154</v>
      </c>
      <c r="K3185" s="9" t="str">
        <f>HYPERLINK("https://dms.licdn.com/playlist/vid/v2/D4E05AQGAOnplbh8hAw/mp4-720p-30fp-crf28/B4EZwQtYHkJ8CI-/0/1769806864428?e=2147483647&amp;v=beta&amp;t=3-UIWf1rDZw5tlZrHM0UonIMZWbkC01VTW3-pNMlJPE","Open Creative")</f>
        <v>Open Creative</v>
      </c>
      <c r="L3185" s="6" t="s">
        <v>131</v>
      </c>
      <c r="M3185" s="6" t="s">
        <v>7537</v>
      </c>
      <c r="N3185" s="6" t="s">
        <v>132</v>
      </c>
      <c r="O3185" s="36" t="s">
        <v>132</v>
      </c>
      <c r="P3185" s="36">
        <v>1.365804396E9</v>
      </c>
      <c r="Q3185" s="36" t="s">
        <v>7541</v>
      </c>
      <c r="R3185" s="6" t="s">
        <v>7542</v>
      </c>
    </row>
    <row r="3186">
      <c r="A3186" s="6" t="s">
        <v>7537</v>
      </c>
      <c r="B3186" s="6" t="s">
        <v>7537</v>
      </c>
      <c r="C3186" s="6">
        <v>1577.0</v>
      </c>
      <c r="D3186" s="9" t="str">
        <f>HYPERLINK("https://www.linkedin.com/ad-library/detail/1365767096","Open Ad")</f>
        <v>Open Ad</v>
      </c>
      <c r="E3186" s="6" t="s">
        <v>154</v>
      </c>
      <c r="F3186" s="6" t="s">
        <v>53</v>
      </c>
      <c r="G3186" s="6" t="s">
        <v>7865</v>
      </c>
      <c r="H3186" s="6" t="s">
        <v>55</v>
      </c>
      <c r="I3186" s="6" t="s">
        <v>7566</v>
      </c>
      <c r="J3186" s="6" t="s">
        <v>154</v>
      </c>
      <c r="K3186" s="9" t="str">
        <f t="shared" ref="K3186:K3187" si="160">HYPERLINK("https://dms.licdn.com/playlist/vid/v2/D4E05AQGHFiTXPZuz-Q/mp4-640p-30fp-crf28/B4EZzPTuOeI8Bw-/0/1773004586045?e=2147483647&amp;v=beta&amp;t=j-RY_EIwSaBKfkAjY7uDcXAzGpf4rVvklCOvR8CyxGI","Open Creative")</f>
        <v>Open Creative</v>
      </c>
      <c r="L3186" s="6" t="s">
        <v>131</v>
      </c>
      <c r="M3186" s="6" t="s">
        <v>7537</v>
      </c>
      <c r="N3186" s="6" t="s">
        <v>132</v>
      </c>
      <c r="O3186" s="36" t="s">
        <v>132</v>
      </c>
      <c r="P3186" s="36">
        <v>1.365767096E9</v>
      </c>
      <c r="Q3186" s="36" t="s">
        <v>7541</v>
      </c>
      <c r="R3186" s="6" t="s">
        <v>7542</v>
      </c>
    </row>
    <row r="3187">
      <c r="A3187" s="6" t="s">
        <v>7537</v>
      </c>
      <c r="B3187" s="6" t="s">
        <v>7537</v>
      </c>
      <c r="C3187" s="6">
        <v>1578.0</v>
      </c>
      <c r="D3187" s="9" t="str">
        <f>HYPERLINK("https://www.linkedin.com/ad-library/detail/1365728756","Open Ad")</f>
        <v>Open Ad</v>
      </c>
      <c r="E3187" s="6" t="s">
        <v>154</v>
      </c>
      <c r="F3187" s="6" t="s">
        <v>53</v>
      </c>
      <c r="G3187" s="6" t="s">
        <v>7865</v>
      </c>
      <c r="H3187" s="6" t="s">
        <v>55</v>
      </c>
      <c r="I3187" s="6" t="s">
        <v>7566</v>
      </c>
      <c r="J3187" s="6" t="s">
        <v>154</v>
      </c>
      <c r="K3187" s="9" t="str">
        <f t="shared" si="160"/>
        <v>Open Creative</v>
      </c>
      <c r="L3187" s="6" t="s">
        <v>131</v>
      </c>
      <c r="M3187" s="6" t="s">
        <v>7537</v>
      </c>
      <c r="N3187" s="6" t="s">
        <v>132</v>
      </c>
      <c r="O3187" s="36" t="s">
        <v>132</v>
      </c>
      <c r="P3187" s="36">
        <v>1.365728756E9</v>
      </c>
      <c r="Q3187" s="36" t="s">
        <v>7541</v>
      </c>
      <c r="R3187" s="6" t="s">
        <v>7542</v>
      </c>
    </row>
    <row r="3188">
      <c r="A3188" s="6" t="s">
        <v>7537</v>
      </c>
      <c r="B3188" s="6" t="s">
        <v>7537</v>
      </c>
      <c r="C3188" s="6">
        <v>1579.0</v>
      </c>
      <c r="D3188" s="9" t="str">
        <f>HYPERLINK("https://www.linkedin.com/ad-library/detail/1365814446","Open Ad")</f>
        <v>Open Ad</v>
      </c>
      <c r="E3188" s="6" t="s">
        <v>154</v>
      </c>
      <c r="F3188" s="6" t="s">
        <v>53</v>
      </c>
      <c r="G3188" s="6" t="s">
        <v>7813</v>
      </c>
      <c r="H3188" s="6" t="s">
        <v>55</v>
      </c>
      <c r="I3188" s="6" t="s">
        <v>7566</v>
      </c>
      <c r="J3188" s="6" t="s">
        <v>154</v>
      </c>
      <c r="K3188" s="9" t="str">
        <f>HYPERLINK("https://dms.licdn.com/playlist/vid/v2/D4E10AQHb8aBgPz6yrg/mp4-360p-30fp-crf28/B4EZyQma5eHMB8-/0/1771952534337?e=2147483647&amp;v=beta&amp;t=vL255ZZj6UooCMMSuov9TYM4BA5F3J29zDbm5h_CfCY","Open Creative")</f>
        <v>Open Creative</v>
      </c>
      <c r="L3188" s="6" t="s">
        <v>131</v>
      </c>
      <c r="M3188" s="6" t="s">
        <v>7537</v>
      </c>
      <c r="N3188" s="6" t="s">
        <v>132</v>
      </c>
      <c r="O3188" s="36" t="s">
        <v>132</v>
      </c>
      <c r="P3188" s="36">
        <v>1.365814446E9</v>
      </c>
      <c r="Q3188" s="36" t="s">
        <v>7541</v>
      </c>
      <c r="R3188" s="6" t="s">
        <v>7542</v>
      </c>
    </row>
    <row r="3189">
      <c r="A3189" s="6" t="s">
        <v>7537</v>
      </c>
      <c r="B3189" s="6" t="s">
        <v>7537</v>
      </c>
      <c r="C3189" s="6">
        <v>1580.0</v>
      </c>
      <c r="D3189" s="9" t="str">
        <f>HYPERLINK("https://www.linkedin.com/ad-library/detail/1365890956","Open Ad")</f>
        <v>Open Ad</v>
      </c>
      <c r="E3189" s="6" t="s">
        <v>154</v>
      </c>
      <c r="F3189" s="6" t="s">
        <v>53</v>
      </c>
      <c r="G3189" s="6" t="s">
        <v>7865</v>
      </c>
      <c r="H3189" s="6" t="s">
        <v>55</v>
      </c>
      <c r="I3189" s="6" t="s">
        <v>7566</v>
      </c>
      <c r="J3189" s="6" t="s">
        <v>154</v>
      </c>
      <c r="K3189" s="9" t="str">
        <f>HYPERLINK("https://dms.licdn.com/playlist/vid/v2/D4E05AQGHFiTXPZuz-Q/mp4-640p-30fp-crf28/B4EZzPTuOeI8Bw-/0/1773004586045?e=2147483647&amp;v=beta&amp;t=j-RY_EIwSaBKfkAjY7uDcXAzGpf4rVvklCOvR8CyxGI","Open Creative")</f>
        <v>Open Creative</v>
      </c>
      <c r="L3189" s="6" t="s">
        <v>131</v>
      </c>
      <c r="M3189" s="6" t="s">
        <v>7537</v>
      </c>
      <c r="N3189" s="6" t="s">
        <v>132</v>
      </c>
      <c r="O3189" s="36" t="s">
        <v>132</v>
      </c>
      <c r="P3189" s="36">
        <v>1.365890956E9</v>
      </c>
      <c r="Q3189" s="36" t="s">
        <v>7541</v>
      </c>
      <c r="R3189" s="6" t="s">
        <v>7542</v>
      </c>
    </row>
    <row r="3190">
      <c r="A3190" s="6" t="s">
        <v>7537</v>
      </c>
      <c r="B3190" s="6" t="s">
        <v>7537</v>
      </c>
      <c r="C3190" s="6">
        <v>1581.0</v>
      </c>
      <c r="D3190" s="9" t="str">
        <f>HYPERLINK("https://www.linkedin.com/ad-library/detail/1365708426","Open Ad")</f>
        <v>Open Ad</v>
      </c>
      <c r="E3190" s="6" t="s">
        <v>154</v>
      </c>
      <c r="F3190" s="6" t="s">
        <v>53</v>
      </c>
      <c r="G3190" s="6" t="s">
        <v>7870</v>
      </c>
      <c r="H3190" s="6" t="s">
        <v>55</v>
      </c>
      <c r="I3190" s="6" t="s">
        <v>7566</v>
      </c>
      <c r="J3190" s="6" t="s">
        <v>154</v>
      </c>
      <c r="K3190" s="9" t="str">
        <f>HYPERLINK("https://dms.licdn.com/playlist/vid/v2/D4E05AQEhrnRYKjmo1Q/mp4-640p-30fp-crf28/B4EZyRZRDhIQBw-/0/1771965851664?e=2147483647&amp;v=beta&amp;t=N52c5WjyoRskLmJrAvHh7JrG7yKpkOyiRldlifVVdV8","Open Creative")</f>
        <v>Open Creative</v>
      </c>
      <c r="L3190" s="6" t="s">
        <v>131</v>
      </c>
      <c r="M3190" s="6" t="s">
        <v>7537</v>
      </c>
      <c r="N3190" s="6" t="s">
        <v>132</v>
      </c>
      <c r="O3190" s="36" t="s">
        <v>132</v>
      </c>
      <c r="P3190" s="36">
        <v>1.365708426E9</v>
      </c>
      <c r="Q3190" s="36" t="s">
        <v>7541</v>
      </c>
      <c r="R3190" s="6" t="s">
        <v>7542</v>
      </c>
    </row>
    <row r="3191">
      <c r="A3191" s="6" t="s">
        <v>7537</v>
      </c>
      <c r="B3191" s="6" t="s">
        <v>7537</v>
      </c>
      <c r="C3191" s="6">
        <v>1582.0</v>
      </c>
      <c r="D3191" s="9" t="str">
        <f>HYPERLINK("https://www.linkedin.com/ad-library/detail/1365871936","Open Ad")</f>
        <v>Open Ad</v>
      </c>
      <c r="E3191" s="6" t="s">
        <v>154</v>
      </c>
      <c r="F3191" s="6" t="s">
        <v>53</v>
      </c>
      <c r="G3191" s="6" t="s">
        <v>7803</v>
      </c>
      <c r="H3191" s="6" t="s">
        <v>55</v>
      </c>
      <c r="I3191" s="6" t="s">
        <v>7566</v>
      </c>
      <c r="J3191" s="6" t="s">
        <v>154</v>
      </c>
      <c r="K3191" s="9" t="str">
        <f t="shared" ref="K3191:K3192" si="161">HYPERLINK("https://dms.licdn.com/playlist/vid/v2/D5605AQGvYPFvEJ845w/mp4-720p-30fp-crf28/B56ZyQoFy0KgCE-/0/1771952959206?e=2147483647&amp;v=beta&amp;t=cEPXbjJcEy4sIJu9RapE6jzqf1jVlAKK-4rBPLfuq3I","Open Creative")</f>
        <v>Open Creative</v>
      </c>
      <c r="L3191" s="6" t="s">
        <v>131</v>
      </c>
      <c r="M3191" s="6" t="s">
        <v>7537</v>
      </c>
      <c r="N3191" s="6" t="s">
        <v>132</v>
      </c>
      <c r="O3191" s="36" t="s">
        <v>132</v>
      </c>
      <c r="P3191" s="36">
        <v>1.365871936E9</v>
      </c>
      <c r="Q3191" s="36" t="s">
        <v>7541</v>
      </c>
      <c r="R3191" s="6" t="s">
        <v>7542</v>
      </c>
    </row>
    <row r="3192">
      <c r="A3192" s="6" t="s">
        <v>7537</v>
      </c>
      <c r="B3192" s="6" t="s">
        <v>7537</v>
      </c>
      <c r="C3192" s="6">
        <v>1583.0</v>
      </c>
      <c r="D3192" s="9" t="str">
        <f>HYPERLINK("https://www.linkedin.com/ad-library/detail/1365775596","Open Ad")</f>
        <v>Open Ad</v>
      </c>
      <c r="E3192" s="6" t="s">
        <v>154</v>
      </c>
      <c r="F3192" s="6" t="s">
        <v>53</v>
      </c>
      <c r="G3192" s="6" t="s">
        <v>7803</v>
      </c>
      <c r="H3192" s="6" t="s">
        <v>55</v>
      </c>
      <c r="I3192" s="6" t="s">
        <v>7566</v>
      </c>
      <c r="J3192" s="6" t="s">
        <v>154</v>
      </c>
      <c r="K3192" s="9" t="str">
        <f t="shared" si="161"/>
        <v>Open Creative</v>
      </c>
      <c r="L3192" s="6" t="s">
        <v>131</v>
      </c>
      <c r="M3192" s="6" t="s">
        <v>7537</v>
      </c>
      <c r="N3192" s="6" t="s">
        <v>132</v>
      </c>
      <c r="O3192" s="36" t="s">
        <v>132</v>
      </c>
      <c r="P3192" s="36">
        <v>1.365775596E9</v>
      </c>
      <c r="Q3192" s="36" t="s">
        <v>7541</v>
      </c>
      <c r="R3192" s="6" t="s">
        <v>7542</v>
      </c>
    </row>
    <row r="3193">
      <c r="A3193" s="6" t="s">
        <v>7537</v>
      </c>
      <c r="B3193" s="6" t="s">
        <v>7537</v>
      </c>
      <c r="C3193" s="6">
        <v>1584.0</v>
      </c>
      <c r="D3193" s="9" t="str">
        <f>HYPERLINK("https://www.linkedin.com/ad-library/detail/1365757296","Open Ad")</f>
        <v>Open Ad</v>
      </c>
      <c r="E3193" s="6" t="s">
        <v>91</v>
      </c>
      <c r="F3193" s="6" t="s">
        <v>53</v>
      </c>
      <c r="G3193" s="6" t="s">
        <v>7807</v>
      </c>
      <c r="H3193" s="6" t="s">
        <v>55</v>
      </c>
      <c r="I3193" s="6" t="s">
        <v>7566</v>
      </c>
      <c r="J3193" s="6" t="s">
        <v>91</v>
      </c>
      <c r="K3193" s="9" t="str">
        <f>HYPERLINK("https://media.licdn.com/dms/image/v2/D4E10AQHdbrM3G0dcfA/image-shrink_1280/B4EZvmBd80GsAc-/0/1769090704089?e=2147483647&amp;v=beta&amp;t=dlO5yfiP1MV6jnBsM651Qg2abmJfMecqFy-8C9PrRFA","Open Creative")</f>
        <v>Open Creative</v>
      </c>
      <c r="L3193" s="6" t="s">
        <v>131</v>
      </c>
      <c r="M3193" s="6" t="s">
        <v>7537</v>
      </c>
      <c r="N3193" s="6" t="s">
        <v>132</v>
      </c>
      <c r="O3193" s="36" t="s">
        <v>132</v>
      </c>
      <c r="P3193" s="36">
        <v>1.365757296E9</v>
      </c>
      <c r="Q3193" s="36" t="s">
        <v>7541</v>
      </c>
      <c r="R3193" s="6" t="s">
        <v>7542</v>
      </c>
    </row>
    <row r="3194">
      <c r="A3194" s="6" t="s">
        <v>7537</v>
      </c>
      <c r="B3194" s="6" t="s">
        <v>7537</v>
      </c>
      <c r="C3194" s="6">
        <v>1585.0</v>
      </c>
      <c r="D3194" s="9" t="str">
        <f>HYPERLINK("https://www.linkedin.com/ad-library/detail/1191110923","Open Ad")</f>
        <v>Open Ad</v>
      </c>
      <c r="E3194" s="6" t="s">
        <v>91</v>
      </c>
      <c r="F3194" s="6" t="s">
        <v>53</v>
      </c>
      <c r="G3194" s="6" t="s">
        <v>7854</v>
      </c>
      <c r="H3194" s="6" t="s">
        <v>55</v>
      </c>
      <c r="I3194" s="6" t="s">
        <v>7566</v>
      </c>
      <c r="J3194" s="6" t="s">
        <v>91</v>
      </c>
      <c r="K3194" s="6" t="s">
        <v>60</v>
      </c>
      <c r="L3194" s="6" t="s">
        <v>131</v>
      </c>
      <c r="M3194" s="6" t="s">
        <v>7537</v>
      </c>
      <c r="N3194" s="6" t="s">
        <v>132</v>
      </c>
      <c r="O3194" s="36" t="s">
        <v>132</v>
      </c>
      <c r="P3194" s="36">
        <v>1.191110923E9</v>
      </c>
      <c r="Q3194" s="36" t="s">
        <v>7541</v>
      </c>
      <c r="R3194" s="6" t="s">
        <v>7542</v>
      </c>
    </row>
    <row r="3195">
      <c r="A3195" s="6" t="s">
        <v>7537</v>
      </c>
      <c r="B3195" s="6" t="s">
        <v>7537</v>
      </c>
      <c r="C3195" s="6">
        <v>1586.0</v>
      </c>
      <c r="D3195" s="9" t="str">
        <f>HYPERLINK("https://www.linkedin.com/ad-library/detail/1365766816","Open Ad")</f>
        <v>Open Ad</v>
      </c>
      <c r="E3195" s="6" t="s">
        <v>91</v>
      </c>
      <c r="F3195" s="6" t="s">
        <v>53</v>
      </c>
      <c r="G3195" s="6" t="s">
        <v>7872</v>
      </c>
      <c r="H3195" s="6" t="s">
        <v>55</v>
      </c>
      <c r="I3195" s="6" t="s">
        <v>7566</v>
      </c>
      <c r="J3195" s="6" t="s">
        <v>91</v>
      </c>
      <c r="K3195" s="9" t="str">
        <f t="shared" ref="K3195:K3196" si="162">HYPERLINK("https://media.licdn.com/dms/image/v2/D4E10AQEOjOGAyHVYaA/image-shrink_1280/B4EZy_occgI8Ac-/0/1772741576847?e=2147483647&amp;v=beta&amp;t=tyG4pW9Rr6azAhpgoqR2ughjcYnOQLFQiJnZG6Pp8QI","Open Creative")</f>
        <v>Open Creative</v>
      </c>
      <c r="L3195" s="6" t="s">
        <v>131</v>
      </c>
      <c r="M3195" s="6" t="s">
        <v>7537</v>
      </c>
      <c r="N3195" s="6" t="s">
        <v>132</v>
      </c>
      <c r="O3195" s="36" t="s">
        <v>132</v>
      </c>
      <c r="P3195" s="36">
        <v>1.365766816E9</v>
      </c>
      <c r="Q3195" s="36" t="s">
        <v>7541</v>
      </c>
      <c r="R3195" s="6" t="s">
        <v>7542</v>
      </c>
    </row>
    <row r="3196">
      <c r="A3196" s="6" t="s">
        <v>7537</v>
      </c>
      <c r="B3196" s="6" t="s">
        <v>7537</v>
      </c>
      <c r="C3196" s="6">
        <v>1587.0</v>
      </c>
      <c r="D3196" s="9" t="str">
        <f>HYPERLINK("https://www.linkedin.com/ad-library/detail/1362878586","Open Ad")</f>
        <v>Open Ad</v>
      </c>
      <c r="E3196" s="6" t="s">
        <v>91</v>
      </c>
      <c r="F3196" s="6" t="s">
        <v>53</v>
      </c>
      <c r="G3196" s="6" t="s">
        <v>7872</v>
      </c>
      <c r="H3196" s="6" t="s">
        <v>55</v>
      </c>
      <c r="I3196" s="6" t="s">
        <v>7566</v>
      </c>
      <c r="J3196" s="6" t="s">
        <v>91</v>
      </c>
      <c r="K3196" s="9" t="str">
        <f t="shared" si="162"/>
        <v>Open Creative</v>
      </c>
      <c r="L3196" s="6" t="s">
        <v>131</v>
      </c>
      <c r="M3196" s="6" t="s">
        <v>7537</v>
      </c>
      <c r="N3196" s="6" t="s">
        <v>132</v>
      </c>
      <c r="O3196" s="36" t="s">
        <v>132</v>
      </c>
      <c r="P3196" s="36">
        <v>1.362878586E9</v>
      </c>
      <c r="Q3196" s="36" t="s">
        <v>7541</v>
      </c>
      <c r="R3196" s="6" t="s">
        <v>7542</v>
      </c>
    </row>
    <row r="3197">
      <c r="A3197" s="6" t="s">
        <v>7537</v>
      </c>
      <c r="B3197" s="6" t="s">
        <v>7537</v>
      </c>
      <c r="C3197" s="6">
        <v>1588.0</v>
      </c>
      <c r="D3197" s="9" t="str">
        <f>HYPERLINK("https://www.linkedin.com/ad-library/detail/1362690346","Open Ad")</f>
        <v>Open Ad</v>
      </c>
      <c r="E3197" s="6" t="s">
        <v>154</v>
      </c>
      <c r="F3197" s="6" t="s">
        <v>53</v>
      </c>
      <c r="G3197" s="6" t="s">
        <v>7873</v>
      </c>
      <c r="H3197" s="6" t="s">
        <v>55</v>
      </c>
      <c r="I3197" s="6" t="s">
        <v>7566</v>
      </c>
      <c r="J3197" s="6" t="s">
        <v>154</v>
      </c>
      <c r="K3197" s="9" t="str">
        <f>HYPERLINK("https://dms.licdn.com/playlist/vid/v2/D4E10AQFDlojt4Odu9g/mp4-360p-30fp-crf28/B4EZy5lBBNKoCE-/0/1772640022315?e=2147483647&amp;v=beta&amp;t=BbM1N7P_K04A42k6tby-NnFtMD5-U9hwNSZsCjXu2PM","Open Creative")</f>
        <v>Open Creative</v>
      </c>
      <c r="L3197" s="6" t="s">
        <v>131</v>
      </c>
      <c r="M3197" s="6" t="s">
        <v>7537</v>
      </c>
      <c r="N3197" s="6" t="s">
        <v>132</v>
      </c>
      <c r="O3197" s="36" t="s">
        <v>132</v>
      </c>
      <c r="P3197" s="36">
        <v>1.362690346E9</v>
      </c>
      <c r="Q3197" s="36" t="s">
        <v>7541</v>
      </c>
      <c r="R3197" s="6" t="s">
        <v>7542</v>
      </c>
    </row>
    <row r="3198">
      <c r="A3198" s="6" t="s">
        <v>7537</v>
      </c>
      <c r="B3198" s="6" t="s">
        <v>7537</v>
      </c>
      <c r="C3198" s="6">
        <v>1589.0</v>
      </c>
      <c r="D3198" s="9" t="str">
        <f>HYPERLINK("https://www.linkedin.com/ad-library/detail/1362917346","Open Ad")</f>
        <v>Open Ad</v>
      </c>
      <c r="E3198" s="6" t="s">
        <v>91</v>
      </c>
      <c r="F3198" s="6" t="s">
        <v>53</v>
      </c>
      <c r="G3198" s="6" t="s">
        <v>7874</v>
      </c>
      <c r="H3198" s="6" t="s">
        <v>55</v>
      </c>
      <c r="I3198" s="6" t="s">
        <v>7566</v>
      </c>
      <c r="J3198" s="6" t="s">
        <v>91</v>
      </c>
      <c r="K3198" s="9" t="str">
        <f>HYPERLINK("https://media.licdn.com/dms/image/v2/D4E22AQF-oKwfouCGBA/feedshare-shrink_800/B4EZzA_5vnJsAk-/0/1772764504481?e=2147483647&amp;v=beta&amp;t=z-wwk2I6t7K3efamTQdNQ6BDI36KcEVtc9QkIKYbsUc","Open Creative")</f>
        <v>Open Creative</v>
      </c>
      <c r="L3198" s="6" t="s">
        <v>131</v>
      </c>
      <c r="M3198" s="6" t="s">
        <v>7537</v>
      </c>
      <c r="N3198" s="6" t="s">
        <v>132</v>
      </c>
      <c r="O3198" s="36" t="s">
        <v>132</v>
      </c>
      <c r="P3198" s="36">
        <v>1.362917346E9</v>
      </c>
      <c r="Q3198" s="36" t="s">
        <v>7541</v>
      </c>
      <c r="R3198" s="6" t="s">
        <v>7542</v>
      </c>
    </row>
    <row r="3199">
      <c r="A3199" s="6" t="s">
        <v>7537</v>
      </c>
      <c r="B3199" s="6" t="s">
        <v>7537</v>
      </c>
      <c r="C3199" s="6">
        <v>1590.0</v>
      </c>
      <c r="D3199" s="9" t="str">
        <f>HYPERLINK("https://www.linkedin.com/ad-library/detail/1362015346","Open Ad")</f>
        <v>Open Ad</v>
      </c>
      <c r="E3199" s="6" t="s">
        <v>91</v>
      </c>
      <c r="F3199" s="6" t="s">
        <v>53</v>
      </c>
      <c r="G3199" s="6" t="s">
        <v>7868</v>
      </c>
      <c r="H3199" s="6" t="s">
        <v>55</v>
      </c>
      <c r="I3199" s="6" t="s">
        <v>7566</v>
      </c>
      <c r="J3199" s="6" t="s">
        <v>91</v>
      </c>
      <c r="K3199" s="9" t="str">
        <f>HYPERLINK("https://media.licdn.com/dms/image/v2/D4E10AQFC__9NnIVfQg/image-shrink_1280/B4EZyRg5EMHkAc-/0/1771967845235?e=2147483647&amp;v=beta&amp;t=wzygX8IX6tpH5uwG_iGjdivN14QXrFQc-OLuHLg7reY","Open Creative")</f>
        <v>Open Creative</v>
      </c>
      <c r="L3199" s="6" t="s">
        <v>131</v>
      </c>
      <c r="M3199" s="6" t="s">
        <v>7537</v>
      </c>
      <c r="N3199" s="6" t="s">
        <v>132</v>
      </c>
      <c r="O3199" s="36" t="s">
        <v>132</v>
      </c>
      <c r="P3199" s="36">
        <v>1.362015346E9</v>
      </c>
      <c r="Q3199" s="36" t="s">
        <v>7541</v>
      </c>
      <c r="R3199" s="6" t="s">
        <v>7542</v>
      </c>
    </row>
    <row r="3200">
      <c r="A3200" s="6" t="s">
        <v>7537</v>
      </c>
      <c r="B3200" s="6" t="s">
        <v>7537</v>
      </c>
      <c r="C3200" s="6">
        <v>1591.0</v>
      </c>
      <c r="D3200" s="9" t="str">
        <f>HYPERLINK("https://www.linkedin.com/ad-library/detail/1365738236","Open Ad")</f>
        <v>Open Ad</v>
      </c>
      <c r="E3200" s="6" t="s">
        <v>91</v>
      </c>
      <c r="F3200" s="6" t="s">
        <v>53</v>
      </c>
      <c r="G3200" s="6" t="s">
        <v>7875</v>
      </c>
      <c r="H3200" s="6" t="s">
        <v>55</v>
      </c>
      <c r="I3200" s="6" t="s">
        <v>7566</v>
      </c>
      <c r="J3200" s="6" t="s">
        <v>91</v>
      </c>
      <c r="K3200" s="9" t="str">
        <f>HYPERLINK("https://media.licdn.com/dms/image/v2/D4E22AQFicauXoZbtgA/feedshare-shrink_1280/B4EZp41Bo.KcAs-/0/1762963759302?e=2147483647&amp;v=beta&amp;t=Q9_WQd3fUm2lq_LyH8MrkZZfebmukr0s9NebbnGh9cI","Open Creative")</f>
        <v>Open Creative</v>
      </c>
      <c r="L3200" s="6" t="s">
        <v>131</v>
      </c>
      <c r="M3200" s="6" t="s">
        <v>7537</v>
      </c>
      <c r="N3200" s="6" t="s">
        <v>132</v>
      </c>
      <c r="O3200" s="36" t="s">
        <v>132</v>
      </c>
      <c r="P3200" s="36">
        <v>1.365738236E9</v>
      </c>
      <c r="Q3200" s="36" t="s">
        <v>7541</v>
      </c>
      <c r="R3200" s="6" t="s">
        <v>7542</v>
      </c>
    </row>
    <row r="3201">
      <c r="A3201" s="6" t="s">
        <v>7537</v>
      </c>
      <c r="B3201" s="6" t="s">
        <v>7537</v>
      </c>
      <c r="C3201" s="6">
        <v>1592.0</v>
      </c>
      <c r="D3201" s="9" t="str">
        <f>HYPERLINK("https://www.linkedin.com/ad-library/detail/1365794726","Open Ad")</f>
        <v>Open Ad</v>
      </c>
      <c r="E3201" s="6" t="s">
        <v>91</v>
      </c>
      <c r="F3201" s="6" t="s">
        <v>53</v>
      </c>
      <c r="G3201" s="6" t="s">
        <v>7869</v>
      </c>
      <c r="H3201" s="6" t="s">
        <v>55</v>
      </c>
      <c r="I3201" s="6" t="s">
        <v>7566</v>
      </c>
      <c r="J3201" s="6" t="s">
        <v>91</v>
      </c>
      <c r="K3201" s="9" t="str">
        <f>HYPERLINK("https://media.licdn.com/dms/image/v2/D4E22AQGSTukpFdZDmw/feedshare-shrink_1280/B4EZud_VF7K8As-/0/1767882183787?e=2147483647&amp;v=beta&amp;t=FCfv5eRdq1jL7SmRWSLlJuRvnvLS1FLmcswXIV-lxPA","Open Creative")</f>
        <v>Open Creative</v>
      </c>
      <c r="L3201" s="6" t="s">
        <v>131</v>
      </c>
      <c r="M3201" s="6" t="s">
        <v>7537</v>
      </c>
      <c r="N3201" s="6" t="s">
        <v>132</v>
      </c>
      <c r="O3201" s="36" t="s">
        <v>132</v>
      </c>
      <c r="P3201" s="36">
        <v>1.365794726E9</v>
      </c>
      <c r="Q3201" s="36" t="s">
        <v>7541</v>
      </c>
      <c r="R3201" s="6" t="s">
        <v>7542</v>
      </c>
    </row>
    <row r="3202">
      <c r="A3202" s="6" t="s">
        <v>7537</v>
      </c>
      <c r="B3202" s="6" t="s">
        <v>7537</v>
      </c>
      <c r="C3202" s="6">
        <v>1593.0</v>
      </c>
      <c r="D3202" s="9" t="str">
        <f>HYPERLINK("https://www.linkedin.com/ad-library/detail/1365766756","Open Ad")</f>
        <v>Open Ad</v>
      </c>
      <c r="E3202" s="6" t="s">
        <v>91</v>
      </c>
      <c r="F3202" s="6" t="s">
        <v>53</v>
      </c>
      <c r="G3202" s="6" t="s">
        <v>7868</v>
      </c>
      <c r="H3202" s="6" t="s">
        <v>55</v>
      </c>
      <c r="I3202" s="6" t="s">
        <v>7566</v>
      </c>
      <c r="J3202" s="6" t="s">
        <v>91</v>
      </c>
      <c r="K3202" s="9" t="str">
        <f>HYPERLINK("https://media.licdn.com/dms/image/v2/D4E10AQFC__9NnIVfQg/image-shrink_1280/B4EZyRg5EMHkAc-/0/1771967845235?e=2147483647&amp;v=beta&amp;t=wzygX8IX6tpH5uwG_iGjdivN14QXrFQc-OLuHLg7reY","Open Creative")</f>
        <v>Open Creative</v>
      </c>
      <c r="L3202" s="6" t="s">
        <v>131</v>
      </c>
      <c r="M3202" s="6" t="s">
        <v>7537</v>
      </c>
      <c r="N3202" s="6" t="s">
        <v>132</v>
      </c>
      <c r="O3202" s="36" t="s">
        <v>132</v>
      </c>
      <c r="P3202" s="36">
        <v>1.365766756E9</v>
      </c>
      <c r="Q3202" s="36" t="s">
        <v>7541</v>
      </c>
      <c r="R3202" s="6" t="s">
        <v>7542</v>
      </c>
    </row>
    <row r="3203">
      <c r="A3203" s="6" t="s">
        <v>7537</v>
      </c>
      <c r="B3203" s="6" t="s">
        <v>7537</v>
      </c>
      <c r="C3203" s="6">
        <v>1594.0</v>
      </c>
      <c r="D3203" s="9" t="str">
        <f>HYPERLINK("https://www.linkedin.com/ad-library/detail/1191207313","Open Ad")</f>
        <v>Open Ad</v>
      </c>
      <c r="E3203" s="6" t="s">
        <v>91</v>
      </c>
      <c r="F3203" s="6" t="s">
        <v>53</v>
      </c>
      <c r="G3203" s="6" t="s">
        <v>7854</v>
      </c>
      <c r="H3203" s="6" t="s">
        <v>55</v>
      </c>
      <c r="I3203" s="6" t="s">
        <v>7566</v>
      </c>
      <c r="J3203" s="6" t="s">
        <v>91</v>
      </c>
      <c r="K3203" s="6" t="s">
        <v>60</v>
      </c>
      <c r="L3203" s="6" t="s">
        <v>131</v>
      </c>
      <c r="M3203" s="6" t="s">
        <v>7537</v>
      </c>
      <c r="N3203" s="6" t="s">
        <v>132</v>
      </c>
      <c r="O3203" s="36" t="s">
        <v>132</v>
      </c>
      <c r="P3203" s="36">
        <v>1.191207313E9</v>
      </c>
      <c r="Q3203" s="36" t="s">
        <v>7541</v>
      </c>
      <c r="R3203" s="6" t="s">
        <v>7542</v>
      </c>
    </row>
    <row r="3204">
      <c r="A3204" s="6" t="s">
        <v>7537</v>
      </c>
      <c r="B3204" s="6" t="s">
        <v>7537</v>
      </c>
      <c r="C3204" s="6">
        <v>1595.0</v>
      </c>
      <c r="D3204" s="9" t="str">
        <f>HYPERLINK("https://www.linkedin.com/ad-library/detail/1362045396","Open Ad")</f>
        <v>Open Ad</v>
      </c>
      <c r="E3204" s="6" t="s">
        <v>91</v>
      </c>
      <c r="F3204" s="6" t="s">
        <v>53</v>
      </c>
      <c r="G3204" s="6" t="s">
        <v>7868</v>
      </c>
      <c r="H3204" s="6" t="s">
        <v>55</v>
      </c>
      <c r="I3204" s="6" t="s">
        <v>7566</v>
      </c>
      <c r="J3204" s="6" t="s">
        <v>91</v>
      </c>
      <c r="K3204" s="9" t="str">
        <f t="shared" ref="K3204:K3205" si="163">HYPERLINK("https://media.licdn.com/dms/image/v2/D4E10AQFC__9NnIVfQg/image-shrink_1280/B4EZyRg5EMHkAc-/0/1771967845235?e=2147483647&amp;v=beta&amp;t=wzygX8IX6tpH5uwG_iGjdivN14QXrFQc-OLuHLg7reY","Open Creative")</f>
        <v>Open Creative</v>
      </c>
      <c r="L3204" s="6" t="s">
        <v>131</v>
      </c>
      <c r="M3204" s="6" t="s">
        <v>7537</v>
      </c>
      <c r="N3204" s="6" t="s">
        <v>132</v>
      </c>
      <c r="O3204" s="36" t="s">
        <v>132</v>
      </c>
      <c r="P3204" s="36">
        <v>1.362045396E9</v>
      </c>
      <c r="Q3204" s="36" t="s">
        <v>7541</v>
      </c>
      <c r="R3204" s="6" t="s">
        <v>7542</v>
      </c>
    </row>
    <row r="3205">
      <c r="A3205" s="6" t="s">
        <v>7537</v>
      </c>
      <c r="B3205" s="6" t="s">
        <v>7537</v>
      </c>
      <c r="C3205" s="6">
        <v>1596.0</v>
      </c>
      <c r="D3205" s="9" t="str">
        <f>HYPERLINK("https://www.linkedin.com/ad-library/detail/1362015326","Open Ad")</f>
        <v>Open Ad</v>
      </c>
      <c r="E3205" s="6" t="s">
        <v>91</v>
      </c>
      <c r="F3205" s="6" t="s">
        <v>53</v>
      </c>
      <c r="G3205" s="6" t="s">
        <v>7868</v>
      </c>
      <c r="H3205" s="6" t="s">
        <v>55</v>
      </c>
      <c r="I3205" s="6" t="s">
        <v>7566</v>
      </c>
      <c r="J3205" s="6" t="s">
        <v>91</v>
      </c>
      <c r="K3205" s="9" t="str">
        <f t="shared" si="163"/>
        <v>Open Creative</v>
      </c>
      <c r="L3205" s="6" t="s">
        <v>131</v>
      </c>
      <c r="M3205" s="6" t="s">
        <v>7537</v>
      </c>
      <c r="N3205" s="6" t="s">
        <v>132</v>
      </c>
      <c r="O3205" s="36" t="s">
        <v>132</v>
      </c>
      <c r="P3205" s="36">
        <v>1.362015326E9</v>
      </c>
      <c r="Q3205" s="36" t="s">
        <v>7541</v>
      </c>
      <c r="R3205" s="6" t="s">
        <v>7542</v>
      </c>
    </row>
    <row r="3206">
      <c r="A3206" s="6" t="s">
        <v>7537</v>
      </c>
      <c r="B3206" s="6" t="s">
        <v>7537</v>
      </c>
      <c r="C3206" s="6">
        <v>1597.0</v>
      </c>
      <c r="D3206" s="9" t="str">
        <f>HYPERLINK("https://www.linkedin.com/ad-library/detail/1191681053","Open Ad")</f>
        <v>Open Ad</v>
      </c>
      <c r="E3206" s="6" t="s">
        <v>91</v>
      </c>
      <c r="F3206" s="6" t="s">
        <v>53</v>
      </c>
      <c r="G3206" s="6" t="s">
        <v>7854</v>
      </c>
      <c r="H3206" s="6" t="s">
        <v>55</v>
      </c>
      <c r="I3206" s="6" t="s">
        <v>7566</v>
      </c>
      <c r="J3206" s="6" t="s">
        <v>91</v>
      </c>
      <c r="K3206" s="6" t="s">
        <v>60</v>
      </c>
      <c r="L3206" s="6" t="s">
        <v>131</v>
      </c>
      <c r="M3206" s="6" t="s">
        <v>7537</v>
      </c>
      <c r="N3206" s="6" t="s">
        <v>132</v>
      </c>
      <c r="O3206" s="36" t="s">
        <v>132</v>
      </c>
      <c r="P3206" s="36">
        <v>1.191681053E9</v>
      </c>
      <c r="Q3206" s="36" t="s">
        <v>7541</v>
      </c>
      <c r="R3206" s="6" t="s">
        <v>7542</v>
      </c>
    </row>
    <row r="3207">
      <c r="A3207" s="6" t="s">
        <v>7537</v>
      </c>
      <c r="B3207" s="6" t="s">
        <v>7537</v>
      </c>
      <c r="C3207" s="6">
        <v>1598.0</v>
      </c>
      <c r="D3207" s="9" t="str">
        <f>HYPERLINK("https://www.linkedin.com/ad-library/detail/1363051966","Open Ad")</f>
        <v>Open Ad</v>
      </c>
      <c r="E3207" s="6" t="s">
        <v>91</v>
      </c>
      <c r="F3207" s="6" t="s">
        <v>53</v>
      </c>
      <c r="G3207" s="6" t="s">
        <v>7872</v>
      </c>
      <c r="H3207" s="6" t="s">
        <v>55</v>
      </c>
      <c r="I3207" s="6" t="s">
        <v>7566</v>
      </c>
      <c r="J3207" s="6" t="s">
        <v>91</v>
      </c>
      <c r="K3207" s="9" t="str">
        <f>HYPERLINK("https://media.licdn.com/dms/image/v2/D4E10AQEOjOGAyHVYaA/image-shrink_1280/B4EZy_occgI8Ac-/0/1772741576847?e=2147483647&amp;v=beta&amp;t=tyG4pW9Rr6azAhpgoqR2ughjcYnOQLFQiJnZG6Pp8QI","Open Creative")</f>
        <v>Open Creative</v>
      </c>
      <c r="L3207" s="6" t="s">
        <v>131</v>
      </c>
      <c r="M3207" s="6" t="s">
        <v>7537</v>
      </c>
      <c r="N3207" s="6" t="s">
        <v>132</v>
      </c>
      <c r="O3207" s="36" t="s">
        <v>132</v>
      </c>
      <c r="P3207" s="36">
        <v>1.363051966E9</v>
      </c>
      <c r="Q3207" s="36" t="s">
        <v>7541</v>
      </c>
      <c r="R3207" s="6" t="s">
        <v>7542</v>
      </c>
    </row>
    <row r="3208">
      <c r="A3208" s="6" t="s">
        <v>7537</v>
      </c>
      <c r="B3208" s="6" t="s">
        <v>7537</v>
      </c>
      <c r="C3208" s="6">
        <v>1599.0</v>
      </c>
      <c r="D3208" s="9" t="str">
        <f>HYPERLINK("https://www.linkedin.com/ad-library/detail/1365823786","Open Ad")</f>
        <v>Open Ad</v>
      </c>
      <c r="E3208" s="6" t="s">
        <v>91</v>
      </c>
      <c r="F3208" s="6" t="s">
        <v>53</v>
      </c>
      <c r="G3208" s="6" t="s">
        <v>7874</v>
      </c>
      <c r="H3208" s="6" t="s">
        <v>55</v>
      </c>
      <c r="I3208" s="6" t="s">
        <v>7566</v>
      </c>
      <c r="J3208" s="6" t="s">
        <v>91</v>
      </c>
      <c r="K3208" s="9" t="str">
        <f>HYPERLINK("https://media.licdn.com/dms/image/v2/D4E22AQF-oKwfouCGBA/feedshare-shrink_800/B4EZzA_5vnJsAk-/0/1772764504481?e=2147483647&amp;v=beta&amp;t=z-wwk2I6t7K3efamTQdNQ6BDI36KcEVtc9QkIKYbsUc","Open Creative")</f>
        <v>Open Creative</v>
      </c>
      <c r="L3208" s="6" t="s">
        <v>131</v>
      </c>
      <c r="M3208" s="6" t="s">
        <v>7537</v>
      </c>
      <c r="N3208" s="6" t="s">
        <v>132</v>
      </c>
      <c r="O3208" s="36" t="s">
        <v>132</v>
      </c>
      <c r="P3208" s="36">
        <v>1.365823786E9</v>
      </c>
      <c r="Q3208" s="36" t="s">
        <v>7541</v>
      </c>
      <c r="R3208" s="6" t="s">
        <v>7542</v>
      </c>
    </row>
    <row r="3209">
      <c r="A3209" s="6" t="s">
        <v>7537</v>
      </c>
      <c r="B3209" s="6" t="s">
        <v>7537</v>
      </c>
      <c r="C3209" s="6">
        <v>1600.0</v>
      </c>
      <c r="D3209" s="9" t="str">
        <f>HYPERLINK("https://www.linkedin.com/ad-library/detail/1363032666","Open Ad")</f>
        <v>Open Ad</v>
      </c>
      <c r="E3209" s="6" t="s">
        <v>91</v>
      </c>
      <c r="F3209" s="6" t="s">
        <v>53</v>
      </c>
      <c r="G3209" s="6" t="s">
        <v>7872</v>
      </c>
      <c r="H3209" s="6" t="s">
        <v>55</v>
      </c>
      <c r="I3209" s="6" t="s">
        <v>7566</v>
      </c>
      <c r="J3209" s="6" t="s">
        <v>91</v>
      </c>
      <c r="K3209" s="9" t="str">
        <f>HYPERLINK("https://media.licdn.com/dms/image/v2/D4E10AQEOjOGAyHVYaA/image-shrink_1280/B4EZy_occgI8Ac-/0/1772741576847?e=2147483647&amp;v=beta&amp;t=tyG4pW9Rr6azAhpgoqR2ughjcYnOQLFQiJnZG6Pp8QI","Open Creative")</f>
        <v>Open Creative</v>
      </c>
      <c r="L3209" s="6" t="s">
        <v>131</v>
      </c>
      <c r="M3209" s="6" t="s">
        <v>7537</v>
      </c>
      <c r="N3209" s="6" t="s">
        <v>132</v>
      </c>
      <c r="O3209" s="36" t="s">
        <v>132</v>
      </c>
      <c r="P3209" s="36">
        <v>1.363032666E9</v>
      </c>
      <c r="Q3209" s="36" t="s">
        <v>7541</v>
      </c>
      <c r="R3209" s="6" t="s">
        <v>7542</v>
      </c>
    </row>
    <row r="3210">
      <c r="A3210" s="6" t="s">
        <v>7537</v>
      </c>
      <c r="B3210" s="6" t="s">
        <v>7537</v>
      </c>
      <c r="C3210" s="6">
        <v>1601.0</v>
      </c>
      <c r="D3210" s="9" t="str">
        <f>HYPERLINK("https://www.linkedin.com/ad-library/detail/1361985716","Open Ad")</f>
        <v>Open Ad</v>
      </c>
      <c r="E3210" s="6" t="s">
        <v>91</v>
      </c>
      <c r="F3210" s="6" t="s">
        <v>53</v>
      </c>
      <c r="G3210" s="6" t="s">
        <v>7868</v>
      </c>
      <c r="H3210" s="6" t="s">
        <v>55</v>
      </c>
      <c r="I3210" s="6" t="s">
        <v>7566</v>
      </c>
      <c r="J3210" s="6" t="s">
        <v>91</v>
      </c>
      <c r="K3210" s="9" t="str">
        <f>HYPERLINK("https://media.licdn.com/dms/image/v2/D4E10AQFC__9NnIVfQg/image-shrink_1280/B4EZyRg5EMHkAc-/0/1771967845235?e=2147483647&amp;v=beta&amp;t=wzygX8IX6tpH5uwG_iGjdivN14QXrFQc-OLuHLg7reY","Open Creative")</f>
        <v>Open Creative</v>
      </c>
      <c r="L3210" s="6" t="s">
        <v>131</v>
      </c>
      <c r="M3210" s="6" t="s">
        <v>7537</v>
      </c>
      <c r="N3210" s="6" t="s">
        <v>132</v>
      </c>
      <c r="O3210" s="36" t="s">
        <v>132</v>
      </c>
      <c r="P3210" s="36">
        <v>1.361985716E9</v>
      </c>
      <c r="Q3210" s="36" t="s">
        <v>7541</v>
      </c>
      <c r="R3210" s="6" t="s">
        <v>7542</v>
      </c>
    </row>
    <row r="3211">
      <c r="A3211" s="6" t="s">
        <v>7537</v>
      </c>
      <c r="B3211" s="6" t="s">
        <v>7537</v>
      </c>
      <c r="C3211" s="6">
        <v>1602.0</v>
      </c>
      <c r="D3211" s="9" t="str">
        <f>HYPERLINK("https://www.linkedin.com/ad-library/detail/1363002766","Open Ad")</f>
        <v>Open Ad</v>
      </c>
      <c r="E3211" s="6" t="s">
        <v>91</v>
      </c>
      <c r="F3211" s="6" t="s">
        <v>53</v>
      </c>
      <c r="G3211" s="6" t="s">
        <v>7872</v>
      </c>
      <c r="H3211" s="6" t="s">
        <v>55</v>
      </c>
      <c r="I3211" s="6" t="s">
        <v>7566</v>
      </c>
      <c r="J3211" s="6" t="s">
        <v>91</v>
      </c>
      <c r="K3211" s="9" t="str">
        <f>HYPERLINK("https://media.licdn.com/dms/image/v2/D4E10AQEOjOGAyHVYaA/image-shrink_1280/B4EZy_occgI8Ac-/0/1772741576847?e=2147483647&amp;v=beta&amp;t=tyG4pW9Rr6azAhpgoqR2ughjcYnOQLFQiJnZG6Pp8QI","Open Creative")</f>
        <v>Open Creative</v>
      </c>
      <c r="L3211" s="6" t="s">
        <v>131</v>
      </c>
      <c r="M3211" s="6" t="s">
        <v>7537</v>
      </c>
      <c r="N3211" s="6" t="s">
        <v>132</v>
      </c>
      <c r="O3211" s="36" t="s">
        <v>132</v>
      </c>
      <c r="P3211" s="36">
        <v>1.363002766E9</v>
      </c>
      <c r="Q3211" s="36" t="s">
        <v>7541</v>
      </c>
      <c r="R3211" s="6" t="s">
        <v>7542</v>
      </c>
    </row>
    <row r="3212">
      <c r="A3212" s="6" t="s">
        <v>7537</v>
      </c>
      <c r="B3212" s="6" t="s">
        <v>7537</v>
      </c>
      <c r="C3212" s="6">
        <v>1603.0</v>
      </c>
      <c r="D3212" s="9" t="str">
        <f>HYPERLINK("https://www.linkedin.com/ad-library/detail/1362946586","Open Ad")</f>
        <v>Open Ad</v>
      </c>
      <c r="E3212" s="6" t="s">
        <v>91</v>
      </c>
      <c r="F3212" s="6" t="s">
        <v>53</v>
      </c>
      <c r="G3212" s="6" t="s">
        <v>7874</v>
      </c>
      <c r="H3212" s="6" t="s">
        <v>55</v>
      </c>
      <c r="I3212" s="6" t="s">
        <v>7566</v>
      </c>
      <c r="J3212" s="6" t="s">
        <v>91</v>
      </c>
      <c r="K3212" s="9" t="str">
        <f>HYPERLINK("https://media.licdn.com/dms/image/v2/D4E22AQF-oKwfouCGBA/feedshare-shrink_800/B4EZzA_5vnJsAk-/0/1772764504481?e=2147483647&amp;v=beta&amp;t=z-wwk2I6t7K3efamTQdNQ6BDI36KcEVtc9QkIKYbsUc","Open Creative")</f>
        <v>Open Creative</v>
      </c>
      <c r="L3212" s="6" t="s">
        <v>131</v>
      </c>
      <c r="M3212" s="6" t="s">
        <v>7537</v>
      </c>
      <c r="N3212" s="6" t="s">
        <v>132</v>
      </c>
      <c r="O3212" s="36" t="s">
        <v>132</v>
      </c>
      <c r="P3212" s="36">
        <v>1.362946586E9</v>
      </c>
      <c r="Q3212" s="36" t="s">
        <v>7541</v>
      </c>
      <c r="R3212" s="6" t="s">
        <v>7542</v>
      </c>
    </row>
    <row r="3213">
      <c r="A3213" s="6" t="s">
        <v>7537</v>
      </c>
      <c r="B3213" s="6" t="s">
        <v>7537</v>
      </c>
      <c r="C3213" s="6">
        <v>1604.0</v>
      </c>
      <c r="D3213" s="9" t="str">
        <f>HYPERLINK("https://www.linkedin.com/ad-library/detail/1191014733","Open Ad")</f>
        <v>Open Ad</v>
      </c>
      <c r="E3213" s="6" t="s">
        <v>91</v>
      </c>
      <c r="F3213" s="6" t="s">
        <v>53</v>
      </c>
      <c r="G3213" s="6" t="s">
        <v>7854</v>
      </c>
      <c r="H3213" s="6" t="s">
        <v>55</v>
      </c>
      <c r="I3213" s="6" t="s">
        <v>7566</v>
      </c>
      <c r="J3213" s="6" t="s">
        <v>91</v>
      </c>
      <c r="K3213" s="6" t="s">
        <v>60</v>
      </c>
      <c r="L3213" s="6" t="s">
        <v>131</v>
      </c>
      <c r="M3213" s="6" t="s">
        <v>7537</v>
      </c>
      <c r="N3213" s="6" t="s">
        <v>132</v>
      </c>
      <c r="O3213" s="36" t="s">
        <v>132</v>
      </c>
      <c r="P3213" s="36">
        <v>1.191014733E9</v>
      </c>
      <c r="Q3213" s="36" t="s">
        <v>7541</v>
      </c>
      <c r="R3213" s="6" t="s">
        <v>7542</v>
      </c>
    </row>
    <row r="3214">
      <c r="A3214" s="6" t="s">
        <v>7537</v>
      </c>
      <c r="B3214" s="6" t="s">
        <v>7537</v>
      </c>
      <c r="C3214" s="6">
        <v>1605.0</v>
      </c>
      <c r="D3214" s="9" t="str">
        <f>HYPERLINK("https://www.linkedin.com/ad-library/detail/1365852446","Open Ad")</f>
        <v>Open Ad</v>
      </c>
      <c r="E3214" s="6" t="s">
        <v>91</v>
      </c>
      <c r="F3214" s="6" t="s">
        <v>53</v>
      </c>
      <c r="G3214" s="6" t="s">
        <v>7874</v>
      </c>
      <c r="H3214" s="6" t="s">
        <v>55</v>
      </c>
      <c r="I3214" s="6" t="s">
        <v>7566</v>
      </c>
      <c r="J3214" s="6" t="s">
        <v>91</v>
      </c>
      <c r="K3214" s="9" t="str">
        <f>HYPERLINK("https://media.licdn.com/dms/image/v2/D4E22AQF-oKwfouCGBA/feedshare-shrink_800/B4EZzA_5vnJsAk-/0/1772764504481?e=2147483647&amp;v=beta&amp;t=z-wwk2I6t7K3efamTQdNQ6BDI36KcEVtc9QkIKYbsUc","Open Creative")</f>
        <v>Open Creative</v>
      </c>
      <c r="L3214" s="6" t="s">
        <v>131</v>
      </c>
      <c r="M3214" s="6" t="s">
        <v>7537</v>
      </c>
      <c r="N3214" s="6" t="s">
        <v>132</v>
      </c>
      <c r="O3214" s="36" t="s">
        <v>132</v>
      </c>
      <c r="P3214" s="36">
        <v>1.365852446E9</v>
      </c>
      <c r="Q3214" s="36" t="s">
        <v>7541</v>
      </c>
      <c r="R3214" s="6" t="s">
        <v>7542</v>
      </c>
    </row>
    <row r="3215">
      <c r="A3215" s="6" t="s">
        <v>7537</v>
      </c>
      <c r="B3215" s="6" t="s">
        <v>7537</v>
      </c>
      <c r="C3215" s="6">
        <v>1606.0</v>
      </c>
      <c r="D3215" s="9" t="str">
        <f>HYPERLINK("https://www.linkedin.com/ad-library/detail/1362983096","Open Ad")</f>
        <v>Open Ad</v>
      </c>
      <c r="E3215" s="6" t="s">
        <v>91</v>
      </c>
      <c r="F3215" s="6" t="s">
        <v>53</v>
      </c>
      <c r="G3215" s="6" t="s">
        <v>7872</v>
      </c>
      <c r="H3215" s="6" t="s">
        <v>55</v>
      </c>
      <c r="I3215" s="6" t="s">
        <v>7566</v>
      </c>
      <c r="J3215" s="6" t="s">
        <v>91</v>
      </c>
      <c r="K3215" s="9" t="str">
        <f>HYPERLINK("https://media.licdn.com/dms/image/v2/D4E10AQEOjOGAyHVYaA/image-shrink_1280/B4EZy_occgI8Ac-/0/1772741576847?e=2147483647&amp;v=beta&amp;t=tyG4pW9Rr6azAhpgoqR2ughjcYnOQLFQiJnZG6Pp8QI","Open Creative")</f>
        <v>Open Creative</v>
      </c>
      <c r="L3215" s="6" t="s">
        <v>131</v>
      </c>
      <c r="M3215" s="6" t="s">
        <v>7537</v>
      </c>
      <c r="N3215" s="6" t="s">
        <v>132</v>
      </c>
      <c r="O3215" s="36" t="s">
        <v>132</v>
      </c>
      <c r="P3215" s="36">
        <v>1.362983096E9</v>
      </c>
      <c r="Q3215" s="36" t="s">
        <v>7541</v>
      </c>
      <c r="R3215" s="6" t="s">
        <v>7542</v>
      </c>
    </row>
    <row r="3216">
      <c r="A3216" s="6" t="s">
        <v>7537</v>
      </c>
      <c r="B3216" s="6" t="s">
        <v>7537</v>
      </c>
      <c r="C3216" s="6">
        <v>1607.0</v>
      </c>
      <c r="D3216" s="9" t="str">
        <f>HYPERLINK("https://www.linkedin.com/ad-library/detail/1361889086","Open Ad")</f>
        <v>Open Ad</v>
      </c>
      <c r="E3216" s="6" t="s">
        <v>91</v>
      </c>
      <c r="F3216" s="6" t="s">
        <v>53</v>
      </c>
      <c r="G3216" s="6" t="s">
        <v>7868</v>
      </c>
      <c r="H3216" s="6" t="s">
        <v>55</v>
      </c>
      <c r="I3216" s="6" t="s">
        <v>7566</v>
      </c>
      <c r="J3216" s="6" t="s">
        <v>91</v>
      </c>
      <c r="K3216" s="9" t="str">
        <f>HYPERLINK("https://media.licdn.com/dms/image/v2/D4E10AQFC__9NnIVfQg/image-shrink_1280/B4EZyRg5EMHkAc-/0/1771967845235?e=2147483647&amp;v=beta&amp;t=wzygX8IX6tpH5uwG_iGjdivN14QXrFQc-OLuHLg7reY","Open Creative")</f>
        <v>Open Creative</v>
      </c>
      <c r="L3216" s="6" t="s">
        <v>131</v>
      </c>
      <c r="M3216" s="6" t="s">
        <v>7537</v>
      </c>
      <c r="N3216" s="6" t="s">
        <v>132</v>
      </c>
      <c r="O3216" s="36" t="s">
        <v>132</v>
      </c>
      <c r="P3216" s="36">
        <v>1.361889086E9</v>
      </c>
      <c r="Q3216" s="36" t="s">
        <v>7541</v>
      </c>
      <c r="R3216" s="6" t="s">
        <v>7542</v>
      </c>
    </row>
    <row r="3217">
      <c r="A3217" s="6" t="s">
        <v>7537</v>
      </c>
      <c r="B3217" s="6" t="s">
        <v>7537</v>
      </c>
      <c r="C3217" s="6">
        <v>1608.0</v>
      </c>
      <c r="D3217" s="9" t="str">
        <f>HYPERLINK("https://www.linkedin.com/ad-library/detail/1365852416","Open Ad")</f>
        <v>Open Ad</v>
      </c>
      <c r="E3217" s="6" t="s">
        <v>91</v>
      </c>
      <c r="F3217" s="6" t="s">
        <v>53</v>
      </c>
      <c r="G3217" s="6" t="s">
        <v>7807</v>
      </c>
      <c r="H3217" s="6" t="s">
        <v>55</v>
      </c>
      <c r="I3217" s="6" t="s">
        <v>7566</v>
      </c>
      <c r="J3217" s="6" t="s">
        <v>91</v>
      </c>
      <c r="K3217" s="9" t="str">
        <f>HYPERLINK("https://media.licdn.com/dms/image/v2/D4E10AQHdbrM3G0dcfA/image-shrink_1280/B4EZvmBd80GsAc-/0/1769090704089?e=2147483647&amp;v=beta&amp;t=dlO5yfiP1MV6jnBsM651Qg2abmJfMecqFy-8C9PrRFA","Open Creative")</f>
        <v>Open Creative</v>
      </c>
      <c r="L3217" s="6" t="s">
        <v>131</v>
      </c>
      <c r="M3217" s="6" t="s">
        <v>7537</v>
      </c>
      <c r="N3217" s="6" t="s">
        <v>132</v>
      </c>
      <c r="O3217" s="36" t="s">
        <v>132</v>
      </c>
      <c r="P3217" s="36">
        <v>1.365852416E9</v>
      </c>
      <c r="Q3217" s="36" t="s">
        <v>7541</v>
      </c>
      <c r="R3217" s="6" t="s">
        <v>7542</v>
      </c>
    </row>
    <row r="3218">
      <c r="A3218" s="6" t="s">
        <v>7537</v>
      </c>
      <c r="B3218" s="6" t="s">
        <v>7537</v>
      </c>
      <c r="C3218" s="6">
        <v>1609.0</v>
      </c>
      <c r="D3218" s="9" t="str">
        <f>HYPERLINK("https://www.linkedin.com/ad-library/detail/1348176596","Open Ad")</f>
        <v>Open Ad</v>
      </c>
      <c r="E3218" s="6" t="s">
        <v>154</v>
      </c>
      <c r="F3218" s="6" t="s">
        <v>53</v>
      </c>
      <c r="G3218" s="6" t="s">
        <v>7870</v>
      </c>
      <c r="H3218" s="6" t="s">
        <v>55</v>
      </c>
      <c r="I3218" s="6" t="s">
        <v>7566</v>
      </c>
      <c r="J3218" s="6" t="s">
        <v>154</v>
      </c>
      <c r="K3218" s="9" t="str">
        <f t="shared" ref="K3218:K3219" si="164">HYPERLINK("https://dms.licdn.com/playlist/vid/v2/D4E05AQEhrnRYKjmo1Q/mp4-640p-30fp-crf28/B4EZyRZRDhIQBw-/0/1771965851664?e=2147483647&amp;v=beta&amp;t=N52c5WjyoRskLmJrAvHh7JrG7yKpkOyiRldlifVVdV8","Open Creative")</f>
        <v>Open Creative</v>
      </c>
      <c r="L3218" s="6" t="s">
        <v>131</v>
      </c>
      <c r="M3218" s="6" t="s">
        <v>7537</v>
      </c>
      <c r="N3218" s="6" t="s">
        <v>132</v>
      </c>
      <c r="O3218" s="36" t="s">
        <v>132</v>
      </c>
      <c r="P3218" s="36">
        <v>1.348176596E9</v>
      </c>
      <c r="Q3218" s="36" t="s">
        <v>7541</v>
      </c>
      <c r="R3218" s="6" t="s">
        <v>7542</v>
      </c>
    </row>
    <row r="3219">
      <c r="A3219" s="6" t="s">
        <v>7537</v>
      </c>
      <c r="B3219" s="6" t="s">
        <v>7537</v>
      </c>
      <c r="C3219" s="6">
        <v>1610.0</v>
      </c>
      <c r="D3219" s="9" t="str">
        <f>HYPERLINK("https://www.linkedin.com/ad-library/detail/1348157546","Open Ad")</f>
        <v>Open Ad</v>
      </c>
      <c r="E3219" s="6" t="s">
        <v>154</v>
      </c>
      <c r="F3219" s="6" t="s">
        <v>53</v>
      </c>
      <c r="G3219" s="6" t="s">
        <v>7870</v>
      </c>
      <c r="H3219" s="6" t="s">
        <v>55</v>
      </c>
      <c r="I3219" s="6" t="s">
        <v>7566</v>
      </c>
      <c r="J3219" s="6" t="s">
        <v>154</v>
      </c>
      <c r="K3219" s="9" t="str">
        <f t="shared" si="164"/>
        <v>Open Creative</v>
      </c>
      <c r="L3219" s="6" t="s">
        <v>131</v>
      </c>
      <c r="M3219" s="6" t="s">
        <v>7537</v>
      </c>
      <c r="N3219" s="6" t="s">
        <v>132</v>
      </c>
      <c r="O3219" s="36" t="s">
        <v>132</v>
      </c>
      <c r="P3219" s="36">
        <v>1.348157546E9</v>
      </c>
      <c r="Q3219" s="36" t="s">
        <v>7541</v>
      </c>
      <c r="R3219" s="6" t="s">
        <v>7542</v>
      </c>
    </row>
    <row r="3220">
      <c r="A3220" s="6" t="s">
        <v>7537</v>
      </c>
      <c r="B3220" s="6" t="s">
        <v>7537</v>
      </c>
      <c r="C3220" s="6">
        <v>1611.0</v>
      </c>
      <c r="D3220" s="9" t="str">
        <f>HYPERLINK("https://www.linkedin.com/ad-library/detail/1348129356","Open Ad")</f>
        <v>Open Ad</v>
      </c>
      <c r="E3220" s="6" t="s">
        <v>154</v>
      </c>
      <c r="F3220" s="6" t="s">
        <v>53</v>
      </c>
      <c r="G3220" s="6" t="s">
        <v>7808</v>
      </c>
      <c r="H3220" s="6" t="s">
        <v>55</v>
      </c>
      <c r="I3220" s="6" t="s">
        <v>7566</v>
      </c>
      <c r="J3220" s="6" t="s">
        <v>154</v>
      </c>
      <c r="K3220" s="9" t="str">
        <f>HYPERLINK("https://dms.licdn.com/playlist/vid/v2/D4E05AQGG9pTneoArWw/mp4-720p-30fp-crf28/B4EZyP31JjGcCE-/0/1771940309947?e=2147483647&amp;v=beta&amp;t=lSy7EwO1JEElxw9V179dp__-TMnTYtNVUoAcpawSboQ","Open Creative")</f>
        <v>Open Creative</v>
      </c>
      <c r="L3220" s="6" t="s">
        <v>131</v>
      </c>
      <c r="M3220" s="6" t="s">
        <v>7537</v>
      </c>
      <c r="N3220" s="6" t="s">
        <v>132</v>
      </c>
      <c r="O3220" s="36" t="s">
        <v>132</v>
      </c>
      <c r="P3220" s="36">
        <v>1.348129356E9</v>
      </c>
      <c r="Q3220" s="36" t="s">
        <v>7541</v>
      </c>
      <c r="R3220" s="6" t="s">
        <v>7542</v>
      </c>
    </row>
    <row r="3221">
      <c r="A3221" s="6" t="s">
        <v>7537</v>
      </c>
      <c r="B3221" s="6" t="s">
        <v>7537</v>
      </c>
      <c r="C3221" s="6">
        <v>1612.0</v>
      </c>
      <c r="D3221" s="9" t="str">
        <f>HYPERLINK("https://www.linkedin.com/ad-library/detail/1362065336","Open Ad")</f>
        <v>Open Ad</v>
      </c>
      <c r="E3221" s="6" t="s">
        <v>154</v>
      </c>
      <c r="F3221" s="6" t="s">
        <v>53</v>
      </c>
      <c r="G3221" s="6" t="s">
        <v>7876</v>
      </c>
      <c r="H3221" s="6" t="s">
        <v>55</v>
      </c>
      <c r="I3221" s="6" t="s">
        <v>7566</v>
      </c>
      <c r="J3221" s="6" t="s">
        <v>154</v>
      </c>
      <c r="K3221" s="9" t="str">
        <f>HYPERLINK("https://dms.licdn.com/playlist/vid/v2/D4E10AQFrrp46SexQ9A/mp4-640p-30fp-crf28/B4EZyhB2u.HwBo-/0/1772228156994?e=2147483647&amp;v=beta&amp;t=DniftuVoFDcdnjQFhmTRlcsz7YVGRLRwWgRYAqT_-0g","Open Creative")</f>
        <v>Open Creative</v>
      </c>
      <c r="L3221" s="6" t="s">
        <v>131</v>
      </c>
      <c r="M3221" s="6" t="s">
        <v>7537</v>
      </c>
      <c r="N3221" s="6" t="s">
        <v>132</v>
      </c>
      <c r="O3221" s="36" t="s">
        <v>132</v>
      </c>
      <c r="P3221" s="36">
        <v>1.362065336E9</v>
      </c>
      <c r="Q3221" s="36" t="s">
        <v>7541</v>
      </c>
      <c r="R3221" s="6" t="s">
        <v>7542</v>
      </c>
    </row>
    <row r="3222">
      <c r="A3222" s="6" t="s">
        <v>7537</v>
      </c>
      <c r="B3222" s="6" t="s">
        <v>7537</v>
      </c>
      <c r="C3222" s="6">
        <v>1613.0</v>
      </c>
      <c r="D3222" s="9" t="str">
        <f>HYPERLINK("https://www.linkedin.com/ad-library/detail/1359104806","Open Ad")</f>
        <v>Open Ad</v>
      </c>
      <c r="E3222" s="6" t="s">
        <v>154</v>
      </c>
      <c r="F3222" s="6" t="s">
        <v>53</v>
      </c>
      <c r="G3222" s="6" t="s">
        <v>7877</v>
      </c>
      <c r="H3222" s="6" t="s">
        <v>55</v>
      </c>
      <c r="I3222" s="6" t="s">
        <v>7566</v>
      </c>
      <c r="J3222" s="6" t="s">
        <v>154</v>
      </c>
      <c r="K3222" s="9" t="str">
        <f>HYPERLINK("https://dms.licdn.com/playlist/vid/v2/D4E10AQHM5_fTbBni3w/mp4-640p-30fp-crf28/B4EZxxw4q7I0Bw-/0/1771435172741?e=2147483647&amp;v=beta&amp;t=ZLvJUMoJXcoB0WEjgz7l8o1KDAGSb7Wmh2Y1Uba7B1g","Open Creative")</f>
        <v>Open Creative</v>
      </c>
      <c r="L3222" s="6" t="s">
        <v>131</v>
      </c>
      <c r="M3222" s="6" t="s">
        <v>7537</v>
      </c>
      <c r="N3222" s="6" t="s">
        <v>132</v>
      </c>
      <c r="O3222" s="36" t="s">
        <v>132</v>
      </c>
      <c r="P3222" s="36">
        <v>1.359104806E9</v>
      </c>
      <c r="Q3222" s="36" t="s">
        <v>7541</v>
      </c>
      <c r="R3222" s="6" t="s">
        <v>7542</v>
      </c>
    </row>
    <row r="3223">
      <c r="A3223" s="6" t="s">
        <v>7537</v>
      </c>
      <c r="B3223" s="6" t="s">
        <v>7537</v>
      </c>
      <c r="C3223" s="6">
        <v>1614.0</v>
      </c>
      <c r="D3223" s="9" t="str">
        <f>HYPERLINK("https://www.linkedin.com/ad-library/detail/1359104816","Open Ad")</f>
        <v>Open Ad</v>
      </c>
      <c r="E3223" s="6" t="s">
        <v>154</v>
      </c>
      <c r="F3223" s="6" t="s">
        <v>53</v>
      </c>
      <c r="G3223" s="6" t="s">
        <v>7878</v>
      </c>
      <c r="H3223" s="6" t="s">
        <v>55</v>
      </c>
      <c r="I3223" s="6" t="s">
        <v>7566</v>
      </c>
      <c r="J3223" s="6" t="s">
        <v>154</v>
      </c>
      <c r="K3223" s="9" t="str">
        <f>HYPERLINK("https://dms.licdn.com/playlist/vid/v2/D4E05AQGF4t5NOVdxEg/mp4-640p-30fp-crf28/B4EZxxzgCeGsBs-/0/1771435860255?e=2147483647&amp;v=beta&amp;t=a0U8tPz7Odx3U9VQGNadJ2LWCQrh91xX4lFAroNeiLY","Open Creative")</f>
        <v>Open Creative</v>
      </c>
      <c r="L3223" s="6" t="s">
        <v>131</v>
      </c>
      <c r="M3223" s="6" t="s">
        <v>7537</v>
      </c>
      <c r="N3223" s="6" t="s">
        <v>132</v>
      </c>
      <c r="O3223" s="36" t="s">
        <v>132</v>
      </c>
      <c r="P3223" s="36">
        <v>1.359104816E9</v>
      </c>
      <c r="Q3223" s="36" t="s">
        <v>7541</v>
      </c>
      <c r="R3223" s="6" t="s">
        <v>7542</v>
      </c>
    </row>
    <row r="3224">
      <c r="A3224" s="6" t="s">
        <v>7537</v>
      </c>
      <c r="B3224" s="6" t="s">
        <v>7537</v>
      </c>
      <c r="C3224" s="6">
        <v>1615.0</v>
      </c>
      <c r="D3224" s="9" t="str">
        <f>HYPERLINK("https://www.linkedin.com/ad-library/detail/1348430636","Open Ad")</f>
        <v>Open Ad</v>
      </c>
      <c r="E3224" s="6" t="s">
        <v>91</v>
      </c>
      <c r="F3224" s="6" t="s">
        <v>53</v>
      </c>
      <c r="G3224" s="6" t="s">
        <v>7879</v>
      </c>
      <c r="H3224" s="6" t="s">
        <v>55</v>
      </c>
      <c r="I3224" s="6" t="s">
        <v>7566</v>
      </c>
      <c r="J3224" s="6" t="s">
        <v>91</v>
      </c>
      <c r="K3224" s="9" t="str">
        <f>HYPERLINK("https://media.licdn.com/dms/image/v2/D4E22AQHpTDaYCifOyg/feedshare-shrink_1280/B4EZyRecx.GsAg-/0/1771967205500?e=2147483647&amp;v=beta&amp;t=TgiofC6EYuIeWz_slU7G93Pzc4ldWdHL1U6Pwx-TMpY","Open Creative")</f>
        <v>Open Creative</v>
      </c>
      <c r="L3224" s="6" t="s">
        <v>131</v>
      </c>
      <c r="M3224" s="6" t="s">
        <v>7537</v>
      </c>
      <c r="N3224" s="6" t="s">
        <v>132</v>
      </c>
      <c r="O3224" s="36" t="s">
        <v>132</v>
      </c>
      <c r="P3224" s="36">
        <v>1.348430636E9</v>
      </c>
      <c r="Q3224" s="36" t="s">
        <v>7541</v>
      </c>
      <c r="R3224" s="6" t="s">
        <v>7542</v>
      </c>
    </row>
    <row r="3225">
      <c r="A3225" s="6" t="s">
        <v>7537</v>
      </c>
      <c r="B3225" s="6" t="s">
        <v>7537</v>
      </c>
      <c r="C3225" s="6">
        <v>1616.0</v>
      </c>
      <c r="D3225" s="9" t="str">
        <f>HYPERLINK("https://www.linkedin.com/ad-library/detail/1361995386","Open Ad")</f>
        <v>Open Ad</v>
      </c>
      <c r="E3225" s="6" t="s">
        <v>154</v>
      </c>
      <c r="F3225" s="6" t="s">
        <v>53</v>
      </c>
      <c r="G3225" s="6" t="s">
        <v>7876</v>
      </c>
      <c r="H3225" s="6" t="s">
        <v>55</v>
      </c>
      <c r="I3225" s="6" t="s">
        <v>7566</v>
      </c>
      <c r="J3225" s="6" t="s">
        <v>154</v>
      </c>
      <c r="K3225" s="9" t="str">
        <f>HYPERLINK("https://dms.licdn.com/playlist/vid/v2/D4E10AQFrrp46SexQ9A/mp4-640p-30fp-crf28/B4EZyhB2u.HwBo-/0/1772228156994?e=2147483647&amp;v=beta&amp;t=DniftuVoFDcdnjQFhmTRlcsz7YVGRLRwWgRYAqT_-0g","Open Creative")</f>
        <v>Open Creative</v>
      </c>
      <c r="L3225" s="6" t="s">
        <v>131</v>
      </c>
      <c r="M3225" s="6" t="s">
        <v>7537</v>
      </c>
      <c r="N3225" s="6" t="s">
        <v>132</v>
      </c>
      <c r="O3225" s="36" t="s">
        <v>132</v>
      </c>
      <c r="P3225" s="36">
        <v>1.361995386E9</v>
      </c>
      <c r="Q3225" s="36" t="s">
        <v>7541</v>
      </c>
      <c r="R3225" s="6" t="s">
        <v>7542</v>
      </c>
    </row>
    <row r="3226">
      <c r="A3226" s="6" t="s">
        <v>7537</v>
      </c>
      <c r="B3226" s="6" t="s">
        <v>7537</v>
      </c>
      <c r="C3226" s="6">
        <v>1617.0</v>
      </c>
      <c r="D3226" s="9" t="str">
        <f>HYPERLINK("https://www.linkedin.com/ad-library/detail/1348278016","Open Ad")</f>
        <v>Open Ad</v>
      </c>
      <c r="E3226" s="6" t="s">
        <v>91</v>
      </c>
      <c r="F3226" s="6" t="s">
        <v>53</v>
      </c>
      <c r="G3226" s="6" t="s">
        <v>7879</v>
      </c>
      <c r="H3226" s="6" t="s">
        <v>55</v>
      </c>
      <c r="I3226" s="6" t="s">
        <v>7566</v>
      </c>
      <c r="J3226" s="6" t="s">
        <v>91</v>
      </c>
      <c r="K3226" s="9" t="str">
        <f t="shared" ref="K3226:K3227" si="165">HYPERLINK("https://media.licdn.com/dms/image/v2/D4E22AQHpTDaYCifOyg/feedshare-shrink_1280/B4EZyRecx.GsAg-/0/1771967205500?e=2147483647&amp;v=beta&amp;t=TgiofC6EYuIeWz_slU7G93Pzc4ldWdHL1U6Pwx-TMpY","Open Creative")</f>
        <v>Open Creative</v>
      </c>
      <c r="L3226" s="6" t="s">
        <v>131</v>
      </c>
      <c r="M3226" s="6" t="s">
        <v>7537</v>
      </c>
      <c r="N3226" s="6" t="s">
        <v>132</v>
      </c>
      <c r="O3226" s="36" t="s">
        <v>132</v>
      </c>
      <c r="P3226" s="36">
        <v>1.348278016E9</v>
      </c>
      <c r="Q3226" s="36" t="s">
        <v>7541</v>
      </c>
      <c r="R3226" s="6" t="s">
        <v>7542</v>
      </c>
    </row>
    <row r="3227">
      <c r="A3227" s="6" t="s">
        <v>7537</v>
      </c>
      <c r="B3227" s="6" t="s">
        <v>7537</v>
      </c>
      <c r="C3227" s="6">
        <v>1618.0</v>
      </c>
      <c r="D3227" s="9" t="str">
        <f>HYPERLINK("https://www.linkedin.com/ad-library/detail/1348420696","Open Ad")</f>
        <v>Open Ad</v>
      </c>
      <c r="E3227" s="6" t="s">
        <v>91</v>
      </c>
      <c r="F3227" s="6" t="s">
        <v>53</v>
      </c>
      <c r="G3227" s="6" t="s">
        <v>7879</v>
      </c>
      <c r="H3227" s="6" t="s">
        <v>55</v>
      </c>
      <c r="I3227" s="6" t="s">
        <v>7566</v>
      </c>
      <c r="J3227" s="6" t="s">
        <v>91</v>
      </c>
      <c r="K3227" s="9" t="str">
        <f t="shared" si="165"/>
        <v>Open Creative</v>
      </c>
      <c r="L3227" s="6" t="s">
        <v>131</v>
      </c>
      <c r="M3227" s="6" t="s">
        <v>7537</v>
      </c>
      <c r="N3227" s="6" t="s">
        <v>132</v>
      </c>
      <c r="O3227" s="36" t="s">
        <v>132</v>
      </c>
      <c r="P3227" s="36">
        <v>1.348420696E9</v>
      </c>
      <c r="Q3227" s="36" t="s">
        <v>7541</v>
      </c>
      <c r="R3227" s="6" t="s">
        <v>7542</v>
      </c>
    </row>
    <row r="3228">
      <c r="A3228" s="6" t="s">
        <v>7537</v>
      </c>
      <c r="B3228" s="6" t="s">
        <v>7537</v>
      </c>
      <c r="C3228" s="6">
        <v>1619.0</v>
      </c>
      <c r="D3228" s="9" t="str">
        <f>HYPERLINK("https://www.linkedin.com/ad-library/detail/1183398043","Open Ad")</f>
        <v>Open Ad</v>
      </c>
      <c r="E3228" s="6" t="s">
        <v>91</v>
      </c>
      <c r="F3228" s="6" t="s">
        <v>53</v>
      </c>
      <c r="G3228" s="6" t="s">
        <v>7880</v>
      </c>
      <c r="H3228" s="6" t="s">
        <v>55</v>
      </c>
      <c r="I3228" s="6" t="s">
        <v>7566</v>
      </c>
      <c r="J3228" s="6" t="s">
        <v>91</v>
      </c>
      <c r="K3228" s="9" t="str">
        <f>HYPERLINK("https://media.licdn.com/dms/image/v2/D4E22AQEaHJlGCszwRA/feedshare-image-high-res/B4EZxyX8x5GsAc-/0/1771445408076?e=2147483647&amp;v=beta&amp;t=1c38d1EWMqN42GWXNaPdZ8i-_xPH1Fxn8GLbP2gJeD0","Open Creative")</f>
        <v>Open Creative</v>
      </c>
      <c r="L3228" s="6" t="s">
        <v>131</v>
      </c>
      <c r="M3228" s="6" t="s">
        <v>7537</v>
      </c>
      <c r="N3228" s="6" t="s">
        <v>132</v>
      </c>
      <c r="O3228" s="36" t="s">
        <v>132</v>
      </c>
      <c r="P3228" s="36">
        <v>1.183398043E9</v>
      </c>
      <c r="Q3228" s="36" t="s">
        <v>7541</v>
      </c>
      <c r="R3228" s="6" t="s">
        <v>7542</v>
      </c>
    </row>
    <row r="3229">
      <c r="A3229" s="6" t="s">
        <v>7537</v>
      </c>
      <c r="B3229" s="6" t="s">
        <v>7537</v>
      </c>
      <c r="C3229" s="6">
        <v>1620.0</v>
      </c>
      <c r="D3229" s="9" t="str">
        <f>HYPERLINK("https://www.linkedin.com/ad-library/detail/1355952206","Open Ad")</f>
        <v>Open Ad</v>
      </c>
      <c r="E3229" s="6" t="s">
        <v>154</v>
      </c>
      <c r="F3229" s="6" t="s">
        <v>53</v>
      </c>
      <c r="G3229" s="6" t="s">
        <v>7803</v>
      </c>
      <c r="H3229" s="6" t="s">
        <v>55</v>
      </c>
      <c r="I3229" s="6" t="s">
        <v>7566</v>
      </c>
      <c r="J3229" s="6" t="s">
        <v>154</v>
      </c>
      <c r="K3229" s="9" t="str">
        <f>HYPERLINK("https://dms.licdn.com/playlist/vid/v2/D5605AQGvYPFvEJ845w/mp4-720p-30fp-crf28/B56ZyQoFy0KgCE-/0/1771952959206?e=2147483647&amp;v=beta&amp;t=cEPXbjJcEy4sIJu9RapE6jzqf1jVlAKK-4rBPLfuq3I","Open Creative")</f>
        <v>Open Creative</v>
      </c>
      <c r="L3229" s="6" t="s">
        <v>131</v>
      </c>
      <c r="M3229" s="6" t="s">
        <v>7537</v>
      </c>
      <c r="N3229" s="6" t="s">
        <v>132</v>
      </c>
      <c r="O3229" s="36" t="s">
        <v>132</v>
      </c>
      <c r="P3229" s="36">
        <v>1.355952206E9</v>
      </c>
      <c r="Q3229" s="36" t="s">
        <v>7541</v>
      </c>
      <c r="R3229" s="6" t="s">
        <v>7542</v>
      </c>
    </row>
    <row r="3230">
      <c r="A3230" s="6" t="s">
        <v>7537</v>
      </c>
      <c r="B3230" s="6" t="s">
        <v>7537</v>
      </c>
      <c r="C3230" s="6">
        <v>1621.0</v>
      </c>
      <c r="D3230" s="9" t="str">
        <f>HYPERLINK("https://www.linkedin.com/ad-library/detail/1348186686","Open Ad")</f>
        <v>Open Ad</v>
      </c>
      <c r="E3230" s="6" t="s">
        <v>154</v>
      </c>
      <c r="F3230" s="6" t="s">
        <v>53</v>
      </c>
      <c r="G3230" s="6" t="s">
        <v>7870</v>
      </c>
      <c r="H3230" s="6" t="s">
        <v>55</v>
      </c>
      <c r="I3230" s="6" t="s">
        <v>7566</v>
      </c>
      <c r="J3230" s="6" t="s">
        <v>154</v>
      </c>
      <c r="K3230" s="9" t="str">
        <f>HYPERLINK("https://dms.licdn.com/playlist/vid/v2/D4E05AQEhrnRYKjmo1Q/mp4-640p-30fp-crf28/B4EZyRZRDhIQBw-/0/1771965851664?e=2147483647&amp;v=beta&amp;t=N52c5WjyoRskLmJrAvHh7JrG7yKpkOyiRldlifVVdV8","Open Creative")</f>
        <v>Open Creative</v>
      </c>
      <c r="L3230" s="6" t="s">
        <v>131</v>
      </c>
      <c r="M3230" s="6" t="s">
        <v>7537</v>
      </c>
      <c r="N3230" s="6" t="s">
        <v>132</v>
      </c>
      <c r="O3230" s="36" t="s">
        <v>132</v>
      </c>
      <c r="P3230" s="36">
        <v>1.348186686E9</v>
      </c>
      <c r="Q3230" s="36" t="s">
        <v>7541</v>
      </c>
      <c r="R3230" s="6" t="s">
        <v>7542</v>
      </c>
    </row>
    <row r="3231">
      <c r="A3231" s="6" t="s">
        <v>7537</v>
      </c>
      <c r="B3231" s="6" t="s">
        <v>7537</v>
      </c>
      <c r="C3231" s="6">
        <v>1622.0</v>
      </c>
      <c r="D3231" s="9" t="str">
        <f>HYPERLINK("https://www.linkedin.com/ad-library/detail/1348355486","Open Ad")</f>
        <v>Open Ad</v>
      </c>
      <c r="E3231" s="6" t="s">
        <v>91</v>
      </c>
      <c r="F3231" s="6" t="s">
        <v>53</v>
      </c>
      <c r="G3231" s="6" t="s">
        <v>7879</v>
      </c>
      <c r="H3231" s="6" t="s">
        <v>55</v>
      </c>
      <c r="I3231" s="6" t="s">
        <v>7566</v>
      </c>
      <c r="J3231" s="6" t="s">
        <v>91</v>
      </c>
      <c r="K3231" s="9" t="str">
        <f>HYPERLINK("https://media.licdn.com/dms/image/v2/D4E22AQHpTDaYCifOyg/feedshare-shrink_1280/B4EZyRecx.GsAg-/0/1771967205500?e=2147483647&amp;v=beta&amp;t=TgiofC6EYuIeWz_slU7G93Pzc4ldWdHL1U6Pwx-TMpY","Open Creative")</f>
        <v>Open Creative</v>
      </c>
      <c r="L3231" s="6" t="s">
        <v>131</v>
      </c>
      <c r="M3231" s="6" t="s">
        <v>7537</v>
      </c>
      <c r="N3231" s="6" t="s">
        <v>132</v>
      </c>
      <c r="O3231" s="36" t="s">
        <v>132</v>
      </c>
      <c r="P3231" s="36">
        <v>1.348355486E9</v>
      </c>
      <c r="Q3231" s="36" t="s">
        <v>7541</v>
      </c>
      <c r="R3231" s="6" t="s">
        <v>7542</v>
      </c>
    </row>
    <row r="3232">
      <c r="A3232" s="6" t="s">
        <v>7537</v>
      </c>
      <c r="B3232" s="6" t="s">
        <v>7537</v>
      </c>
      <c r="C3232" s="6">
        <v>1623.0</v>
      </c>
      <c r="D3232" s="9" t="str">
        <f>HYPERLINK("https://www.linkedin.com/ad-library/detail/1348355476","Open Ad")</f>
        <v>Open Ad</v>
      </c>
      <c r="E3232" s="6" t="s">
        <v>91</v>
      </c>
      <c r="F3232" s="6" t="s">
        <v>53</v>
      </c>
      <c r="G3232" s="6" t="s">
        <v>7881</v>
      </c>
      <c r="H3232" s="6" t="s">
        <v>55</v>
      </c>
      <c r="I3232" s="6" t="s">
        <v>7566</v>
      </c>
      <c r="J3232" s="6" t="s">
        <v>91</v>
      </c>
      <c r="K3232" s="9" t="str">
        <f t="shared" ref="K3232:K3233" si="166">HYPERLINK("https://media.licdn.com/dms/image/v2/D4E10AQGAcZ5Wbr869Q/image-shrink_1280/B4EZySbaJqGkAc-/0/1771983185412?e=2147483647&amp;v=beta&amp;t=P8xlMommdfAbZFMcf8S-bK-NgO33Vi_aKZfwzNPYbIE","Open Creative")</f>
        <v>Open Creative</v>
      </c>
      <c r="L3232" s="6" t="s">
        <v>131</v>
      </c>
      <c r="M3232" s="6" t="s">
        <v>7537</v>
      </c>
      <c r="N3232" s="6" t="s">
        <v>132</v>
      </c>
      <c r="O3232" s="36" t="s">
        <v>132</v>
      </c>
      <c r="P3232" s="36">
        <v>1.348355476E9</v>
      </c>
      <c r="Q3232" s="36" t="s">
        <v>7541</v>
      </c>
      <c r="R3232" s="6" t="s">
        <v>7542</v>
      </c>
    </row>
    <row r="3233">
      <c r="A3233" s="6" t="s">
        <v>7537</v>
      </c>
      <c r="B3233" s="6" t="s">
        <v>7537</v>
      </c>
      <c r="C3233" s="6">
        <v>1624.0</v>
      </c>
      <c r="D3233" s="9" t="str">
        <f>HYPERLINK("https://www.linkedin.com/ad-library/detail/1348391906","Open Ad")</f>
        <v>Open Ad</v>
      </c>
      <c r="E3233" s="6" t="s">
        <v>91</v>
      </c>
      <c r="F3233" s="6" t="s">
        <v>53</v>
      </c>
      <c r="G3233" s="6" t="s">
        <v>7881</v>
      </c>
      <c r="H3233" s="6" t="s">
        <v>55</v>
      </c>
      <c r="I3233" s="6" t="s">
        <v>7566</v>
      </c>
      <c r="J3233" s="6" t="s">
        <v>91</v>
      </c>
      <c r="K3233" s="9" t="str">
        <f t="shared" si="166"/>
        <v>Open Creative</v>
      </c>
      <c r="L3233" s="6" t="s">
        <v>131</v>
      </c>
      <c r="M3233" s="6" t="s">
        <v>7537</v>
      </c>
      <c r="N3233" s="6" t="s">
        <v>132</v>
      </c>
      <c r="O3233" s="36" t="s">
        <v>132</v>
      </c>
      <c r="P3233" s="36">
        <v>1.348391906E9</v>
      </c>
      <c r="Q3233" s="36" t="s">
        <v>7541</v>
      </c>
      <c r="R3233" s="6" t="s">
        <v>7542</v>
      </c>
    </row>
    <row r="3234">
      <c r="A3234" s="6" t="s">
        <v>7537</v>
      </c>
      <c r="B3234" s="6" t="s">
        <v>7537</v>
      </c>
      <c r="C3234" s="6">
        <v>1625.0</v>
      </c>
      <c r="D3234" s="9" t="str">
        <f>HYPERLINK("https://www.linkedin.com/ad-library/detail/1361926086","Open Ad")</f>
        <v>Open Ad</v>
      </c>
      <c r="E3234" s="6" t="s">
        <v>154</v>
      </c>
      <c r="F3234" s="6" t="s">
        <v>53</v>
      </c>
      <c r="G3234" s="6" t="s">
        <v>7876</v>
      </c>
      <c r="H3234" s="6" t="s">
        <v>55</v>
      </c>
      <c r="I3234" s="6" t="s">
        <v>7566</v>
      </c>
      <c r="J3234" s="6" t="s">
        <v>154</v>
      </c>
      <c r="K3234" s="9" t="str">
        <f>HYPERLINK("https://dms.licdn.com/playlist/vid/v2/D4E10AQFrrp46SexQ9A/mp4-640p-30fp-crf28/B4EZyhB2u.HwBo-/0/1772228156994?e=2147483647&amp;v=beta&amp;t=DniftuVoFDcdnjQFhmTRlcsz7YVGRLRwWgRYAqT_-0g","Open Creative")</f>
        <v>Open Creative</v>
      </c>
      <c r="L3234" s="6" t="s">
        <v>131</v>
      </c>
      <c r="M3234" s="6" t="s">
        <v>7537</v>
      </c>
      <c r="N3234" s="6" t="s">
        <v>132</v>
      </c>
      <c r="O3234" s="36" t="s">
        <v>132</v>
      </c>
      <c r="P3234" s="36">
        <v>1.361926086E9</v>
      </c>
      <c r="Q3234" s="36" t="s">
        <v>7541</v>
      </c>
      <c r="R3234" s="6" t="s">
        <v>7542</v>
      </c>
    </row>
    <row r="3235">
      <c r="A3235" s="6" t="s">
        <v>7537</v>
      </c>
      <c r="B3235" s="6" t="s">
        <v>7537</v>
      </c>
      <c r="C3235" s="6">
        <v>1626.0</v>
      </c>
      <c r="D3235" s="9" t="str">
        <f>HYPERLINK("https://www.linkedin.com/ad-library/detail/1149892354","Open Ad")</f>
        <v>Open Ad</v>
      </c>
      <c r="E3235" s="6" t="s">
        <v>91</v>
      </c>
      <c r="F3235" s="6" t="s">
        <v>53</v>
      </c>
      <c r="G3235" s="6" t="s">
        <v>7882</v>
      </c>
      <c r="H3235" s="6" t="s">
        <v>55</v>
      </c>
      <c r="I3235" s="6" t="s">
        <v>7566</v>
      </c>
      <c r="J3235" s="6" t="s">
        <v>91</v>
      </c>
      <c r="K3235" s="9" t="str">
        <f>HYPERLINK("https://media.licdn.com/dms/image/sync/v2/D5627AQFmKa0fxSM8aA/articleshare-shrink_1280_800/B56ZxTYYHPIEAQ-/0/1770925426150?e=2147483647&amp;v=beta&amp;t=WqrneYZEm4Yxx0M36XNdNxR4zZgaOYkSgNHHWkzGwMI","Open Creative")</f>
        <v>Open Creative</v>
      </c>
      <c r="L3235" s="6" t="s">
        <v>131</v>
      </c>
      <c r="M3235" s="6" t="s">
        <v>7537</v>
      </c>
      <c r="N3235" s="6" t="s">
        <v>132</v>
      </c>
      <c r="O3235" s="36" t="s">
        <v>132</v>
      </c>
      <c r="P3235" s="36">
        <v>1.149892354E9</v>
      </c>
      <c r="Q3235" s="36" t="s">
        <v>7541</v>
      </c>
      <c r="R3235" s="6" t="s">
        <v>7542</v>
      </c>
    </row>
    <row r="3236">
      <c r="A3236" s="6" t="s">
        <v>7537</v>
      </c>
      <c r="B3236" s="6" t="s">
        <v>7537</v>
      </c>
      <c r="C3236" s="6">
        <v>1627.0</v>
      </c>
      <c r="D3236" s="9" t="str">
        <f>HYPERLINK("https://www.linkedin.com/ad-library/detail/1348355496","Open Ad")</f>
        <v>Open Ad</v>
      </c>
      <c r="E3236" s="6" t="s">
        <v>91</v>
      </c>
      <c r="F3236" s="6" t="s">
        <v>53</v>
      </c>
      <c r="G3236" s="6" t="s">
        <v>7881</v>
      </c>
      <c r="H3236" s="6" t="s">
        <v>55</v>
      </c>
      <c r="I3236" s="6" t="s">
        <v>7566</v>
      </c>
      <c r="J3236" s="6" t="s">
        <v>91</v>
      </c>
      <c r="K3236" s="9" t="str">
        <f>HYPERLINK("https://media.licdn.com/dms/image/v2/D4E10AQGAcZ5Wbr869Q/image-shrink_1280/B4EZySbaJqGkAc-/0/1771983185412?e=2147483647&amp;v=beta&amp;t=P8xlMommdfAbZFMcf8S-bK-NgO33Vi_aKZfwzNPYbIE","Open Creative")</f>
        <v>Open Creative</v>
      </c>
      <c r="L3236" s="6" t="s">
        <v>131</v>
      </c>
      <c r="M3236" s="6" t="s">
        <v>7537</v>
      </c>
      <c r="N3236" s="6" t="s">
        <v>132</v>
      </c>
      <c r="O3236" s="36" t="s">
        <v>132</v>
      </c>
      <c r="P3236" s="36">
        <v>1.348355496E9</v>
      </c>
      <c r="Q3236" s="36" t="s">
        <v>7541</v>
      </c>
      <c r="R3236" s="6" t="s">
        <v>7542</v>
      </c>
    </row>
    <row r="3237">
      <c r="A3237" s="6" t="s">
        <v>7537</v>
      </c>
      <c r="B3237" s="6" t="s">
        <v>7537</v>
      </c>
      <c r="C3237" s="6">
        <v>1628.0</v>
      </c>
      <c r="D3237" s="9" t="str">
        <f>HYPERLINK("https://www.linkedin.com/ad-library/detail/1362094056","Open Ad")</f>
        <v>Open Ad</v>
      </c>
      <c r="E3237" s="6" t="s">
        <v>91</v>
      </c>
      <c r="F3237" s="6" t="s">
        <v>53</v>
      </c>
      <c r="G3237" s="6" t="s">
        <v>7868</v>
      </c>
      <c r="H3237" s="6" t="s">
        <v>55</v>
      </c>
      <c r="I3237" s="6" t="s">
        <v>7566</v>
      </c>
      <c r="J3237" s="6" t="s">
        <v>91</v>
      </c>
      <c r="K3237" s="9" t="str">
        <f>HYPERLINK("https://media.licdn.com/dms/image/v2/D4E10AQFC__9NnIVfQg/image-shrink_1280/B4EZyRg5EMHkAc-/0/1771967845235?e=2147483647&amp;v=beta&amp;t=wzygX8IX6tpH5uwG_iGjdivN14QXrFQc-OLuHLg7reY","Open Creative")</f>
        <v>Open Creative</v>
      </c>
      <c r="L3237" s="6" t="s">
        <v>131</v>
      </c>
      <c r="M3237" s="6" t="s">
        <v>7537</v>
      </c>
      <c r="N3237" s="6" t="s">
        <v>132</v>
      </c>
      <c r="O3237" s="36" t="s">
        <v>132</v>
      </c>
      <c r="P3237" s="36">
        <v>1.362094056E9</v>
      </c>
      <c r="Q3237" s="36" t="s">
        <v>7541</v>
      </c>
      <c r="R3237" s="6" t="s">
        <v>7542</v>
      </c>
    </row>
    <row r="3238">
      <c r="A3238" s="6" t="s">
        <v>7537</v>
      </c>
      <c r="B3238" s="6" t="s">
        <v>7537</v>
      </c>
      <c r="C3238" s="6">
        <v>1629.0</v>
      </c>
      <c r="D3238" s="9" t="str">
        <f>HYPERLINK("https://www.linkedin.com/ad-library/detail/1348323046","Open Ad")</f>
        <v>Open Ad</v>
      </c>
      <c r="E3238" s="6" t="s">
        <v>154</v>
      </c>
      <c r="F3238" s="6" t="s">
        <v>53</v>
      </c>
      <c r="G3238" s="6" t="s">
        <v>7808</v>
      </c>
      <c r="H3238" s="6" t="s">
        <v>55</v>
      </c>
      <c r="I3238" s="6" t="s">
        <v>7566</v>
      </c>
      <c r="J3238" s="6" t="s">
        <v>154</v>
      </c>
      <c r="K3238" s="9" t="str">
        <f t="shared" ref="K3238:K3239" si="167">HYPERLINK("https://dms.licdn.com/playlist/vid/v2/D4E05AQGG9pTneoArWw/mp4-720p-30fp-crf28/B4EZyP31JjGcCE-/0/1771940309947?e=2147483647&amp;v=beta&amp;t=lSy7EwO1JEElxw9V179dp__-TMnTYtNVUoAcpawSboQ","Open Creative")</f>
        <v>Open Creative</v>
      </c>
      <c r="L3238" s="6" t="s">
        <v>131</v>
      </c>
      <c r="M3238" s="6" t="s">
        <v>7537</v>
      </c>
      <c r="N3238" s="6" t="s">
        <v>132</v>
      </c>
      <c r="O3238" s="36" t="s">
        <v>132</v>
      </c>
      <c r="P3238" s="36">
        <v>1.348323046E9</v>
      </c>
      <c r="Q3238" s="36" t="s">
        <v>7541</v>
      </c>
      <c r="R3238" s="6" t="s">
        <v>7542</v>
      </c>
    </row>
    <row r="3239">
      <c r="A3239" s="6" t="s">
        <v>7537</v>
      </c>
      <c r="B3239" s="6" t="s">
        <v>7537</v>
      </c>
      <c r="C3239" s="6">
        <v>1630.0</v>
      </c>
      <c r="D3239" s="9" t="str">
        <f>HYPERLINK("https://www.linkedin.com/ad-library/detail/1348215706","Open Ad")</f>
        <v>Open Ad</v>
      </c>
      <c r="E3239" s="6" t="s">
        <v>154</v>
      </c>
      <c r="F3239" s="6" t="s">
        <v>53</v>
      </c>
      <c r="G3239" s="6" t="s">
        <v>7808</v>
      </c>
      <c r="H3239" s="6" t="s">
        <v>55</v>
      </c>
      <c r="I3239" s="6" t="s">
        <v>7566</v>
      </c>
      <c r="J3239" s="6" t="s">
        <v>154</v>
      </c>
      <c r="K3239" s="9" t="str">
        <f t="shared" si="167"/>
        <v>Open Creative</v>
      </c>
      <c r="L3239" s="6" t="s">
        <v>131</v>
      </c>
      <c r="M3239" s="6" t="s">
        <v>7537</v>
      </c>
      <c r="N3239" s="6" t="s">
        <v>132</v>
      </c>
      <c r="O3239" s="36" t="s">
        <v>132</v>
      </c>
      <c r="P3239" s="36">
        <v>1.348215706E9</v>
      </c>
      <c r="Q3239" s="36" t="s">
        <v>7541</v>
      </c>
      <c r="R3239" s="6" t="s">
        <v>7542</v>
      </c>
    </row>
    <row r="3240">
      <c r="A3240" s="6" t="s">
        <v>7537</v>
      </c>
      <c r="B3240" s="6" t="s">
        <v>7537</v>
      </c>
      <c r="C3240" s="6">
        <v>1631.0</v>
      </c>
      <c r="D3240" s="9" t="str">
        <f>HYPERLINK("https://www.linkedin.com/ad-library/detail/1348401826","Open Ad")</f>
        <v>Open Ad</v>
      </c>
      <c r="E3240" s="6" t="s">
        <v>91</v>
      </c>
      <c r="F3240" s="6" t="s">
        <v>53</v>
      </c>
      <c r="G3240" s="6" t="s">
        <v>7881</v>
      </c>
      <c r="H3240" s="6" t="s">
        <v>55</v>
      </c>
      <c r="I3240" s="6" t="s">
        <v>7566</v>
      </c>
      <c r="J3240" s="6" t="s">
        <v>91</v>
      </c>
      <c r="K3240" s="9" t="str">
        <f>HYPERLINK("https://media.licdn.com/dms/image/v2/D4E10AQGAcZ5Wbr869Q/image-shrink_1280/B4EZySbaJqGkAc-/0/1771983185412?e=2147483647&amp;v=beta&amp;t=P8xlMommdfAbZFMcf8S-bK-NgO33Vi_aKZfwzNPYbIE","Open Creative")</f>
        <v>Open Creative</v>
      </c>
      <c r="L3240" s="6" t="s">
        <v>131</v>
      </c>
      <c r="M3240" s="6" t="s">
        <v>7537</v>
      </c>
      <c r="N3240" s="6" t="s">
        <v>132</v>
      </c>
      <c r="O3240" s="36" t="s">
        <v>132</v>
      </c>
      <c r="P3240" s="36">
        <v>1.348401826E9</v>
      </c>
      <c r="Q3240" s="36" t="s">
        <v>7541</v>
      </c>
      <c r="R3240" s="6" t="s">
        <v>7542</v>
      </c>
    </row>
    <row r="3241">
      <c r="A3241" s="6" t="s">
        <v>7537</v>
      </c>
      <c r="B3241" s="6" t="s">
        <v>7537</v>
      </c>
      <c r="C3241" s="6">
        <v>1632.0</v>
      </c>
      <c r="D3241" s="9" t="str">
        <f>HYPERLINK("https://www.linkedin.com/ad-library/detail/1355867096","Open Ad")</f>
        <v>Open Ad</v>
      </c>
      <c r="E3241" s="6" t="s">
        <v>154</v>
      </c>
      <c r="F3241" s="6" t="s">
        <v>53</v>
      </c>
      <c r="G3241" s="6" t="s">
        <v>7803</v>
      </c>
      <c r="H3241" s="6" t="s">
        <v>55</v>
      </c>
      <c r="I3241" s="6" t="s">
        <v>7566</v>
      </c>
      <c r="J3241" s="6" t="s">
        <v>154</v>
      </c>
      <c r="K3241" s="9" t="str">
        <f>HYPERLINK("https://dms.licdn.com/playlist/vid/v2/D5605AQGvYPFvEJ845w/mp4-720p-30fp-crf28/B56ZyQoFy0KgCE-/0/1771952959206?e=2147483647&amp;v=beta&amp;t=cEPXbjJcEy4sIJu9RapE6jzqf1jVlAKK-4rBPLfuq3I","Open Creative")</f>
        <v>Open Creative</v>
      </c>
      <c r="L3241" s="6" t="s">
        <v>131</v>
      </c>
      <c r="M3241" s="6" t="s">
        <v>7537</v>
      </c>
      <c r="N3241" s="6" t="s">
        <v>132</v>
      </c>
      <c r="O3241" s="36" t="s">
        <v>132</v>
      </c>
      <c r="P3241" s="36">
        <v>1.355867096E9</v>
      </c>
      <c r="Q3241" s="36" t="s">
        <v>7541</v>
      </c>
      <c r="R3241" s="6" t="s">
        <v>7542</v>
      </c>
    </row>
    <row r="3242">
      <c r="A3242" s="6" t="s">
        <v>7537</v>
      </c>
      <c r="B3242" s="6" t="s">
        <v>7537</v>
      </c>
      <c r="C3242" s="6">
        <v>1633.0</v>
      </c>
      <c r="D3242" s="9" t="str">
        <f>HYPERLINK("https://www.linkedin.com/ad-library/detail/1332901606","Open Ad")</f>
        <v>Open Ad</v>
      </c>
      <c r="E3242" s="6" t="s">
        <v>154</v>
      </c>
      <c r="F3242" s="6" t="s">
        <v>53</v>
      </c>
      <c r="G3242" s="6" t="s">
        <v>7878</v>
      </c>
      <c r="H3242" s="6" t="s">
        <v>55</v>
      </c>
      <c r="I3242" s="6" t="s">
        <v>7566</v>
      </c>
      <c r="J3242" s="6" t="s">
        <v>154</v>
      </c>
      <c r="K3242" s="9" t="str">
        <f>HYPERLINK("https://dms.licdn.com/playlist/vid/v2/D4E05AQGF4t5NOVdxEg/mp4-640p-30fp-crf28/B4EZxxzgCeGsBs-/0/1771435860255?e=2147483647&amp;v=beta&amp;t=a0U8tPz7Odx3U9VQGNadJ2LWCQrh91xX4lFAroNeiLY","Open Creative")</f>
        <v>Open Creative</v>
      </c>
      <c r="L3242" s="6" t="s">
        <v>131</v>
      </c>
      <c r="M3242" s="6" t="s">
        <v>7537</v>
      </c>
      <c r="N3242" s="6" t="s">
        <v>132</v>
      </c>
      <c r="O3242" s="36" t="s">
        <v>132</v>
      </c>
      <c r="P3242" s="36">
        <v>1.332901606E9</v>
      </c>
      <c r="Q3242" s="36" t="s">
        <v>7541</v>
      </c>
      <c r="R3242" s="6" t="s">
        <v>7542</v>
      </c>
    </row>
    <row r="3243">
      <c r="A3243" s="6" t="s">
        <v>7537</v>
      </c>
      <c r="B3243" s="6" t="s">
        <v>7537</v>
      </c>
      <c r="C3243" s="6">
        <v>1634.0</v>
      </c>
      <c r="D3243" s="9" t="str">
        <f>HYPERLINK("https://www.linkedin.com/ad-library/detail/1324318846","Open Ad")</f>
        <v>Open Ad</v>
      </c>
      <c r="E3243" s="6" t="s">
        <v>154</v>
      </c>
      <c r="F3243" s="6" t="s">
        <v>53</v>
      </c>
      <c r="G3243" s="6" t="s">
        <v>7877</v>
      </c>
      <c r="H3243" s="6" t="s">
        <v>55</v>
      </c>
      <c r="I3243" s="6" t="s">
        <v>7566</v>
      </c>
      <c r="J3243" s="6" t="s">
        <v>154</v>
      </c>
      <c r="K3243" s="9" t="str">
        <f>HYPERLINK("https://dms.licdn.com/playlist/vid/v2/D4E10AQHM5_fTbBni3w/mp4-640p-30fp-crf28/B4EZxxw4q7I0Bw-/0/1771435172741?e=2147483647&amp;v=beta&amp;t=ZLvJUMoJXcoB0WEjgz7l8o1KDAGSb7Wmh2Y1Uba7B1g","Open Creative")</f>
        <v>Open Creative</v>
      </c>
      <c r="L3243" s="6" t="s">
        <v>131</v>
      </c>
      <c r="M3243" s="6" t="s">
        <v>7537</v>
      </c>
      <c r="N3243" s="6" t="s">
        <v>132</v>
      </c>
      <c r="O3243" s="36" t="s">
        <v>132</v>
      </c>
      <c r="P3243" s="36">
        <v>1.324318846E9</v>
      </c>
      <c r="Q3243" s="36" t="s">
        <v>7541</v>
      </c>
      <c r="R3243" s="6" t="s">
        <v>7542</v>
      </c>
    </row>
    <row r="3244">
      <c r="A3244" s="6" t="s">
        <v>7537</v>
      </c>
      <c r="B3244" s="6" t="s">
        <v>7537</v>
      </c>
      <c r="C3244" s="6">
        <v>1635.0</v>
      </c>
      <c r="D3244" s="9" t="str">
        <f>HYPERLINK("https://www.linkedin.com/ad-library/detail/1331920586","Open Ad")</f>
        <v>Open Ad</v>
      </c>
      <c r="E3244" s="6" t="s">
        <v>154</v>
      </c>
      <c r="F3244" s="6" t="s">
        <v>53</v>
      </c>
      <c r="G3244" s="6" t="s">
        <v>7878</v>
      </c>
      <c r="H3244" s="6" t="s">
        <v>55</v>
      </c>
      <c r="I3244" s="6" t="s">
        <v>7566</v>
      </c>
      <c r="J3244" s="6" t="s">
        <v>154</v>
      </c>
      <c r="K3244" s="9" t="str">
        <f>HYPERLINK("https://dms.licdn.com/playlist/vid/v2/D4E05AQGF4t5NOVdxEg/mp4-640p-30fp-crf28/B4EZxxzgCeGsBs-/0/1771435860255?e=2147483647&amp;v=beta&amp;t=a0U8tPz7Odx3U9VQGNadJ2LWCQrh91xX4lFAroNeiLY","Open Creative")</f>
        <v>Open Creative</v>
      </c>
      <c r="L3244" s="6" t="s">
        <v>131</v>
      </c>
      <c r="M3244" s="6" t="s">
        <v>7537</v>
      </c>
      <c r="N3244" s="6" t="s">
        <v>132</v>
      </c>
      <c r="O3244" s="36" t="s">
        <v>132</v>
      </c>
      <c r="P3244" s="36">
        <v>1.331920586E9</v>
      </c>
      <c r="Q3244" s="36" t="s">
        <v>7541</v>
      </c>
      <c r="R3244" s="6" t="s">
        <v>7542</v>
      </c>
    </row>
    <row r="3245">
      <c r="A3245" s="6" t="s">
        <v>7537</v>
      </c>
      <c r="B3245" s="6" t="s">
        <v>7537</v>
      </c>
      <c r="C3245" s="6">
        <v>1636.0</v>
      </c>
      <c r="D3245" s="9" t="str">
        <f>HYPERLINK("https://www.linkedin.com/ad-library/detail/1342127276","Open Ad")</f>
        <v>Open Ad</v>
      </c>
      <c r="E3245" s="6" t="s">
        <v>154</v>
      </c>
      <c r="F3245" s="6" t="s">
        <v>53</v>
      </c>
      <c r="G3245" s="6" t="s">
        <v>7883</v>
      </c>
      <c r="H3245" s="6" t="s">
        <v>55</v>
      </c>
      <c r="I3245" s="6" t="s">
        <v>7566</v>
      </c>
      <c r="J3245" s="6" t="s">
        <v>154</v>
      </c>
      <c r="K3245" s="9" t="str">
        <f>HYPERLINK("https://dms.licdn.com/playlist/vid/v2/D4E10AQH0SWPx3r517w/mp4-360p-30fp-crf28/B4EZyM6Uz_GgCA-/0/1771890634854?e=2147483647&amp;v=beta&amp;t=tW7UneK9IMocBhXlAF6BIvpOsBFHEyvYnIxnuN0Z_WM","Open Creative")</f>
        <v>Open Creative</v>
      </c>
      <c r="L3245" s="6" t="s">
        <v>131</v>
      </c>
      <c r="M3245" s="6" t="s">
        <v>7537</v>
      </c>
      <c r="N3245" s="6" t="s">
        <v>132</v>
      </c>
      <c r="O3245" s="36" t="s">
        <v>132</v>
      </c>
      <c r="P3245" s="36">
        <v>1.342127276E9</v>
      </c>
      <c r="Q3245" s="36" t="s">
        <v>7541</v>
      </c>
      <c r="R3245" s="6" t="s">
        <v>7542</v>
      </c>
    </row>
    <row r="3246">
      <c r="A3246" s="6" t="s">
        <v>7537</v>
      </c>
      <c r="B3246" s="6" t="s">
        <v>7537</v>
      </c>
      <c r="C3246" s="6">
        <v>1637.0</v>
      </c>
      <c r="D3246" s="9" t="str">
        <f>HYPERLINK("https://www.linkedin.com/ad-library/detail/1330821366","Open Ad")</f>
        <v>Open Ad</v>
      </c>
      <c r="E3246" s="6" t="s">
        <v>154</v>
      </c>
      <c r="F3246" s="6" t="s">
        <v>53</v>
      </c>
      <c r="G3246" s="6" t="s">
        <v>7878</v>
      </c>
      <c r="H3246" s="6" t="s">
        <v>55</v>
      </c>
      <c r="I3246" s="6" t="s">
        <v>7566</v>
      </c>
      <c r="J3246" s="6" t="s">
        <v>154</v>
      </c>
      <c r="K3246" s="9" t="str">
        <f>HYPERLINK("https://dms.licdn.com/playlist/vid/v2/D4E05AQGF4t5NOVdxEg/mp4-640p-30fp-crf28/B4EZxxzgCeGsBs-/0/1771435860255?e=2147483647&amp;v=beta&amp;t=a0U8tPz7Odx3U9VQGNadJ2LWCQrh91xX4lFAroNeiLY","Open Creative")</f>
        <v>Open Creative</v>
      </c>
      <c r="L3246" s="6" t="s">
        <v>131</v>
      </c>
      <c r="M3246" s="6" t="s">
        <v>7537</v>
      </c>
      <c r="N3246" s="6" t="s">
        <v>132</v>
      </c>
      <c r="O3246" s="36" t="s">
        <v>132</v>
      </c>
      <c r="P3246" s="36">
        <v>1.330821366E9</v>
      </c>
      <c r="Q3246" s="36" t="s">
        <v>7541</v>
      </c>
      <c r="R3246" s="6" t="s">
        <v>7542</v>
      </c>
    </row>
    <row r="3247">
      <c r="A3247" s="6" t="s">
        <v>7537</v>
      </c>
      <c r="B3247" s="6" t="s">
        <v>7537</v>
      </c>
      <c r="C3247" s="6">
        <v>1638.0</v>
      </c>
      <c r="D3247" s="9" t="str">
        <f>HYPERLINK("https://www.linkedin.com/ad-library/detail/1342235506","Open Ad")</f>
        <v>Open Ad</v>
      </c>
      <c r="E3247" s="6" t="s">
        <v>154</v>
      </c>
      <c r="F3247" s="6" t="s">
        <v>53</v>
      </c>
      <c r="G3247" s="6" t="s">
        <v>7813</v>
      </c>
      <c r="H3247" s="6" t="s">
        <v>55</v>
      </c>
      <c r="I3247" s="6" t="s">
        <v>7566</v>
      </c>
      <c r="J3247" s="6" t="s">
        <v>154</v>
      </c>
      <c r="K3247" s="9" t="str">
        <f>HYPERLINK("https://dms.licdn.com/playlist/vid/v2/D4E10AQHb8aBgPz6yrg/mp4-360p-30fp-crf28/B4EZyQma5eHMB8-/0/1771952534337?e=2147483647&amp;v=beta&amp;t=vL255ZZj6UooCMMSuov9TYM4BA5F3J29zDbm5h_CfCY","Open Creative")</f>
        <v>Open Creative</v>
      </c>
      <c r="L3247" s="6" t="s">
        <v>131</v>
      </c>
      <c r="M3247" s="6" t="s">
        <v>7537</v>
      </c>
      <c r="N3247" s="6" t="s">
        <v>132</v>
      </c>
      <c r="O3247" s="36" t="s">
        <v>132</v>
      </c>
      <c r="P3247" s="36">
        <v>1.342235506E9</v>
      </c>
      <c r="Q3247" s="36" t="s">
        <v>7541</v>
      </c>
      <c r="R3247" s="6" t="s">
        <v>7542</v>
      </c>
    </row>
    <row r="3248">
      <c r="A3248" s="6" t="s">
        <v>7537</v>
      </c>
      <c r="B3248" s="6" t="s">
        <v>7537</v>
      </c>
      <c r="C3248" s="6">
        <v>1639.0</v>
      </c>
      <c r="D3248" s="9" t="str">
        <f>HYPERLINK("https://www.linkedin.com/ad-library/detail/1342292456","Open Ad")</f>
        <v>Open Ad</v>
      </c>
      <c r="E3248" s="6" t="s">
        <v>154</v>
      </c>
      <c r="F3248" s="6" t="s">
        <v>53</v>
      </c>
      <c r="G3248" s="6" t="s">
        <v>7883</v>
      </c>
      <c r="H3248" s="6" t="s">
        <v>55</v>
      </c>
      <c r="I3248" s="6" t="s">
        <v>7566</v>
      </c>
      <c r="J3248" s="6" t="s">
        <v>154</v>
      </c>
      <c r="K3248" s="9" t="str">
        <f>HYPERLINK("https://dms.licdn.com/playlist/vid/v2/D4E10AQH0SWPx3r517w/mp4-360p-30fp-crf28/B4EZyM6Uz_GgCA-/0/1771890634854?e=2147483647&amp;v=beta&amp;t=tW7UneK9IMocBhXlAF6BIvpOsBFHEyvYnIxnuN0Z_WM","Open Creative")</f>
        <v>Open Creative</v>
      </c>
      <c r="L3248" s="6" t="s">
        <v>131</v>
      </c>
      <c r="M3248" s="6" t="s">
        <v>7537</v>
      </c>
      <c r="N3248" s="6" t="s">
        <v>132</v>
      </c>
      <c r="O3248" s="36" t="s">
        <v>132</v>
      </c>
      <c r="P3248" s="36">
        <v>1.342292456E9</v>
      </c>
      <c r="Q3248" s="36" t="s">
        <v>7541</v>
      </c>
      <c r="R3248" s="6" t="s">
        <v>7542</v>
      </c>
    </row>
    <row r="3249">
      <c r="A3249" s="6" t="s">
        <v>7537</v>
      </c>
      <c r="B3249" s="6" t="s">
        <v>7537</v>
      </c>
      <c r="C3249" s="6">
        <v>1640.0</v>
      </c>
      <c r="D3249" s="9" t="str">
        <f>HYPERLINK("https://www.linkedin.com/ad-library/detail/950304016","Open Ad")</f>
        <v>Open Ad</v>
      </c>
      <c r="E3249" s="6" t="s">
        <v>91</v>
      </c>
      <c r="F3249" s="6" t="s">
        <v>53</v>
      </c>
      <c r="G3249" s="6" t="s">
        <v>7884</v>
      </c>
      <c r="H3249" s="6" t="s">
        <v>55</v>
      </c>
      <c r="I3249" s="6" t="s">
        <v>7566</v>
      </c>
      <c r="J3249" s="6" t="s">
        <v>91</v>
      </c>
      <c r="K3249" s="9" t="str">
        <f>HYPERLINK("https://media.licdn.com/dms/image/v2/D4E22AQGqUvGw2UAjHg/feedshare-shrink_1280/B4EZx36FgMIsAc-/0/1771538241927?e=2147483647&amp;v=beta&amp;t=wFsLYJp25X3CY-V3-rLiWl6fF6UCkjEoE4YgYx-gPMw","Open Creative")</f>
        <v>Open Creative</v>
      </c>
      <c r="L3249" s="6" t="s">
        <v>131</v>
      </c>
      <c r="M3249" s="6" t="s">
        <v>7537</v>
      </c>
      <c r="N3249" s="6" t="s">
        <v>132</v>
      </c>
      <c r="O3249" s="36" t="s">
        <v>132</v>
      </c>
      <c r="P3249" s="36">
        <v>9.50304016E8</v>
      </c>
      <c r="Q3249" s="36" t="s">
        <v>7541</v>
      </c>
      <c r="R3249" s="6" t="s">
        <v>7542</v>
      </c>
    </row>
    <row r="3250">
      <c r="A3250" s="6" t="s">
        <v>7537</v>
      </c>
      <c r="B3250" s="6" t="s">
        <v>7537</v>
      </c>
      <c r="C3250" s="6">
        <v>1641.0</v>
      </c>
      <c r="D3250" s="9" t="str">
        <f>HYPERLINK("https://www.linkedin.com/ad-library/detail/1181507323","Open Ad")</f>
        <v>Open Ad</v>
      </c>
      <c r="E3250" s="6" t="s">
        <v>91</v>
      </c>
      <c r="F3250" s="6" t="s">
        <v>53</v>
      </c>
      <c r="G3250" s="6" t="s">
        <v>7885</v>
      </c>
      <c r="H3250" s="6" t="s">
        <v>55</v>
      </c>
      <c r="I3250" s="6" t="s">
        <v>7566</v>
      </c>
      <c r="J3250" s="6" t="s">
        <v>91</v>
      </c>
      <c r="K3250" s="9" t="str">
        <f>HYPERLINK("https://media.licdn.com/dms/image/v2/D4D10AQGfb8qc9lB9yg/image-shrink_1280/B4DZyL3nHTKQAc-/0/1771873137384/WhatsAppImage2026-02-19at111911PMjpeg?e=2147483647&amp;v=beta&amp;t=lDD7TqmX6-46uXNYMeqnh3uRIQ7EgDpEdiINvsBZjKg","Open Creative")</f>
        <v>Open Creative</v>
      </c>
      <c r="L3250" s="6" t="s">
        <v>131</v>
      </c>
      <c r="M3250" s="6" t="s">
        <v>7537</v>
      </c>
      <c r="N3250" s="6" t="s">
        <v>132</v>
      </c>
      <c r="O3250" s="36" t="s">
        <v>132</v>
      </c>
      <c r="P3250" s="36">
        <v>1.181507323E9</v>
      </c>
      <c r="Q3250" s="36" t="s">
        <v>7541</v>
      </c>
      <c r="R3250" s="6" t="s">
        <v>7542</v>
      </c>
    </row>
    <row r="3251">
      <c r="A3251" s="6" t="s">
        <v>7537</v>
      </c>
      <c r="B3251" s="6" t="s">
        <v>7537</v>
      </c>
      <c r="C3251" s="6">
        <v>1642.0</v>
      </c>
      <c r="D3251" s="9" t="str">
        <f>HYPERLINK("https://www.linkedin.com/ad-library/detail/1345381946","Open Ad")</f>
        <v>Open Ad</v>
      </c>
      <c r="E3251" s="6" t="s">
        <v>91</v>
      </c>
      <c r="F3251" s="6" t="s">
        <v>53</v>
      </c>
      <c r="G3251" s="6" t="s">
        <v>7886</v>
      </c>
      <c r="H3251" s="6" t="s">
        <v>55</v>
      </c>
      <c r="I3251" s="6" t="s">
        <v>7566</v>
      </c>
      <c r="J3251" s="6" t="s">
        <v>91</v>
      </c>
      <c r="K3251" s="9" t="str">
        <f>HYPERLINK("https://media.licdn.com/dms/image/v2/D5622AQFft186BgcUtQ/feedshare-shrink_1280/B56ZyRBOjVIAAc-/0/1771959544967?e=2147483647&amp;v=beta&amp;t=otJUPbY1P6xEhlpzBaOjvIYTwIYYcb50xizBJv1ebgY","Open Creative")</f>
        <v>Open Creative</v>
      </c>
      <c r="L3251" s="6" t="s">
        <v>131</v>
      </c>
      <c r="M3251" s="6" t="s">
        <v>7537</v>
      </c>
      <c r="N3251" s="6" t="s">
        <v>132</v>
      </c>
      <c r="O3251" s="36" t="s">
        <v>132</v>
      </c>
      <c r="P3251" s="36">
        <v>1.345381946E9</v>
      </c>
      <c r="Q3251" s="36" t="s">
        <v>7541</v>
      </c>
      <c r="R3251" s="6" t="s">
        <v>7542</v>
      </c>
    </row>
    <row r="3252">
      <c r="A3252" s="6" t="s">
        <v>7537</v>
      </c>
      <c r="B3252" s="6" t="s">
        <v>7537</v>
      </c>
      <c r="C3252" s="6">
        <v>1643.0</v>
      </c>
      <c r="D3252" s="9" t="str">
        <f>HYPERLINK("https://www.linkedin.com/ad-library/detail/1342235516","Open Ad")</f>
        <v>Open Ad</v>
      </c>
      <c r="E3252" s="6" t="s">
        <v>154</v>
      </c>
      <c r="F3252" s="6" t="s">
        <v>53</v>
      </c>
      <c r="G3252" s="6" t="s">
        <v>7813</v>
      </c>
      <c r="H3252" s="6" t="s">
        <v>55</v>
      </c>
      <c r="I3252" s="6" t="s">
        <v>7566</v>
      </c>
      <c r="J3252" s="6" t="s">
        <v>154</v>
      </c>
      <c r="K3252" s="9" t="str">
        <f>HYPERLINK("https://dms.licdn.com/playlist/vid/v2/D4E10AQHb8aBgPz6yrg/mp4-360p-30fp-crf28/B4EZyQma5eHMB8-/0/1771952534337?e=2147483647&amp;v=beta&amp;t=vL255ZZj6UooCMMSuov9TYM4BA5F3J29zDbm5h_CfCY","Open Creative")</f>
        <v>Open Creative</v>
      </c>
      <c r="L3252" s="6" t="s">
        <v>131</v>
      </c>
      <c r="M3252" s="6" t="s">
        <v>7537</v>
      </c>
      <c r="N3252" s="6" t="s">
        <v>132</v>
      </c>
      <c r="O3252" s="36" t="s">
        <v>132</v>
      </c>
      <c r="P3252" s="36">
        <v>1.342235516E9</v>
      </c>
      <c r="Q3252" s="36" t="s">
        <v>7541</v>
      </c>
      <c r="R3252" s="6" t="s">
        <v>7542</v>
      </c>
    </row>
    <row r="3253">
      <c r="A3253" s="6" t="s">
        <v>7537</v>
      </c>
      <c r="B3253" s="6" t="s">
        <v>7537</v>
      </c>
      <c r="C3253" s="6">
        <v>1644.0</v>
      </c>
      <c r="D3253" s="9" t="str">
        <f>HYPERLINK("https://www.linkedin.com/ad-library/detail/1330281836","Open Ad")</f>
        <v>Open Ad</v>
      </c>
      <c r="E3253" s="6" t="s">
        <v>154</v>
      </c>
      <c r="F3253" s="6" t="s">
        <v>53</v>
      </c>
      <c r="G3253" s="6" t="s">
        <v>7877</v>
      </c>
      <c r="H3253" s="6" t="s">
        <v>55</v>
      </c>
      <c r="I3253" s="6" t="s">
        <v>7566</v>
      </c>
      <c r="J3253" s="6" t="s">
        <v>154</v>
      </c>
      <c r="K3253" s="9" t="str">
        <f t="shared" ref="K3253:K3254" si="168">HYPERLINK("https://dms.licdn.com/playlist/vid/v2/D4E10AQHM5_fTbBni3w/mp4-640p-30fp-crf28/B4EZxxw4q7I0Bw-/0/1771435172741?e=2147483647&amp;v=beta&amp;t=ZLvJUMoJXcoB0WEjgz7l8o1KDAGSb7Wmh2Y1Uba7B1g","Open Creative")</f>
        <v>Open Creative</v>
      </c>
      <c r="L3253" s="6" t="s">
        <v>131</v>
      </c>
      <c r="M3253" s="6" t="s">
        <v>7537</v>
      </c>
      <c r="N3253" s="6" t="s">
        <v>132</v>
      </c>
      <c r="O3253" s="36" t="s">
        <v>132</v>
      </c>
      <c r="P3253" s="36">
        <v>1.330281836E9</v>
      </c>
      <c r="Q3253" s="36" t="s">
        <v>7541</v>
      </c>
      <c r="R3253" s="6" t="s">
        <v>7542</v>
      </c>
    </row>
    <row r="3254">
      <c r="A3254" s="6" t="s">
        <v>7537</v>
      </c>
      <c r="B3254" s="6" t="s">
        <v>7537</v>
      </c>
      <c r="C3254" s="6">
        <v>1645.0</v>
      </c>
      <c r="D3254" s="9" t="str">
        <f>HYPERLINK("https://www.linkedin.com/ad-library/detail/1325918626","Open Ad")</f>
        <v>Open Ad</v>
      </c>
      <c r="E3254" s="6" t="s">
        <v>154</v>
      </c>
      <c r="F3254" s="6" t="s">
        <v>53</v>
      </c>
      <c r="G3254" s="6" t="s">
        <v>7877</v>
      </c>
      <c r="H3254" s="6" t="s">
        <v>55</v>
      </c>
      <c r="I3254" s="6" t="s">
        <v>7566</v>
      </c>
      <c r="J3254" s="6" t="s">
        <v>154</v>
      </c>
      <c r="K3254" s="9" t="str">
        <f t="shared" si="168"/>
        <v>Open Creative</v>
      </c>
      <c r="L3254" s="6" t="s">
        <v>131</v>
      </c>
      <c r="M3254" s="6" t="s">
        <v>7537</v>
      </c>
      <c r="N3254" s="6" t="s">
        <v>132</v>
      </c>
      <c r="O3254" s="36" t="s">
        <v>132</v>
      </c>
      <c r="P3254" s="36">
        <v>1.325918626E9</v>
      </c>
      <c r="Q3254" s="36" t="s">
        <v>7541</v>
      </c>
      <c r="R3254" s="6" t="s">
        <v>7542</v>
      </c>
    </row>
    <row r="3255">
      <c r="A3255" s="6" t="s">
        <v>7537</v>
      </c>
      <c r="B3255" s="6" t="s">
        <v>7537</v>
      </c>
      <c r="C3255" s="6">
        <v>1646.0</v>
      </c>
      <c r="D3255" s="9" t="str">
        <f>HYPERLINK("https://www.linkedin.com/ad-library/detail/1325199646","Open Ad")</f>
        <v>Open Ad</v>
      </c>
      <c r="E3255" s="6" t="s">
        <v>91</v>
      </c>
      <c r="F3255" s="6" t="s">
        <v>53</v>
      </c>
      <c r="G3255" s="6" t="s">
        <v>7887</v>
      </c>
      <c r="H3255" s="6" t="s">
        <v>55</v>
      </c>
      <c r="I3255" s="6" t="s">
        <v>7566</v>
      </c>
      <c r="J3255" s="6" t="s">
        <v>91</v>
      </c>
      <c r="K3255" s="9" t="str">
        <f>HYPERLINK("https://media.licdn.com/dms/image/v2/D4E22AQEaYlj_LC66ug/feedshare-shrink_1280/B4EZxsMGC0IsAc-/0/1771341637027?e=2147483647&amp;v=beta&amp;t=i6E8JeFGEgFXxHtasEhbeIRFnyi6lePn_QuNJtDh0PE","Open Creative")</f>
        <v>Open Creative</v>
      </c>
      <c r="L3255" s="6" t="s">
        <v>131</v>
      </c>
      <c r="M3255" s="6" t="s">
        <v>7537</v>
      </c>
      <c r="N3255" s="6" t="s">
        <v>132</v>
      </c>
      <c r="O3255" s="36" t="s">
        <v>132</v>
      </c>
      <c r="P3255" s="36">
        <v>1.325199646E9</v>
      </c>
      <c r="Q3255" s="36" t="s">
        <v>7541</v>
      </c>
      <c r="R3255" s="6" t="s">
        <v>7542</v>
      </c>
    </row>
    <row r="3256">
      <c r="A3256" s="6" t="s">
        <v>7537</v>
      </c>
      <c r="B3256" s="6" t="s">
        <v>7537</v>
      </c>
      <c r="C3256" s="6">
        <v>1647.0</v>
      </c>
      <c r="D3256" s="9" t="str">
        <f>HYPERLINK("https://www.linkedin.com/ad-library/detail/1325899286","Open Ad")</f>
        <v>Open Ad</v>
      </c>
      <c r="E3256" s="6" t="s">
        <v>91</v>
      </c>
      <c r="F3256" s="6" t="s">
        <v>53</v>
      </c>
      <c r="G3256" s="6" t="s">
        <v>7871</v>
      </c>
      <c r="H3256" s="6" t="s">
        <v>55</v>
      </c>
      <c r="I3256" s="6" t="s">
        <v>7566</v>
      </c>
      <c r="J3256" s="6" t="s">
        <v>91</v>
      </c>
      <c r="K3256" s="9" t="str">
        <f t="shared" ref="K3256:K3257" si="169">HYPERLINK("https://media.licdn.com/dms/image/v2/D4E22AQFy1Oz048X5Zw/feedshare-shrink_1280/B4EZxsp.7NIsAg-/0/1771349471279?e=2147483647&amp;v=beta&amp;t=vIsxUzaS4oXWbQU3DX8AsKdV3pQR5qqC3FIkevYbeR0","Open Creative")</f>
        <v>Open Creative</v>
      </c>
      <c r="L3256" s="6" t="s">
        <v>131</v>
      </c>
      <c r="M3256" s="6" t="s">
        <v>7537</v>
      </c>
      <c r="N3256" s="6" t="s">
        <v>132</v>
      </c>
      <c r="O3256" s="36" t="s">
        <v>132</v>
      </c>
      <c r="P3256" s="36">
        <v>1.325899286E9</v>
      </c>
      <c r="Q3256" s="36" t="s">
        <v>7541</v>
      </c>
      <c r="R3256" s="6" t="s">
        <v>7542</v>
      </c>
    </row>
    <row r="3257">
      <c r="A3257" s="6" t="s">
        <v>7537</v>
      </c>
      <c r="B3257" s="6" t="s">
        <v>7537</v>
      </c>
      <c r="C3257" s="6">
        <v>1648.0</v>
      </c>
      <c r="D3257" s="9" t="str">
        <f>HYPERLINK("https://www.linkedin.com/ad-library/detail/1329780586","Open Ad")</f>
        <v>Open Ad</v>
      </c>
      <c r="E3257" s="6" t="s">
        <v>91</v>
      </c>
      <c r="F3257" s="6" t="s">
        <v>53</v>
      </c>
      <c r="G3257" s="6" t="s">
        <v>7871</v>
      </c>
      <c r="H3257" s="6" t="s">
        <v>55</v>
      </c>
      <c r="I3257" s="6" t="s">
        <v>7566</v>
      </c>
      <c r="J3257" s="6" t="s">
        <v>91</v>
      </c>
      <c r="K3257" s="9" t="str">
        <f t="shared" si="169"/>
        <v>Open Creative</v>
      </c>
      <c r="L3257" s="6" t="s">
        <v>131</v>
      </c>
      <c r="M3257" s="6" t="s">
        <v>7537</v>
      </c>
      <c r="N3257" s="6" t="s">
        <v>132</v>
      </c>
      <c r="O3257" s="36" t="s">
        <v>132</v>
      </c>
      <c r="P3257" s="36">
        <v>1.329780586E9</v>
      </c>
      <c r="Q3257" s="36" t="s">
        <v>7541</v>
      </c>
      <c r="R3257" s="6" t="s">
        <v>7542</v>
      </c>
    </row>
    <row r="3258">
      <c r="A3258" s="6" t="s">
        <v>7537</v>
      </c>
      <c r="B3258" s="6" t="s">
        <v>7537</v>
      </c>
      <c r="C3258" s="6">
        <v>1649.0</v>
      </c>
      <c r="D3258" s="9" t="str">
        <f>HYPERLINK("https://www.linkedin.com/ad-library/detail/1345244936","Open Ad")</f>
        <v>Open Ad</v>
      </c>
      <c r="E3258" s="6" t="s">
        <v>91</v>
      </c>
      <c r="F3258" s="6" t="s">
        <v>53</v>
      </c>
      <c r="G3258" s="6" t="s">
        <v>7886</v>
      </c>
      <c r="H3258" s="6" t="s">
        <v>55</v>
      </c>
      <c r="I3258" s="6" t="s">
        <v>7566</v>
      </c>
      <c r="J3258" s="6" t="s">
        <v>91</v>
      </c>
      <c r="K3258" s="9" t="str">
        <f>HYPERLINK("https://media.licdn.com/dms/image/v2/D5622AQFft186BgcUtQ/feedshare-shrink_1280/B56ZyRBOjVIAAc-/0/1771959544967?e=2147483647&amp;v=beta&amp;t=otJUPbY1P6xEhlpzBaOjvIYTwIYYcb50xizBJv1ebgY","Open Creative")</f>
        <v>Open Creative</v>
      </c>
      <c r="L3258" s="6" t="s">
        <v>131</v>
      </c>
      <c r="M3258" s="6" t="s">
        <v>7537</v>
      </c>
      <c r="N3258" s="6" t="s">
        <v>132</v>
      </c>
      <c r="O3258" s="36" t="s">
        <v>132</v>
      </c>
      <c r="P3258" s="36">
        <v>1.345244936E9</v>
      </c>
      <c r="Q3258" s="36" t="s">
        <v>7541</v>
      </c>
      <c r="R3258" s="6" t="s">
        <v>7542</v>
      </c>
    </row>
    <row r="3259">
      <c r="A3259" s="6" t="s">
        <v>7537</v>
      </c>
      <c r="B3259" s="6" t="s">
        <v>7537</v>
      </c>
      <c r="C3259" s="6">
        <v>1650.0</v>
      </c>
      <c r="D3259" s="9" t="str">
        <f>HYPERLINK("https://www.linkedin.com/ad-library/detail/1342254626","Open Ad")</f>
        <v>Open Ad</v>
      </c>
      <c r="E3259" s="6" t="s">
        <v>154</v>
      </c>
      <c r="F3259" s="6" t="s">
        <v>53</v>
      </c>
      <c r="G3259" s="6" t="s">
        <v>7813</v>
      </c>
      <c r="H3259" s="6" t="s">
        <v>55</v>
      </c>
      <c r="I3259" s="6" t="s">
        <v>7566</v>
      </c>
      <c r="J3259" s="6" t="s">
        <v>154</v>
      </c>
      <c r="K3259" s="9" t="str">
        <f>HYPERLINK("https://dms.licdn.com/playlist/vid/v2/D4E10AQHb8aBgPz6yrg/mp4-360p-30fp-crf28/B4EZyQma5eHMB8-/0/1771952534337?e=2147483647&amp;v=beta&amp;t=vL255ZZj6UooCMMSuov9TYM4BA5F3J29zDbm5h_CfCY","Open Creative")</f>
        <v>Open Creative</v>
      </c>
      <c r="L3259" s="6" t="s">
        <v>131</v>
      </c>
      <c r="M3259" s="6" t="s">
        <v>7537</v>
      </c>
      <c r="N3259" s="6" t="s">
        <v>132</v>
      </c>
      <c r="O3259" s="36" t="s">
        <v>132</v>
      </c>
      <c r="P3259" s="36">
        <v>1.342254626E9</v>
      </c>
      <c r="Q3259" s="36" t="s">
        <v>7541</v>
      </c>
      <c r="R3259" s="6" t="s">
        <v>7542</v>
      </c>
    </row>
    <row r="3260">
      <c r="A3260" s="6" t="s">
        <v>7537</v>
      </c>
      <c r="B3260" s="6" t="s">
        <v>7537</v>
      </c>
      <c r="C3260" s="6">
        <v>1651.0</v>
      </c>
      <c r="D3260" s="9" t="str">
        <f>HYPERLINK("https://www.linkedin.com/ad-library/detail/1345343006","Open Ad")</f>
        <v>Open Ad</v>
      </c>
      <c r="E3260" s="6" t="s">
        <v>91</v>
      </c>
      <c r="F3260" s="6" t="s">
        <v>53</v>
      </c>
      <c r="G3260" s="6" t="s">
        <v>7886</v>
      </c>
      <c r="H3260" s="6" t="s">
        <v>55</v>
      </c>
      <c r="I3260" s="6" t="s">
        <v>7566</v>
      </c>
      <c r="J3260" s="6" t="s">
        <v>91</v>
      </c>
      <c r="K3260" s="9" t="str">
        <f>HYPERLINK("https://media.licdn.com/dms/image/v2/D5622AQFft186BgcUtQ/feedshare-shrink_1280/B56ZyRBOjVIAAc-/0/1771959544967?e=2147483647&amp;v=beta&amp;t=otJUPbY1P6xEhlpzBaOjvIYTwIYYcb50xizBJv1ebgY","Open Creative")</f>
        <v>Open Creative</v>
      </c>
      <c r="L3260" s="6" t="s">
        <v>131</v>
      </c>
      <c r="M3260" s="6" t="s">
        <v>7537</v>
      </c>
      <c r="N3260" s="6" t="s">
        <v>132</v>
      </c>
      <c r="O3260" s="36" t="s">
        <v>132</v>
      </c>
      <c r="P3260" s="36">
        <v>1.345343006E9</v>
      </c>
      <c r="Q3260" s="36" t="s">
        <v>7541</v>
      </c>
      <c r="R3260" s="6" t="s">
        <v>7542</v>
      </c>
    </row>
    <row r="3261">
      <c r="A3261" s="6" t="s">
        <v>7537</v>
      </c>
      <c r="B3261" s="6" t="s">
        <v>7537</v>
      </c>
      <c r="C3261" s="6">
        <v>1652.0</v>
      </c>
      <c r="D3261" s="9" t="str">
        <f>HYPERLINK("https://www.linkedin.com/ad-library/detail/1342194216","Open Ad")</f>
        <v>Open Ad</v>
      </c>
      <c r="E3261" s="6" t="s">
        <v>154</v>
      </c>
      <c r="F3261" s="6" t="s">
        <v>53</v>
      </c>
      <c r="G3261" s="6" t="s">
        <v>7883</v>
      </c>
      <c r="H3261" s="6" t="s">
        <v>55</v>
      </c>
      <c r="I3261" s="6" t="s">
        <v>7566</v>
      </c>
      <c r="J3261" s="6" t="s">
        <v>154</v>
      </c>
      <c r="K3261" s="9" t="str">
        <f>HYPERLINK("https://dms.licdn.com/playlist/vid/v2/D4E10AQH0SWPx3r517w/mp4-360p-30fp-crf28/B4EZyM6Uz_GgCA-/0/1771890634854?e=2147483647&amp;v=beta&amp;t=tW7UneK9IMocBhXlAF6BIvpOsBFHEyvYnIxnuN0Z_WM","Open Creative")</f>
        <v>Open Creative</v>
      </c>
      <c r="L3261" s="6" t="s">
        <v>131</v>
      </c>
      <c r="M3261" s="6" t="s">
        <v>7537</v>
      </c>
      <c r="N3261" s="6" t="s">
        <v>132</v>
      </c>
      <c r="O3261" s="36" t="s">
        <v>132</v>
      </c>
      <c r="P3261" s="36">
        <v>1.342194216E9</v>
      </c>
      <c r="Q3261" s="36" t="s">
        <v>7541</v>
      </c>
      <c r="R3261" s="6" t="s">
        <v>7542</v>
      </c>
    </row>
    <row r="3262">
      <c r="A3262" s="6" t="s">
        <v>7537</v>
      </c>
      <c r="B3262" s="6" t="s">
        <v>7537</v>
      </c>
      <c r="C3262" s="6">
        <v>1653.0</v>
      </c>
      <c r="D3262" s="9" t="str">
        <f>HYPERLINK("https://www.linkedin.com/ad-library/detail/1345391856","Open Ad")</f>
        <v>Open Ad</v>
      </c>
      <c r="E3262" s="6" t="s">
        <v>91</v>
      </c>
      <c r="F3262" s="6" t="s">
        <v>53</v>
      </c>
      <c r="G3262" s="6" t="s">
        <v>7886</v>
      </c>
      <c r="H3262" s="6" t="s">
        <v>55</v>
      </c>
      <c r="I3262" s="6" t="s">
        <v>7566</v>
      </c>
      <c r="J3262" s="6" t="s">
        <v>91</v>
      </c>
      <c r="K3262" s="9" t="str">
        <f t="shared" ref="K3262:K3263" si="170">HYPERLINK("https://media.licdn.com/dms/image/v2/D5622AQFft186BgcUtQ/feedshare-shrink_1280/B56ZyRBOjVIAAc-/0/1771959544967?e=2147483647&amp;v=beta&amp;t=otJUPbY1P6xEhlpzBaOjvIYTwIYYcb50xizBJv1ebgY","Open Creative")</f>
        <v>Open Creative</v>
      </c>
      <c r="L3262" s="6" t="s">
        <v>131</v>
      </c>
      <c r="M3262" s="6" t="s">
        <v>7537</v>
      </c>
      <c r="N3262" s="6" t="s">
        <v>132</v>
      </c>
      <c r="O3262" s="36" t="s">
        <v>132</v>
      </c>
      <c r="P3262" s="36">
        <v>1.345391856E9</v>
      </c>
      <c r="Q3262" s="36" t="s">
        <v>7541</v>
      </c>
      <c r="R3262" s="6" t="s">
        <v>7542</v>
      </c>
    </row>
    <row r="3263">
      <c r="A3263" s="6" t="s">
        <v>7537</v>
      </c>
      <c r="B3263" s="6" t="s">
        <v>7537</v>
      </c>
      <c r="C3263" s="6">
        <v>1654.0</v>
      </c>
      <c r="D3263" s="9" t="str">
        <f>HYPERLINK("https://www.linkedin.com/ad-library/detail/1345401536","Open Ad")</f>
        <v>Open Ad</v>
      </c>
      <c r="E3263" s="6" t="s">
        <v>91</v>
      </c>
      <c r="F3263" s="6" t="s">
        <v>53</v>
      </c>
      <c r="G3263" s="6" t="s">
        <v>7886</v>
      </c>
      <c r="H3263" s="6" t="s">
        <v>55</v>
      </c>
      <c r="I3263" s="6" t="s">
        <v>7566</v>
      </c>
      <c r="J3263" s="6" t="s">
        <v>91</v>
      </c>
      <c r="K3263" s="9" t="str">
        <f t="shared" si="170"/>
        <v>Open Creative</v>
      </c>
      <c r="L3263" s="6" t="s">
        <v>131</v>
      </c>
      <c r="M3263" s="6" t="s">
        <v>7537</v>
      </c>
      <c r="N3263" s="6" t="s">
        <v>132</v>
      </c>
      <c r="O3263" s="36" t="s">
        <v>132</v>
      </c>
      <c r="P3263" s="36">
        <v>1.345401536E9</v>
      </c>
      <c r="Q3263" s="36" t="s">
        <v>7541</v>
      </c>
      <c r="R3263" s="6" t="s">
        <v>7542</v>
      </c>
    </row>
    <row r="3264">
      <c r="A3264" s="6" t="s">
        <v>7537</v>
      </c>
      <c r="B3264" s="6" t="s">
        <v>7537</v>
      </c>
      <c r="C3264" s="6">
        <v>1655.0</v>
      </c>
      <c r="D3264" s="9" t="str">
        <f>HYPERLINK("https://www.linkedin.com/ad-library/detail/1329799526","Open Ad")</f>
        <v>Open Ad</v>
      </c>
      <c r="E3264" s="6" t="s">
        <v>91</v>
      </c>
      <c r="F3264" s="6" t="s">
        <v>53</v>
      </c>
      <c r="G3264" s="6" t="s">
        <v>7888</v>
      </c>
      <c r="H3264" s="6" t="s">
        <v>55</v>
      </c>
      <c r="I3264" s="6" t="s">
        <v>7566</v>
      </c>
      <c r="J3264" s="6" t="s">
        <v>91</v>
      </c>
      <c r="K3264" s="9" t="str">
        <f>HYPERLINK("https://media.licdn.com/dms/image/v2/D4E10AQF1jS_dFqAK3w/image-shrink_1280/B4EZxs_AanI0Ac-/0/1771354982745?e=2147483647&amp;v=beta&amp;t=-TXnfaJyZhNZYAD8HYg7kbioZiyrNz4PmVKrHJLhm-0","Open Creative")</f>
        <v>Open Creative</v>
      </c>
      <c r="L3264" s="6" t="s">
        <v>131</v>
      </c>
      <c r="M3264" s="6" t="s">
        <v>7537</v>
      </c>
      <c r="N3264" s="6" t="s">
        <v>132</v>
      </c>
      <c r="O3264" s="36" t="s">
        <v>132</v>
      </c>
      <c r="P3264" s="36">
        <v>1.329799526E9</v>
      </c>
      <c r="Q3264" s="36" t="s">
        <v>7541</v>
      </c>
      <c r="R3264" s="6" t="s">
        <v>7542</v>
      </c>
    </row>
    <row r="3265">
      <c r="A3265" s="6" t="s">
        <v>7537</v>
      </c>
      <c r="B3265" s="6" t="s">
        <v>7537</v>
      </c>
      <c r="C3265" s="6">
        <v>1656.0</v>
      </c>
      <c r="D3265" s="9" t="str">
        <f>HYPERLINK("https://www.linkedin.com/ad-library/detail/1345235056","Open Ad")</f>
        <v>Open Ad</v>
      </c>
      <c r="E3265" s="6" t="s">
        <v>91</v>
      </c>
      <c r="F3265" s="6" t="s">
        <v>53</v>
      </c>
      <c r="G3265" s="6" t="s">
        <v>7886</v>
      </c>
      <c r="H3265" s="6" t="s">
        <v>55</v>
      </c>
      <c r="I3265" s="6" t="s">
        <v>7566</v>
      </c>
      <c r="J3265" s="6" t="s">
        <v>91</v>
      </c>
      <c r="K3265" s="9" t="str">
        <f>HYPERLINK("https://media.licdn.com/dms/image/v2/D5622AQFft186BgcUtQ/feedshare-shrink_1280/B56ZyRBOjVIAAc-/0/1771959544967?e=2147483647&amp;v=beta&amp;t=otJUPbY1P6xEhlpzBaOjvIYTwIYYcb50xizBJv1ebgY","Open Creative")</f>
        <v>Open Creative</v>
      </c>
      <c r="L3265" s="6" t="s">
        <v>131</v>
      </c>
      <c r="M3265" s="6" t="s">
        <v>7537</v>
      </c>
      <c r="N3265" s="6" t="s">
        <v>132</v>
      </c>
      <c r="O3265" s="36" t="s">
        <v>132</v>
      </c>
      <c r="P3265" s="36">
        <v>1.345235056E9</v>
      </c>
      <c r="Q3265" s="36" t="s">
        <v>7541</v>
      </c>
      <c r="R3265" s="6" t="s">
        <v>7542</v>
      </c>
    </row>
    <row r="3266">
      <c r="A3266" s="6" t="s">
        <v>7537</v>
      </c>
      <c r="B3266" s="6" t="s">
        <v>7537</v>
      </c>
      <c r="C3266" s="6">
        <v>1657.0</v>
      </c>
      <c r="D3266" s="9" t="str">
        <f>HYPERLINK("https://www.linkedin.com/ad-library/detail/1325194106","Open Ad")</f>
        <v>Open Ad</v>
      </c>
      <c r="E3266" s="6" t="s">
        <v>7543</v>
      </c>
      <c r="F3266" s="6" t="s">
        <v>53</v>
      </c>
      <c r="G3266" s="6" t="s">
        <v>7859</v>
      </c>
      <c r="H3266" s="6" t="s">
        <v>55</v>
      </c>
      <c r="I3266" s="6" t="s">
        <v>7566</v>
      </c>
      <c r="J3266" s="6" t="s">
        <v>7546</v>
      </c>
      <c r="K3266" s="6" t="s">
        <v>60</v>
      </c>
      <c r="L3266" s="6" t="s">
        <v>131</v>
      </c>
      <c r="M3266" s="6" t="s">
        <v>7537</v>
      </c>
      <c r="N3266" s="6" t="s">
        <v>132</v>
      </c>
      <c r="O3266" s="36" t="s">
        <v>132</v>
      </c>
      <c r="P3266" s="36">
        <v>1.325194106E9</v>
      </c>
      <c r="Q3266" s="36" t="s">
        <v>7541</v>
      </c>
      <c r="R3266" s="6" t="s">
        <v>7542</v>
      </c>
    </row>
    <row r="3267">
      <c r="A3267" s="6" t="s">
        <v>7537</v>
      </c>
      <c r="B3267" s="6" t="s">
        <v>7537</v>
      </c>
      <c r="C3267" s="6">
        <v>1658.0</v>
      </c>
      <c r="D3267" s="9" t="str">
        <f>HYPERLINK("https://www.linkedin.com/ad-library/detail/1329481896","Open Ad")</f>
        <v>Open Ad</v>
      </c>
      <c r="E3267" s="6" t="s">
        <v>7543</v>
      </c>
      <c r="F3267" s="6" t="s">
        <v>53</v>
      </c>
      <c r="G3267" s="6" t="s">
        <v>7864</v>
      </c>
      <c r="H3267" s="6" t="s">
        <v>55</v>
      </c>
      <c r="I3267" s="6" t="s">
        <v>7566</v>
      </c>
      <c r="J3267" s="6" t="s">
        <v>7546</v>
      </c>
      <c r="K3267" s="6" t="s">
        <v>60</v>
      </c>
      <c r="L3267" s="6" t="s">
        <v>131</v>
      </c>
      <c r="M3267" s="6" t="s">
        <v>7537</v>
      </c>
      <c r="N3267" s="6" t="s">
        <v>132</v>
      </c>
      <c r="O3267" s="36" t="s">
        <v>132</v>
      </c>
      <c r="P3267" s="36">
        <v>1.329481896E9</v>
      </c>
      <c r="Q3267" s="36" t="s">
        <v>7541</v>
      </c>
      <c r="R3267" s="6" t="s">
        <v>7542</v>
      </c>
    </row>
    <row r="3268">
      <c r="A3268" s="6" t="s">
        <v>7537</v>
      </c>
      <c r="B3268" s="6" t="s">
        <v>7537</v>
      </c>
      <c r="C3268" s="6">
        <v>1659.0</v>
      </c>
      <c r="D3268" s="9" t="str">
        <f>HYPERLINK("https://www.linkedin.com/ad-library/detail/1329481786","Open Ad")</f>
        <v>Open Ad</v>
      </c>
      <c r="E3268" s="6" t="s">
        <v>7543</v>
      </c>
      <c r="F3268" s="6" t="s">
        <v>53</v>
      </c>
      <c r="G3268" s="6" t="s">
        <v>7734</v>
      </c>
      <c r="H3268" s="6" t="s">
        <v>55</v>
      </c>
      <c r="I3268" s="6" t="s">
        <v>7566</v>
      </c>
      <c r="J3268" s="6" t="s">
        <v>7546</v>
      </c>
      <c r="K3268" s="6" t="s">
        <v>60</v>
      </c>
      <c r="L3268" s="6" t="s">
        <v>131</v>
      </c>
      <c r="M3268" s="6" t="s">
        <v>7537</v>
      </c>
      <c r="N3268" s="6" t="s">
        <v>132</v>
      </c>
      <c r="O3268" s="36" t="s">
        <v>132</v>
      </c>
      <c r="P3268" s="36">
        <v>1.329481786E9</v>
      </c>
      <c r="Q3268" s="36" t="s">
        <v>7541</v>
      </c>
      <c r="R3268" s="6" t="s">
        <v>7542</v>
      </c>
    </row>
    <row r="3269">
      <c r="A3269" s="6" t="s">
        <v>7537</v>
      </c>
      <c r="B3269" s="6" t="s">
        <v>7537</v>
      </c>
      <c r="C3269" s="6">
        <v>1660.0</v>
      </c>
      <c r="D3269" s="9" t="str">
        <f>HYPERLINK("https://www.linkedin.com/ad-library/detail/1328294666","Open Ad")</f>
        <v>Open Ad</v>
      </c>
      <c r="E3269" s="6" t="s">
        <v>7543</v>
      </c>
      <c r="F3269" s="6" t="s">
        <v>53</v>
      </c>
      <c r="G3269" s="6" t="s">
        <v>7859</v>
      </c>
      <c r="H3269" s="6" t="s">
        <v>55</v>
      </c>
      <c r="I3269" s="6" t="s">
        <v>7566</v>
      </c>
      <c r="J3269" s="6" t="s">
        <v>7546</v>
      </c>
      <c r="K3269" s="6" t="s">
        <v>60</v>
      </c>
      <c r="L3269" s="6" t="s">
        <v>131</v>
      </c>
      <c r="M3269" s="6" t="s">
        <v>7537</v>
      </c>
      <c r="N3269" s="6" t="s">
        <v>132</v>
      </c>
      <c r="O3269" s="36" t="s">
        <v>132</v>
      </c>
      <c r="P3269" s="36">
        <v>1.328294666E9</v>
      </c>
      <c r="Q3269" s="36" t="s">
        <v>7541</v>
      </c>
      <c r="R3269" s="6" t="s">
        <v>7542</v>
      </c>
    </row>
    <row r="3270">
      <c r="A3270" s="6" t="s">
        <v>7537</v>
      </c>
      <c r="B3270" s="6" t="s">
        <v>7537</v>
      </c>
      <c r="C3270" s="6">
        <v>1661.0</v>
      </c>
      <c r="D3270" s="9" t="str">
        <f>HYPERLINK("https://www.linkedin.com/ad-library/detail/1303590706","Open Ad")</f>
        <v>Open Ad</v>
      </c>
      <c r="E3270" s="6" t="s">
        <v>91</v>
      </c>
      <c r="F3270" s="6" t="s">
        <v>53</v>
      </c>
      <c r="G3270" s="6" t="s">
        <v>7889</v>
      </c>
      <c r="H3270" s="6" t="s">
        <v>55</v>
      </c>
      <c r="I3270" s="6" t="s">
        <v>7566</v>
      </c>
      <c r="J3270" s="6" t="s">
        <v>91</v>
      </c>
      <c r="K3270" s="9" t="str">
        <f>HYPERLINK("https://media.licdn.com/dms/image/v2/D4E10AQFCQW8fh4aY8A/image-shrink_1280/B4EZxTAotgHQAg-/0/1770919203244?e=2147483647&amp;v=beta&amp;t=LXe_24UJFPiVAOmUta1JT6QrVMpSXntHxsQxYhRYSMs","Open Creative")</f>
        <v>Open Creative</v>
      </c>
      <c r="L3270" s="6" t="s">
        <v>131</v>
      </c>
      <c r="M3270" s="6" t="s">
        <v>7537</v>
      </c>
      <c r="N3270" s="6" t="s">
        <v>132</v>
      </c>
      <c r="O3270" s="36" t="s">
        <v>132</v>
      </c>
      <c r="P3270" s="36">
        <v>1.303590706E9</v>
      </c>
      <c r="Q3270" s="36" t="s">
        <v>7541</v>
      </c>
      <c r="R3270" s="6" t="s">
        <v>7542</v>
      </c>
    </row>
    <row r="3271">
      <c r="A3271" s="6" t="s">
        <v>7537</v>
      </c>
      <c r="B3271" s="6" t="s">
        <v>7537</v>
      </c>
      <c r="C3271" s="6">
        <v>1662.0</v>
      </c>
      <c r="D3271" s="9" t="str">
        <f>HYPERLINK("https://www.linkedin.com/ad-library/detail/1328294646","Open Ad")</f>
        <v>Open Ad</v>
      </c>
      <c r="E3271" s="6" t="s">
        <v>7543</v>
      </c>
      <c r="F3271" s="6" t="s">
        <v>53</v>
      </c>
      <c r="G3271" s="6" t="s">
        <v>7864</v>
      </c>
      <c r="H3271" s="6" t="s">
        <v>55</v>
      </c>
      <c r="I3271" s="6" t="s">
        <v>7566</v>
      </c>
      <c r="J3271" s="6" t="s">
        <v>7546</v>
      </c>
      <c r="K3271" s="6" t="s">
        <v>60</v>
      </c>
      <c r="L3271" s="6" t="s">
        <v>131</v>
      </c>
      <c r="M3271" s="6" t="s">
        <v>7537</v>
      </c>
      <c r="N3271" s="6" t="s">
        <v>132</v>
      </c>
      <c r="O3271" s="36" t="s">
        <v>132</v>
      </c>
      <c r="P3271" s="36">
        <v>1.328294646E9</v>
      </c>
      <c r="Q3271" s="36" t="s">
        <v>7541</v>
      </c>
      <c r="R3271" s="6" t="s">
        <v>7542</v>
      </c>
    </row>
    <row r="3272">
      <c r="A3272" s="6" t="s">
        <v>7537</v>
      </c>
      <c r="B3272" s="6" t="s">
        <v>7537</v>
      </c>
      <c r="C3272" s="6">
        <v>1663.0</v>
      </c>
      <c r="D3272" s="9" t="str">
        <f>HYPERLINK("https://www.linkedin.com/ad-library/detail/1325792416","Open Ad")</f>
        <v>Open Ad</v>
      </c>
      <c r="E3272" s="6" t="s">
        <v>91</v>
      </c>
      <c r="F3272" s="6" t="s">
        <v>53</v>
      </c>
      <c r="G3272" s="6" t="s">
        <v>7890</v>
      </c>
      <c r="H3272" s="6" t="s">
        <v>55</v>
      </c>
      <c r="I3272" s="6" t="s">
        <v>7566</v>
      </c>
      <c r="J3272" s="6" t="s">
        <v>91</v>
      </c>
      <c r="K3272" s="9" t="str">
        <f t="shared" ref="K3272:K3275" si="171">HYPERLINK("https://media.licdn.com/dms/image/v2/D4E10AQE3uB-YiUS-ew/image-shrink_1280/B4EZxXUNZzIgAo-/0/1770991442473?e=2147483647&amp;v=beta&amp;t=cWvhGIp7WsDWS9pixDdZ-W60Rf6jvG15FxsmkmxZxCo","Open Creative")</f>
        <v>Open Creative</v>
      </c>
      <c r="L3272" s="6" t="s">
        <v>131</v>
      </c>
      <c r="M3272" s="6" t="s">
        <v>7537</v>
      </c>
      <c r="N3272" s="6" t="s">
        <v>132</v>
      </c>
      <c r="O3272" s="36" t="s">
        <v>132</v>
      </c>
      <c r="P3272" s="36">
        <v>1.325792416E9</v>
      </c>
      <c r="Q3272" s="36" t="s">
        <v>7541</v>
      </c>
      <c r="R3272" s="6" t="s">
        <v>7542</v>
      </c>
    </row>
    <row r="3273">
      <c r="A3273" s="6" t="s">
        <v>7537</v>
      </c>
      <c r="B3273" s="6" t="s">
        <v>7537</v>
      </c>
      <c r="C3273" s="6">
        <v>1664.0</v>
      </c>
      <c r="D3273" s="9" t="str">
        <f>HYPERLINK("https://www.linkedin.com/ad-library/detail/1328391566","Open Ad")</f>
        <v>Open Ad</v>
      </c>
      <c r="E3273" s="6" t="s">
        <v>91</v>
      </c>
      <c r="F3273" s="6" t="s">
        <v>53</v>
      </c>
      <c r="G3273" s="6" t="s">
        <v>7890</v>
      </c>
      <c r="H3273" s="6" t="s">
        <v>55</v>
      </c>
      <c r="I3273" s="6" t="s">
        <v>7566</v>
      </c>
      <c r="J3273" s="6" t="s">
        <v>91</v>
      </c>
      <c r="K3273" s="9" t="str">
        <f t="shared" si="171"/>
        <v>Open Creative</v>
      </c>
      <c r="L3273" s="6" t="s">
        <v>131</v>
      </c>
      <c r="M3273" s="6" t="s">
        <v>7537</v>
      </c>
      <c r="N3273" s="6" t="s">
        <v>132</v>
      </c>
      <c r="O3273" s="36" t="s">
        <v>132</v>
      </c>
      <c r="P3273" s="36">
        <v>1.328391566E9</v>
      </c>
      <c r="Q3273" s="36" t="s">
        <v>7541</v>
      </c>
      <c r="R3273" s="6" t="s">
        <v>7542</v>
      </c>
    </row>
    <row r="3274">
      <c r="A3274" s="6" t="s">
        <v>7537</v>
      </c>
      <c r="B3274" s="6" t="s">
        <v>7537</v>
      </c>
      <c r="C3274" s="6">
        <v>1665.0</v>
      </c>
      <c r="D3274" s="9" t="str">
        <f>HYPERLINK("https://www.linkedin.com/ad-library/detail/1325991766","Open Ad")</f>
        <v>Open Ad</v>
      </c>
      <c r="E3274" s="6" t="s">
        <v>91</v>
      </c>
      <c r="F3274" s="6" t="s">
        <v>53</v>
      </c>
      <c r="G3274" s="6" t="s">
        <v>7890</v>
      </c>
      <c r="H3274" s="6" t="s">
        <v>55</v>
      </c>
      <c r="I3274" s="6" t="s">
        <v>7566</v>
      </c>
      <c r="J3274" s="6" t="s">
        <v>91</v>
      </c>
      <c r="K3274" s="9" t="str">
        <f t="shared" si="171"/>
        <v>Open Creative</v>
      </c>
      <c r="L3274" s="6" t="s">
        <v>131</v>
      </c>
      <c r="M3274" s="6" t="s">
        <v>7537</v>
      </c>
      <c r="N3274" s="6" t="s">
        <v>132</v>
      </c>
      <c r="O3274" s="36" t="s">
        <v>132</v>
      </c>
      <c r="P3274" s="36">
        <v>1.325991766E9</v>
      </c>
      <c r="Q3274" s="36" t="s">
        <v>7541</v>
      </c>
      <c r="R3274" s="6" t="s">
        <v>7542</v>
      </c>
    </row>
    <row r="3275">
      <c r="A3275" s="6" t="s">
        <v>7537</v>
      </c>
      <c r="B3275" s="6" t="s">
        <v>7537</v>
      </c>
      <c r="C3275" s="6">
        <v>1666.0</v>
      </c>
      <c r="D3275" s="9" t="str">
        <f>HYPERLINK("https://www.linkedin.com/ad-library/detail/1325991776","Open Ad")</f>
        <v>Open Ad</v>
      </c>
      <c r="E3275" s="6" t="s">
        <v>91</v>
      </c>
      <c r="F3275" s="6" t="s">
        <v>53</v>
      </c>
      <c r="G3275" s="6" t="s">
        <v>7890</v>
      </c>
      <c r="H3275" s="6" t="s">
        <v>55</v>
      </c>
      <c r="I3275" s="6" t="s">
        <v>7566</v>
      </c>
      <c r="J3275" s="6" t="s">
        <v>91</v>
      </c>
      <c r="K3275" s="9" t="str">
        <f t="shared" si="171"/>
        <v>Open Creative</v>
      </c>
      <c r="L3275" s="6" t="s">
        <v>131</v>
      </c>
      <c r="M3275" s="6" t="s">
        <v>7537</v>
      </c>
      <c r="N3275" s="6" t="s">
        <v>132</v>
      </c>
      <c r="O3275" s="36" t="s">
        <v>132</v>
      </c>
      <c r="P3275" s="36">
        <v>1.325991776E9</v>
      </c>
      <c r="Q3275" s="36" t="s">
        <v>7541</v>
      </c>
      <c r="R3275" s="6" t="s">
        <v>7542</v>
      </c>
    </row>
    <row r="3276">
      <c r="A3276" s="6" t="s">
        <v>7537</v>
      </c>
      <c r="B3276" s="6" t="s">
        <v>7537</v>
      </c>
      <c r="C3276" s="6">
        <v>1667.0</v>
      </c>
      <c r="D3276" s="9" t="str">
        <f>HYPERLINK("https://www.linkedin.com/ad-library/detail/1325996726","Open Ad")</f>
        <v>Open Ad</v>
      </c>
      <c r="E3276" s="6" t="s">
        <v>7543</v>
      </c>
      <c r="F3276" s="6" t="s">
        <v>53</v>
      </c>
      <c r="G3276" s="6" t="s">
        <v>7859</v>
      </c>
      <c r="H3276" s="6" t="s">
        <v>55</v>
      </c>
      <c r="I3276" s="6" t="s">
        <v>7566</v>
      </c>
      <c r="J3276" s="6" t="s">
        <v>7546</v>
      </c>
      <c r="K3276" s="6" t="s">
        <v>60</v>
      </c>
      <c r="L3276" s="6" t="s">
        <v>131</v>
      </c>
      <c r="M3276" s="6" t="s">
        <v>7537</v>
      </c>
      <c r="N3276" s="6" t="s">
        <v>132</v>
      </c>
      <c r="O3276" s="36" t="s">
        <v>132</v>
      </c>
      <c r="P3276" s="36">
        <v>1.325996726E9</v>
      </c>
      <c r="Q3276" s="36" t="s">
        <v>7541</v>
      </c>
      <c r="R3276" s="6" t="s">
        <v>7542</v>
      </c>
    </row>
    <row r="3277">
      <c r="A3277" s="6" t="s">
        <v>7537</v>
      </c>
      <c r="B3277" s="6" t="s">
        <v>7537</v>
      </c>
      <c r="C3277" s="6">
        <v>1668.0</v>
      </c>
      <c r="D3277" s="9" t="str">
        <f>HYPERLINK("https://www.linkedin.com/ad-library/detail/1325694206","Open Ad")</f>
        <v>Open Ad</v>
      </c>
      <c r="E3277" s="6" t="s">
        <v>7543</v>
      </c>
      <c r="F3277" s="6" t="s">
        <v>53</v>
      </c>
      <c r="G3277" s="6" t="s">
        <v>7864</v>
      </c>
      <c r="H3277" s="6" t="s">
        <v>55</v>
      </c>
      <c r="I3277" s="6" t="s">
        <v>7566</v>
      </c>
      <c r="J3277" s="6" t="s">
        <v>7546</v>
      </c>
      <c r="K3277" s="6" t="s">
        <v>60</v>
      </c>
      <c r="L3277" s="6" t="s">
        <v>131</v>
      </c>
      <c r="M3277" s="6" t="s">
        <v>7537</v>
      </c>
      <c r="N3277" s="6" t="s">
        <v>132</v>
      </c>
      <c r="O3277" s="36" t="s">
        <v>132</v>
      </c>
      <c r="P3277" s="36">
        <v>1.325694206E9</v>
      </c>
      <c r="Q3277" s="36" t="s">
        <v>7541</v>
      </c>
      <c r="R3277" s="6" t="s">
        <v>7542</v>
      </c>
    </row>
    <row r="3278">
      <c r="A3278" s="6" t="s">
        <v>7537</v>
      </c>
      <c r="B3278" s="6" t="s">
        <v>7537</v>
      </c>
      <c r="C3278" s="6">
        <v>1669.0</v>
      </c>
      <c r="D3278" s="9" t="str">
        <f>HYPERLINK("https://www.linkedin.com/ad-library/detail/1328297376","Open Ad")</f>
        <v>Open Ad</v>
      </c>
      <c r="E3278" s="6" t="s">
        <v>7543</v>
      </c>
      <c r="F3278" s="6" t="s">
        <v>53</v>
      </c>
      <c r="G3278" s="6" t="s">
        <v>7864</v>
      </c>
      <c r="H3278" s="6" t="s">
        <v>55</v>
      </c>
      <c r="I3278" s="6" t="s">
        <v>7566</v>
      </c>
      <c r="J3278" s="6" t="s">
        <v>7546</v>
      </c>
      <c r="K3278" s="6" t="s">
        <v>60</v>
      </c>
      <c r="L3278" s="6" t="s">
        <v>131</v>
      </c>
      <c r="M3278" s="6" t="s">
        <v>7537</v>
      </c>
      <c r="N3278" s="6" t="s">
        <v>132</v>
      </c>
      <c r="O3278" s="36" t="s">
        <v>132</v>
      </c>
      <c r="P3278" s="36">
        <v>1.328297376E9</v>
      </c>
      <c r="Q3278" s="36" t="s">
        <v>7541</v>
      </c>
      <c r="R3278" s="6" t="s">
        <v>7542</v>
      </c>
    </row>
    <row r="3279">
      <c r="A3279" s="6" t="s">
        <v>7537</v>
      </c>
      <c r="B3279" s="6" t="s">
        <v>7537</v>
      </c>
      <c r="C3279" s="6">
        <v>1670.0</v>
      </c>
      <c r="D3279" s="9" t="str">
        <f>HYPERLINK("https://www.linkedin.com/ad-library/detail/1329384436","Open Ad")</f>
        <v>Open Ad</v>
      </c>
      <c r="E3279" s="6" t="s">
        <v>7543</v>
      </c>
      <c r="F3279" s="6" t="s">
        <v>53</v>
      </c>
      <c r="G3279" s="6" t="s">
        <v>7864</v>
      </c>
      <c r="H3279" s="6" t="s">
        <v>55</v>
      </c>
      <c r="I3279" s="6" t="s">
        <v>7566</v>
      </c>
      <c r="J3279" s="6" t="s">
        <v>7546</v>
      </c>
      <c r="K3279" s="6" t="s">
        <v>60</v>
      </c>
      <c r="L3279" s="6" t="s">
        <v>131</v>
      </c>
      <c r="M3279" s="6" t="s">
        <v>7537</v>
      </c>
      <c r="N3279" s="6" t="s">
        <v>132</v>
      </c>
      <c r="O3279" s="36" t="s">
        <v>132</v>
      </c>
      <c r="P3279" s="36">
        <v>1.329384436E9</v>
      </c>
      <c r="Q3279" s="36" t="s">
        <v>7541</v>
      </c>
      <c r="R3279" s="6" t="s">
        <v>7542</v>
      </c>
    </row>
    <row r="3280">
      <c r="A3280" s="6" t="s">
        <v>7537</v>
      </c>
      <c r="B3280" s="6" t="s">
        <v>7537</v>
      </c>
      <c r="C3280" s="6">
        <v>1671.0</v>
      </c>
      <c r="D3280" s="9" t="str">
        <f>HYPERLINK("https://www.linkedin.com/ad-library/detail/1324296626","Open Ad")</f>
        <v>Open Ad</v>
      </c>
      <c r="E3280" s="6" t="s">
        <v>7543</v>
      </c>
      <c r="F3280" s="6" t="s">
        <v>53</v>
      </c>
      <c r="G3280" s="6" t="s">
        <v>7891</v>
      </c>
      <c r="H3280" s="6" t="s">
        <v>55</v>
      </c>
      <c r="I3280" s="6" t="s">
        <v>7566</v>
      </c>
      <c r="J3280" s="6" t="s">
        <v>7546</v>
      </c>
      <c r="K3280" s="6" t="s">
        <v>60</v>
      </c>
      <c r="L3280" s="6" t="s">
        <v>131</v>
      </c>
      <c r="M3280" s="6" t="s">
        <v>7537</v>
      </c>
      <c r="N3280" s="6" t="s">
        <v>132</v>
      </c>
      <c r="O3280" s="36" t="s">
        <v>132</v>
      </c>
      <c r="P3280" s="36">
        <v>1.324296626E9</v>
      </c>
      <c r="Q3280" s="36" t="s">
        <v>7541</v>
      </c>
      <c r="R3280" s="6" t="s">
        <v>7542</v>
      </c>
    </row>
    <row r="3281">
      <c r="A3281" s="6" t="s">
        <v>7537</v>
      </c>
      <c r="B3281" s="6" t="s">
        <v>7537</v>
      </c>
      <c r="C3281" s="6">
        <v>1672.0</v>
      </c>
      <c r="D3281" s="9" t="str">
        <f>HYPERLINK("https://www.linkedin.com/ad-library/detail/1144007124","Open Ad")</f>
        <v>Open Ad</v>
      </c>
      <c r="E3281" s="6" t="s">
        <v>91</v>
      </c>
      <c r="F3281" s="6" t="s">
        <v>53</v>
      </c>
      <c r="G3281" s="6" t="s">
        <v>7892</v>
      </c>
      <c r="H3281" s="6" t="s">
        <v>55</v>
      </c>
      <c r="I3281" s="6" t="s">
        <v>7566</v>
      </c>
      <c r="J3281" s="6" t="s">
        <v>91</v>
      </c>
      <c r="K3281" s="6" t="s">
        <v>60</v>
      </c>
      <c r="L3281" s="6" t="s">
        <v>131</v>
      </c>
      <c r="M3281" s="6" t="s">
        <v>7537</v>
      </c>
      <c r="N3281" s="6" t="s">
        <v>132</v>
      </c>
      <c r="O3281" s="36" t="s">
        <v>132</v>
      </c>
      <c r="P3281" s="36">
        <v>1.144007124E9</v>
      </c>
      <c r="Q3281" s="36" t="s">
        <v>7541</v>
      </c>
      <c r="R3281" s="6" t="s">
        <v>7542</v>
      </c>
    </row>
    <row r="3282">
      <c r="A3282" s="6" t="s">
        <v>7537</v>
      </c>
      <c r="B3282" s="6" t="s">
        <v>7537</v>
      </c>
      <c r="C3282" s="6">
        <v>1673.0</v>
      </c>
      <c r="D3282" s="9" t="str">
        <f>HYPERLINK("https://www.linkedin.com/ad-library/detail/1324296656","Open Ad")</f>
        <v>Open Ad</v>
      </c>
      <c r="E3282" s="6" t="s">
        <v>7543</v>
      </c>
      <c r="F3282" s="6" t="s">
        <v>53</v>
      </c>
      <c r="G3282" s="6" t="s">
        <v>7859</v>
      </c>
      <c r="H3282" s="6" t="s">
        <v>55</v>
      </c>
      <c r="I3282" s="6" t="s">
        <v>7566</v>
      </c>
      <c r="J3282" s="6" t="s">
        <v>7546</v>
      </c>
      <c r="K3282" s="6" t="s">
        <v>60</v>
      </c>
      <c r="L3282" s="6" t="s">
        <v>131</v>
      </c>
      <c r="M3282" s="6" t="s">
        <v>7537</v>
      </c>
      <c r="N3282" s="6" t="s">
        <v>132</v>
      </c>
      <c r="O3282" s="36" t="s">
        <v>132</v>
      </c>
      <c r="P3282" s="36">
        <v>1.324296656E9</v>
      </c>
      <c r="Q3282" s="36" t="s">
        <v>7541</v>
      </c>
      <c r="R3282" s="6" t="s">
        <v>7542</v>
      </c>
    </row>
    <row r="3283">
      <c r="A3283" s="6" t="s">
        <v>7537</v>
      </c>
      <c r="B3283" s="6" t="s">
        <v>7537</v>
      </c>
      <c r="C3283" s="6">
        <v>1674.0</v>
      </c>
      <c r="D3283" s="9" t="str">
        <f>HYPERLINK("https://www.linkedin.com/ad-library/detail/1324294026","Open Ad")</f>
        <v>Open Ad</v>
      </c>
      <c r="E3283" s="6" t="s">
        <v>7543</v>
      </c>
      <c r="F3283" s="6" t="s">
        <v>53</v>
      </c>
      <c r="G3283" s="6" t="s">
        <v>7734</v>
      </c>
      <c r="H3283" s="6" t="s">
        <v>55</v>
      </c>
      <c r="I3283" s="6" t="s">
        <v>7566</v>
      </c>
      <c r="J3283" s="6" t="s">
        <v>7546</v>
      </c>
      <c r="K3283" s="6" t="s">
        <v>60</v>
      </c>
      <c r="L3283" s="6" t="s">
        <v>131</v>
      </c>
      <c r="M3283" s="6" t="s">
        <v>7537</v>
      </c>
      <c r="N3283" s="6" t="s">
        <v>132</v>
      </c>
      <c r="O3283" s="36" t="s">
        <v>132</v>
      </c>
      <c r="P3283" s="36">
        <v>1.324294026E9</v>
      </c>
      <c r="Q3283" s="36" t="s">
        <v>7541</v>
      </c>
      <c r="R3283" s="6" t="s">
        <v>7542</v>
      </c>
    </row>
    <row r="3284">
      <c r="A3284" s="6" t="s">
        <v>7537</v>
      </c>
      <c r="B3284" s="6" t="s">
        <v>7537</v>
      </c>
      <c r="C3284" s="6">
        <v>1675.0</v>
      </c>
      <c r="D3284" s="9" t="str">
        <f>HYPERLINK("https://www.linkedin.com/ad-library/detail/1328687636","Open Ad")</f>
        <v>Open Ad</v>
      </c>
      <c r="E3284" s="6" t="s">
        <v>7543</v>
      </c>
      <c r="F3284" s="6" t="s">
        <v>53</v>
      </c>
      <c r="G3284" s="6" t="s">
        <v>7734</v>
      </c>
      <c r="H3284" s="6" t="s">
        <v>55</v>
      </c>
      <c r="I3284" s="6" t="s">
        <v>7566</v>
      </c>
      <c r="J3284" s="6" t="s">
        <v>7546</v>
      </c>
      <c r="K3284" s="6" t="s">
        <v>60</v>
      </c>
      <c r="L3284" s="6" t="s">
        <v>131</v>
      </c>
      <c r="M3284" s="6" t="s">
        <v>7537</v>
      </c>
      <c r="N3284" s="6" t="s">
        <v>132</v>
      </c>
      <c r="O3284" s="36" t="s">
        <v>132</v>
      </c>
      <c r="P3284" s="36">
        <v>1.328687636E9</v>
      </c>
      <c r="Q3284" s="36" t="s">
        <v>7541</v>
      </c>
      <c r="R3284" s="6" t="s">
        <v>7542</v>
      </c>
    </row>
    <row r="3285">
      <c r="A3285" s="6" t="s">
        <v>7537</v>
      </c>
      <c r="B3285" s="6" t="s">
        <v>7537</v>
      </c>
      <c r="C3285" s="6">
        <v>1676.0</v>
      </c>
      <c r="D3285" s="9" t="str">
        <f>HYPERLINK("https://www.linkedin.com/ad-library/detail/1325094456","Open Ad")</f>
        <v>Open Ad</v>
      </c>
      <c r="E3285" s="6" t="s">
        <v>7543</v>
      </c>
      <c r="F3285" s="6" t="s">
        <v>53</v>
      </c>
      <c r="G3285" s="6" t="s">
        <v>7864</v>
      </c>
      <c r="H3285" s="6" t="s">
        <v>55</v>
      </c>
      <c r="I3285" s="6" t="s">
        <v>7566</v>
      </c>
      <c r="J3285" s="6" t="s">
        <v>7546</v>
      </c>
      <c r="K3285" s="6" t="s">
        <v>60</v>
      </c>
      <c r="L3285" s="6" t="s">
        <v>131</v>
      </c>
      <c r="M3285" s="6" t="s">
        <v>7537</v>
      </c>
      <c r="N3285" s="6" t="s">
        <v>132</v>
      </c>
      <c r="O3285" s="36" t="s">
        <v>132</v>
      </c>
      <c r="P3285" s="36">
        <v>1.325094456E9</v>
      </c>
      <c r="Q3285" s="36" t="s">
        <v>7541</v>
      </c>
      <c r="R3285" s="6" t="s">
        <v>7542</v>
      </c>
    </row>
    <row r="3286">
      <c r="A3286" s="6" t="s">
        <v>7537</v>
      </c>
      <c r="B3286" s="6" t="s">
        <v>7537</v>
      </c>
      <c r="C3286" s="6">
        <v>1677.0</v>
      </c>
      <c r="D3286" s="9" t="str">
        <f>HYPERLINK("https://www.linkedin.com/ad-library/detail/1325898616","Open Ad")</f>
        <v>Open Ad</v>
      </c>
      <c r="E3286" s="6" t="s">
        <v>7543</v>
      </c>
      <c r="F3286" s="6" t="s">
        <v>53</v>
      </c>
      <c r="G3286" s="6" t="s">
        <v>7734</v>
      </c>
      <c r="H3286" s="6" t="s">
        <v>55</v>
      </c>
      <c r="I3286" s="6" t="s">
        <v>7566</v>
      </c>
      <c r="J3286" s="6" t="s">
        <v>7546</v>
      </c>
      <c r="K3286" s="6" t="s">
        <v>60</v>
      </c>
      <c r="L3286" s="6" t="s">
        <v>131</v>
      </c>
      <c r="M3286" s="6" t="s">
        <v>7537</v>
      </c>
      <c r="N3286" s="6" t="s">
        <v>132</v>
      </c>
      <c r="O3286" s="36" t="s">
        <v>132</v>
      </c>
      <c r="P3286" s="36">
        <v>1.325898616E9</v>
      </c>
      <c r="Q3286" s="36" t="s">
        <v>7541</v>
      </c>
      <c r="R3286" s="6" t="s">
        <v>7542</v>
      </c>
    </row>
    <row r="3287">
      <c r="A3287" s="6" t="s">
        <v>7537</v>
      </c>
      <c r="B3287" s="6" t="s">
        <v>7537</v>
      </c>
      <c r="C3287" s="6">
        <v>1678.0</v>
      </c>
      <c r="D3287" s="9" t="str">
        <f>HYPERLINK("https://www.linkedin.com/ad-library/detail/1299990256","Open Ad")</f>
        <v>Open Ad</v>
      </c>
      <c r="E3287" s="6" t="s">
        <v>91</v>
      </c>
      <c r="F3287" s="6" t="s">
        <v>53</v>
      </c>
      <c r="G3287" s="6" t="s">
        <v>7889</v>
      </c>
      <c r="H3287" s="6" t="s">
        <v>55</v>
      </c>
      <c r="I3287" s="6" t="s">
        <v>7566</v>
      </c>
      <c r="J3287" s="6" t="s">
        <v>91</v>
      </c>
      <c r="K3287" s="9" t="str">
        <f>HYPERLINK("https://media.licdn.com/dms/image/v2/D4E10AQFCQW8fh4aY8A/image-shrink_1280/B4EZxTAotgHQAg-/0/1770919203244?e=2147483647&amp;v=beta&amp;t=LXe_24UJFPiVAOmUta1JT6QrVMpSXntHxsQxYhRYSMs","Open Creative")</f>
        <v>Open Creative</v>
      </c>
      <c r="L3287" s="6" t="s">
        <v>131</v>
      </c>
      <c r="M3287" s="6" t="s">
        <v>7537</v>
      </c>
      <c r="N3287" s="6" t="s">
        <v>132</v>
      </c>
      <c r="O3287" s="36" t="s">
        <v>132</v>
      </c>
      <c r="P3287" s="36">
        <v>1.299990256E9</v>
      </c>
      <c r="Q3287" s="36" t="s">
        <v>7541</v>
      </c>
      <c r="R3287" s="6" t="s">
        <v>7542</v>
      </c>
    </row>
    <row r="3288">
      <c r="A3288" s="6" t="s">
        <v>7537</v>
      </c>
      <c r="B3288" s="6" t="s">
        <v>7537</v>
      </c>
      <c r="C3288" s="6">
        <v>1679.0</v>
      </c>
      <c r="D3288" s="9" t="str">
        <f>HYPERLINK("https://www.linkedin.com/ad-library/detail/1328690166","Open Ad")</f>
        <v>Open Ad</v>
      </c>
      <c r="E3288" s="6" t="s">
        <v>91</v>
      </c>
      <c r="F3288" s="6" t="s">
        <v>53</v>
      </c>
      <c r="G3288" s="6" t="s">
        <v>7871</v>
      </c>
      <c r="H3288" s="6" t="s">
        <v>55</v>
      </c>
      <c r="I3288" s="6" t="s">
        <v>7566</v>
      </c>
      <c r="J3288" s="6" t="s">
        <v>91</v>
      </c>
      <c r="K3288" s="9" t="str">
        <f>HYPERLINK("https://media.licdn.com/dms/image/v2/D4E22AQFy1Oz048X5Zw/feedshare-shrink_1280/B4EZxsp.7NIsAg-/0/1771349471279?e=2147483647&amp;v=beta&amp;t=vIsxUzaS4oXWbQU3DX8AsKdV3pQR5qqC3FIkevYbeR0","Open Creative")</f>
        <v>Open Creative</v>
      </c>
      <c r="L3288" s="6" t="s">
        <v>131</v>
      </c>
      <c r="M3288" s="6" t="s">
        <v>7537</v>
      </c>
      <c r="N3288" s="6" t="s">
        <v>132</v>
      </c>
      <c r="O3288" s="36" t="s">
        <v>132</v>
      </c>
      <c r="P3288" s="36">
        <v>1.328690166E9</v>
      </c>
      <c r="Q3288" s="36" t="s">
        <v>7541</v>
      </c>
      <c r="R3288" s="6" t="s">
        <v>7542</v>
      </c>
    </row>
    <row r="3289">
      <c r="A3289" s="6" t="s">
        <v>7537</v>
      </c>
      <c r="B3289" s="6" t="s">
        <v>7537</v>
      </c>
      <c r="C3289" s="6">
        <v>1680.0</v>
      </c>
      <c r="D3289" s="9" t="str">
        <f>HYPERLINK("https://www.linkedin.com/ad-library/detail/1325891606","Open Ad")</f>
        <v>Open Ad</v>
      </c>
      <c r="E3289" s="6" t="s">
        <v>91</v>
      </c>
      <c r="F3289" s="6" t="s">
        <v>53</v>
      </c>
      <c r="G3289" s="6" t="s">
        <v>7890</v>
      </c>
      <c r="H3289" s="6" t="s">
        <v>55</v>
      </c>
      <c r="I3289" s="6" t="s">
        <v>7566</v>
      </c>
      <c r="J3289" s="6" t="s">
        <v>91</v>
      </c>
      <c r="K3289" s="9" t="str">
        <f>HYPERLINK("https://media.licdn.com/dms/image/v2/D4E10AQE3uB-YiUS-ew/image-shrink_1280/B4EZxXUNZzIgAo-/0/1770991442473?e=2147483647&amp;v=beta&amp;t=cWvhGIp7WsDWS9pixDdZ-W60Rf6jvG15FxsmkmxZxCo","Open Creative")</f>
        <v>Open Creative</v>
      </c>
      <c r="L3289" s="6" t="s">
        <v>131</v>
      </c>
      <c r="M3289" s="6" t="s">
        <v>7537</v>
      </c>
      <c r="N3289" s="6" t="s">
        <v>132</v>
      </c>
      <c r="O3289" s="36" t="s">
        <v>132</v>
      </c>
      <c r="P3289" s="36">
        <v>1.325891606E9</v>
      </c>
      <c r="Q3289" s="36" t="s">
        <v>7541</v>
      </c>
      <c r="R3289" s="6" t="s">
        <v>7542</v>
      </c>
    </row>
    <row r="3290">
      <c r="A3290" s="6" t="s">
        <v>7537</v>
      </c>
      <c r="B3290" s="6" t="s">
        <v>7537</v>
      </c>
      <c r="C3290" s="6">
        <v>1681.0</v>
      </c>
      <c r="D3290" s="9" t="str">
        <f>HYPERLINK("https://www.linkedin.com/ad-library/detail/1303290316","Open Ad")</f>
        <v>Open Ad</v>
      </c>
      <c r="E3290" s="6" t="s">
        <v>154</v>
      </c>
      <c r="F3290" s="6" t="s">
        <v>53</v>
      </c>
      <c r="G3290" s="6" t="s">
        <v>7893</v>
      </c>
      <c r="H3290" s="6" t="s">
        <v>55</v>
      </c>
      <c r="I3290" s="6" t="s">
        <v>7566</v>
      </c>
      <c r="J3290" s="6" t="s">
        <v>154</v>
      </c>
      <c r="K3290" s="9" t="str">
        <f>HYPERLINK("https://dms.licdn.com/playlist/vid/v2/D4E05AQEpBWsyXLYxVA/mp4-720p-30fp-crf28/B4EZxShjNpLECM-/0/1770911055018?e=2147483647&amp;v=beta&amp;t=jF08yNbgegZJ7F81kQkBFCOxMy5tel4vGsQQMa4yiTY","Open Creative")</f>
        <v>Open Creative</v>
      </c>
      <c r="L3290" s="6" t="s">
        <v>131</v>
      </c>
      <c r="M3290" s="6" t="s">
        <v>7537</v>
      </c>
      <c r="N3290" s="6" t="s">
        <v>132</v>
      </c>
      <c r="O3290" s="36" t="s">
        <v>132</v>
      </c>
      <c r="P3290" s="36">
        <v>1.303290316E9</v>
      </c>
      <c r="Q3290" s="36" t="s">
        <v>7541</v>
      </c>
      <c r="R3290" s="6" t="s">
        <v>7542</v>
      </c>
    </row>
    <row r="3291">
      <c r="A3291" s="6" t="s">
        <v>7537</v>
      </c>
      <c r="B3291" s="6" t="s">
        <v>7537</v>
      </c>
      <c r="C3291" s="6">
        <v>1682.0</v>
      </c>
      <c r="D3291" s="9" t="str">
        <f>HYPERLINK("https://www.linkedin.com/ad-library/detail/1142700194","Open Ad")</f>
        <v>Open Ad</v>
      </c>
      <c r="E3291" s="6" t="s">
        <v>91</v>
      </c>
      <c r="F3291" s="6" t="s">
        <v>53</v>
      </c>
      <c r="G3291" s="6" t="s">
        <v>7713</v>
      </c>
      <c r="H3291" s="6" t="s">
        <v>55</v>
      </c>
      <c r="I3291" s="6" t="s">
        <v>7566</v>
      </c>
      <c r="J3291" s="6" t="s">
        <v>91</v>
      </c>
      <c r="K3291" s="9" t="str">
        <f>HYPERLINK("https://media.licdn.com/dms/image/v2/D4E10AQEcSUFXsoAgQQ/image-shrink_1280/B4EZw03JayIIAc-/0/1770413398027/LinkedAdFeb2026V2jpg?e=2147483647&amp;v=beta&amp;t=-qcEkfKa_Zed6E7-xsaw9v1L6Xoxqy_6nWbWlmeo8zs","Open Creative")</f>
        <v>Open Creative</v>
      </c>
      <c r="L3291" s="6" t="s">
        <v>131</v>
      </c>
      <c r="M3291" s="6" t="s">
        <v>7537</v>
      </c>
      <c r="N3291" s="6" t="s">
        <v>132</v>
      </c>
      <c r="O3291" s="36" t="s">
        <v>132</v>
      </c>
      <c r="P3291" s="36">
        <v>1.142700194E9</v>
      </c>
      <c r="Q3291" s="36" t="s">
        <v>7541</v>
      </c>
      <c r="R3291" s="6" t="s">
        <v>7542</v>
      </c>
    </row>
    <row r="3292">
      <c r="A3292" s="6" t="s">
        <v>7537</v>
      </c>
      <c r="B3292" s="6" t="s">
        <v>7537</v>
      </c>
      <c r="C3292" s="6">
        <v>1683.0</v>
      </c>
      <c r="D3292" s="9" t="str">
        <f>HYPERLINK("https://www.linkedin.com/ad-library/detail/1322790826","Open Ad")</f>
        <v>Open Ad</v>
      </c>
      <c r="E3292" s="6" t="s">
        <v>91</v>
      </c>
      <c r="F3292" s="6" t="s">
        <v>53</v>
      </c>
      <c r="G3292" s="6" t="s">
        <v>7889</v>
      </c>
      <c r="H3292" s="6" t="s">
        <v>55</v>
      </c>
      <c r="I3292" s="6" t="s">
        <v>7566</v>
      </c>
      <c r="J3292" s="6" t="s">
        <v>91</v>
      </c>
      <c r="K3292" s="9" t="str">
        <f>HYPERLINK("https://media.licdn.com/dms/image/v2/D4E10AQFCQW8fh4aY8A/image-shrink_1280/B4EZxTAotgHQAg-/0/1770919203244?e=2147483647&amp;v=beta&amp;t=LXe_24UJFPiVAOmUta1JT6QrVMpSXntHxsQxYhRYSMs","Open Creative")</f>
        <v>Open Creative</v>
      </c>
      <c r="L3292" s="6" t="s">
        <v>131</v>
      </c>
      <c r="M3292" s="6" t="s">
        <v>7537</v>
      </c>
      <c r="N3292" s="6" t="s">
        <v>132</v>
      </c>
      <c r="O3292" s="36" t="s">
        <v>132</v>
      </c>
      <c r="P3292" s="36">
        <v>1.322790826E9</v>
      </c>
      <c r="Q3292" s="36" t="s">
        <v>7541</v>
      </c>
      <c r="R3292" s="6" t="s">
        <v>7542</v>
      </c>
    </row>
    <row r="3293">
      <c r="A3293" s="6" t="s">
        <v>7537</v>
      </c>
      <c r="B3293" s="6" t="s">
        <v>7537</v>
      </c>
      <c r="C3293" s="6">
        <v>1684.0</v>
      </c>
      <c r="D3293" s="9" t="str">
        <f>HYPERLINK("https://www.linkedin.com/ad-library/detail/1140686454","Open Ad")</f>
        <v>Open Ad</v>
      </c>
      <c r="E3293" s="6" t="s">
        <v>91</v>
      </c>
      <c r="F3293" s="6" t="s">
        <v>53</v>
      </c>
      <c r="G3293" s="6" t="s">
        <v>7713</v>
      </c>
      <c r="H3293" s="6" t="s">
        <v>55</v>
      </c>
      <c r="I3293" s="6" t="s">
        <v>7566</v>
      </c>
      <c r="J3293" s="6" t="s">
        <v>91</v>
      </c>
      <c r="K3293" s="9" t="str">
        <f>HYPERLINK("https://media.licdn.com/dms/image/v2/D4E10AQEcSUFXsoAgQQ/image-shrink_1280/B4EZw03JayIIAc-/0/1770413398027/LinkedAdFeb2026V2jpg?e=2147483647&amp;v=beta&amp;t=-qcEkfKa_Zed6E7-xsaw9v1L6Xoxqy_6nWbWlmeo8zs","Open Creative")</f>
        <v>Open Creative</v>
      </c>
      <c r="L3293" s="6" t="s">
        <v>131</v>
      </c>
      <c r="M3293" s="6" t="s">
        <v>7537</v>
      </c>
      <c r="N3293" s="6" t="s">
        <v>132</v>
      </c>
      <c r="O3293" s="36" t="s">
        <v>132</v>
      </c>
      <c r="P3293" s="36">
        <v>1.140686454E9</v>
      </c>
      <c r="Q3293" s="36" t="s">
        <v>7541</v>
      </c>
      <c r="R3293" s="6" t="s">
        <v>7542</v>
      </c>
    </row>
    <row r="3294">
      <c r="A3294" s="6" t="s">
        <v>7537</v>
      </c>
      <c r="B3294" s="6" t="s">
        <v>7537</v>
      </c>
      <c r="C3294" s="6">
        <v>1685.0</v>
      </c>
      <c r="D3294" s="9" t="str">
        <f>HYPERLINK("https://www.linkedin.com/ad-library/detail/1154570436","Open Ad")</f>
        <v>Open Ad</v>
      </c>
      <c r="E3294" s="6" t="s">
        <v>91</v>
      </c>
      <c r="F3294" s="6" t="s">
        <v>53</v>
      </c>
      <c r="G3294" s="6" t="s">
        <v>7894</v>
      </c>
      <c r="H3294" s="6" t="s">
        <v>55</v>
      </c>
      <c r="I3294" s="6" t="s">
        <v>7566</v>
      </c>
      <c r="J3294" s="6" t="s">
        <v>91</v>
      </c>
      <c r="K3294" s="9" t="str">
        <f>HYPERLINK("https://media.licdn.com/dms/image/v2/D4E10AQEaYdDfeSEzPA/image-shrink_1280/B4EZxDoFitKgAg-/0/1770661108367?e=2147483647&amp;v=beta&amp;t=RjaWW3t39fQmnJ0UJaRyZwS38lLgIKvrjYTnj1sDJYs","Open Creative")</f>
        <v>Open Creative</v>
      </c>
      <c r="L3294" s="6" t="s">
        <v>131</v>
      </c>
      <c r="M3294" s="6" t="s">
        <v>7537</v>
      </c>
      <c r="N3294" s="6" t="s">
        <v>132</v>
      </c>
      <c r="O3294" s="36" t="s">
        <v>132</v>
      </c>
      <c r="P3294" s="36">
        <v>1.154570436E9</v>
      </c>
      <c r="Q3294" s="36" t="s">
        <v>7541</v>
      </c>
      <c r="R3294" s="6" t="s">
        <v>7542</v>
      </c>
    </row>
    <row r="3295">
      <c r="A3295" s="6" t="s">
        <v>7537</v>
      </c>
      <c r="B3295" s="6" t="s">
        <v>7537</v>
      </c>
      <c r="C3295" s="6">
        <v>1686.0</v>
      </c>
      <c r="D3295" s="9" t="str">
        <f>HYPERLINK("https://www.linkedin.com/ad-library/detail/1157450776","Open Ad")</f>
        <v>Open Ad</v>
      </c>
      <c r="E3295" s="6" t="s">
        <v>91</v>
      </c>
      <c r="F3295" s="6" t="s">
        <v>53</v>
      </c>
      <c r="G3295" s="6" t="s">
        <v>7895</v>
      </c>
      <c r="H3295" s="6" t="s">
        <v>55</v>
      </c>
      <c r="I3295" s="6" t="s">
        <v>7566</v>
      </c>
      <c r="J3295" s="6" t="s">
        <v>91</v>
      </c>
      <c r="K3295" s="9" t="str">
        <f>HYPERLINK("https://media.licdn.com/dms/image/v2/D5610AQEFxjpYJtTgpw/image-shrink_1280/B56ZxNCv51J4Ac-/0/1770819092486/CopyofPROFOUNDADSERIES2zip-2png?e=2147483647&amp;v=beta&amp;t=4vj9iRNCUz2YJeOhmaUagYlGZFzrAPUjb-R6vNHcMlw","Open Creative")</f>
        <v>Open Creative</v>
      </c>
      <c r="L3295" s="6" t="s">
        <v>131</v>
      </c>
      <c r="M3295" s="6" t="s">
        <v>7537</v>
      </c>
      <c r="N3295" s="6" t="s">
        <v>132</v>
      </c>
      <c r="O3295" s="36" t="s">
        <v>132</v>
      </c>
      <c r="P3295" s="36">
        <v>1.157450776E9</v>
      </c>
      <c r="Q3295" s="36" t="s">
        <v>7541</v>
      </c>
      <c r="R3295" s="6" t="s">
        <v>7542</v>
      </c>
    </row>
    <row r="3296">
      <c r="A3296" s="6" t="s">
        <v>7537</v>
      </c>
      <c r="B3296" s="6" t="s">
        <v>7537</v>
      </c>
      <c r="C3296" s="6">
        <v>1687.0</v>
      </c>
      <c r="D3296" s="9" t="str">
        <f>HYPERLINK("https://www.linkedin.com/ad-library/detail/1322390836","Open Ad")</f>
        <v>Open Ad</v>
      </c>
      <c r="E3296" s="6" t="s">
        <v>154</v>
      </c>
      <c r="F3296" s="6" t="s">
        <v>53</v>
      </c>
      <c r="G3296" s="6" t="s">
        <v>7893</v>
      </c>
      <c r="H3296" s="6" t="s">
        <v>55</v>
      </c>
      <c r="I3296" s="6" t="s">
        <v>7566</v>
      </c>
      <c r="J3296" s="6" t="s">
        <v>154</v>
      </c>
      <c r="K3296" s="9" t="str">
        <f>HYPERLINK("https://dms.licdn.com/playlist/vid/v2/D4E05AQEpBWsyXLYxVA/mp4-720p-30fp-crf28/B4EZxShjNpLECM-/0/1770911055018?e=2147483647&amp;v=beta&amp;t=jF08yNbgegZJ7F81kQkBFCOxMy5tel4vGsQQMa4yiTY","Open Creative")</f>
        <v>Open Creative</v>
      </c>
      <c r="L3296" s="6" t="s">
        <v>131</v>
      </c>
      <c r="M3296" s="6" t="s">
        <v>7537</v>
      </c>
      <c r="N3296" s="6" t="s">
        <v>132</v>
      </c>
      <c r="O3296" s="36" t="s">
        <v>132</v>
      </c>
      <c r="P3296" s="36">
        <v>1.322390836E9</v>
      </c>
      <c r="Q3296" s="36" t="s">
        <v>7541</v>
      </c>
      <c r="R3296" s="6" t="s">
        <v>7542</v>
      </c>
    </row>
    <row r="3297">
      <c r="A3297" s="6" t="s">
        <v>7537</v>
      </c>
      <c r="B3297" s="6" t="s">
        <v>7537</v>
      </c>
      <c r="C3297" s="6">
        <v>1688.0</v>
      </c>
      <c r="D3297" s="9" t="str">
        <f>HYPERLINK("https://www.linkedin.com/ad-library/detail/1158418466","Open Ad")</f>
        <v>Open Ad</v>
      </c>
      <c r="E3297" s="6" t="s">
        <v>91</v>
      </c>
      <c r="F3297" s="6" t="s">
        <v>53</v>
      </c>
      <c r="G3297" s="6" t="s">
        <v>7894</v>
      </c>
      <c r="H3297" s="6" t="s">
        <v>55</v>
      </c>
      <c r="I3297" s="6" t="s">
        <v>7566</v>
      </c>
      <c r="J3297" s="6" t="s">
        <v>91</v>
      </c>
      <c r="K3297" s="9" t="str">
        <f>HYPERLINK("https://media.licdn.com/dms/image/v2/D4E10AQEaYdDfeSEzPA/image-shrink_1280/B4EZxDoFitKgAg-/0/1770661108367?e=2147483647&amp;v=beta&amp;t=RjaWW3t39fQmnJ0UJaRyZwS38lLgIKvrjYTnj1sDJYs","Open Creative")</f>
        <v>Open Creative</v>
      </c>
      <c r="L3297" s="6" t="s">
        <v>131</v>
      </c>
      <c r="M3297" s="6" t="s">
        <v>7537</v>
      </c>
      <c r="N3297" s="6" t="s">
        <v>132</v>
      </c>
      <c r="O3297" s="36" t="s">
        <v>132</v>
      </c>
      <c r="P3297" s="36">
        <v>1.158418466E9</v>
      </c>
      <c r="Q3297" s="36" t="s">
        <v>7541</v>
      </c>
      <c r="R3297" s="6" t="s">
        <v>7542</v>
      </c>
    </row>
    <row r="3298">
      <c r="A3298" s="6" t="s">
        <v>7537</v>
      </c>
      <c r="B3298" s="6" t="s">
        <v>7537</v>
      </c>
      <c r="C3298" s="6">
        <v>1689.0</v>
      </c>
      <c r="D3298" s="9" t="str">
        <f>HYPERLINK("https://www.linkedin.com/ad-library/detail/1158418496","Open Ad")</f>
        <v>Open Ad</v>
      </c>
      <c r="E3298" s="6" t="s">
        <v>154</v>
      </c>
      <c r="F3298" s="6" t="s">
        <v>53</v>
      </c>
      <c r="G3298" s="6" t="s">
        <v>7896</v>
      </c>
      <c r="H3298" s="6" t="s">
        <v>55</v>
      </c>
      <c r="I3298" s="6" t="s">
        <v>7566</v>
      </c>
      <c r="J3298" s="6" t="s">
        <v>154</v>
      </c>
      <c r="K3298" s="9" t="str">
        <f>HYPERLINK("https://dms.licdn.com/playlist/vid/v2/D4E10AQEaXGmA13DdTQ/mp4-360p-30fp-crf28/B4EZszVEkrIUB0-/0/1766092726845?e=2147483647&amp;v=beta&amp;t=EByfypCCsRqkjXTNM3hjWwx3xz46YgCuWmn6mZinX9Y","Open Creative")</f>
        <v>Open Creative</v>
      </c>
      <c r="L3298" s="6" t="s">
        <v>131</v>
      </c>
      <c r="M3298" s="6" t="s">
        <v>7537</v>
      </c>
      <c r="N3298" s="6" t="s">
        <v>132</v>
      </c>
      <c r="O3298" s="36" t="s">
        <v>132</v>
      </c>
      <c r="P3298" s="36">
        <v>1.158418496E9</v>
      </c>
      <c r="Q3298" s="36" t="s">
        <v>7541</v>
      </c>
      <c r="R3298" s="6" t="s">
        <v>7542</v>
      </c>
    </row>
    <row r="3299">
      <c r="A3299" s="6" t="s">
        <v>7537</v>
      </c>
      <c r="B3299" s="6" t="s">
        <v>7537</v>
      </c>
      <c r="C3299" s="6">
        <v>1690.0</v>
      </c>
      <c r="D3299" s="9" t="str">
        <f>HYPERLINK("https://www.linkedin.com/ad-library/detail/1250495026","Open Ad")</f>
        <v>Open Ad</v>
      </c>
      <c r="E3299" s="6" t="s">
        <v>91</v>
      </c>
      <c r="F3299" s="6" t="s">
        <v>53</v>
      </c>
      <c r="G3299" s="6" t="s">
        <v>7897</v>
      </c>
      <c r="H3299" s="6" t="s">
        <v>55</v>
      </c>
      <c r="I3299" s="6" t="s">
        <v>7566</v>
      </c>
      <c r="J3299" s="6" t="s">
        <v>91</v>
      </c>
      <c r="K3299" s="9" t="str">
        <f>HYPERLINK("https://media.licdn.com/dms/image/v2/D4E22AQEx8AKZoHZPIg/feedshare-shrink_1280/B4EZukIRruL4As-/0/1767985193186?e=2147483647&amp;v=beta&amp;t=3V-Z4CrkE-Ux5ByG6zC6dRbL0nFQsiLy0m_1f7pkNcE","Open Creative")</f>
        <v>Open Creative</v>
      </c>
      <c r="L3299" s="6" t="s">
        <v>131</v>
      </c>
      <c r="M3299" s="6" t="s">
        <v>7537</v>
      </c>
      <c r="N3299" s="6" t="s">
        <v>132</v>
      </c>
      <c r="O3299" s="36" t="s">
        <v>132</v>
      </c>
      <c r="P3299" s="36">
        <v>1.250495026E9</v>
      </c>
      <c r="Q3299" s="36" t="s">
        <v>7541</v>
      </c>
      <c r="R3299" s="6" t="s">
        <v>7542</v>
      </c>
    </row>
    <row r="3300">
      <c r="A3300" s="6" t="s">
        <v>7537</v>
      </c>
      <c r="B3300" s="6" t="s">
        <v>7537</v>
      </c>
      <c r="C3300" s="6">
        <v>1691.0</v>
      </c>
      <c r="D3300" s="9" t="str">
        <f>HYPERLINK("https://www.linkedin.com/ad-library/detail/1157315396","Open Ad")</f>
        <v>Open Ad</v>
      </c>
      <c r="E3300" s="6" t="s">
        <v>91</v>
      </c>
      <c r="F3300" s="6" t="s">
        <v>53</v>
      </c>
      <c r="G3300" s="6" t="s">
        <v>7894</v>
      </c>
      <c r="H3300" s="6" t="s">
        <v>55</v>
      </c>
      <c r="I3300" s="6" t="s">
        <v>7566</v>
      </c>
      <c r="J3300" s="6" t="s">
        <v>91</v>
      </c>
      <c r="K3300" s="9" t="str">
        <f>HYPERLINK("https://media.licdn.com/dms/image/v2/D4E10AQEaYdDfeSEzPA/image-shrink_1280/B4EZxDoFitKgAg-/0/1770661108367?e=2147483647&amp;v=beta&amp;t=RjaWW3t39fQmnJ0UJaRyZwS38lLgIKvrjYTnj1sDJYs","Open Creative")</f>
        <v>Open Creative</v>
      </c>
      <c r="L3300" s="6" t="s">
        <v>131</v>
      </c>
      <c r="M3300" s="6" t="s">
        <v>7537</v>
      </c>
      <c r="N3300" s="6" t="s">
        <v>132</v>
      </c>
      <c r="O3300" s="36" t="s">
        <v>132</v>
      </c>
      <c r="P3300" s="36">
        <v>1.157315396E9</v>
      </c>
      <c r="Q3300" s="36" t="s">
        <v>7541</v>
      </c>
      <c r="R3300" s="6" t="s">
        <v>7542</v>
      </c>
    </row>
    <row r="3301">
      <c r="A3301" s="6" t="s">
        <v>7537</v>
      </c>
      <c r="B3301" s="6" t="s">
        <v>7537</v>
      </c>
      <c r="C3301" s="6">
        <v>1692.0</v>
      </c>
      <c r="D3301" s="9" t="str">
        <f>HYPERLINK("https://www.linkedin.com/ad-library/detail/1322191246","Open Ad")</f>
        <v>Open Ad</v>
      </c>
      <c r="E3301" s="6" t="s">
        <v>154</v>
      </c>
      <c r="F3301" s="6" t="s">
        <v>53</v>
      </c>
      <c r="G3301" s="6" t="s">
        <v>7893</v>
      </c>
      <c r="H3301" s="6" t="s">
        <v>55</v>
      </c>
      <c r="I3301" s="6" t="s">
        <v>7566</v>
      </c>
      <c r="J3301" s="6" t="s">
        <v>154</v>
      </c>
      <c r="K3301" s="9" t="str">
        <f>HYPERLINK("https://dms.licdn.com/playlist/vid/v2/D4E05AQEpBWsyXLYxVA/mp4-720p-30fp-crf28/B4EZxShjNpLECM-/0/1770911055018?e=2147483647&amp;v=beta&amp;t=jF08yNbgegZJ7F81kQkBFCOxMy5tel4vGsQQMa4yiTY","Open Creative")</f>
        <v>Open Creative</v>
      </c>
      <c r="L3301" s="6" t="s">
        <v>131</v>
      </c>
      <c r="M3301" s="6" t="s">
        <v>7537</v>
      </c>
      <c r="N3301" s="6" t="s">
        <v>132</v>
      </c>
      <c r="O3301" s="36" t="s">
        <v>132</v>
      </c>
      <c r="P3301" s="36">
        <v>1.322191246E9</v>
      </c>
      <c r="Q3301" s="36" t="s">
        <v>7541</v>
      </c>
      <c r="R3301" s="6" t="s">
        <v>7542</v>
      </c>
    </row>
    <row r="3302">
      <c r="A3302" s="6" t="s">
        <v>7537</v>
      </c>
      <c r="B3302" s="6" t="s">
        <v>7537</v>
      </c>
      <c r="C3302" s="6">
        <v>1693.0</v>
      </c>
      <c r="D3302" s="9" t="str">
        <f>HYPERLINK("https://www.linkedin.com/ad-library/detail/1157316076","Open Ad")</f>
        <v>Open Ad</v>
      </c>
      <c r="E3302" s="6" t="s">
        <v>91</v>
      </c>
      <c r="F3302" s="6" t="s">
        <v>53</v>
      </c>
      <c r="G3302" s="6" t="s">
        <v>7898</v>
      </c>
      <c r="H3302" s="6" t="s">
        <v>55</v>
      </c>
      <c r="I3302" s="6" t="s">
        <v>7649</v>
      </c>
      <c r="J3302" s="6" t="s">
        <v>91</v>
      </c>
      <c r="K3302" s="9" t="str">
        <f>HYPERLINK("https://media.licdn.com/dms/image/v2/D4E22AQExkjAY740wqA/feedshare-shrink_1280/B4EZxIrWnaKkAc-/0/1770745851223?e=2147483647&amp;v=beta&amp;t=gKprXqwt0j8gbn_gXMX1H0YAALCx-II5H6j0bV1KqUc","Open Creative")</f>
        <v>Open Creative</v>
      </c>
      <c r="L3302" s="6" t="s">
        <v>131</v>
      </c>
      <c r="M3302" s="6" t="s">
        <v>7537</v>
      </c>
      <c r="N3302" s="6" t="s">
        <v>132</v>
      </c>
      <c r="O3302" s="36" t="s">
        <v>132</v>
      </c>
      <c r="P3302" s="36">
        <v>1.157316076E9</v>
      </c>
      <c r="Q3302" s="36" t="s">
        <v>7541</v>
      </c>
      <c r="R3302" s="6" t="s">
        <v>7542</v>
      </c>
    </row>
    <row r="3303">
      <c r="A3303" s="6" t="s">
        <v>7537</v>
      </c>
      <c r="B3303" s="6" t="s">
        <v>7537</v>
      </c>
      <c r="C3303" s="6">
        <v>1694.0</v>
      </c>
      <c r="D3303" s="9" t="str">
        <f>HYPERLINK("https://www.linkedin.com/ad-library/detail/1154610206","Open Ad")</f>
        <v>Open Ad</v>
      </c>
      <c r="E3303" s="6" t="s">
        <v>7543</v>
      </c>
      <c r="F3303" s="6" t="s">
        <v>53</v>
      </c>
      <c r="G3303" s="6" t="s">
        <v>7734</v>
      </c>
      <c r="H3303" s="6" t="s">
        <v>55</v>
      </c>
      <c r="I3303" s="6" t="s">
        <v>7566</v>
      </c>
      <c r="J3303" s="6" t="s">
        <v>7546</v>
      </c>
      <c r="K3303" s="6" t="s">
        <v>60</v>
      </c>
      <c r="L3303" s="6" t="s">
        <v>131</v>
      </c>
      <c r="M3303" s="6" t="s">
        <v>7537</v>
      </c>
      <c r="N3303" s="6" t="s">
        <v>132</v>
      </c>
      <c r="O3303" s="36" t="s">
        <v>132</v>
      </c>
      <c r="P3303" s="36">
        <v>1.154610206E9</v>
      </c>
      <c r="Q3303" s="36" t="s">
        <v>7541</v>
      </c>
      <c r="R3303" s="6" t="s">
        <v>7542</v>
      </c>
    </row>
    <row r="3304">
      <c r="A3304" s="6" t="s">
        <v>7537</v>
      </c>
      <c r="B3304" s="6" t="s">
        <v>7537</v>
      </c>
      <c r="C3304" s="6">
        <v>1695.0</v>
      </c>
      <c r="D3304" s="9" t="str">
        <f>HYPERLINK("https://www.linkedin.com/ad-library/detail/1154610326","Open Ad")</f>
        <v>Open Ad</v>
      </c>
      <c r="E3304" s="6" t="s">
        <v>91</v>
      </c>
      <c r="F3304" s="6" t="s">
        <v>53</v>
      </c>
      <c r="G3304" s="6" t="s">
        <v>7899</v>
      </c>
      <c r="H3304" s="6" t="s">
        <v>55</v>
      </c>
      <c r="I3304" s="6" t="s">
        <v>7566</v>
      </c>
      <c r="J3304" s="6" t="s">
        <v>91</v>
      </c>
      <c r="K3304" s="9" t="str">
        <f t="shared" ref="K3304:K3305" si="172">HYPERLINK("https://media.licdn.com/dms/image/v2/D4E22AQHBPXRtp0yTUA/feedshare-shrink_1280/B4EZw1BE3MHcAc-/0/1770416001530?e=2147483647&amp;v=beta&amp;t=pa-pwgHe5MWFsf8WaIA99iA7pdVnpWiUnuNOnPjXsd4","Open Creative")</f>
        <v>Open Creative</v>
      </c>
      <c r="L3304" s="6" t="s">
        <v>131</v>
      </c>
      <c r="M3304" s="6" t="s">
        <v>7537</v>
      </c>
      <c r="N3304" s="6" t="s">
        <v>132</v>
      </c>
      <c r="O3304" s="36" t="s">
        <v>132</v>
      </c>
      <c r="P3304" s="36">
        <v>1.154610326E9</v>
      </c>
      <c r="Q3304" s="36" t="s">
        <v>68</v>
      </c>
      <c r="R3304" s="6" t="s">
        <v>7900</v>
      </c>
    </row>
    <row r="3305">
      <c r="A3305" s="6" t="s">
        <v>7537</v>
      </c>
      <c r="B3305" s="6" t="s">
        <v>7537</v>
      </c>
      <c r="C3305" s="6">
        <v>1696.0</v>
      </c>
      <c r="D3305" s="9" t="str">
        <f>HYPERLINK("https://www.linkedin.com/ad-library/detail/1131026566","Open Ad")</f>
        <v>Open Ad</v>
      </c>
      <c r="E3305" s="6" t="s">
        <v>91</v>
      </c>
      <c r="F3305" s="6" t="s">
        <v>53</v>
      </c>
      <c r="G3305" s="6" t="s">
        <v>7899</v>
      </c>
      <c r="H3305" s="6" t="s">
        <v>55</v>
      </c>
      <c r="I3305" s="6" t="s">
        <v>7566</v>
      </c>
      <c r="J3305" s="6" t="s">
        <v>91</v>
      </c>
      <c r="K3305" s="9" t="str">
        <f t="shared" si="172"/>
        <v>Open Creative</v>
      </c>
      <c r="L3305" s="6" t="s">
        <v>131</v>
      </c>
      <c r="M3305" s="6" t="s">
        <v>7537</v>
      </c>
      <c r="N3305" s="6" t="s">
        <v>132</v>
      </c>
      <c r="O3305" s="36" t="s">
        <v>132</v>
      </c>
      <c r="P3305" s="36">
        <v>1.131026566E9</v>
      </c>
      <c r="Q3305" s="36" t="s">
        <v>68</v>
      </c>
      <c r="R3305" s="6" t="s">
        <v>7901</v>
      </c>
    </row>
    <row r="3306">
      <c r="A3306" s="6" t="s">
        <v>7537</v>
      </c>
      <c r="B3306" s="6" t="s">
        <v>7537</v>
      </c>
      <c r="C3306" s="6">
        <v>1697.0</v>
      </c>
      <c r="D3306" s="9" t="str">
        <f>HYPERLINK("https://www.linkedin.com/ad-library/detail/1299990246","Open Ad")</f>
        <v>Open Ad</v>
      </c>
      <c r="E3306" s="6" t="s">
        <v>91</v>
      </c>
      <c r="F3306" s="6" t="s">
        <v>53</v>
      </c>
      <c r="G3306" s="6" t="s">
        <v>7889</v>
      </c>
      <c r="H3306" s="6" t="s">
        <v>55</v>
      </c>
      <c r="I3306" s="6" t="s">
        <v>7680</v>
      </c>
      <c r="J3306" s="6" t="s">
        <v>91</v>
      </c>
      <c r="K3306" s="9" t="str">
        <f>HYPERLINK("https://media.licdn.com/dms/image/v2/D4E10AQFCQW8fh4aY8A/image-shrink_1280/B4EZxTAotgHQAg-/0/1770919203244?e=2147483647&amp;v=beta&amp;t=LXe_24UJFPiVAOmUta1JT6QrVMpSXntHxsQxYhRYSMs","Open Creative")</f>
        <v>Open Creative</v>
      </c>
      <c r="L3306" s="6" t="s">
        <v>62</v>
      </c>
      <c r="M3306" s="6" t="s">
        <v>7537</v>
      </c>
      <c r="N3306" s="6" t="s">
        <v>7902</v>
      </c>
      <c r="O3306" s="36" t="s">
        <v>132</v>
      </c>
      <c r="P3306" s="36">
        <v>1.299990246E9</v>
      </c>
      <c r="Q3306" s="36" t="s">
        <v>68</v>
      </c>
      <c r="R3306" s="6" t="s">
        <v>7903</v>
      </c>
    </row>
    <row r="3307">
      <c r="A3307" s="6" t="s">
        <v>7537</v>
      </c>
      <c r="B3307" s="6" t="s">
        <v>7537</v>
      </c>
      <c r="C3307" s="6">
        <v>1698.0</v>
      </c>
      <c r="D3307" s="9" t="str">
        <f>HYPERLINK("https://www.linkedin.com/ad-library/detail/1156455266","Open Ad")</f>
        <v>Open Ad</v>
      </c>
      <c r="E3307" s="6" t="s">
        <v>91</v>
      </c>
      <c r="F3307" s="6" t="s">
        <v>53</v>
      </c>
      <c r="G3307" s="6" t="s">
        <v>7898</v>
      </c>
      <c r="H3307" s="6" t="s">
        <v>55</v>
      </c>
      <c r="I3307" s="6" t="s">
        <v>7649</v>
      </c>
      <c r="J3307" s="6" t="s">
        <v>91</v>
      </c>
      <c r="K3307" s="9" t="str">
        <f>HYPERLINK("https://media.licdn.com/dms/image/v2/D4E22AQExkjAY740wqA/feedshare-shrink_1280/B4EZxIrWnaKkAc-/0/1770745851223?e=2147483647&amp;v=beta&amp;t=gKprXqwt0j8gbn_gXMX1H0YAALCx-II5H6j0bV1KqUc","Open Creative")</f>
        <v>Open Creative</v>
      </c>
      <c r="L3307" s="6" t="s">
        <v>131</v>
      </c>
      <c r="M3307" s="6" t="s">
        <v>7537</v>
      </c>
      <c r="N3307" s="6" t="s">
        <v>132</v>
      </c>
      <c r="O3307" s="36" t="s">
        <v>132</v>
      </c>
      <c r="P3307" s="36">
        <v>1.156455266E9</v>
      </c>
      <c r="Q3307" s="36" t="s">
        <v>68</v>
      </c>
      <c r="R3307" s="6" t="s">
        <v>7904</v>
      </c>
    </row>
    <row r="3308">
      <c r="A3308" s="6" t="s">
        <v>7537</v>
      </c>
      <c r="B3308" s="6" t="s">
        <v>7537</v>
      </c>
      <c r="C3308" s="6">
        <v>1699.0</v>
      </c>
      <c r="D3308" s="9" t="str">
        <f>HYPERLINK("https://www.linkedin.com/ad-library/detail/1154671536","Open Ad")</f>
        <v>Open Ad</v>
      </c>
      <c r="E3308" s="6" t="s">
        <v>91</v>
      </c>
      <c r="F3308" s="6" t="s">
        <v>53</v>
      </c>
      <c r="G3308" s="6" t="s">
        <v>7894</v>
      </c>
      <c r="H3308" s="6" t="s">
        <v>55</v>
      </c>
      <c r="I3308" s="6" t="s">
        <v>7649</v>
      </c>
      <c r="J3308" s="6" t="s">
        <v>91</v>
      </c>
      <c r="K3308" s="9" t="str">
        <f>HYPERLINK("https://media.licdn.com/dms/image/v2/D4E10AQEaYdDfeSEzPA/image-shrink_1280/B4EZxDoFitKgAg-/0/1770661108367?e=2147483647&amp;v=beta&amp;t=RjaWW3t39fQmnJ0UJaRyZwS38lLgIKvrjYTnj1sDJYs","Open Creative")</f>
        <v>Open Creative</v>
      </c>
      <c r="L3308" s="6" t="s">
        <v>131</v>
      </c>
      <c r="M3308" s="6" t="s">
        <v>7537</v>
      </c>
      <c r="N3308" s="6" t="s">
        <v>132</v>
      </c>
      <c r="O3308" s="36" t="s">
        <v>132</v>
      </c>
      <c r="P3308" s="36">
        <v>1.154671536E9</v>
      </c>
      <c r="Q3308" s="36" t="s">
        <v>68</v>
      </c>
      <c r="R3308" s="6" t="s">
        <v>7905</v>
      </c>
    </row>
    <row r="3309">
      <c r="A3309" s="6" t="s">
        <v>7537</v>
      </c>
      <c r="B3309" s="6" t="s">
        <v>7537</v>
      </c>
      <c r="C3309" s="6">
        <v>1700.0</v>
      </c>
      <c r="D3309" s="9" t="str">
        <f>HYPERLINK("https://www.linkedin.com/ad-library/detail/1156943406","Open Ad")</f>
        <v>Open Ad</v>
      </c>
      <c r="E3309" s="6" t="s">
        <v>91</v>
      </c>
      <c r="F3309" s="6" t="s">
        <v>53</v>
      </c>
      <c r="G3309" s="6" t="s">
        <v>7898</v>
      </c>
      <c r="H3309" s="6" t="s">
        <v>55</v>
      </c>
      <c r="I3309" s="6" t="s">
        <v>7649</v>
      </c>
      <c r="J3309" s="6" t="s">
        <v>91</v>
      </c>
      <c r="K3309" s="9" t="str">
        <f>HYPERLINK("https://media.licdn.com/dms/image/v2/D4E22AQExkjAY740wqA/feedshare-shrink_1280/B4EZxIrWnaKkAc-/0/1770745851223?e=2147483647&amp;v=beta&amp;t=gKprXqwt0j8gbn_gXMX1H0YAALCx-II5H6j0bV1KqUc","Open Creative")</f>
        <v>Open Creative</v>
      </c>
      <c r="L3309" s="6" t="s">
        <v>131</v>
      </c>
      <c r="M3309" s="6" t="s">
        <v>7537</v>
      </c>
      <c r="N3309" s="6" t="s">
        <v>132</v>
      </c>
      <c r="O3309" s="36" t="s">
        <v>132</v>
      </c>
      <c r="P3309" s="36">
        <v>1.156943406E9</v>
      </c>
      <c r="Q3309" s="36" t="s">
        <v>68</v>
      </c>
      <c r="R3309" s="6" t="s">
        <v>7906</v>
      </c>
    </row>
    <row r="3310">
      <c r="A3310" s="6" t="s">
        <v>7537</v>
      </c>
      <c r="B3310" s="6" t="s">
        <v>7537</v>
      </c>
      <c r="C3310" s="6">
        <v>1701.0</v>
      </c>
      <c r="D3310" s="9" t="str">
        <f>HYPERLINK("https://www.linkedin.com/ad-library/detail/1158692306","Open Ad")</f>
        <v>Open Ad</v>
      </c>
      <c r="E3310" s="6" t="s">
        <v>91</v>
      </c>
      <c r="F3310" s="6" t="s">
        <v>53</v>
      </c>
      <c r="G3310" s="6" t="s">
        <v>7895</v>
      </c>
      <c r="H3310" s="6" t="s">
        <v>55</v>
      </c>
      <c r="I3310" s="6" t="s">
        <v>7566</v>
      </c>
      <c r="J3310" s="6" t="s">
        <v>91</v>
      </c>
      <c r="K3310" s="9" t="str">
        <f>HYPERLINK("https://media.licdn.com/dms/image/v2/D5610AQGb6jO680kAqQ/image-shrink_1280/B56ZxNCu__IoAc-/0/1770819089050/CopyofPROFOUNDADSERIES2zip-Coverpng?e=2147483647&amp;v=beta&amp;t=V8-thkcgR0WUB_lUIdvhct4WN7FtSPmYy4EFypBsmQE","Open Creative")</f>
        <v>Open Creative</v>
      </c>
      <c r="L3310" s="6" t="s">
        <v>131</v>
      </c>
      <c r="M3310" s="6" t="s">
        <v>7537</v>
      </c>
      <c r="N3310" s="6" t="s">
        <v>132</v>
      </c>
      <c r="O3310" s="36" t="s">
        <v>132</v>
      </c>
      <c r="P3310" s="36">
        <v>1.158692306E9</v>
      </c>
      <c r="Q3310" s="36" t="s">
        <v>7541</v>
      </c>
      <c r="R3310" s="6" t="s">
        <v>7542</v>
      </c>
    </row>
    <row r="3311">
      <c r="A3311" s="6" t="s">
        <v>7537</v>
      </c>
      <c r="B3311" s="6" t="s">
        <v>7537</v>
      </c>
      <c r="C3311" s="6">
        <v>1702.0</v>
      </c>
      <c r="D3311" s="9" t="str">
        <f>HYPERLINK("https://www.linkedin.com/ad-library/detail/1303191316","Open Ad")</f>
        <v>Open Ad</v>
      </c>
      <c r="E3311" s="6" t="s">
        <v>91</v>
      </c>
      <c r="F3311" s="6" t="s">
        <v>53</v>
      </c>
      <c r="G3311" s="6" t="s">
        <v>7889</v>
      </c>
      <c r="H3311" s="6" t="s">
        <v>55</v>
      </c>
      <c r="I3311" s="6" t="s">
        <v>7566</v>
      </c>
      <c r="J3311" s="6" t="s">
        <v>91</v>
      </c>
      <c r="K3311" s="9" t="str">
        <f>HYPERLINK("https://media.licdn.com/dms/image/v2/D4E10AQFCQW8fh4aY8A/image-shrink_1280/B4EZxTAotgHQAg-/0/1770919203244?e=2147483647&amp;v=beta&amp;t=LXe_24UJFPiVAOmUta1JT6QrVMpSXntHxsQxYhRYSMs","Open Creative")</f>
        <v>Open Creative</v>
      </c>
      <c r="L3311" s="6" t="s">
        <v>131</v>
      </c>
      <c r="M3311" s="6" t="s">
        <v>7537</v>
      </c>
      <c r="N3311" s="6" t="s">
        <v>132</v>
      </c>
      <c r="O3311" s="36" t="s">
        <v>132</v>
      </c>
      <c r="P3311" s="36">
        <v>1.303191316E9</v>
      </c>
      <c r="Q3311" s="36" t="s">
        <v>7541</v>
      </c>
      <c r="R3311" s="6" t="s">
        <v>7542</v>
      </c>
    </row>
    <row r="3312">
      <c r="A3312" s="6" t="s">
        <v>7537</v>
      </c>
      <c r="B3312" s="6" t="s">
        <v>7537</v>
      </c>
      <c r="C3312" s="6">
        <v>1703.0</v>
      </c>
      <c r="D3312" s="9" t="str">
        <f>HYPERLINK("https://www.linkedin.com/ad-library/detail/1158224686","Open Ad")</f>
        <v>Open Ad</v>
      </c>
      <c r="E3312" s="6" t="s">
        <v>154</v>
      </c>
      <c r="F3312" s="6" t="s">
        <v>53</v>
      </c>
      <c r="G3312" s="6" t="s">
        <v>7907</v>
      </c>
      <c r="H3312" s="6" t="s">
        <v>55</v>
      </c>
      <c r="I3312" s="6" t="s">
        <v>7566</v>
      </c>
      <c r="J3312" s="6" t="s">
        <v>154</v>
      </c>
      <c r="K3312" s="9" t="str">
        <f>HYPERLINK("https://dms.licdn.com/playlist/vid/v2/D4E10AQFlG4d8rrDZ-Q/mp4-640p-30fp-crf28/B4EZwAfPQ2HsBs-/0/1769534723409?e=2147483647&amp;v=beta&amp;t=giK77Oa4XBDTRNHFAxFeKO7KXXvNKrb87qel5J-q29I","Open Creative")</f>
        <v>Open Creative</v>
      </c>
      <c r="L3312" s="6" t="s">
        <v>131</v>
      </c>
      <c r="M3312" s="6" t="s">
        <v>7537</v>
      </c>
      <c r="N3312" s="6" t="s">
        <v>132</v>
      </c>
      <c r="O3312" s="36" t="s">
        <v>132</v>
      </c>
      <c r="P3312" s="36">
        <v>1.158224686E9</v>
      </c>
      <c r="Q3312" s="36" t="s">
        <v>7541</v>
      </c>
      <c r="R3312" s="6" t="s">
        <v>7542</v>
      </c>
    </row>
    <row r="3313">
      <c r="A3313" s="6" t="s">
        <v>7537</v>
      </c>
      <c r="B3313" s="6" t="s">
        <v>7537</v>
      </c>
      <c r="C3313" s="6">
        <v>1704.0</v>
      </c>
      <c r="D3313" s="9" t="str">
        <f>HYPERLINK("https://www.linkedin.com/ad-library/detail/1069399876","Open Ad")</f>
        <v>Open Ad</v>
      </c>
      <c r="E3313" s="6" t="s">
        <v>91</v>
      </c>
      <c r="F3313" s="6" t="s">
        <v>53</v>
      </c>
      <c r="G3313" s="6" t="s">
        <v>7908</v>
      </c>
      <c r="H3313" s="6" t="s">
        <v>55</v>
      </c>
      <c r="I3313" s="6" t="s">
        <v>7566</v>
      </c>
      <c r="J3313" s="6" t="s">
        <v>91</v>
      </c>
      <c r="K3313" s="9" t="str">
        <f>HYPERLINK("https://media.licdn.com/dms/image/v2/D4E22AQFhn0zmfk9_FQ/feedshare-shrink_1280/B4EZwvtxd0JYAo-/0/1770327056002?e=2147483647&amp;v=beta&amp;t=qA9_TzFt9dvRS_5HjP0bbenaXJm7wB41sU1YDUQS_yE","Open Creative")</f>
        <v>Open Creative</v>
      </c>
      <c r="L3313" s="6" t="s">
        <v>131</v>
      </c>
      <c r="M3313" s="6" t="s">
        <v>7537</v>
      </c>
      <c r="N3313" s="6" t="s">
        <v>132</v>
      </c>
      <c r="O3313" s="36" t="s">
        <v>132</v>
      </c>
      <c r="P3313" s="36">
        <v>1.069399876E9</v>
      </c>
      <c r="Q3313" s="36" t="s">
        <v>7541</v>
      </c>
      <c r="R3313" s="6" t="s">
        <v>7542</v>
      </c>
    </row>
    <row r="3314">
      <c r="A3314" s="6" t="s">
        <v>7537</v>
      </c>
      <c r="B3314" s="6" t="s">
        <v>7537</v>
      </c>
      <c r="C3314" s="6">
        <v>1705.0</v>
      </c>
      <c r="D3314" s="9" t="str">
        <f>HYPERLINK("https://www.linkedin.com/ad-library/detail/1059074636","Open Ad")</f>
        <v>Open Ad</v>
      </c>
      <c r="E3314" s="6" t="s">
        <v>154</v>
      </c>
      <c r="F3314" s="6" t="s">
        <v>53</v>
      </c>
      <c r="G3314" s="6" t="s">
        <v>7867</v>
      </c>
      <c r="H3314" s="6" t="s">
        <v>55</v>
      </c>
      <c r="I3314" s="6" t="s">
        <v>7566</v>
      </c>
      <c r="J3314" s="6" t="s">
        <v>154</v>
      </c>
      <c r="K3314" s="9" t="str">
        <f>HYPERLINK("https://dms.licdn.com/playlist/vid/v2/D4E05AQGAOnplbh8hAw/mp4-720p-30fp-crf28/B4EZwQtYHkJ8CI-/0/1769806864428?e=2147483647&amp;v=beta&amp;t=3-UIWf1rDZw5tlZrHM0UonIMZWbkC01VTW3-pNMlJPE","Open Creative")</f>
        <v>Open Creative</v>
      </c>
      <c r="L3314" s="6" t="s">
        <v>131</v>
      </c>
      <c r="M3314" s="6" t="s">
        <v>7537</v>
      </c>
      <c r="N3314" s="6" t="s">
        <v>132</v>
      </c>
      <c r="O3314" s="36" t="s">
        <v>132</v>
      </c>
      <c r="P3314" s="36">
        <v>1.059074636E9</v>
      </c>
      <c r="Q3314" s="36" t="s">
        <v>7541</v>
      </c>
      <c r="R3314" s="6" t="s">
        <v>7542</v>
      </c>
    </row>
    <row r="3315">
      <c r="A3315" s="6" t="s">
        <v>7537</v>
      </c>
      <c r="B3315" s="6" t="s">
        <v>7537</v>
      </c>
      <c r="C3315" s="6">
        <v>1706.0</v>
      </c>
      <c r="D3315" s="9" t="str">
        <f>HYPERLINK("https://www.linkedin.com/ad-library/detail/1070083616","Open Ad")</f>
        <v>Open Ad</v>
      </c>
      <c r="E3315" s="6" t="s">
        <v>91</v>
      </c>
      <c r="F3315" s="6" t="s">
        <v>53</v>
      </c>
      <c r="G3315" s="6" t="s">
        <v>7908</v>
      </c>
      <c r="H3315" s="6" t="s">
        <v>55</v>
      </c>
      <c r="I3315" s="6" t="s">
        <v>7566</v>
      </c>
      <c r="J3315" s="6" t="s">
        <v>91</v>
      </c>
      <c r="K3315" s="9" t="str">
        <f>HYPERLINK("https://media.licdn.com/dms/image/v2/D4E22AQFhn0zmfk9_FQ/feedshare-shrink_1280/B4EZwvtxd0JYAo-/0/1770327056002?e=2147483647&amp;v=beta&amp;t=qA9_TzFt9dvRS_5HjP0bbenaXJm7wB41sU1YDUQS_yE","Open Creative")</f>
        <v>Open Creative</v>
      </c>
      <c r="L3315" s="6" t="s">
        <v>131</v>
      </c>
      <c r="M3315" s="6" t="s">
        <v>7537</v>
      </c>
      <c r="N3315" s="6" t="s">
        <v>132</v>
      </c>
      <c r="O3315" s="36" t="s">
        <v>132</v>
      </c>
      <c r="P3315" s="36">
        <v>1.070083616E9</v>
      </c>
      <c r="Q3315" s="36" t="s">
        <v>7541</v>
      </c>
      <c r="R3315" s="6" t="s">
        <v>7542</v>
      </c>
    </row>
    <row r="3316">
      <c r="A3316" s="6" t="s">
        <v>7537</v>
      </c>
      <c r="B3316" s="6" t="s">
        <v>7537</v>
      </c>
      <c r="C3316" s="6">
        <v>1707.0</v>
      </c>
      <c r="D3316" s="9" t="str">
        <f>HYPERLINK("https://www.linkedin.com/ad-library/detail/1133185954","Open Ad")</f>
        <v>Open Ad</v>
      </c>
      <c r="E3316" s="6" t="s">
        <v>91</v>
      </c>
      <c r="F3316" s="6" t="s">
        <v>53</v>
      </c>
      <c r="G3316" s="6" t="s">
        <v>7909</v>
      </c>
      <c r="H3316" s="6" t="s">
        <v>55</v>
      </c>
      <c r="I3316" s="6" t="s">
        <v>7566</v>
      </c>
      <c r="J3316" s="6" t="s">
        <v>91</v>
      </c>
      <c r="K3316" s="9" t="str">
        <f>HYPERLINK("https://media.licdn.com/dms/image/v2/D4E10AQE0zsNqT0YGaQ/image-shrink_1280/B4EZv65CXGKYAg-/0/1769440815038?e=2147483647&amp;v=beta&amp;t=GmpzxeHlyLaTRFDq9r81RMVfETj97b_IkNXKVkw18l8","Open Creative")</f>
        <v>Open Creative</v>
      </c>
      <c r="L3316" s="6" t="s">
        <v>131</v>
      </c>
      <c r="M3316" s="6" t="s">
        <v>7537</v>
      </c>
      <c r="N3316" s="6" t="s">
        <v>132</v>
      </c>
      <c r="O3316" s="36" t="s">
        <v>132</v>
      </c>
      <c r="P3316" s="36">
        <v>1.133185954E9</v>
      </c>
      <c r="Q3316" s="36" t="s">
        <v>7541</v>
      </c>
      <c r="R3316" s="6" t="s">
        <v>7542</v>
      </c>
    </row>
    <row r="3317">
      <c r="A3317" s="6" t="s">
        <v>7537</v>
      </c>
      <c r="B3317" s="6" t="s">
        <v>7537</v>
      </c>
      <c r="C3317" s="6">
        <v>1708.0</v>
      </c>
      <c r="D3317" s="9" t="str">
        <f>HYPERLINK("https://www.linkedin.com/ad-library/detail/1063324026","Open Ad")</f>
        <v>Open Ad</v>
      </c>
      <c r="E3317" s="6" t="s">
        <v>91</v>
      </c>
      <c r="F3317" s="6" t="s">
        <v>53</v>
      </c>
      <c r="G3317" s="6" t="s">
        <v>7910</v>
      </c>
      <c r="H3317" s="6" t="s">
        <v>55</v>
      </c>
      <c r="I3317" s="6" t="s">
        <v>7566</v>
      </c>
      <c r="J3317" s="6" t="s">
        <v>91</v>
      </c>
      <c r="K3317" s="9" t="str">
        <f t="shared" ref="K3317:K3319" si="173">HYPERLINK("https://media.licdn.com/dms/image/v2/D4E22AQF2T21gSA94tg/feedshare-shrink_1280/B4EZwknhU6HoAc-/0/1770140867610?e=2147483647&amp;v=beta&amp;t=L9setBOyJT6VOicNf54YmaWqmulUBSKVJyMYTwpN3rU","Open Creative")</f>
        <v>Open Creative</v>
      </c>
      <c r="L3317" s="6" t="s">
        <v>131</v>
      </c>
      <c r="M3317" s="6" t="s">
        <v>7537</v>
      </c>
      <c r="N3317" s="6" t="s">
        <v>132</v>
      </c>
      <c r="O3317" s="36" t="s">
        <v>132</v>
      </c>
      <c r="P3317" s="36">
        <v>1.063324026E9</v>
      </c>
      <c r="Q3317" s="36" t="s">
        <v>7541</v>
      </c>
      <c r="R3317" s="6" t="s">
        <v>7542</v>
      </c>
    </row>
    <row r="3318">
      <c r="A3318" s="6" t="s">
        <v>7537</v>
      </c>
      <c r="B3318" s="6" t="s">
        <v>7537</v>
      </c>
      <c r="C3318" s="6">
        <v>1709.0</v>
      </c>
      <c r="D3318" s="9" t="str">
        <f>HYPERLINK("https://www.linkedin.com/ad-library/detail/1063625006","Open Ad")</f>
        <v>Open Ad</v>
      </c>
      <c r="E3318" s="6" t="s">
        <v>91</v>
      </c>
      <c r="F3318" s="6" t="s">
        <v>53</v>
      </c>
      <c r="G3318" s="6" t="s">
        <v>7910</v>
      </c>
      <c r="H3318" s="6" t="s">
        <v>55</v>
      </c>
      <c r="I3318" s="6" t="s">
        <v>7566</v>
      </c>
      <c r="J3318" s="6" t="s">
        <v>91</v>
      </c>
      <c r="K3318" s="9" t="str">
        <f t="shared" si="173"/>
        <v>Open Creative</v>
      </c>
      <c r="L3318" s="6" t="s">
        <v>131</v>
      </c>
      <c r="M3318" s="6" t="s">
        <v>7537</v>
      </c>
      <c r="N3318" s="6" t="s">
        <v>132</v>
      </c>
      <c r="O3318" s="36" t="s">
        <v>132</v>
      </c>
      <c r="P3318" s="36">
        <v>1.063625006E9</v>
      </c>
      <c r="Q3318" s="36" t="s">
        <v>7541</v>
      </c>
      <c r="R3318" s="6" t="s">
        <v>7542</v>
      </c>
    </row>
    <row r="3319">
      <c r="A3319" s="6" t="s">
        <v>7537</v>
      </c>
      <c r="B3319" s="6" t="s">
        <v>7537</v>
      </c>
      <c r="C3319" s="6">
        <v>1710.0</v>
      </c>
      <c r="D3319" s="9" t="str">
        <f>HYPERLINK("https://www.linkedin.com/ad-library/detail/1065880496","Open Ad")</f>
        <v>Open Ad</v>
      </c>
      <c r="E3319" s="6" t="s">
        <v>91</v>
      </c>
      <c r="F3319" s="6" t="s">
        <v>53</v>
      </c>
      <c r="G3319" s="6" t="s">
        <v>7910</v>
      </c>
      <c r="H3319" s="6" t="s">
        <v>55</v>
      </c>
      <c r="I3319" s="6" t="s">
        <v>7566</v>
      </c>
      <c r="J3319" s="6" t="s">
        <v>91</v>
      </c>
      <c r="K3319" s="9" t="str">
        <f t="shared" si="173"/>
        <v>Open Creative</v>
      </c>
      <c r="L3319" s="6" t="s">
        <v>131</v>
      </c>
      <c r="M3319" s="6" t="s">
        <v>7537</v>
      </c>
      <c r="N3319" s="6" t="s">
        <v>132</v>
      </c>
      <c r="O3319" s="36" t="s">
        <v>132</v>
      </c>
      <c r="P3319" s="36">
        <v>1.065880496E9</v>
      </c>
      <c r="Q3319" s="36" t="s">
        <v>7541</v>
      </c>
      <c r="R3319" s="6" t="s">
        <v>7542</v>
      </c>
    </row>
    <row r="3320">
      <c r="A3320" s="6" t="s">
        <v>7537</v>
      </c>
      <c r="B3320" s="6" t="s">
        <v>7537</v>
      </c>
      <c r="C3320" s="6">
        <v>1711.0</v>
      </c>
      <c r="D3320" s="9" t="str">
        <f>HYPERLINK("https://www.linkedin.com/ad-library/detail/1059516586","Open Ad")</f>
        <v>Open Ad</v>
      </c>
      <c r="E3320" s="6" t="s">
        <v>154</v>
      </c>
      <c r="F3320" s="6" t="s">
        <v>53</v>
      </c>
      <c r="G3320" s="6" t="s">
        <v>7911</v>
      </c>
      <c r="H3320" s="6" t="s">
        <v>55</v>
      </c>
      <c r="I3320" s="6" t="s">
        <v>7566</v>
      </c>
      <c r="J3320" s="6" t="s">
        <v>154</v>
      </c>
      <c r="K3320" s="9" t="str">
        <f>HYPERLINK("https://dms.licdn.com/playlist/vid/v2/D4D05AQETr2QzRyu-OQ/mp4-720p-30fp-crf28/B4DZwLiCx7I8CI-/0/1769720005892?e=2147483647&amp;v=beta&amp;t=SCmUDOpPNyffVP67iEgf3VLSnGMzu0y4E5CLWlFwN5o","Open Creative")</f>
        <v>Open Creative</v>
      </c>
      <c r="L3320" s="6" t="s">
        <v>131</v>
      </c>
      <c r="M3320" s="6" t="s">
        <v>7537</v>
      </c>
      <c r="N3320" s="6" t="s">
        <v>132</v>
      </c>
      <c r="O3320" s="36" t="s">
        <v>132</v>
      </c>
      <c r="P3320" s="36">
        <v>1.059516586E9</v>
      </c>
      <c r="Q3320" s="36" t="s">
        <v>7541</v>
      </c>
      <c r="R3320" s="6" t="s">
        <v>7542</v>
      </c>
    </row>
    <row r="3321">
      <c r="A3321" s="6" t="s">
        <v>7537</v>
      </c>
      <c r="B3321" s="6" t="s">
        <v>7537</v>
      </c>
      <c r="C3321" s="6">
        <v>1712.0</v>
      </c>
      <c r="D3321" s="9" t="str">
        <f>HYPERLINK("https://www.linkedin.com/ad-library/detail/1051639906","Open Ad")</f>
        <v>Open Ad</v>
      </c>
      <c r="E3321" s="6" t="s">
        <v>91</v>
      </c>
      <c r="F3321" s="6" t="s">
        <v>53</v>
      </c>
      <c r="G3321" s="6" t="s">
        <v>7807</v>
      </c>
      <c r="H3321" s="6" t="s">
        <v>55</v>
      </c>
      <c r="I3321" s="6" t="s">
        <v>7566</v>
      </c>
      <c r="J3321" s="6" t="s">
        <v>91</v>
      </c>
      <c r="K3321" s="9" t="str">
        <f>HYPERLINK("https://media.licdn.com/dms/image/v2/D4E10AQHdbrM3G0dcfA/image-shrink_1280/B4EZvmBd80GsAc-/0/1769090704089?e=2147483647&amp;v=beta&amp;t=dlO5yfiP1MV6jnBsM651Qg2abmJfMecqFy-8C9PrRFA","Open Creative")</f>
        <v>Open Creative</v>
      </c>
      <c r="L3321" s="6" t="s">
        <v>131</v>
      </c>
      <c r="M3321" s="6" t="s">
        <v>7537</v>
      </c>
      <c r="N3321" s="6" t="s">
        <v>132</v>
      </c>
      <c r="O3321" s="36" t="s">
        <v>132</v>
      </c>
      <c r="P3321" s="36">
        <v>1.051639906E9</v>
      </c>
      <c r="Q3321" s="36" t="s">
        <v>7541</v>
      </c>
      <c r="R3321" s="6" t="s">
        <v>7542</v>
      </c>
    </row>
    <row r="3322">
      <c r="A3322" s="6" t="s">
        <v>7537</v>
      </c>
      <c r="B3322" s="6" t="s">
        <v>7537</v>
      </c>
      <c r="C3322" s="6">
        <v>1713.0</v>
      </c>
      <c r="D3322" s="9" t="str">
        <f>HYPERLINK("https://www.linkedin.com/ad-library/detail/1052610796","Open Ad")</f>
        <v>Open Ad</v>
      </c>
      <c r="E3322" s="6" t="s">
        <v>91</v>
      </c>
      <c r="F3322" s="6" t="s">
        <v>53</v>
      </c>
      <c r="G3322" s="6" t="s">
        <v>7912</v>
      </c>
      <c r="H3322" s="6" t="s">
        <v>55</v>
      </c>
      <c r="I3322" s="6" t="s">
        <v>7566</v>
      </c>
      <c r="J3322" s="6" t="s">
        <v>91</v>
      </c>
      <c r="K3322" s="9" t="str">
        <f>HYPERLINK("https://media.licdn.com/dms/image/v2/D4E10AQENXDW58D0pMw/image-shrink_1280/B4EZvsPijkKgAc-/0/1769195055784?e=2147483647&amp;v=beta&amp;t=yuW_x9goTnBSuCjQkni8-geTyegE0mo5YidKApSK_aU","Open Creative")</f>
        <v>Open Creative</v>
      </c>
      <c r="L3322" s="6" t="s">
        <v>131</v>
      </c>
      <c r="M3322" s="6" t="s">
        <v>7537</v>
      </c>
      <c r="N3322" s="6" t="s">
        <v>132</v>
      </c>
      <c r="O3322" s="36" t="s">
        <v>132</v>
      </c>
      <c r="P3322" s="36">
        <v>1.052610796E9</v>
      </c>
      <c r="Q3322" s="36" t="s">
        <v>7541</v>
      </c>
      <c r="R3322" s="6" t="s">
        <v>7542</v>
      </c>
    </row>
    <row r="3323">
      <c r="A3323" s="6" t="s">
        <v>7537</v>
      </c>
      <c r="B3323" s="6" t="s">
        <v>7537</v>
      </c>
      <c r="C3323" s="6">
        <v>1714.0</v>
      </c>
      <c r="D3323" s="9" t="str">
        <f>HYPERLINK("https://www.linkedin.com/ad-library/detail/1058974246","Open Ad")</f>
        <v>Open Ad</v>
      </c>
      <c r="E3323" s="6" t="s">
        <v>154</v>
      </c>
      <c r="F3323" s="6" t="s">
        <v>53</v>
      </c>
      <c r="G3323" s="6" t="s">
        <v>7867</v>
      </c>
      <c r="H3323" s="6" t="s">
        <v>55</v>
      </c>
      <c r="I3323" s="6" t="s">
        <v>7566</v>
      </c>
      <c r="J3323" s="6" t="s">
        <v>154</v>
      </c>
      <c r="K3323" s="9" t="str">
        <f>HYPERLINK("https://dms.licdn.com/playlist/vid/v2/D4E05AQGAOnplbh8hAw/mp4-720p-30fp-crf28/B4EZwQtYHkJ8CI-/0/1769806864428?e=2147483647&amp;v=beta&amp;t=3-UIWf1rDZw5tlZrHM0UonIMZWbkC01VTW3-pNMlJPE","Open Creative")</f>
        <v>Open Creative</v>
      </c>
      <c r="L3323" s="6" t="s">
        <v>131</v>
      </c>
      <c r="M3323" s="6" t="s">
        <v>7537</v>
      </c>
      <c r="N3323" s="6" t="s">
        <v>132</v>
      </c>
      <c r="O3323" s="36" t="s">
        <v>132</v>
      </c>
      <c r="P3323" s="36">
        <v>1.058974246E9</v>
      </c>
      <c r="Q3323" s="36" t="s">
        <v>7541</v>
      </c>
      <c r="R3323" s="6" t="s">
        <v>7542</v>
      </c>
    </row>
    <row r="3324">
      <c r="A3324" s="6" t="s">
        <v>7537</v>
      </c>
      <c r="B3324" s="6" t="s">
        <v>7537</v>
      </c>
      <c r="C3324" s="6">
        <v>1715.0</v>
      </c>
      <c r="D3324" s="9" t="str">
        <f>HYPERLINK("https://www.linkedin.com/ad-library/detail/1053410576","Open Ad")</f>
        <v>Open Ad</v>
      </c>
      <c r="E3324" s="6" t="s">
        <v>91</v>
      </c>
      <c r="F3324" s="6" t="s">
        <v>53</v>
      </c>
      <c r="G3324" s="6" t="s">
        <v>7912</v>
      </c>
      <c r="H3324" s="6" t="s">
        <v>55</v>
      </c>
      <c r="I3324" s="6" t="s">
        <v>7566</v>
      </c>
      <c r="J3324" s="6" t="s">
        <v>91</v>
      </c>
      <c r="K3324" s="9" t="str">
        <f>HYPERLINK("https://media.licdn.com/dms/image/v2/D4E10AQENXDW58D0pMw/image-shrink_1280/B4EZvsPijkKgAc-/0/1769195055784?e=2147483647&amp;v=beta&amp;t=yuW_x9goTnBSuCjQkni8-geTyegE0mo5YidKApSK_aU","Open Creative")</f>
        <v>Open Creative</v>
      </c>
      <c r="L3324" s="6" t="s">
        <v>131</v>
      </c>
      <c r="M3324" s="6" t="s">
        <v>7537</v>
      </c>
      <c r="N3324" s="6" t="s">
        <v>132</v>
      </c>
      <c r="O3324" s="36" t="s">
        <v>132</v>
      </c>
      <c r="P3324" s="36">
        <v>1.053410576E9</v>
      </c>
      <c r="Q3324" s="36" t="s">
        <v>7541</v>
      </c>
      <c r="R3324" s="6" t="s">
        <v>7542</v>
      </c>
    </row>
    <row r="3325">
      <c r="A3325" s="6" t="s">
        <v>7537</v>
      </c>
      <c r="B3325" s="6" t="s">
        <v>7537</v>
      </c>
      <c r="C3325" s="6">
        <v>1716.0</v>
      </c>
      <c r="D3325" s="9" t="str">
        <f>HYPERLINK("https://www.linkedin.com/ad-library/detail/1064825396","Open Ad")</f>
        <v>Open Ad</v>
      </c>
      <c r="E3325" s="6" t="s">
        <v>91</v>
      </c>
      <c r="F3325" s="6" t="s">
        <v>53</v>
      </c>
      <c r="G3325" s="6" t="s">
        <v>7910</v>
      </c>
      <c r="H3325" s="6" t="s">
        <v>55</v>
      </c>
      <c r="I3325" s="6" t="s">
        <v>7566</v>
      </c>
      <c r="J3325" s="6" t="s">
        <v>91</v>
      </c>
      <c r="K3325" s="9" t="str">
        <f>HYPERLINK("https://media.licdn.com/dms/image/v2/D4E22AQF2T21gSA94tg/feedshare-shrink_1280/B4EZwknhU6HoAc-/0/1770140867610?e=2147483647&amp;v=beta&amp;t=L9setBOyJT6VOicNf54YmaWqmulUBSKVJyMYTwpN3rU","Open Creative")</f>
        <v>Open Creative</v>
      </c>
      <c r="L3325" s="6" t="s">
        <v>131</v>
      </c>
      <c r="M3325" s="6" t="s">
        <v>7537</v>
      </c>
      <c r="N3325" s="6" t="s">
        <v>132</v>
      </c>
      <c r="O3325" s="36" t="s">
        <v>132</v>
      </c>
      <c r="P3325" s="36">
        <v>1.064825396E9</v>
      </c>
      <c r="Q3325" s="36" t="s">
        <v>7541</v>
      </c>
      <c r="R3325" s="6" t="s">
        <v>7542</v>
      </c>
    </row>
    <row r="3326">
      <c r="A3326" s="6" t="s">
        <v>7537</v>
      </c>
      <c r="B3326" s="6" t="s">
        <v>7537</v>
      </c>
      <c r="C3326" s="6">
        <v>1717.0</v>
      </c>
      <c r="D3326" s="9" t="str">
        <f>HYPERLINK("https://www.linkedin.com/ad-library/detail/1068086256","Open Ad")</f>
        <v>Open Ad</v>
      </c>
      <c r="E3326" s="6" t="s">
        <v>91</v>
      </c>
      <c r="F3326" s="6" t="s">
        <v>53</v>
      </c>
      <c r="G3326" s="6" t="s">
        <v>7913</v>
      </c>
      <c r="H3326" s="6" t="s">
        <v>55</v>
      </c>
      <c r="I3326" s="6" t="s">
        <v>7566</v>
      </c>
      <c r="J3326" s="6" t="s">
        <v>91</v>
      </c>
      <c r="K3326" s="9" t="str">
        <f>HYPERLINK("https://media.licdn.com/dms/image/v2/D4D22AQFYV76QG5CnmQ/feedshare-shrink_1280/B4DZwpXbJmJ8Ag-/0/1770220532793?e=2147483647&amp;v=beta&amp;t=m3toCdHiddzJqX5jljiyPJxJMalndn7l_Uh9ROLF1hQ","Open Creative")</f>
        <v>Open Creative</v>
      </c>
      <c r="L3326" s="6" t="s">
        <v>131</v>
      </c>
      <c r="M3326" s="6" t="s">
        <v>7537</v>
      </c>
      <c r="N3326" s="6" t="s">
        <v>132</v>
      </c>
      <c r="O3326" s="36" t="s">
        <v>132</v>
      </c>
      <c r="P3326" s="36">
        <v>1.068086256E9</v>
      </c>
      <c r="Q3326" s="36" t="s">
        <v>7541</v>
      </c>
      <c r="R3326" s="6" t="s">
        <v>7542</v>
      </c>
    </row>
    <row r="3327">
      <c r="A3327" s="6" t="s">
        <v>7537</v>
      </c>
      <c r="B3327" s="6" t="s">
        <v>7537</v>
      </c>
      <c r="C3327" s="6">
        <v>1718.0</v>
      </c>
      <c r="D3327" s="9" t="str">
        <f>HYPERLINK("https://www.linkedin.com/ad-library/detail/1064681986","Open Ad")</f>
        <v>Open Ad</v>
      </c>
      <c r="E3327" s="6" t="s">
        <v>154</v>
      </c>
      <c r="F3327" s="6" t="s">
        <v>53</v>
      </c>
      <c r="G3327" s="6" t="s">
        <v>7914</v>
      </c>
      <c r="H3327" s="6" t="s">
        <v>55</v>
      </c>
      <c r="I3327" s="6" t="s">
        <v>7566</v>
      </c>
      <c r="J3327" s="6" t="s">
        <v>154</v>
      </c>
      <c r="K3327" s="9" t="str">
        <f>HYPERLINK("https://dms.licdn.com/playlist/vid/v2/D4E05AQG9VPioqjw3Fg/mp4-640p-30fp-crf28/B4EZwPcgJ7IMBw-/0/1769785665794?e=2147483647&amp;v=beta&amp;t=vf6LWk_3XlKTRmhD5ypXrURYcExMyuannvorq9Sf0Mc","Open Creative")</f>
        <v>Open Creative</v>
      </c>
      <c r="L3327" s="6" t="s">
        <v>131</v>
      </c>
      <c r="M3327" s="6" t="s">
        <v>7537</v>
      </c>
      <c r="N3327" s="6" t="s">
        <v>132</v>
      </c>
      <c r="O3327" s="36" t="s">
        <v>132</v>
      </c>
      <c r="P3327" s="36">
        <v>1.064681986E9</v>
      </c>
      <c r="Q3327" s="36" t="s">
        <v>7541</v>
      </c>
      <c r="R3327" s="6" t="s">
        <v>7542</v>
      </c>
    </row>
    <row r="3328">
      <c r="A3328" s="6" t="s">
        <v>7537</v>
      </c>
      <c r="B3328" s="6" t="s">
        <v>7537</v>
      </c>
      <c r="C3328" s="6">
        <v>1719.0</v>
      </c>
      <c r="D3328" s="9" t="str">
        <f>HYPERLINK("https://www.linkedin.com/ad-library/detail/1059597256","Open Ad")</f>
        <v>Open Ad</v>
      </c>
      <c r="E3328" s="6" t="s">
        <v>154</v>
      </c>
      <c r="F3328" s="6" t="s">
        <v>53</v>
      </c>
      <c r="G3328" s="6" t="s">
        <v>7911</v>
      </c>
      <c r="H3328" s="6" t="s">
        <v>55</v>
      </c>
      <c r="I3328" s="6" t="s">
        <v>7566</v>
      </c>
      <c r="J3328" s="6" t="s">
        <v>154</v>
      </c>
      <c r="K3328" s="9" t="str">
        <f>HYPERLINK("https://dms.licdn.com/playlist/vid/v2/D4D05AQETr2QzRyu-OQ/mp4-720p-30fp-crf28/B4DZwLiCx7I8CI-/0/1769720005892?e=2147483647&amp;v=beta&amp;t=SCmUDOpPNyffVP67iEgf3VLSnGMzu0y4E5CLWlFwN5o","Open Creative")</f>
        <v>Open Creative</v>
      </c>
      <c r="L3328" s="6" t="s">
        <v>131</v>
      </c>
      <c r="M3328" s="6" t="s">
        <v>7537</v>
      </c>
      <c r="N3328" s="6" t="s">
        <v>132</v>
      </c>
      <c r="O3328" s="36" t="s">
        <v>132</v>
      </c>
      <c r="P3328" s="36">
        <v>1.059597256E9</v>
      </c>
      <c r="Q3328" s="36" t="s">
        <v>7541</v>
      </c>
      <c r="R3328" s="6" t="s">
        <v>7542</v>
      </c>
    </row>
    <row r="3329">
      <c r="A3329" s="6" t="s">
        <v>7537</v>
      </c>
      <c r="B3329" s="6" t="s">
        <v>7537</v>
      </c>
      <c r="C3329" s="6">
        <v>1720.0</v>
      </c>
      <c r="D3329" s="9" t="str">
        <f>HYPERLINK("https://www.linkedin.com/ad-library/detail/1068404726","Open Ad")</f>
        <v>Open Ad</v>
      </c>
      <c r="E3329" s="6" t="s">
        <v>91</v>
      </c>
      <c r="F3329" s="6" t="s">
        <v>53</v>
      </c>
      <c r="G3329" s="6" t="s">
        <v>7908</v>
      </c>
      <c r="H3329" s="6" t="s">
        <v>55</v>
      </c>
      <c r="I3329" s="6" t="s">
        <v>7566</v>
      </c>
      <c r="J3329" s="6" t="s">
        <v>91</v>
      </c>
      <c r="K3329" s="9" t="str">
        <f>HYPERLINK("https://media.licdn.com/dms/image/v2/D4E22AQFhn0zmfk9_FQ/feedshare-shrink_1280/B4EZwvtxd0JYAo-/0/1770327056002?e=2147483647&amp;v=beta&amp;t=qA9_TzFt9dvRS_5HjP0bbenaXJm7wB41sU1YDUQS_yE","Open Creative")</f>
        <v>Open Creative</v>
      </c>
      <c r="L3329" s="6" t="s">
        <v>131</v>
      </c>
      <c r="M3329" s="6" t="s">
        <v>7537</v>
      </c>
      <c r="N3329" s="6" t="s">
        <v>132</v>
      </c>
      <c r="O3329" s="36" t="s">
        <v>132</v>
      </c>
      <c r="P3329" s="36">
        <v>1.068404726E9</v>
      </c>
      <c r="Q3329" s="36" t="s">
        <v>7541</v>
      </c>
      <c r="R3329" s="6" t="s">
        <v>7542</v>
      </c>
    </row>
    <row r="3330">
      <c r="A3330" s="6" t="s">
        <v>7537</v>
      </c>
      <c r="B3330" s="6" t="s">
        <v>7537</v>
      </c>
      <c r="C3330" s="6">
        <v>1721.0</v>
      </c>
      <c r="D3330" s="9" t="str">
        <f>HYPERLINK("https://www.linkedin.com/ad-library/detail/1065484246","Open Ad")</f>
        <v>Open Ad</v>
      </c>
      <c r="E3330" s="6" t="s">
        <v>91</v>
      </c>
      <c r="F3330" s="6" t="s">
        <v>53</v>
      </c>
      <c r="G3330" s="6" t="s">
        <v>7915</v>
      </c>
      <c r="H3330" s="6" t="s">
        <v>55</v>
      </c>
      <c r="I3330" s="6" t="s">
        <v>7566</v>
      </c>
      <c r="J3330" s="6" t="s">
        <v>91</v>
      </c>
      <c r="K3330" s="9" t="str">
        <f>HYPERLINK("https://media.licdn.com/dms/image/v2/D4E22AQEXI-KDGQUZ_A/feedshare-shrink_1280/B4EZwk9oDRIIAc-/0/1770146661146?e=2147483647&amp;v=beta&amp;t=ebEiq_3yT2olKYeypw5peMmUXFUyc3pTlQ59M0kjHqo","Open Creative")</f>
        <v>Open Creative</v>
      </c>
      <c r="L3330" s="6" t="s">
        <v>131</v>
      </c>
      <c r="M3330" s="6" t="s">
        <v>7537</v>
      </c>
      <c r="N3330" s="6" t="s">
        <v>132</v>
      </c>
      <c r="O3330" s="36" t="s">
        <v>132</v>
      </c>
      <c r="P3330" s="36">
        <v>1.065484246E9</v>
      </c>
      <c r="Q3330" s="36" t="s">
        <v>7541</v>
      </c>
      <c r="R3330" s="6" t="s">
        <v>7542</v>
      </c>
    </row>
    <row r="3331">
      <c r="A3331" s="6" t="s">
        <v>7537</v>
      </c>
      <c r="B3331" s="6" t="s">
        <v>7537</v>
      </c>
      <c r="C3331" s="6">
        <v>1722.0</v>
      </c>
      <c r="D3331" s="9" t="str">
        <f>HYPERLINK("https://www.linkedin.com/ad-library/detail/1056304526","Open Ad")</f>
        <v>Open Ad</v>
      </c>
      <c r="E3331" s="6" t="s">
        <v>154</v>
      </c>
      <c r="F3331" s="6" t="s">
        <v>53</v>
      </c>
      <c r="G3331" s="6" t="s">
        <v>7907</v>
      </c>
      <c r="H3331" s="6" t="s">
        <v>55</v>
      </c>
      <c r="I3331" s="6" t="s">
        <v>7566</v>
      </c>
      <c r="J3331" s="6" t="s">
        <v>154</v>
      </c>
      <c r="K3331" s="9" t="str">
        <f>HYPERLINK("https://dms.licdn.com/playlist/vid/v2/D4E10AQFlG4d8rrDZ-Q/mp4-640p-30fp-crf28/B4EZwAfPQ2HsBs-/0/1769534723409?e=2147483647&amp;v=beta&amp;t=giK77Oa4XBDTRNHFAxFeKO7KXXvNKrb87qel5J-q29I","Open Creative")</f>
        <v>Open Creative</v>
      </c>
      <c r="L3331" s="6" t="s">
        <v>131</v>
      </c>
      <c r="M3331" s="6" t="s">
        <v>7537</v>
      </c>
      <c r="N3331" s="6" t="s">
        <v>132</v>
      </c>
      <c r="O3331" s="36" t="s">
        <v>132</v>
      </c>
      <c r="P3331" s="36">
        <v>1.056304526E9</v>
      </c>
      <c r="Q3331" s="36" t="s">
        <v>7541</v>
      </c>
      <c r="R3331" s="6" t="s">
        <v>7542</v>
      </c>
    </row>
    <row r="3332">
      <c r="A3332" s="6" t="s">
        <v>7537</v>
      </c>
      <c r="B3332" s="6" t="s">
        <v>7537</v>
      </c>
      <c r="C3332" s="6">
        <v>1723.0</v>
      </c>
      <c r="D3332" s="9" t="str">
        <f>HYPERLINK("https://www.linkedin.com/ad-library/detail/1139382524","Open Ad")</f>
        <v>Open Ad</v>
      </c>
      <c r="E3332" s="6" t="s">
        <v>7543</v>
      </c>
      <c r="F3332" s="6" t="s">
        <v>53</v>
      </c>
      <c r="G3332" s="6" t="s">
        <v>7864</v>
      </c>
      <c r="H3332" s="6" t="s">
        <v>55</v>
      </c>
      <c r="I3332" s="6" t="s">
        <v>7566</v>
      </c>
      <c r="J3332" s="6" t="s">
        <v>7546</v>
      </c>
      <c r="K3332" s="6" t="s">
        <v>60</v>
      </c>
      <c r="L3332" s="6" t="s">
        <v>131</v>
      </c>
      <c r="M3332" s="6" t="s">
        <v>7537</v>
      </c>
      <c r="N3332" s="6" t="s">
        <v>132</v>
      </c>
      <c r="O3332" s="36" t="s">
        <v>132</v>
      </c>
      <c r="P3332" s="36">
        <v>1.139382524E9</v>
      </c>
      <c r="Q3332" s="36" t="s">
        <v>7541</v>
      </c>
      <c r="R3332" s="6" t="s">
        <v>7542</v>
      </c>
    </row>
    <row r="3333">
      <c r="A3333" s="6" t="s">
        <v>7537</v>
      </c>
      <c r="B3333" s="6" t="s">
        <v>7537</v>
      </c>
      <c r="C3333" s="6">
        <v>1724.0</v>
      </c>
      <c r="D3333" s="9" t="str">
        <f>HYPERLINK("https://www.linkedin.com/ad-library/detail/1052810676","Open Ad")</f>
        <v>Open Ad</v>
      </c>
      <c r="E3333" s="6" t="s">
        <v>7543</v>
      </c>
      <c r="F3333" s="6" t="s">
        <v>53</v>
      </c>
      <c r="G3333" s="6" t="s">
        <v>7916</v>
      </c>
      <c r="H3333" s="6" t="s">
        <v>55</v>
      </c>
      <c r="I3333" s="6" t="s">
        <v>7566</v>
      </c>
      <c r="J3333" s="6" t="s">
        <v>7546</v>
      </c>
      <c r="K3333" s="6" t="s">
        <v>60</v>
      </c>
      <c r="L3333" s="6" t="s">
        <v>131</v>
      </c>
      <c r="M3333" s="6" t="s">
        <v>7537</v>
      </c>
      <c r="N3333" s="6" t="s">
        <v>132</v>
      </c>
      <c r="O3333" s="36" t="s">
        <v>132</v>
      </c>
      <c r="P3333" s="36">
        <v>1.052810676E9</v>
      </c>
      <c r="Q3333" s="36" t="s">
        <v>7541</v>
      </c>
      <c r="R3333" s="6" t="s">
        <v>7542</v>
      </c>
    </row>
    <row r="3334">
      <c r="A3334" s="6" t="s">
        <v>7537</v>
      </c>
      <c r="B3334" s="6" t="s">
        <v>7537</v>
      </c>
      <c r="C3334" s="6">
        <v>1725.0</v>
      </c>
      <c r="D3334" s="9" t="str">
        <f>HYPERLINK("https://www.linkedin.com/ad-library/detail/1139336494","Open Ad")</f>
        <v>Open Ad</v>
      </c>
      <c r="E3334" s="6" t="s">
        <v>91</v>
      </c>
      <c r="F3334" s="6" t="s">
        <v>53</v>
      </c>
      <c r="G3334" s="6" t="s">
        <v>7711</v>
      </c>
      <c r="H3334" s="6" t="s">
        <v>55</v>
      </c>
      <c r="I3334" s="6" t="s">
        <v>7566</v>
      </c>
      <c r="J3334" s="6" t="s">
        <v>91</v>
      </c>
      <c r="K3334" s="9" t="str">
        <f>HYPERLINK("https://media.licdn.com/dms/image/v2/D4E10AQGFNQod3_uzbw/image_627_1200/B4DZwmN._pIAAg-/0/1770167726234/LinkedInAdFeb2026jpg?e=2147483647&amp;v=beta&amp;t=43kHJ9rU3AQbInWsIIeEMoUoZKR1eKKl1nAWIAbmCVo","Open Creative")</f>
        <v>Open Creative</v>
      </c>
      <c r="L3334" s="6" t="s">
        <v>131</v>
      </c>
      <c r="M3334" s="6" t="s">
        <v>7537</v>
      </c>
      <c r="N3334" s="6" t="s">
        <v>132</v>
      </c>
      <c r="O3334" s="36" t="s">
        <v>132</v>
      </c>
      <c r="P3334" s="36">
        <v>1.139336494E9</v>
      </c>
      <c r="Q3334" s="36" t="s">
        <v>7541</v>
      </c>
      <c r="R3334" s="6" t="s">
        <v>7542</v>
      </c>
    </row>
    <row r="3335">
      <c r="A3335" s="6" t="s">
        <v>7537</v>
      </c>
      <c r="B3335" s="6" t="s">
        <v>7537</v>
      </c>
      <c r="C3335" s="6">
        <v>1726.0</v>
      </c>
      <c r="D3335" s="9" t="str">
        <f>HYPERLINK("https://www.linkedin.com/ad-library/detail/1166998473","Open Ad")</f>
        <v>Open Ad</v>
      </c>
      <c r="E3335" s="6" t="s">
        <v>91</v>
      </c>
      <c r="F3335" s="6" t="s">
        <v>53</v>
      </c>
      <c r="G3335" s="6" t="s">
        <v>7917</v>
      </c>
      <c r="H3335" s="6" t="s">
        <v>55</v>
      </c>
      <c r="I3335" s="6" t="s">
        <v>7566</v>
      </c>
      <c r="J3335" s="6" t="s">
        <v>91</v>
      </c>
      <c r="K3335" s="9" t="str">
        <f>HYPERLINK("https://media.licdn.com/dms/image/v2/D4D10AQEgOVb1lomxkg/image-shrink_1280/B4DZwU0LBLJcAc-/0/1769875747188/WhatsAppImage2026-01-29at100910PMjpeg?e=2147483647&amp;v=beta&amp;t=dfIFZn7hDWICL2GTKb_M8QC5YmQBgf3LoYTxzdtUawg","Open Creative")</f>
        <v>Open Creative</v>
      </c>
      <c r="L3335" s="6" t="s">
        <v>131</v>
      </c>
      <c r="M3335" s="6" t="s">
        <v>7537</v>
      </c>
      <c r="N3335" s="6" t="s">
        <v>132</v>
      </c>
      <c r="O3335" s="36" t="s">
        <v>132</v>
      </c>
      <c r="P3335" s="36">
        <v>1.166998473E9</v>
      </c>
      <c r="Q3335" s="36" t="s">
        <v>7541</v>
      </c>
      <c r="R3335" s="6" t="s">
        <v>7542</v>
      </c>
    </row>
    <row r="3336">
      <c r="A3336" s="6" t="s">
        <v>7537</v>
      </c>
      <c r="B3336" s="6" t="s">
        <v>7537</v>
      </c>
      <c r="C3336" s="6">
        <v>1727.0</v>
      </c>
      <c r="D3336" s="9" t="str">
        <f>HYPERLINK("https://www.linkedin.com/ad-library/detail/1137982874","Open Ad")</f>
        <v>Open Ad</v>
      </c>
      <c r="E3336" s="6" t="s">
        <v>7543</v>
      </c>
      <c r="F3336" s="6" t="s">
        <v>53</v>
      </c>
      <c r="G3336" s="6" t="s">
        <v>7859</v>
      </c>
      <c r="H3336" s="6" t="s">
        <v>55</v>
      </c>
      <c r="I3336" s="6" t="s">
        <v>7566</v>
      </c>
      <c r="J3336" s="6" t="s">
        <v>7546</v>
      </c>
      <c r="K3336" s="6" t="s">
        <v>60</v>
      </c>
      <c r="L3336" s="6" t="s">
        <v>131</v>
      </c>
      <c r="M3336" s="6" t="s">
        <v>7537</v>
      </c>
      <c r="N3336" s="6" t="s">
        <v>132</v>
      </c>
      <c r="O3336" s="36" t="s">
        <v>132</v>
      </c>
      <c r="P3336" s="36">
        <v>1.137982874E9</v>
      </c>
      <c r="Q3336" s="36" t="s">
        <v>7541</v>
      </c>
      <c r="R3336" s="6" t="s">
        <v>7542</v>
      </c>
    </row>
    <row r="3337">
      <c r="A3337" s="6" t="s">
        <v>7537</v>
      </c>
      <c r="B3337" s="6" t="s">
        <v>7537</v>
      </c>
      <c r="C3337" s="6">
        <v>1728.0</v>
      </c>
      <c r="D3337" s="9" t="str">
        <f>HYPERLINK("https://www.linkedin.com/ad-library/detail/1058503716","Open Ad")</f>
        <v>Open Ad</v>
      </c>
      <c r="E3337" s="6" t="s">
        <v>154</v>
      </c>
      <c r="F3337" s="6" t="s">
        <v>53</v>
      </c>
      <c r="G3337" s="6" t="s">
        <v>7907</v>
      </c>
      <c r="H3337" s="6" t="s">
        <v>55</v>
      </c>
      <c r="I3337" s="6" t="s">
        <v>7566</v>
      </c>
      <c r="J3337" s="6" t="s">
        <v>154</v>
      </c>
      <c r="K3337" s="9" t="str">
        <f>HYPERLINK("https://dms.licdn.com/playlist/vid/v2/D4E10AQFlG4d8rrDZ-Q/mp4-640p-30fp-crf28/B4EZwAfPQ2HsBs-/0/1769534723409?e=2147483647&amp;v=beta&amp;t=giK77Oa4XBDTRNHFAxFeKO7KXXvNKrb87qel5J-q29I","Open Creative")</f>
        <v>Open Creative</v>
      </c>
      <c r="L3337" s="6" t="s">
        <v>131</v>
      </c>
      <c r="M3337" s="6" t="s">
        <v>7537</v>
      </c>
      <c r="N3337" s="6" t="s">
        <v>132</v>
      </c>
      <c r="O3337" s="36" t="s">
        <v>132</v>
      </c>
      <c r="P3337" s="36">
        <v>1.058503716E9</v>
      </c>
      <c r="Q3337" s="36" t="s">
        <v>7541</v>
      </c>
      <c r="R3337" s="6" t="s">
        <v>7542</v>
      </c>
    </row>
    <row r="3338">
      <c r="A3338" s="6" t="s">
        <v>7537</v>
      </c>
      <c r="B3338" s="6" t="s">
        <v>7537</v>
      </c>
      <c r="C3338" s="6">
        <v>1729.0</v>
      </c>
      <c r="D3338" s="9" t="str">
        <f>HYPERLINK("https://www.linkedin.com/ad-library/detail/1048783436","Open Ad")</f>
        <v>Open Ad</v>
      </c>
      <c r="E3338" s="6" t="s">
        <v>154</v>
      </c>
      <c r="F3338" s="6" t="s">
        <v>53</v>
      </c>
      <c r="G3338" s="6" t="s">
        <v>7918</v>
      </c>
      <c r="H3338" s="6" t="s">
        <v>55</v>
      </c>
      <c r="I3338" s="6" t="s">
        <v>7566</v>
      </c>
      <c r="J3338" s="6" t="s">
        <v>154</v>
      </c>
      <c r="K3338" s="9" t="str">
        <f>HYPERLINK("https://dms.licdn.com/playlist/vid/v2/D4E05AQHyk4x1-Kyh_Q/mp4-720p-30fp-crf28/B4EZvONefdKkCE-/0/1768691209240?e=2147483647&amp;v=beta&amp;t=7Ff_PXOJ4jFBCh9hcVO5qkwepEhaVfGJB6BWL8TsnXE","Open Creative")</f>
        <v>Open Creative</v>
      </c>
      <c r="L3338" s="6" t="s">
        <v>131</v>
      </c>
      <c r="M3338" s="6" t="s">
        <v>7537</v>
      </c>
      <c r="N3338" s="6" t="s">
        <v>132</v>
      </c>
      <c r="O3338" s="36" t="s">
        <v>132</v>
      </c>
      <c r="P3338" s="36">
        <v>1.048783436E9</v>
      </c>
      <c r="Q3338" s="36" t="s">
        <v>7541</v>
      </c>
      <c r="R3338" s="6" t="s">
        <v>7542</v>
      </c>
    </row>
    <row r="3339">
      <c r="A3339" s="6" t="s">
        <v>7537</v>
      </c>
      <c r="B3339" s="6" t="s">
        <v>7537</v>
      </c>
      <c r="C3339" s="6">
        <v>1730.0</v>
      </c>
      <c r="D3339" s="9" t="str">
        <f>HYPERLINK("https://www.linkedin.com/ad-library/detail/1049648266","Open Ad")</f>
        <v>Open Ad</v>
      </c>
      <c r="E3339" s="6" t="s">
        <v>91</v>
      </c>
      <c r="F3339" s="6" t="s">
        <v>53</v>
      </c>
      <c r="G3339" s="6" t="s">
        <v>7807</v>
      </c>
      <c r="H3339" s="6" t="s">
        <v>55</v>
      </c>
      <c r="I3339" s="6" t="s">
        <v>7566</v>
      </c>
      <c r="J3339" s="6" t="s">
        <v>91</v>
      </c>
      <c r="K3339" s="9" t="str">
        <f>HYPERLINK("https://media.licdn.com/dms/image/v2/D4E10AQHdbrM3G0dcfA/image-shrink_1280/B4EZvmBd80GsAc-/0/1769090704089?e=2147483647&amp;v=beta&amp;t=dlO5yfiP1MV6jnBsM651Qg2abmJfMecqFy-8C9PrRFA","Open Creative")</f>
        <v>Open Creative</v>
      </c>
      <c r="L3339" s="6" t="s">
        <v>131</v>
      </c>
      <c r="M3339" s="6" t="s">
        <v>7537</v>
      </c>
      <c r="N3339" s="6" t="s">
        <v>132</v>
      </c>
      <c r="O3339" s="36" t="s">
        <v>132</v>
      </c>
      <c r="P3339" s="36">
        <v>1.049648266E9</v>
      </c>
      <c r="Q3339" s="36" t="s">
        <v>7541</v>
      </c>
      <c r="R3339" s="6" t="s">
        <v>7542</v>
      </c>
    </row>
    <row r="3340">
      <c r="A3340" s="6" t="s">
        <v>7537</v>
      </c>
      <c r="B3340" s="6" t="s">
        <v>7537</v>
      </c>
      <c r="C3340" s="6">
        <v>1731.0</v>
      </c>
      <c r="D3340" s="9" t="str">
        <f>HYPERLINK("https://www.linkedin.com/ad-library/detail/1038382476","Open Ad")</f>
        <v>Open Ad</v>
      </c>
      <c r="E3340" s="6" t="s">
        <v>7543</v>
      </c>
      <c r="F3340" s="6" t="s">
        <v>53</v>
      </c>
      <c r="G3340" s="6" t="s">
        <v>7859</v>
      </c>
      <c r="H3340" s="6" t="s">
        <v>55</v>
      </c>
      <c r="I3340" s="6" t="s">
        <v>7566</v>
      </c>
      <c r="J3340" s="6" t="s">
        <v>7546</v>
      </c>
      <c r="K3340" s="6" t="s">
        <v>60</v>
      </c>
      <c r="L3340" s="6" t="s">
        <v>131</v>
      </c>
      <c r="M3340" s="6" t="s">
        <v>7537</v>
      </c>
      <c r="N3340" s="6" t="s">
        <v>132</v>
      </c>
      <c r="O3340" s="36" t="s">
        <v>132</v>
      </c>
      <c r="P3340" s="36">
        <v>1.038382476E9</v>
      </c>
      <c r="Q3340" s="36" t="s">
        <v>7541</v>
      </c>
      <c r="R3340" s="6" t="s">
        <v>7542</v>
      </c>
    </row>
    <row r="3341">
      <c r="A3341" s="6" t="s">
        <v>7537</v>
      </c>
      <c r="B3341" s="6" t="s">
        <v>7537</v>
      </c>
      <c r="C3341" s="6">
        <v>1732.0</v>
      </c>
      <c r="D3341" s="9" t="str">
        <f>HYPERLINK("https://www.linkedin.com/ad-library/detail/1027166146","Open Ad")</f>
        <v>Open Ad</v>
      </c>
      <c r="E3341" s="6" t="s">
        <v>91</v>
      </c>
      <c r="F3341" s="6" t="s">
        <v>53</v>
      </c>
      <c r="G3341" s="6" t="s">
        <v>7919</v>
      </c>
      <c r="H3341" s="6" t="s">
        <v>55</v>
      </c>
      <c r="I3341" s="6" t="s">
        <v>7566</v>
      </c>
      <c r="J3341" s="6" t="s">
        <v>91</v>
      </c>
      <c r="K3341" s="9" t="str">
        <f>HYPERLINK("https://media.licdn.com/dms/image/v2/D4E10AQHbIaVHcKJVJQ/image-shrink_1280/B4EZuyyuyIJEAg-/0/1768231203459?e=2147483647&amp;v=beta&amp;t=bC88HLz9u3vafjZ_5_5WZAF0Oj0yROwqacDKoPzpFig","Open Creative")</f>
        <v>Open Creative</v>
      </c>
      <c r="L3341" s="6" t="s">
        <v>131</v>
      </c>
      <c r="M3341" s="6" t="s">
        <v>7537</v>
      </c>
      <c r="N3341" s="6" t="s">
        <v>132</v>
      </c>
      <c r="O3341" s="36" t="s">
        <v>132</v>
      </c>
      <c r="P3341" s="36">
        <v>1.027166146E9</v>
      </c>
      <c r="Q3341" s="36" t="s">
        <v>7541</v>
      </c>
      <c r="R3341" s="6" t="s">
        <v>7542</v>
      </c>
    </row>
    <row r="3342">
      <c r="A3342" s="6" t="s">
        <v>7537</v>
      </c>
      <c r="B3342" s="6" t="s">
        <v>7537</v>
      </c>
      <c r="C3342" s="6">
        <v>1733.0</v>
      </c>
      <c r="D3342" s="9" t="str">
        <f>HYPERLINK("https://www.linkedin.com/ad-library/detail/1022681156","Open Ad")</f>
        <v>Open Ad</v>
      </c>
      <c r="E3342" s="6" t="s">
        <v>91</v>
      </c>
      <c r="F3342" s="6" t="s">
        <v>53</v>
      </c>
      <c r="G3342" s="6" t="s">
        <v>7869</v>
      </c>
      <c r="H3342" s="6" t="s">
        <v>55</v>
      </c>
      <c r="I3342" s="6" t="s">
        <v>7566</v>
      </c>
      <c r="J3342" s="6" t="s">
        <v>91</v>
      </c>
      <c r="K3342" s="9" t="str">
        <f>HYPERLINK("https://media.licdn.com/dms/image/v2/D4E22AQGSTukpFdZDmw/feedshare-shrink_1280/B4EZud_VF7K8As-/0/1767882183787?e=2147483647&amp;v=beta&amp;t=FCfv5eRdq1jL7SmRWSLlJuRvnvLS1FLmcswXIV-lxPA","Open Creative")</f>
        <v>Open Creative</v>
      </c>
      <c r="L3342" s="6" t="s">
        <v>131</v>
      </c>
      <c r="M3342" s="6" t="s">
        <v>7537</v>
      </c>
      <c r="N3342" s="6" t="s">
        <v>132</v>
      </c>
      <c r="O3342" s="36" t="s">
        <v>132</v>
      </c>
      <c r="P3342" s="36">
        <v>1.022681156E9</v>
      </c>
      <c r="Q3342" s="36" t="s">
        <v>7541</v>
      </c>
      <c r="R3342" s="6" t="s">
        <v>7542</v>
      </c>
    </row>
    <row r="3343">
      <c r="A3343" s="6" t="s">
        <v>7537</v>
      </c>
      <c r="B3343" s="6" t="s">
        <v>7537</v>
      </c>
      <c r="C3343" s="6">
        <v>1734.0</v>
      </c>
      <c r="D3343" s="9" t="str">
        <f>HYPERLINK("https://www.linkedin.com/ad-library/detail/1037040256","Open Ad")</f>
        <v>Open Ad</v>
      </c>
      <c r="E3343" s="6" t="s">
        <v>7543</v>
      </c>
      <c r="F3343" s="6" t="s">
        <v>53</v>
      </c>
      <c r="G3343" s="6" t="s">
        <v>7780</v>
      </c>
      <c r="H3343" s="6" t="s">
        <v>55</v>
      </c>
      <c r="I3343" s="6" t="s">
        <v>7566</v>
      </c>
      <c r="J3343" s="6" t="s">
        <v>7546</v>
      </c>
      <c r="K3343" s="6" t="s">
        <v>60</v>
      </c>
      <c r="L3343" s="6" t="s">
        <v>131</v>
      </c>
      <c r="M3343" s="6" t="s">
        <v>7537</v>
      </c>
      <c r="N3343" s="6" t="s">
        <v>132</v>
      </c>
      <c r="O3343" s="36" t="s">
        <v>132</v>
      </c>
      <c r="P3343" s="36">
        <v>1.037040256E9</v>
      </c>
      <c r="Q3343" s="36" t="s">
        <v>7541</v>
      </c>
      <c r="R3343" s="6" t="s">
        <v>7542</v>
      </c>
    </row>
    <row r="3344">
      <c r="A3344" s="6" t="s">
        <v>7537</v>
      </c>
      <c r="B3344" s="6" t="s">
        <v>7537</v>
      </c>
      <c r="C3344" s="6">
        <v>1735.0</v>
      </c>
      <c r="D3344" s="9" t="str">
        <f>HYPERLINK("https://www.linkedin.com/ad-library/detail/1037439616","Open Ad")</f>
        <v>Open Ad</v>
      </c>
      <c r="E3344" s="6" t="s">
        <v>7543</v>
      </c>
      <c r="F3344" s="6" t="s">
        <v>53</v>
      </c>
      <c r="G3344" s="6" t="s">
        <v>7859</v>
      </c>
      <c r="H3344" s="6" t="s">
        <v>55</v>
      </c>
      <c r="I3344" s="6" t="s">
        <v>7566</v>
      </c>
      <c r="J3344" s="6" t="s">
        <v>7546</v>
      </c>
      <c r="K3344" s="6" t="s">
        <v>60</v>
      </c>
      <c r="L3344" s="6" t="s">
        <v>131</v>
      </c>
      <c r="M3344" s="6" t="s">
        <v>7537</v>
      </c>
      <c r="N3344" s="6" t="s">
        <v>132</v>
      </c>
      <c r="O3344" s="36" t="s">
        <v>132</v>
      </c>
      <c r="P3344" s="36">
        <v>1.037439616E9</v>
      </c>
      <c r="Q3344" s="36" t="s">
        <v>7541</v>
      </c>
      <c r="R3344" s="6" t="s">
        <v>7542</v>
      </c>
    </row>
    <row r="3345">
      <c r="A3345" s="6" t="s">
        <v>7537</v>
      </c>
      <c r="B3345" s="6" t="s">
        <v>7537</v>
      </c>
      <c r="C3345" s="6">
        <v>1736.0</v>
      </c>
      <c r="D3345" s="9" t="str">
        <f>HYPERLINK("https://www.linkedin.com/ad-library/detail/1022681176","Open Ad")</f>
        <v>Open Ad</v>
      </c>
      <c r="E3345" s="6" t="s">
        <v>91</v>
      </c>
      <c r="F3345" s="6" t="s">
        <v>53</v>
      </c>
      <c r="G3345" s="6" t="s">
        <v>7920</v>
      </c>
      <c r="H3345" s="6" t="s">
        <v>55</v>
      </c>
      <c r="I3345" s="6" t="s">
        <v>7566</v>
      </c>
      <c r="J3345" s="6" t="s">
        <v>91</v>
      </c>
      <c r="K3345" s="9" t="str">
        <f>HYPERLINK("https://media.licdn.com/dms/image/v2/D4E22AQEzqwE01tuTtA/feedshare-shrink_1280/B4EZuaA0lkHsAs-/0/1767815465899?e=2147483647&amp;v=beta&amp;t=FRykyXw4iJspg6TBKd2eedcHm1nbiIKHBf9GUuKUmCA","Open Creative")</f>
        <v>Open Creative</v>
      </c>
      <c r="L3345" s="6" t="s">
        <v>131</v>
      </c>
      <c r="M3345" s="6" t="s">
        <v>7537</v>
      </c>
      <c r="N3345" s="6" t="s">
        <v>132</v>
      </c>
      <c r="O3345" s="36" t="s">
        <v>132</v>
      </c>
      <c r="P3345" s="36">
        <v>1.022681176E9</v>
      </c>
      <c r="Q3345" s="36" t="s">
        <v>7541</v>
      </c>
      <c r="R3345" s="6" t="s">
        <v>7542</v>
      </c>
    </row>
    <row r="3346">
      <c r="A3346" s="6" t="s">
        <v>7537</v>
      </c>
      <c r="B3346" s="6" t="s">
        <v>7537</v>
      </c>
      <c r="C3346" s="6">
        <v>1737.0</v>
      </c>
      <c r="D3346" s="9" t="str">
        <f>HYPERLINK("https://www.linkedin.com/ad-library/detail/1027584546","Open Ad")</f>
        <v>Open Ad</v>
      </c>
      <c r="E3346" s="6" t="s">
        <v>91</v>
      </c>
      <c r="F3346" s="6" t="s">
        <v>53</v>
      </c>
      <c r="G3346" s="6" t="s">
        <v>7897</v>
      </c>
      <c r="H3346" s="6" t="s">
        <v>55</v>
      </c>
      <c r="I3346" s="6" t="s">
        <v>7566</v>
      </c>
      <c r="J3346" s="6" t="s">
        <v>91</v>
      </c>
      <c r="K3346" s="9" t="str">
        <f>HYPERLINK("https://media.licdn.com/dms/image/v2/D4E22AQEx8AKZoHZPIg/feedshare-shrink_1280/B4EZukIRruL4As-/0/1767985193186?e=2147483647&amp;v=beta&amp;t=3V-Z4CrkE-Ux5ByG6zC6dRbL0nFQsiLy0m_1f7pkNcE","Open Creative")</f>
        <v>Open Creative</v>
      </c>
      <c r="L3346" s="6" t="s">
        <v>131</v>
      </c>
      <c r="M3346" s="6" t="s">
        <v>7537</v>
      </c>
      <c r="N3346" s="6" t="s">
        <v>132</v>
      </c>
      <c r="O3346" s="36" t="s">
        <v>132</v>
      </c>
      <c r="P3346" s="36">
        <v>1.027584546E9</v>
      </c>
      <c r="Q3346" s="36" t="s">
        <v>7541</v>
      </c>
      <c r="R3346" s="6" t="s">
        <v>7542</v>
      </c>
    </row>
    <row r="3347">
      <c r="A3347" s="6" t="s">
        <v>7537</v>
      </c>
      <c r="B3347" s="6" t="s">
        <v>7537</v>
      </c>
      <c r="C3347" s="6">
        <v>1738.0</v>
      </c>
      <c r="D3347" s="9" t="str">
        <f>HYPERLINK("https://www.linkedin.com/ad-library/detail/1021702956","Open Ad")</f>
        <v>Open Ad</v>
      </c>
      <c r="E3347" s="6" t="s">
        <v>91</v>
      </c>
      <c r="F3347" s="6" t="s">
        <v>53</v>
      </c>
      <c r="G3347" s="6" t="s">
        <v>7869</v>
      </c>
      <c r="H3347" s="6" t="s">
        <v>55</v>
      </c>
      <c r="I3347" s="6" t="s">
        <v>7566</v>
      </c>
      <c r="J3347" s="6" t="s">
        <v>91</v>
      </c>
      <c r="K3347" s="9" t="str">
        <f>HYPERLINK("https://media.licdn.com/dms/image/v2/D4E22AQGSTukpFdZDmw/feedshare-shrink_1280/B4EZud_VF7K8As-/0/1767882183787?e=2147483647&amp;v=beta&amp;t=FCfv5eRdq1jL7SmRWSLlJuRvnvLS1FLmcswXIV-lxPA","Open Creative")</f>
        <v>Open Creative</v>
      </c>
      <c r="L3347" s="6" t="s">
        <v>131</v>
      </c>
      <c r="M3347" s="6" t="s">
        <v>7537</v>
      </c>
      <c r="N3347" s="6" t="s">
        <v>132</v>
      </c>
      <c r="O3347" s="36" t="s">
        <v>132</v>
      </c>
      <c r="P3347" s="36">
        <v>1.021702956E9</v>
      </c>
      <c r="Q3347" s="36" t="s">
        <v>7541</v>
      </c>
      <c r="R3347" s="6" t="s">
        <v>7542</v>
      </c>
    </row>
    <row r="3348">
      <c r="A3348" s="6" t="s">
        <v>7537</v>
      </c>
      <c r="B3348" s="6" t="s">
        <v>7537</v>
      </c>
      <c r="C3348" s="6">
        <v>1739.0</v>
      </c>
      <c r="D3348" s="9" t="str">
        <f>HYPERLINK("https://www.linkedin.com/ad-library/detail/1036942056","Open Ad")</f>
        <v>Open Ad</v>
      </c>
      <c r="E3348" s="6" t="s">
        <v>7543</v>
      </c>
      <c r="F3348" s="6" t="s">
        <v>53</v>
      </c>
      <c r="G3348" s="6" t="s">
        <v>7780</v>
      </c>
      <c r="H3348" s="6" t="s">
        <v>55</v>
      </c>
      <c r="I3348" s="6" t="s">
        <v>7566</v>
      </c>
      <c r="J3348" s="6" t="s">
        <v>7546</v>
      </c>
      <c r="K3348" s="6" t="s">
        <v>60</v>
      </c>
      <c r="L3348" s="6" t="s">
        <v>131</v>
      </c>
      <c r="M3348" s="6" t="s">
        <v>7537</v>
      </c>
      <c r="N3348" s="6" t="s">
        <v>132</v>
      </c>
      <c r="O3348" s="36" t="s">
        <v>132</v>
      </c>
      <c r="P3348" s="36">
        <v>1.036942056E9</v>
      </c>
      <c r="Q3348" s="36" t="s">
        <v>7541</v>
      </c>
      <c r="R3348" s="6" t="s">
        <v>7542</v>
      </c>
    </row>
    <row r="3349">
      <c r="A3349" s="6" t="s">
        <v>7537</v>
      </c>
      <c r="B3349" s="6" t="s">
        <v>7537</v>
      </c>
      <c r="C3349" s="6">
        <v>1740.0</v>
      </c>
      <c r="D3349" s="9" t="str">
        <f>HYPERLINK("https://www.linkedin.com/ad-library/detail/1028285166","Open Ad")</f>
        <v>Open Ad</v>
      </c>
      <c r="E3349" s="6" t="s">
        <v>91</v>
      </c>
      <c r="F3349" s="6" t="s">
        <v>53</v>
      </c>
      <c r="G3349" s="6" t="s">
        <v>7897</v>
      </c>
      <c r="H3349" s="6" t="s">
        <v>55</v>
      </c>
      <c r="I3349" s="6" t="s">
        <v>7566</v>
      </c>
      <c r="J3349" s="6" t="s">
        <v>91</v>
      </c>
      <c r="K3349" s="9" t="str">
        <f>HYPERLINK("https://media.licdn.com/dms/image/v2/D4E22AQEx8AKZoHZPIg/feedshare-shrink_1280/B4EZukIRruL4As-/0/1767985193186?e=2147483647&amp;v=beta&amp;t=3V-Z4CrkE-Ux5ByG6zC6dRbL0nFQsiLy0m_1f7pkNcE","Open Creative")</f>
        <v>Open Creative</v>
      </c>
      <c r="L3349" s="6" t="s">
        <v>131</v>
      </c>
      <c r="M3349" s="6" t="s">
        <v>7537</v>
      </c>
      <c r="N3349" s="6" t="s">
        <v>132</v>
      </c>
      <c r="O3349" s="36" t="s">
        <v>132</v>
      </c>
      <c r="P3349" s="36">
        <v>1.028285166E9</v>
      </c>
      <c r="Q3349" s="36" t="s">
        <v>7541</v>
      </c>
      <c r="R3349" s="6" t="s">
        <v>7542</v>
      </c>
    </row>
    <row r="3350">
      <c r="A3350" s="6" t="s">
        <v>7537</v>
      </c>
      <c r="B3350" s="6" t="s">
        <v>7537</v>
      </c>
      <c r="C3350" s="6">
        <v>1741.0</v>
      </c>
      <c r="D3350" s="9" t="str">
        <f>HYPERLINK("https://www.linkedin.com/ad-library/detail/1036942066","Open Ad")</f>
        <v>Open Ad</v>
      </c>
      <c r="E3350" s="6" t="s">
        <v>7543</v>
      </c>
      <c r="F3350" s="6" t="s">
        <v>53</v>
      </c>
      <c r="G3350" s="6" t="s">
        <v>7734</v>
      </c>
      <c r="H3350" s="6" t="s">
        <v>55</v>
      </c>
      <c r="I3350" s="6" t="s">
        <v>7566</v>
      </c>
      <c r="J3350" s="6" t="s">
        <v>7546</v>
      </c>
      <c r="K3350" s="6" t="s">
        <v>60</v>
      </c>
      <c r="L3350" s="6" t="s">
        <v>131</v>
      </c>
      <c r="M3350" s="6" t="s">
        <v>7537</v>
      </c>
      <c r="N3350" s="6" t="s">
        <v>132</v>
      </c>
      <c r="O3350" s="36" t="s">
        <v>132</v>
      </c>
      <c r="P3350" s="36">
        <v>1.036942066E9</v>
      </c>
      <c r="Q3350" s="36" t="s">
        <v>7541</v>
      </c>
      <c r="R3350" s="6" t="s">
        <v>7542</v>
      </c>
    </row>
    <row r="3351">
      <c r="A3351" s="6" t="s">
        <v>7537</v>
      </c>
      <c r="B3351" s="6" t="s">
        <v>7537</v>
      </c>
      <c r="C3351" s="6">
        <v>1742.0</v>
      </c>
      <c r="D3351" s="9" t="str">
        <f>HYPERLINK("https://www.linkedin.com/ad-library/detail/1036743346","Open Ad")</f>
        <v>Open Ad</v>
      </c>
      <c r="E3351" s="6" t="s">
        <v>7543</v>
      </c>
      <c r="F3351" s="6" t="s">
        <v>53</v>
      </c>
      <c r="G3351" s="6" t="s">
        <v>7734</v>
      </c>
      <c r="H3351" s="6" t="s">
        <v>55</v>
      </c>
      <c r="I3351" s="6" t="s">
        <v>7566</v>
      </c>
      <c r="J3351" s="6" t="s">
        <v>7546</v>
      </c>
      <c r="K3351" s="6" t="s">
        <v>60</v>
      </c>
      <c r="L3351" s="6" t="s">
        <v>131</v>
      </c>
      <c r="M3351" s="6" t="s">
        <v>7537</v>
      </c>
      <c r="N3351" s="6" t="s">
        <v>132</v>
      </c>
      <c r="O3351" s="36" t="s">
        <v>132</v>
      </c>
      <c r="P3351" s="36">
        <v>1.036743346E9</v>
      </c>
      <c r="Q3351" s="36" t="s">
        <v>7541</v>
      </c>
      <c r="R3351" s="6" t="s">
        <v>7542</v>
      </c>
    </row>
    <row r="3352">
      <c r="A3352" s="6" t="s">
        <v>7537</v>
      </c>
      <c r="B3352" s="6" t="s">
        <v>7537</v>
      </c>
      <c r="C3352" s="6">
        <v>1743.0</v>
      </c>
      <c r="D3352" s="9" t="str">
        <f>HYPERLINK("https://www.linkedin.com/ad-library/detail/1034311436","Open Ad")</f>
        <v>Open Ad</v>
      </c>
      <c r="E3352" s="6" t="s">
        <v>91</v>
      </c>
      <c r="F3352" s="6" t="s">
        <v>53</v>
      </c>
      <c r="G3352" s="6" t="s">
        <v>7921</v>
      </c>
      <c r="H3352" s="6" t="s">
        <v>55</v>
      </c>
      <c r="I3352" s="6" t="s">
        <v>7566</v>
      </c>
      <c r="J3352" s="6" t="s">
        <v>91</v>
      </c>
      <c r="K3352" s="9" t="str">
        <f>HYPERLINK("https://media.licdn.com/dms/image/v2/D4E22AQEqrKSkNTHD2Q/feedshare-shrink_1280/B4EZu4wl.QGYAs-/0/1768331307356?e=2147483647&amp;v=beta&amp;t=30rHfhVrkaJlhPQ3npA5cFjC5hMF18gcBf8Hzf5UcoI","Open Creative")</f>
        <v>Open Creative</v>
      </c>
      <c r="L3352" s="6" t="s">
        <v>131</v>
      </c>
      <c r="M3352" s="6" t="s">
        <v>7537</v>
      </c>
      <c r="N3352" s="6" t="s">
        <v>132</v>
      </c>
      <c r="O3352" s="36" t="s">
        <v>132</v>
      </c>
      <c r="P3352" s="36">
        <v>1.034311436E9</v>
      </c>
      <c r="Q3352" s="36" t="s">
        <v>7541</v>
      </c>
      <c r="R3352" s="6" t="s">
        <v>7542</v>
      </c>
    </row>
    <row r="3353">
      <c r="A3353" s="6" t="s">
        <v>7537</v>
      </c>
      <c r="B3353" s="6" t="s">
        <v>7537</v>
      </c>
      <c r="C3353" s="6">
        <v>1744.0</v>
      </c>
      <c r="D3353" s="9" t="str">
        <f>HYPERLINK("https://www.linkedin.com/ad-library/detail/1022102366","Open Ad")</f>
        <v>Open Ad</v>
      </c>
      <c r="E3353" s="6" t="s">
        <v>91</v>
      </c>
      <c r="F3353" s="6" t="s">
        <v>53</v>
      </c>
      <c r="G3353" s="6" t="s">
        <v>7869</v>
      </c>
      <c r="H3353" s="6" t="s">
        <v>55</v>
      </c>
      <c r="I3353" s="6" t="s">
        <v>7566</v>
      </c>
      <c r="J3353" s="6" t="s">
        <v>91</v>
      </c>
      <c r="K3353" s="9" t="str">
        <f>HYPERLINK("https://media.licdn.com/dms/image/v2/D4E22AQGSTukpFdZDmw/feedshare-shrink_1280/B4EZud_VF7K8As-/0/1767882183787?e=2147483647&amp;v=beta&amp;t=FCfv5eRdq1jL7SmRWSLlJuRvnvLS1FLmcswXIV-lxPA","Open Creative")</f>
        <v>Open Creative</v>
      </c>
      <c r="L3353" s="6" t="s">
        <v>131</v>
      </c>
      <c r="M3353" s="6" t="s">
        <v>7537</v>
      </c>
      <c r="N3353" s="6" t="s">
        <v>132</v>
      </c>
      <c r="O3353" s="36" t="s">
        <v>132</v>
      </c>
      <c r="P3353" s="36">
        <v>1.022102366E9</v>
      </c>
      <c r="Q3353" s="36" t="s">
        <v>7541</v>
      </c>
      <c r="R3353" s="6" t="s">
        <v>7542</v>
      </c>
    </row>
    <row r="3354">
      <c r="A3354" s="6" t="s">
        <v>7537</v>
      </c>
      <c r="B3354" s="6" t="s">
        <v>7537</v>
      </c>
      <c r="C3354" s="6">
        <v>1745.0</v>
      </c>
      <c r="D3354" s="9" t="str">
        <f>HYPERLINK("https://www.linkedin.com/ad-library/detail/1051639896","Open Ad")</f>
        <v>Open Ad</v>
      </c>
      <c r="E3354" s="6" t="s">
        <v>91</v>
      </c>
      <c r="F3354" s="6" t="s">
        <v>53</v>
      </c>
      <c r="G3354" s="6" t="s">
        <v>7807</v>
      </c>
      <c r="H3354" s="6" t="s">
        <v>55</v>
      </c>
      <c r="I3354" s="6" t="s">
        <v>7566</v>
      </c>
      <c r="J3354" s="6" t="s">
        <v>91</v>
      </c>
      <c r="K3354" s="9" t="str">
        <f>HYPERLINK("https://media.licdn.com/dms/image/v2/D4E10AQHdbrM3G0dcfA/image-shrink_1280/B4EZvmBd80GsAc-/0/1769090704089?e=2147483647&amp;v=beta&amp;t=dlO5yfiP1MV6jnBsM651Qg2abmJfMecqFy-8C9PrRFA","Open Creative")</f>
        <v>Open Creative</v>
      </c>
      <c r="L3354" s="6" t="s">
        <v>131</v>
      </c>
      <c r="M3354" s="6" t="s">
        <v>7537</v>
      </c>
      <c r="N3354" s="6" t="s">
        <v>132</v>
      </c>
      <c r="O3354" s="36" t="s">
        <v>132</v>
      </c>
      <c r="P3354" s="36">
        <v>1.051639896E9</v>
      </c>
      <c r="Q3354" s="36" t="s">
        <v>7541</v>
      </c>
      <c r="R3354" s="6" t="s">
        <v>7542</v>
      </c>
    </row>
    <row r="3355">
      <c r="A3355" s="6" t="s">
        <v>7537</v>
      </c>
      <c r="B3355" s="6" t="s">
        <v>7537</v>
      </c>
      <c r="C3355" s="6">
        <v>1746.0</v>
      </c>
      <c r="D3355" s="9" t="str">
        <f>HYPERLINK("https://www.linkedin.com/ad-library/detail/1047483766","Open Ad")</f>
        <v>Open Ad</v>
      </c>
      <c r="E3355" s="6" t="s">
        <v>7543</v>
      </c>
      <c r="F3355" s="6" t="s">
        <v>53</v>
      </c>
      <c r="G3355" s="6" t="s">
        <v>7864</v>
      </c>
      <c r="H3355" s="6" t="s">
        <v>55</v>
      </c>
      <c r="I3355" s="6" t="s">
        <v>7566</v>
      </c>
      <c r="J3355" s="6" t="s">
        <v>7546</v>
      </c>
      <c r="K3355" s="6" t="s">
        <v>60</v>
      </c>
      <c r="L3355" s="6" t="s">
        <v>131</v>
      </c>
      <c r="M3355" s="6" t="s">
        <v>7537</v>
      </c>
      <c r="N3355" s="6" t="s">
        <v>132</v>
      </c>
      <c r="O3355" s="36" t="s">
        <v>132</v>
      </c>
      <c r="P3355" s="36">
        <v>1.047483766E9</v>
      </c>
      <c r="Q3355" s="36" t="s">
        <v>7541</v>
      </c>
      <c r="R3355" s="6" t="s">
        <v>7542</v>
      </c>
    </row>
    <row r="3356">
      <c r="A3356" s="6" t="s">
        <v>7537</v>
      </c>
      <c r="B3356" s="6" t="s">
        <v>7537</v>
      </c>
      <c r="C3356" s="6">
        <v>1747.0</v>
      </c>
      <c r="D3356" s="9" t="str">
        <f>HYPERLINK("https://www.linkedin.com/ad-library/detail/1036541226","Open Ad")</f>
        <v>Open Ad</v>
      </c>
      <c r="E3356" s="6" t="s">
        <v>7543</v>
      </c>
      <c r="F3356" s="6" t="s">
        <v>53</v>
      </c>
      <c r="G3356" s="6" t="s">
        <v>7864</v>
      </c>
      <c r="H3356" s="6" t="s">
        <v>55</v>
      </c>
      <c r="I3356" s="6" t="s">
        <v>7566</v>
      </c>
      <c r="J3356" s="6" t="s">
        <v>7546</v>
      </c>
      <c r="K3356" s="6" t="s">
        <v>60</v>
      </c>
      <c r="L3356" s="6" t="s">
        <v>131</v>
      </c>
      <c r="M3356" s="6" t="s">
        <v>7537</v>
      </c>
      <c r="N3356" s="6" t="s">
        <v>132</v>
      </c>
      <c r="O3356" s="36" t="s">
        <v>132</v>
      </c>
      <c r="P3356" s="36">
        <v>1.036541226E9</v>
      </c>
      <c r="Q3356" s="36" t="s">
        <v>7541</v>
      </c>
      <c r="R3356" s="6" t="s">
        <v>7542</v>
      </c>
    </row>
    <row r="3357">
      <c r="A3357" s="6" t="s">
        <v>7537</v>
      </c>
      <c r="B3357" s="6" t="s">
        <v>7537</v>
      </c>
      <c r="C3357" s="6">
        <v>1748.0</v>
      </c>
      <c r="D3357" s="9" t="str">
        <f>HYPERLINK("https://www.linkedin.com/ad-library/detail/1027285086","Open Ad")</f>
        <v>Open Ad</v>
      </c>
      <c r="E3357" s="6" t="s">
        <v>91</v>
      </c>
      <c r="F3357" s="6" t="s">
        <v>53</v>
      </c>
      <c r="G3357" s="6" t="s">
        <v>7897</v>
      </c>
      <c r="H3357" s="6" t="s">
        <v>55</v>
      </c>
      <c r="I3357" s="6" t="s">
        <v>7566</v>
      </c>
      <c r="J3357" s="6" t="s">
        <v>91</v>
      </c>
      <c r="K3357" s="9" t="str">
        <f>HYPERLINK("https://media.licdn.com/dms/image/v2/D4E22AQEx8AKZoHZPIg/feedshare-shrink_1280/B4EZukIRruL4As-/0/1767985193186?e=2147483647&amp;v=beta&amp;t=3V-Z4CrkE-Ux5ByG6zC6dRbL0nFQsiLy0m_1f7pkNcE","Open Creative")</f>
        <v>Open Creative</v>
      </c>
      <c r="L3357" s="6" t="s">
        <v>131</v>
      </c>
      <c r="M3357" s="6" t="s">
        <v>7537</v>
      </c>
      <c r="N3357" s="6" t="s">
        <v>132</v>
      </c>
      <c r="O3357" s="36" t="s">
        <v>132</v>
      </c>
      <c r="P3357" s="36">
        <v>1.027285086E9</v>
      </c>
      <c r="Q3357" s="36" t="s">
        <v>7541</v>
      </c>
      <c r="R3357" s="6" t="s">
        <v>7542</v>
      </c>
    </row>
    <row r="3358">
      <c r="A3358" s="6" t="s">
        <v>7537</v>
      </c>
      <c r="B3358" s="6" t="s">
        <v>7537</v>
      </c>
      <c r="C3358" s="6">
        <v>1749.0</v>
      </c>
      <c r="D3358" s="9" t="str">
        <f>HYPERLINK("https://www.linkedin.com/ad-library/detail/1020466966","Open Ad")</f>
        <v>Open Ad</v>
      </c>
      <c r="E3358" s="6" t="s">
        <v>91</v>
      </c>
      <c r="F3358" s="6" t="s">
        <v>53</v>
      </c>
      <c r="G3358" s="6" t="s">
        <v>7922</v>
      </c>
      <c r="H3358" s="6" t="s">
        <v>55</v>
      </c>
      <c r="I3358" s="6" t="s">
        <v>7566</v>
      </c>
      <c r="J3358" s="6" t="s">
        <v>91</v>
      </c>
      <c r="K3358" s="9" t="str">
        <f>HYPERLINK("https://media.licdn.com/dms/image/v2/D4E22AQE5LeNkrKu5xQ/feedshare-image-high-res/B4EZuZwPjeKkAs-/0/1767811119900?e=2147483647&amp;v=beta&amp;t=tXqI2sAhwH-50II5GdDTEjc8mdsAUb-atfhsziFhMk8","Open Creative")</f>
        <v>Open Creative</v>
      </c>
      <c r="L3358" s="6" t="s">
        <v>131</v>
      </c>
      <c r="M3358" s="6" t="s">
        <v>7537</v>
      </c>
      <c r="N3358" s="6" t="s">
        <v>132</v>
      </c>
      <c r="O3358" s="36" t="s">
        <v>132</v>
      </c>
      <c r="P3358" s="36">
        <v>1.020466966E9</v>
      </c>
      <c r="Q3358" s="36" t="s">
        <v>7541</v>
      </c>
      <c r="R3358" s="6" t="s">
        <v>7542</v>
      </c>
    </row>
    <row r="3359">
      <c r="A3359" s="6" t="s">
        <v>7537</v>
      </c>
      <c r="B3359" s="6" t="s">
        <v>7537</v>
      </c>
      <c r="C3359" s="6">
        <v>1750.0</v>
      </c>
      <c r="D3359" s="9" t="str">
        <f>HYPERLINK("https://www.linkedin.com/ad-library/detail/1036342276","Open Ad")</f>
        <v>Open Ad</v>
      </c>
      <c r="E3359" s="6" t="s">
        <v>7543</v>
      </c>
      <c r="F3359" s="6" t="s">
        <v>53</v>
      </c>
      <c r="G3359" s="6" t="s">
        <v>7864</v>
      </c>
      <c r="H3359" s="6" t="s">
        <v>55</v>
      </c>
      <c r="I3359" s="6" t="s">
        <v>7566</v>
      </c>
      <c r="J3359" s="6" t="s">
        <v>7546</v>
      </c>
      <c r="K3359" s="6" t="s">
        <v>60</v>
      </c>
      <c r="L3359" s="6" t="s">
        <v>131</v>
      </c>
      <c r="M3359" s="6" t="s">
        <v>7537</v>
      </c>
      <c r="N3359" s="6" t="s">
        <v>132</v>
      </c>
      <c r="O3359" s="36" t="s">
        <v>132</v>
      </c>
      <c r="P3359" s="36">
        <v>1.036342276E9</v>
      </c>
      <c r="Q3359" s="36" t="s">
        <v>7541</v>
      </c>
      <c r="R3359" s="6" t="s">
        <v>7542</v>
      </c>
    </row>
    <row r="3360">
      <c r="A3360" s="6" t="s">
        <v>7537</v>
      </c>
      <c r="B3360" s="6" t="s">
        <v>7537</v>
      </c>
      <c r="C3360" s="6">
        <v>1751.0</v>
      </c>
      <c r="D3360" s="9" t="str">
        <f>HYPERLINK("https://www.linkedin.com/ad-library/detail/1021803596","Open Ad")</f>
        <v>Open Ad</v>
      </c>
      <c r="E3360" s="6" t="s">
        <v>91</v>
      </c>
      <c r="F3360" s="6" t="s">
        <v>53</v>
      </c>
      <c r="G3360" s="6" t="s">
        <v>7869</v>
      </c>
      <c r="H3360" s="6" t="s">
        <v>55</v>
      </c>
      <c r="I3360" s="6" t="s">
        <v>7566</v>
      </c>
      <c r="J3360" s="6" t="s">
        <v>91</v>
      </c>
      <c r="K3360" s="9" t="str">
        <f>HYPERLINK("https://media.licdn.com/dms/image/v2/D4E22AQGSTukpFdZDmw/feedshare-shrink_1280/B4EZud_VF7K8As-/0/1767882183787?e=2147483647&amp;v=beta&amp;t=FCfv5eRdq1jL7SmRWSLlJuRvnvLS1FLmcswXIV-lxPA","Open Creative")</f>
        <v>Open Creative</v>
      </c>
      <c r="L3360" s="6" t="s">
        <v>131</v>
      </c>
      <c r="M3360" s="6" t="s">
        <v>7537</v>
      </c>
      <c r="N3360" s="6" t="s">
        <v>132</v>
      </c>
      <c r="O3360" s="36" t="s">
        <v>132</v>
      </c>
      <c r="P3360" s="36">
        <v>1.021803596E9</v>
      </c>
      <c r="Q3360" s="36" t="s">
        <v>7541</v>
      </c>
      <c r="R3360" s="6" t="s">
        <v>7542</v>
      </c>
    </row>
    <row r="3361">
      <c r="A3361" s="6" t="s">
        <v>7537</v>
      </c>
      <c r="B3361" s="6" t="s">
        <v>7537</v>
      </c>
      <c r="C3361" s="6">
        <v>1752.0</v>
      </c>
      <c r="D3361" s="9" t="str">
        <f>HYPERLINK("https://www.linkedin.com/ad-library/detail/1046490016","Open Ad")</f>
        <v>Open Ad</v>
      </c>
      <c r="E3361" s="6" t="s">
        <v>154</v>
      </c>
      <c r="F3361" s="6" t="s">
        <v>53</v>
      </c>
      <c r="G3361" s="6" t="s">
        <v>7918</v>
      </c>
      <c r="H3361" s="6" t="s">
        <v>55</v>
      </c>
      <c r="I3361" s="6" t="s">
        <v>7566</v>
      </c>
      <c r="J3361" s="6" t="s">
        <v>154</v>
      </c>
      <c r="K3361" s="9" t="str">
        <f>HYPERLINK("https://dms.licdn.com/playlist/vid/v2/D4E05AQHyk4x1-Kyh_Q/mp4-720p-30fp-crf28/B4EZvONefdKkCE-/0/1768691209240?e=2147483647&amp;v=beta&amp;t=7Ff_PXOJ4jFBCh9hcVO5qkwepEhaVfGJB6BWL8TsnXE","Open Creative")</f>
        <v>Open Creative</v>
      </c>
      <c r="L3361" s="6" t="s">
        <v>131</v>
      </c>
      <c r="M3361" s="6" t="s">
        <v>7537</v>
      </c>
      <c r="N3361" s="6" t="s">
        <v>132</v>
      </c>
      <c r="O3361" s="36" t="s">
        <v>132</v>
      </c>
      <c r="P3361" s="36">
        <v>1.046490016E9</v>
      </c>
      <c r="Q3361" s="36" t="s">
        <v>7541</v>
      </c>
      <c r="R3361" s="6" t="s">
        <v>7542</v>
      </c>
    </row>
    <row r="3362">
      <c r="A3362" s="6" t="s">
        <v>7537</v>
      </c>
      <c r="B3362" s="6" t="s">
        <v>7537</v>
      </c>
      <c r="C3362" s="6">
        <v>1753.0</v>
      </c>
      <c r="D3362" s="9" t="str">
        <f>HYPERLINK("https://www.linkedin.com/ad-library/detail/1003219496","Open Ad")</f>
        <v>Open Ad</v>
      </c>
      <c r="E3362" s="6" t="s">
        <v>91</v>
      </c>
      <c r="F3362" s="6" t="s">
        <v>53</v>
      </c>
      <c r="G3362" s="6" t="s">
        <v>7923</v>
      </c>
      <c r="H3362" s="6" t="s">
        <v>55</v>
      </c>
      <c r="I3362" s="6" t="s">
        <v>7566</v>
      </c>
      <c r="J3362" s="6" t="s">
        <v>91</v>
      </c>
      <c r="K3362" s="9" t="str">
        <f>HYPERLINK("https://media.licdn.com/dms/image/v2/D4E10AQHzpN3wNQhKBw/image-shrink_1280/B4EZsohCl1KoAQ-/0/1765911311222?e=2147483647&amp;v=beta&amp;t=MG1A-WUe3DDwpCnqdmDztrryhRGFjYDaOY6KiIjrpoY","Open Creative")</f>
        <v>Open Creative</v>
      </c>
      <c r="L3362" s="6" t="s">
        <v>131</v>
      </c>
      <c r="M3362" s="6" t="s">
        <v>7537</v>
      </c>
      <c r="N3362" s="6" t="s">
        <v>132</v>
      </c>
      <c r="O3362" s="36" t="s">
        <v>132</v>
      </c>
      <c r="P3362" s="36">
        <v>1.003219496E9</v>
      </c>
      <c r="Q3362" s="36" t="s">
        <v>7541</v>
      </c>
      <c r="R3362" s="6" t="s">
        <v>7542</v>
      </c>
    </row>
    <row r="3363">
      <c r="A3363" s="6" t="s">
        <v>7537</v>
      </c>
      <c r="B3363" s="6" t="s">
        <v>7537</v>
      </c>
      <c r="C3363" s="6">
        <v>1754.0</v>
      </c>
      <c r="D3363" s="9" t="str">
        <f>HYPERLINK("https://www.linkedin.com/ad-library/detail/1021311796","Open Ad")</f>
        <v>Open Ad</v>
      </c>
      <c r="E3363" s="6" t="s">
        <v>91</v>
      </c>
      <c r="F3363" s="6" t="s">
        <v>53</v>
      </c>
      <c r="G3363" s="6" t="s">
        <v>7924</v>
      </c>
      <c r="H3363" s="6" t="s">
        <v>55</v>
      </c>
      <c r="I3363" s="6" t="s">
        <v>7566</v>
      </c>
      <c r="J3363" s="6" t="s">
        <v>91</v>
      </c>
      <c r="K3363" s="9" t="str">
        <f>HYPERLINK("https://media.licdn.com/dms/image/v2/D4E10AQGcFRCJ6TAi5g/image-shrink_1280/B4EZuOx5YAJwAM-/0/1767627004111?e=2147483647&amp;v=beta&amp;t=_tuqiN_2vQYeo3rNfd4-_rXsRxBb_R7D7PouLD5jDKE","Open Creative")</f>
        <v>Open Creative</v>
      </c>
      <c r="L3363" s="6" t="s">
        <v>131</v>
      </c>
      <c r="M3363" s="6" t="s">
        <v>7537</v>
      </c>
      <c r="N3363" s="6" t="s">
        <v>132</v>
      </c>
      <c r="O3363" s="36" t="s">
        <v>132</v>
      </c>
      <c r="P3363" s="36">
        <v>1.021311796E9</v>
      </c>
      <c r="Q3363" s="36" t="s">
        <v>7541</v>
      </c>
      <c r="R3363" s="6" t="s">
        <v>7542</v>
      </c>
    </row>
    <row r="3364">
      <c r="A3364" s="6" t="s">
        <v>7537</v>
      </c>
      <c r="B3364" s="6" t="s">
        <v>7537</v>
      </c>
      <c r="C3364" s="6">
        <v>1755.0</v>
      </c>
      <c r="D3364" s="9" t="str">
        <f>HYPERLINK("https://www.linkedin.com/ad-library/detail/1016833646","Open Ad")</f>
        <v>Open Ad</v>
      </c>
      <c r="E3364" s="6" t="s">
        <v>7543</v>
      </c>
      <c r="F3364" s="6" t="s">
        <v>53</v>
      </c>
      <c r="G3364" s="6" t="s">
        <v>7780</v>
      </c>
      <c r="H3364" s="6" t="s">
        <v>55</v>
      </c>
      <c r="I3364" s="6" t="s">
        <v>7566</v>
      </c>
      <c r="J3364" s="6" t="s">
        <v>7546</v>
      </c>
      <c r="K3364" s="6" t="s">
        <v>60</v>
      </c>
      <c r="L3364" s="6" t="s">
        <v>131</v>
      </c>
      <c r="M3364" s="6" t="s">
        <v>7537</v>
      </c>
      <c r="N3364" s="6" t="s">
        <v>132</v>
      </c>
      <c r="O3364" s="36" t="s">
        <v>132</v>
      </c>
      <c r="P3364" s="36">
        <v>1.016833646E9</v>
      </c>
      <c r="Q3364" s="36" t="s">
        <v>7541</v>
      </c>
      <c r="R3364" s="6" t="s">
        <v>7542</v>
      </c>
    </row>
    <row r="3365">
      <c r="A3365" s="6" t="s">
        <v>7537</v>
      </c>
      <c r="B3365" s="6" t="s">
        <v>7537</v>
      </c>
      <c r="C3365" s="6">
        <v>1756.0</v>
      </c>
      <c r="D3365" s="9" t="str">
        <f>HYPERLINK("https://www.linkedin.com/ad-library/detail/1017686146","Open Ad")</f>
        <v>Open Ad</v>
      </c>
      <c r="E3365" s="6" t="s">
        <v>7543</v>
      </c>
      <c r="F3365" s="6" t="s">
        <v>53</v>
      </c>
      <c r="G3365" s="6" t="s">
        <v>7734</v>
      </c>
      <c r="H3365" s="6" t="s">
        <v>55</v>
      </c>
      <c r="I3365" s="6" t="s">
        <v>7566</v>
      </c>
      <c r="J3365" s="6" t="s">
        <v>7546</v>
      </c>
      <c r="K3365" s="6" t="s">
        <v>60</v>
      </c>
      <c r="L3365" s="6" t="s">
        <v>131</v>
      </c>
      <c r="M3365" s="6" t="s">
        <v>7537</v>
      </c>
      <c r="N3365" s="6" t="s">
        <v>132</v>
      </c>
      <c r="O3365" s="36" t="s">
        <v>132</v>
      </c>
      <c r="P3365" s="36">
        <v>1.017686146E9</v>
      </c>
      <c r="Q3365" s="36" t="s">
        <v>7541</v>
      </c>
      <c r="R3365" s="6" t="s">
        <v>7542</v>
      </c>
    </row>
    <row r="3366">
      <c r="A3366" s="6" t="s">
        <v>7537</v>
      </c>
      <c r="B3366" s="6" t="s">
        <v>7537</v>
      </c>
      <c r="C3366" s="6">
        <v>1757.0</v>
      </c>
      <c r="D3366" s="9" t="str">
        <f>HYPERLINK("https://www.linkedin.com/ad-library/detail/1001769976","Open Ad")</f>
        <v>Open Ad</v>
      </c>
      <c r="E3366" s="6" t="s">
        <v>154</v>
      </c>
      <c r="F3366" s="6" t="s">
        <v>53</v>
      </c>
      <c r="G3366" s="6" t="s">
        <v>7896</v>
      </c>
      <c r="H3366" s="6" t="s">
        <v>55</v>
      </c>
      <c r="I3366" s="6" t="s">
        <v>7566</v>
      </c>
      <c r="J3366" s="6" t="s">
        <v>154</v>
      </c>
      <c r="K3366" s="9" t="str">
        <f>HYPERLINK("https://dms.licdn.com/playlist/vid/v2/D4E10AQEaXGmA13DdTQ/mp4-360p-30fp-crf28/B4EZszVEkrIUB0-/0/1766092726845?e=2147483647&amp;v=beta&amp;t=EByfypCCsRqkjXTNM3hjWwx3xz46YgCuWmn6mZinX9Y","Open Creative")</f>
        <v>Open Creative</v>
      </c>
      <c r="L3366" s="6" t="s">
        <v>131</v>
      </c>
      <c r="M3366" s="6" t="s">
        <v>7537</v>
      </c>
      <c r="N3366" s="6" t="s">
        <v>132</v>
      </c>
      <c r="O3366" s="36" t="s">
        <v>132</v>
      </c>
      <c r="P3366" s="36">
        <v>1.001769976E9</v>
      </c>
      <c r="Q3366" s="36" t="s">
        <v>7541</v>
      </c>
      <c r="R3366" s="6" t="s">
        <v>7542</v>
      </c>
    </row>
    <row r="3367">
      <c r="A3367" s="6" t="s">
        <v>7537</v>
      </c>
      <c r="B3367" s="6" t="s">
        <v>7537</v>
      </c>
      <c r="C3367" s="6">
        <v>1758.0</v>
      </c>
      <c r="D3367" s="9" t="str">
        <f>HYPERLINK("https://www.linkedin.com/ad-library/detail/1102789443","Open Ad")</f>
        <v>Open Ad</v>
      </c>
      <c r="E3367" s="6" t="s">
        <v>91</v>
      </c>
      <c r="F3367" s="6" t="s">
        <v>53</v>
      </c>
      <c r="G3367" s="6" t="s">
        <v>7925</v>
      </c>
      <c r="H3367" s="6" t="s">
        <v>55</v>
      </c>
      <c r="I3367" s="6" t="s">
        <v>7566</v>
      </c>
      <c r="J3367" s="6" t="s">
        <v>91</v>
      </c>
      <c r="K3367" s="6" t="s">
        <v>60</v>
      </c>
      <c r="L3367" s="6" t="s">
        <v>131</v>
      </c>
      <c r="M3367" s="6" t="s">
        <v>7537</v>
      </c>
      <c r="N3367" s="6" t="s">
        <v>132</v>
      </c>
      <c r="O3367" s="36" t="s">
        <v>132</v>
      </c>
      <c r="P3367" s="36">
        <v>1.102789443E9</v>
      </c>
      <c r="Q3367" s="36" t="s">
        <v>7541</v>
      </c>
      <c r="R3367" s="6" t="s">
        <v>7542</v>
      </c>
    </row>
    <row r="3368">
      <c r="A3368" s="6" t="s">
        <v>7537</v>
      </c>
      <c r="B3368" s="6" t="s">
        <v>7537</v>
      </c>
      <c r="C3368" s="6">
        <v>1759.0</v>
      </c>
      <c r="D3368" s="9" t="str">
        <f>HYPERLINK("https://www.linkedin.com/ad-library/detail/1022002616","Open Ad")</f>
        <v>Open Ad</v>
      </c>
      <c r="E3368" s="6" t="s">
        <v>91</v>
      </c>
      <c r="F3368" s="6" t="s">
        <v>53</v>
      </c>
      <c r="G3368" s="6" t="s">
        <v>7869</v>
      </c>
      <c r="H3368" s="6" t="s">
        <v>55</v>
      </c>
      <c r="I3368" s="6" t="s">
        <v>7566</v>
      </c>
      <c r="J3368" s="6" t="s">
        <v>91</v>
      </c>
      <c r="K3368" s="9" t="str">
        <f>HYPERLINK("https://media.licdn.com/dms/image/v2/D4E22AQGSTukpFdZDmw/feedshare-shrink_1280/B4EZud_VF7K8As-/0/1767882183787?e=2147483647&amp;v=beta&amp;t=FCfv5eRdq1jL7SmRWSLlJuRvnvLS1FLmcswXIV-lxPA","Open Creative")</f>
        <v>Open Creative</v>
      </c>
      <c r="L3368" s="6" t="s">
        <v>131</v>
      </c>
      <c r="M3368" s="6" t="s">
        <v>7537</v>
      </c>
      <c r="N3368" s="6" t="s">
        <v>132</v>
      </c>
      <c r="O3368" s="36" t="s">
        <v>132</v>
      </c>
      <c r="P3368" s="36">
        <v>1.022002616E9</v>
      </c>
      <c r="Q3368" s="36" t="s">
        <v>7541</v>
      </c>
      <c r="R3368" s="6" t="s">
        <v>7542</v>
      </c>
    </row>
    <row r="3369">
      <c r="A3369" s="6" t="s">
        <v>7537</v>
      </c>
      <c r="B3369" s="6" t="s">
        <v>7537</v>
      </c>
      <c r="C3369" s="6">
        <v>1760.0</v>
      </c>
      <c r="D3369" s="9" t="str">
        <f>HYPERLINK("https://www.linkedin.com/ad-library/detail/1017228016","Open Ad")</f>
        <v>Open Ad</v>
      </c>
      <c r="E3369" s="6" t="s">
        <v>91</v>
      </c>
      <c r="F3369" s="6" t="s">
        <v>53</v>
      </c>
      <c r="G3369" s="6" t="s">
        <v>7926</v>
      </c>
      <c r="H3369" s="6" t="s">
        <v>55</v>
      </c>
      <c r="I3369" s="6" t="s">
        <v>7566</v>
      </c>
      <c r="J3369" s="6" t="s">
        <v>91</v>
      </c>
      <c r="K3369" s="9" t="str">
        <f>HYPERLINK("https://media.licdn.com/dms/image/v2/D4E22AQHIYtF4xvm4Xg/feedshare-shrink_1280/B4EZs24EXEHUAs-/0/1766152234306?e=2147483647&amp;v=beta&amp;t=30xGZUDQHJs7CgIJeGFvGmqxkud8eNfb6xzZHB_psM8","Open Creative")</f>
        <v>Open Creative</v>
      </c>
      <c r="L3369" s="6" t="s">
        <v>131</v>
      </c>
      <c r="M3369" s="6" t="s">
        <v>7537</v>
      </c>
      <c r="N3369" s="6" t="s">
        <v>132</v>
      </c>
      <c r="O3369" s="36" t="s">
        <v>132</v>
      </c>
      <c r="P3369" s="36">
        <v>1.017228016E9</v>
      </c>
      <c r="Q3369" s="36" t="s">
        <v>7541</v>
      </c>
      <c r="R3369" s="6" t="s">
        <v>7542</v>
      </c>
    </row>
    <row r="3370">
      <c r="A3370" s="6" t="s">
        <v>7537</v>
      </c>
      <c r="B3370" s="6" t="s">
        <v>7537</v>
      </c>
      <c r="C3370" s="6">
        <v>1761.0</v>
      </c>
      <c r="D3370" s="9" t="str">
        <f>HYPERLINK("https://www.linkedin.com/ad-library/detail/1016079006","Open Ad")</f>
        <v>Open Ad</v>
      </c>
      <c r="E3370" s="6" t="s">
        <v>91</v>
      </c>
      <c r="F3370" s="6" t="s">
        <v>53</v>
      </c>
      <c r="G3370" s="6" t="s">
        <v>7927</v>
      </c>
      <c r="H3370" s="6" t="s">
        <v>55</v>
      </c>
      <c r="I3370" s="6" t="s">
        <v>7566</v>
      </c>
      <c r="J3370" s="6" t="s">
        <v>91</v>
      </c>
      <c r="K3370" s="9" t="str">
        <f>HYPERLINK("https://media.licdn.com/dms/image/v2/D4E10AQFx2gJJf5OGJg/image-shrink_1280/B4EZuOhaKKI0AM-/0/1767622682224?e=2147483647&amp;v=beta&amp;t=9jRLhonS6MLOFYIYIYZlcLcyqex480Qs1gpq3pc5Od8","Open Creative")</f>
        <v>Open Creative</v>
      </c>
      <c r="L3370" s="6" t="s">
        <v>131</v>
      </c>
      <c r="M3370" s="6" t="s">
        <v>7537</v>
      </c>
      <c r="N3370" s="6" t="s">
        <v>132</v>
      </c>
      <c r="O3370" s="36" t="s">
        <v>132</v>
      </c>
      <c r="P3370" s="36">
        <v>1.016079006E9</v>
      </c>
      <c r="Q3370" s="36" t="s">
        <v>7541</v>
      </c>
      <c r="R3370" s="6" t="s">
        <v>7542</v>
      </c>
    </row>
    <row r="3371">
      <c r="A3371" s="6" t="s">
        <v>7537</v>
      </c>
      <c r="B3371" s="6" t="s">
        <v>7537</v>
      </c>
      <c r="C3371" s="6">
        <v>1762.0</v>
      </c>
      <c r="D3371" s="9" t="str">
        <f>HYPERLINK("https://www.linkedin.com/ad-library/detail/1001025586","Open Ad")</f>
        <v>Open Ad</v>
      </c>
      <c r="E3371" s="6" t="s">
        <v>91</v>
      </c>
      <c r="F3371" s="6" t="s">
        <v>53</v>
      </c>
      <c r="G3371" s="6" t="s">
        <v>7923</v>
      </c>
      <c r="H3371" s="6" t="s">
        <v>55</v>
      </c>
      <c r="I3371" s="6" t="s">
        <v>7566</v>
      </c>
      <c r="J3371" s="6" t="s">
        <v>91</v>
      </c>
      <c r="K3371" s="9" t="str">
        <f>HYPERLINK("https://media.licdn.com/dms/image/v2/D4E10AQHzpN3wNQhKBw/image-shrink_1280/B4EZsohCl1KoAQ-/0/1765911311222?e=2147483647&amp;v=beta&amp;t=MG1A-WUe3DDwpCnqdmDztrryhRGFjYDaOY6KiIjrpoY","Open Creative")</f>
        <v>Open Creative</v>
      </c>
      <c r="L3371" s="6" t="s">
        <v>131</v>
      </c>
      <c r="M3371" s="6" t="s">
        <v>7537</v>
      </c>
      <c r="N3371" s="6" t="s">
        <v>132</v>
      </c>
      <c r="O3371" s="36" t="s">
        <v>132</v>
      </c>
      <c r="P3371" s="36">
        <v>1.001025586E9</v>
      </c>
      <c r="Q3371" s="36" t="s">
        <v>7541</v>
      </c>
      <c r="R3371" s="6" t="s">
        <v>7542</v>
      </c>
    </row>
    <row r="3372">
      <c r="A3372" s="6" t="s">
        <v>7537</v>
      </c>
      <c r="B3372" s="6" t="s">
        <v>7537</v>
      </c>
      <c r="C3372" s="6">
        <v>1763.0</v>
      </c>
      <c r="D3372" s="9" t="str">
        <f>HYPERLINK("https://www.linkedin.com/ad-library/detail/1020610846","Open Ad")</f>
        <v>Open Ad</v>
      </c>
      <c r="E3372" s="6" t="s">
        <v>91</v>
      </c>
      <c r="F3372" s="6" t="s">
        <v>53</v>
      </c>
      <c r="G3372" s="6" t="s">
        <v>7928</v>
      </c>
      <c r="H3372" s="6" t="s">
        <v>55</v>
      </c>
      <c r="I3372" s="6" t="s">
        <v>7566</v>
      </c>
      <c r="J3372" s="6" t="s">
        <v>91</v>
      </c>
      <c r="K3372" s="9" t="str">
        <f>HYPERLINK("https://media.licdn.com/dms/image/v2/D4E10AQENwhEqfT_qmw/image-shrink_1280/B4EZuTtvuPJwAg-/0/1767709801857?e=2147483647&amp;v=beta&amp;t=cqZMn2Q8qFic9XeA_ry4x_evi2dWpt4kpc9wPMb1MiM","Open Creative")</f>
        <v>Open Creative</v>
      </c>
      <c r="L3372" s="6" t="s">
        <v>131</v>
      </c>
      <c r="M3372" s="6" t="s">
        <v>7537</v>
      </c>
      <c r="N3372" s="6" t="s">
        <v>132</v>
      </c>
      <c r="O3372" s="36" t="s">
        <v>132</v>
      </c>
      <c r="P3372" s="36">
        <v>1.020610846E9</v>
      </c>
      <c r="Q3372" s="36" t="s">
        <v>7541</v>
      </c>
      <c r="R3372" s="6" t="s">
        <v>7542</v>
      </c>
    </row>
    <row r="3373">
      <c r="A3373" s="6" t="s">
        <v>7537</v>
      </c>
      <c r="B3373" s="6" t="s">
        <v>7537</v>
      </c>
      <c r="C3373" s="6">
        <v>1764.0</v>
      </c>
      <c r="D3373" s="9" t="str">
        <f>HYPERLINK("https://www.linkedin.com/ad-library/detail/1016933776","Open Ad")</f>
        <v>Open Ad</v>
      </c>
      <c r="E3373" s="6" t="s">
        <v>91</v>
      </c>
      <c r="F3373" s="6" t="s">
        <v>53</v>
      </c>
      <c r="G3373" s="6" t="s">
        <v>7926</v>
      </c>
      <c r="H3373" s="6" t="s">
        <v>55</v>
      </c>
      <c r="I3373" s="6" t="s">
        <v>7566</v>
      </c>
      <c r="J3373" s="6" t="s">
        <v>91</v>
      </c>
      <c r="K3373" s="9" t="str">
        <f>HYPERLINK("https://media.licdn.com/dms/image/v2/D4E22AQHIYtF4xvm4Xg/feedshare-shrink_1280/B4EZs24EXEHUAs-/0/1766152234306?e=2147483647&amp;v=beta&amp;t=30xGZUDQHJs7CgIJeGFvGmqxkud8eNfb6xzZHB_psM8","Open Creative")</f>
        <v>Open Creative</v>
      </c>
      <c r="L3373" s="6" t="s">
        <v>131</v>
      </c>
      <c r="M3373" s="6" t="s">
        <v>7537</v>
      </c>
      <c r="N3373" s="6" t="s">
        <v>132</v>
      </c>
      <c r="O3373" s="36" t="s">
        <v>132</v>
      </c>
      <c r="P3373" s="36">
        <v>1.016933776E9</v>
      </c>
      <c r="Q3373" s="36" t="s">
        <v>7541</v>
      </c>
      <c r="R3373" s="6" t="s">
        <v>7542</v>
      </c>
    </row>
    <row r="3374">
      <c r="A3374" s="6" t="s">
        <v>7537</v>
      </c>
      <c r="B3374" s="6" t="s">
        <v>7537</v>
      </c>
      <c r="C3374" s="6">
        <v>1765.0</v>
      </c>
      <c r="D3374" s="9" t="str">
        <f>HYPERLINK("https://www.linkedin.com/ad-library/detail/1021411586","Open Ad")</f>
        <v>Open Ad</v>
      </c>
      <c r="E3374" s="6" t="s">
        <v>91</v>
      </c>
      <c r="F3374" s="6" t="s">
        <v>53</v>
      </c>
      <c r="G3374" s="6" t="s">
        <v>7928</v>
      </c>
      <c r="H3374" s="6" t="s">
        <v>55</v>
      </c>
      <c r="I3374" s="6" t="s">
        <v>7566</v>
      </c>
      <c r="J3374" s="6" t="s">
        <v>91</v>
      </c>
      <c r="K3374" s="9" t="str">
        <f>HYPERLINK("https://media.licdn.com/dms/image/v2/D4E10AQENwhEqfT_qmw/image-shrink_1280/B4EZuTtvuPJwAg-/0/1767709801857?e=2147483647&amp;v=beta&amp;t=cqZMn2Q8qFic9XeA_ry4x_evi2dWpt4kpc9wPMb1MiM","Open Creative")</f>
        <v>Open Creative</v>
      </c>
      <c r="L3374" s="6" t="s">
        <v>131</v>
      </c>
      <c r="M3374" s="6" t="s">
        <v>7537</v>
      </c>
      <c r="N3374" s="6" t="s">
        <v>132</v>
      </c>
      <c r="O3374" s="36" t="s">
        <v>132</v>
      </c>
      <c r="P3374" s="36">
        <v>1.021411586E9</v>
      </c>
      <c r="Q3374" s="36" t="s">
        <v>7541</v>
      </c>
      <c r="R3374" s="6" t="s">
        <v>7542</v>
      </c>
    </row>
    <row r="3375">
      <c r="A3375" s="6" t="s">
        <v>7537</v>
      </c>
      <c r="B3375" s="6" t="s">
        <v>7537</v>
      </c>
      <c r="C3375" s="6">
        <v>1766.0</v>
      </c>
      <c r="D3375" s="9" t="str">
        <f>HYPERLINK("https://www.linkedin.com/ad-library/detail/1018184686","Open Ad")</f>
        <v>Open Ad</v>
      </c>
      <c r="E3375" s="6" t="s">
        <v>91</v>
      </c>
      <c r="F3375" s="6" t="s">
        <v>53</v>
      </c>
      <c r="G3375" s="6" t="s">
        <v>7926</v>
      </c>
      <c r="H3375" s="6" t="s">
        <v>55</v>
      </c>
      <c r="I3375" s="6" t="s">
        <v>7566</v>
      </c>
      <c r="J3375" s="6" t="s">
        <v>91</v>
      </c>
      <c r="K3375" s="9" t="str">
        <f>HYPERLINK("https://media.licdn.com/dms/image/v2/D4E22AQHIYtF4xvm4Xg/feedshare-shrink_1280/B4EZs24EXEHUAs-/0/1766152234306?e=2147483647&amp;v=beta&amp;t=30xGZUDQHJs7CgIJeGFvGmqxkud8eNfb6xzZHB_psM8","Open Creative")</f>
        <v>Open Creative</v>
      </c>
      <c r="L3375" s="6" t="s">
        <v>131</v>
      </c>
      <c r="M3375" s="6" t="s">
        <v>7537</v>
      </c>
      <c r="N3375" s="6" t="s">
        <v>132</v>
      </c>
      <c r="O3375" s="36" t="s">
        <v>132</v>
      </c>
      <c r="P3375" s="36">
        <v>1.018184686E9</v>
      </c>
      <c r="Q3375" s="36" t="s">
        <v>7541</v>
      </c>
      <c r="R3375" s="6" t="s">
        <v>7542</v>
      </c>
    </row>
    <row r="3376">
      <c r="A3376" s="6" t="s">
        <v>7537</v>
      </c>
      <c r="B3376" s="6" t="s">
        <v>7537</v>
      </c>
      <c r="C3376" s="6">
        <v>1767.0</v>
      </c>
      <c r="D3376" s="9" t="str">
        <f>HYPERLINK("https://www.linkedin.com/ad-library/detail/1011790306","Open Ad")</f>
        <v>Open Ad</v>
      </c>
      <c r="E3376" s="6" t="s">
        <v>7543</v>
      </c>
      <c r="F3376" s="6" t="s">
        <v>53</v>
      </c>
      <c r="G3376" s="6" t="s">
        <v>7929</v>
      </c>
      <c r="H3376" s="6" t="s">
        <v>55</v>
      </c>
      <c r="I3376" s="6" t="s">
        <v>7566</v>
      </c>
      <c r="J3376" s="6" t="s">
        <v>7546</v>
      </c>
      <c r="K3376" s="6" t="s">
        <v>60</v>
      </c>
      <c r="L3376" s="6" t="s">
        <v>131</v>
      </c>
      <c r="M3376" s="6" t="s">
        <v>7537</v>
      </c>
      <c r="N3376" s="6" t="s">
        <v>132</v>
      </c>
      <c r="O3376" s="36" t="s">
        <v>132</v>
      </c>
      <c r="P3376" s="36">
        <v>1.011790306E9</v>
      </c>
      <c r="Q3376" s="36" t="s">
        <v>7541</v>
      </c>
      <c r="R3376" s="6" t="s">
        <v>7542</v>
      </c>
    </row>
    <row r="3377">
      <c r="A3377" s="6" t="s">
        <v>7537</v>
      </c>
      <c r="B3377" s="6" t="s">
        <v>7537</v>
      </c>
      <c r="C3377" s="6">
        <v>1768.0</v>
      </c>
      <c r="D3377" s="9" t="str">
        <f>HYPERLINK("https://www.linkedin.com/ad-library/detail/1017129666","Open Ad")</f>
        <v>Open Ad</v>
      </c>
      <c r="E3377" s="6" t="s">
        <v>91</v>
      </c>
      <c r="F3377" s="6" t="s">
        <v>53</v>
      </c>
      <c r="G3377" s="6" t="s">
        <v>7927</v>
      </c>
      <c r="H3377" s="6" t="s">
        <v>55</v>
      </c>
      <c r="I3377" s="6" t="s">
        <v>7566</v>
      </c>
      <c r="J3377" s="6" t="s">
        <v>91</v>
      </c>
      <c r="K3377" s="9" t="str">
        <f>HYPERLINK("https://media.licdn.com/dms/image/v2/D4E10AQFx2gJJf5OGJg/image-shrink_1280/B4EZuOhaKKI0AM-/0/1767622682224?e=2147483647&amp;v=beta&amp;t=9jRLhonS6MLOFYIYIYZlcLcyqex480Qs1gpq3pc5Od8","Open Creative")</f>
        <v>Open Creative</v>
      </c>
      <c r="L3377" s="6" t="s">
        <v>131</v>
      </c>
      <c r="M3377" s="6" t="s">
        <v>7537</v>
      </c>
      <c r="N3377" s="6" t="s">
        <v>132</v>
      </c>
      <c r="O3377" s="36" t="s">
        <v>132</v>
      </c>
      <c r="P3377" s="36">
        <v>1.017129666E9</v>
      </c>
      <c r="Q3377" s="36" t="s">
        <v>7541</v>
      </c>
      <c r="R3377" s="6" t="s">
        <v>7542</v>
      </c>
    </row>
    <row r="3378">
      <c r="A3378" s="6" t="s">
        <v>7537</v>
      </c>
      <c r="B3378" s="6" t="s">
        <v>7537</v>
      </c>
      <c r="C3378" s="6">
        <v>1769.0</v>
      </c>
      <c r="D3378" s="9" t="str">
        <f>HYPERLINK("https://www.linkedin.com/ad-library/detail/1019611686","Open Ad")</f>
        <v>Open Ad</v>
      </c>
      <c r="E3378" s="6" t="s">
        <v>91</v>
      </c>
      <c r="F3378" s="6" t="s">
        <v>53</v>
      </c>
      <c r="G3378" s="6" t="s">
        <v>7924</v>
      </c>
      <c r="H3378" s="6" t="s">
        <v>55</v>
      </c>
      <c r="I3378" s="6" t="s">
        <v>7566</v>
      </c>
      <c r="J3378" s="6" t="s">
        <v>91</v>
      </c>
      <c r="K3378" s="9" t="str">
        <f t="shared" ref="K3378:K3379" si="174">HYPERLINK("https://media.licdn.com/dms/image/v2/D4E10AQGcFRCJ6TAi5g/image-shrink_1280/B4EZuOx5YAJwAM-/0/1767627004111?e=2147483647&amp;v=beta&amp;t=_tuqiN_2vQYeo3rNfd4-_rXsRxBb_R7D7PouLD5jDKE","Open Creative")</f>
        <v>Open Creative</v>
      </c>
      <c r="L3378" s="6" t="s">
        <v>131</v>
      </c>
      <c r="M3378" s="6" t="s">
        <v>7537</v>
      </c>
      <c r="N3378" s="6" t="s">
        <v>132</v>
      </c>
      <c r="O3378" s="36" t="s">
        <v>132</v>
      </c>
      <c r="P3378" s="36">
        <v>1.019611686E9</v>
      </c>
      <c r="Q3378" s="36" t="s">
        <v>7541</v>
      </c>
      <c r="R3378" s="6" t="s">
        <v>7542</v>
      </c>
    </row>
    <row r="3379">
      <c r="A3379" s="6" t="s">
        <v>7537</v>
      </c>
      <c r="B3379" s="6" t="s">
        <v>7537</v>
      </c>
      <c r="C3379" s="6">
        <v>1770.0</v>
      </c>
      <c r="D3379" s="9" t="str">
        <f>HYPERLINK("https://www.linkedin.com/ad-library/detail/1019611676","Open Ad")</f>
        <v>Open Ad</v>
      </c>
      <c r="E3379" s="6" t="s">
        <v>91</v>
      </c>
      <c r="F3379" s="6" t="s">
        <v>53</v>
      </c>
      <c r="G3379" s="6" t="s">
        <v>7924</v>
      </c>
      <c r="H3379" s="6" t="s">
        <v>55</v>
      </c>
      <c r="I3379" s="6" t="s">
        <v>7566</v>
      </c>
      <c r="J3379" s="6" t="s">
        <v>91</v>
      </c>
      <c r="K3379" s="9" t="str">
        <f t="shared" si="174"/>
        <v>Open Creative</v>
      </c>
      <c r="L3379" s="6" t="s">
        <v>131</v>
      </c>
      <c r="M3379" s="6" t="s">
        <v>7537</v>
      </c>
      <c r="N3379" s="6" t="s">
        <v>132</v>
      </c>
      <c r="O3379" s="36" t="s">
        <v>132</v>
      </c>
      <c r="P3379" s="36">
        <v>1.019611676E9</v>
      </c>
      <c r="Q3379" s="36" t="s">
        <v>7541</v>
      </c>
      <c r="R3379" s="6" t="s">
        <v>7542</v>
      </c>
    </row>
    <row r="3380">
      <c r="A3380" s="6" t="s">
        <v>7537</v>
      </c>
      <c r="B3380" s="6" t="s">
        <v>7537</v>
      </c>
      <c r="C3380" s="6">
        <v>1771.0</v>
      </c>
      <c r="D3380" s="9" t="str">
        <f>HYPERLINK("https://www.linkedin.com/ad-library/detail/1016735946","Open Ad")</f>
        <v>Open Ad</v>
      </c>
      <c r="E3380" s="6" t="s">
        <v>7543</v>
      </c>
      <c r="F3380" s="6" t="s">
        <v>53</v>
      </c>
      <c r="G3380" s="6" t="s">
        <v>7930</v>
      </c>
      <c r="H3380" s="6" t="s">
        <v>55</v>
      </c>
      <c r="I3380" s="6" t="s">
        <v>7566</v>
      </c>
      <c r="J3380" s="6" t="s">
        <v>7546</v>
      </c>
      <c r="K3380" s="6" t="s">
        <v>60</v>
      </c>
      <c r="L3380" s="6" t="s">
        <v>131</v>
      </c>
      <c r="M3380" s="6" t="s">
        <v>7537</v>
      </c>
      <c r="N3380" s="6" t="s">
        <v>132</v>
      </c>
      <c r="O3380" s="36" t="s">
        <v>132</v>
      </c>
      <c r="P3380" s="36">
        <v>1.016735946E9</v>
      </c>
      <c r="Q3380" s="36" t="s">
        <v>7541</v>
      </c>
      <c r="R3380" s="6" t="s">
        <v>7542</v>
      </c>
    </row>
    <row r="3381">
      <c r="A3381" s="6" t="s">
        <v>7537</v>
      </c>
      <c r="B3381" s="6" t="s">
        <v>7537</v>
      </c>
      <c r="C3381" s="6">
        <v>1772.0</v>
      </c>
      <c r="D3381" s="9" t="str">
        <f>HYPERLINK("https://www.linkedin.com/ad-library/detail/1016933486","Open Ad")</f>
        <v>Open Ad</v>
      </c>
      <c r="E3381" s="6" t="s">
        <v>7543</v>
      </c>
      <c r="F3381" s="6" t="s">
        <v>53</v>
      </c>
      <c r="G3381" s="6" t="s">
        <v>7734</v>
      </c>
      <c r="H3381" s="6" t="s">
        <v>55</v>
      </c>
      <c r="I3381" s="6" t="s">
        <v>7566</v>
      </c>
      <c r="J3381" s="6" t="s">
        <v>7546</v>
      </c>
      <c r="K3381" s="6" t="s">
        <v>60</v>
      </c>
      <c r="L3381" s="6" t="s">
        <v>131</v>
      </c>
      <c r="M3381" s="6" t="s">
        <v>7537</v>
      </c>
      <c r="N3381" s="6" t="s">
        <v>132</v>
      </c>
      <c r="O3381" s="36" t="s">
        <v>132</v>
      </c>
      <c r="P3381" s="36">
        <v>1.016933486E9</v>
      </c>
      <c r="Q3381" s="36" t="s">
        <v>7541</v>
      </c>
      <c r="R3381" s="6" t="s">
        <v>7542</v>
      </c>
    </row>
    <row r="3382">
      <c r="A3382" s="6" t="s">
        <v>7537</v>
      </c>
      <c r="B3382" s="6" t="s">
        <v>7537</v>
      </c>
      <c r="C3382" s="6">
        <v>1773.0</v>
      </c>
      <c r="D3382" s="9" t="str">
        <f>HYPERLINK("https://www.linkedin.com/ad-library/detail/1003426416","Open Ad")</f>
        <v>Open Ad</v>
      </c>
      <c r="E3382" s="6" t="s">
        <v>7543</v>
      </c>
      <c r="F3382" s="6" t="s">
        <v>53</v>
      </c>
      <c r="G3382" s="6" t="s">
        <v>7930</v>
      </c>
      <c r="H3382" s="6" t="s">
        <v>55</v>
      </c>
      <c r="I3382" s="6" t="s">
        <v>7566</v>
      </c>
      <c r="J3382" s="6" t="s">
        <v>7546</v>
      </c>
      <c r="K3382" s="6" t="s">
        <v>60</v>
      </c>
      <c r="L3382" s="6" t="s">
        <v>131</v>
      </c>
      <c r="M3382" s="6" t="s">
        <v>7537</v>
      </c>
      <c r="N3382" s="6" t="s">
        <v>132</v>
      </c>
      <c r="O3382" s="36" t="s">
        <v>132</v>
      </c>
      <c r="P3382" s="36">
        <v>1.003426416E9</v>
      </c>
      <c r="Q3382" s="36" t="s">
        <v>7541</v>
      </c>
      <c r="R3382" s="6" t="s">
        <v>7542</v>
      </c>
    </row>
    <row r="3383">
      <c r="A3383" s="6" t="s">
        <v>7537</v>
      </c>
      <c r="B3383" s="6" t="s">
        <v>7537</v>
      </c>
      <c r="C3383" s="6">
        <v>1774.0</v>
      </c>
      <c r="D3383" s="9" t="str">
        <f>HYPERLINK("https://www.linkedin.com/ad-library/detail/1018184496","Open Ad")</f>
        <v>Open Ad</v>
      </c>
      <c r="E3383" s="6" t="s">
        <v>7543</v>
      </c>
      <c r="F3383" s="6" t="s">
        <v>53</v>
      </c>
      <c r="G3383" s="6" t="s">
        <v>7780</v>
      </c>
      <c r="H3383" s="6" t="s">
        <v>55</v>
      </c>
      <c r="I3383" s="6" t="s">
        <v>7566</v>
      </c>
      <c r="J3383" s="6" t="s">
        <v>7546</v>
      </c>
      <c r="K3383" s="6" t="s">
        <v>60</v>
      </c>
      <c r="L3383" s="6" t="s">
        <v>131</v>
      </c>
      <c r="M3383" s="6" t="s">
        <v>7537</v>
      </c>
      <c r="N3383" s="6" t="s">
        <v>132</v>
      </c>
      <c r="O3383" s="36" t="s">
        <v>132</v>
      </c>
      <c r="P3383" s="36">
        <v>1.018184496E9</v>
      </c>
      <c r="Q3383" s="36" t="s">
        <v>7541</v>
      </c>
      <c r="R3383" s="6" t="s">
        <v>7542</v>
      </c>
    </row>
    <row r="3384">
      <c r="A3384" s="6" t="s">
        <v>7537</v>
      </c>
      <c r="B3384" s="6" t="s">
        <v>7537</v>
      </c>
      <c r="C3384" s="6">
        <v>1775.0</v>
      </c>
      <c r="D3384" s="9" t="str">
        <f>HYPERLINK("https://www.linkedin.com/ad-library/detail/1002569366","Open Ad")</f>
        <v>Open Ad</v>
      </c>
      <c r="E3384" s="6" t="s">
        <v>154</v>
      </c>
      <c r="F3384" s="6" t="s">
        <v>53</v>
      </c>
      <c r="G3384" s="6" t="s">
        <v>7896</v>
      </c>
      <c r="H3384" s="6" t="s">
        <v>55</v>
      </c>
      <c r="I3384" s="6" t="s">
        <v>7566</v>
      </c>
      <c r="J3384" s="6" t="s">
        <v>154</v>
      </c>
      <c r="K3384" s="9" t="str">
        <f>HYPERLINK("https://dms.licdn.com/playlist/vid/v2/D4E10AQEaXGmA13DdTQ/mp4-360p-30fp-crf28/B4EZszVEkrIUB0-/0/1766092726845?e=2147483647&amp;v=beta&amp;t=EByfypCCsRqkjXTNM3hjWwx3xz46YgCuWmn6mZinX9Y","Open Creative")</f>
        <v>Open Creative</v>
      </c>
      <c r="L3384" s="6" t="s">
        <v>131</v>
      </c>
      <c r="M3384" s="6" t="s">
        <v>7537</v>
      </c>
      <c r="N3384" s="6" t="s">
        <v>132</v>
      </c>
      <c r="O3384" s="36" t="s">
        <v>132</v>
      </c>
      <c r="P3384" s="36">
        <v>1.002569366E9</v>
      </c>
      <c r="Q3384" s="36" t="s">
        <v>7541</v>
      </c>
      <c r="R3384" s="6" t="s">
        <v>7542</v>
      </c>
    </row>
    <row r="3385">
      <c r="A3385" s="6" t="s">
        <v>7537</v>
      </c>
      <c r="B3385" s="6" t="s">
        <v>7537</v>
      </c>
      <c r="C3385" s="6">
        <v>1776.0</v>
      </c>
      <c r="D3385" s="9" t="str">
        <f>HYPERLINK("https://www.linkedin.com/ad-library/detail/1020111016","Open Ad")</f>
        <v>Open Ad</v>
      </c>
      <c r="E3385" s="6" t="s">
        <v>91</v>
      </c>
      <c r="F3385" s="6" t="s">
        <v>53</v>
      </c>
      <c r="G3385" s="6" t="s">
        <v>7924</v>
      </c>
      <c r="H3385" s="6" t="s">
        <v>55</v>
      </c>
      <c r="I3385" s="6" t="s">
        <v>7566</v>
      </c>
      <c r="J3385" s="6" t="s">
        <v>91</v>
      </c>
      <c r="K3385" s="9" t="str">
        <f>HYPERLINK("https://media.licdn.com/dms/image/v2/D4E10AQGcFRCJ6TAi5g/image-shrink_1280/B4EZuOx5YAJwAM-/0/1767627004111?e=2147483647&amp;v=beta&amp;t=_tuqiN_2vQYeo3rNfd4-_rXsRxBb_R7D7PouLD5jDKE","Open Creative")</f>
        <v>Open Creative</v>
      </c>
      <c r="L3385" s="6" t="s">
        <v>131</v>
      </c>
      <c r="M3385" s="6" t="s">
        <v>7537</v>
      </c>
      <c r="N3385" s="6" t="s">
        <v>132</v>
      </c>
      <c r="O3385" s="36" t="s">
        <v>132</v>
      </c>
      <c r="P3385" s="36">
        <v>1.020111016E9</v>
      </c>
      <c r="Q3385" s="36" t="s">
        <v>7541</v>
      </c>
      <c r="R3385" s="6" t="s">
        <v>7542</v>
      </c>
    </row>
    <row r="3386">
      <c r="A3386" s="6" t="s">
        <v>7537</v>
      </c>
      <c r="B3386" s="6" t="s">
        <v>7537</v>
      </c>
      <c r="C3386" s="6">
        <v>1777.0</v>
      </c>
      <c r="D3386" s="9" t="str">
        <f>HYPERLINK("https://www.linkedin.com/ad-library/detail/992480636","Open Ad")</f>
        <v>Open Ad</v>
      </c>
      <c r="E3386" s="6" t="s">
        <v>154</v>
      </c>
      <c r="F3386" s="6" t="s">
        <v>53</v>
      </c>
      <c r="G3386" s="6" t="s">
        <v>7931</v>
      </c>
      <c r="H3386" s="6" t="s">
        <v>55</v>
      </c>
      <c r="I3386" s="6" t="s">
        <v>7566</v>
      </c>
      <c r="J3386" s="6" t="s">
        <v>154</v>
      </c>
      <c r="K3386" s="9" t="str">
        <f>HYPERLINK("https://dms.licdn.com/playlist/vid/v2/D4E05AQEqyLBEQDJ0nQ/mp4-640p-30fp-crf28/B4EZsOaRoVKMBw-/0/1765473335491?e=2147483647&amp;v=beta&amp;t=TJkmTd-e0OPsg2HoyxOnWCFlA5Rv0QLL-YWJmUHSn3k","Open Creative")</f>
        <v>Open Creative</v>
      </c>
      <c r="L3386" s="6" t="s">
        <v>131</v>
      </c>
      <c r="M3386" s="6" t="s">
        <v>7537</v>
      </c>
      <c r="N3386" s="6" t="s">
        <v>132</v>
      </c>
      <c r="O3386" s="36" t="s">
        <v>132</v>
      </c>
      <c r="P3386" s="36">
        <v>9.92480636E8</v>
      </c>
      <c r="Q3386" s="36" t="s">
        <v>7541</v>
      </c>
      <c r="R3386" s="6" t="s">
        <v>7542</v>
      </c>
    </row>
    <row r="3387">
      <c r="A3387" s="6" t="s">
        <v>7537</v>
      </c>
      <c r="B3387" s="6" t="s">
        <v>7537</v>
      </c>
      <c r="C3387" s="6">
        <v>1778.0</v>
      </c>
      <c r="D3387" s="9" t="str">
        <f>HYPERLINK("https://www.linkedin.com/ad-library/detail/981517536","Open Ad")</f>
        <v>Open Ad</v>
      </c>
      <c r="E3387" s="6" t="s">
        <v>91</v>
      </c>
      <c r="F3387" s="6" t="s">
        <v>53</v>
      </c>
      <c r="G3387" s="6" t="s">
        <v>7932</v>
      </c>
      <c r="H3387" s="6" t="s">
        <v>55</v>
      </c>
      <c r="I3387" s="6" t="s">
        <v>7566</v>
      </c>
      <c r="J3387" s="6" t="s">
        <v>91</v>
      </c>
      <c r="K3387" s="9" t="str">
        <f>HYPERLINK("https://media.licdn.com/dms/image/v2/D4E22AQF3C3EkKbs0DA/feedshare-shrink_1280/B4EZrlz1RAIQAs-/0/1764792161971?e=2147483647&amp;v=beta&amp;t=X-EQn9cNIDgr9AFf-qarM-nJJsCMdb5br7yo-45B_Ao","Open Creative")</f>
        <v>Open Creative</v>
      </c>
      <c r="L3387" s="6" t="s">
        <v>131</v>
      </c>
      <c r="M3387" s="6" t="s">
        <v>7537</v>
      </c>
      <c r="N3387" s="6" t="s">
        <v>132</v>
      </c>
      <c r="O3387" s="36" t="s">
        <v>132</v>
      </c>
      <c r="P3387" s="36">
        <v>9.81517536E8</v>
      </c>
      <c r="Q3387" s="36" t="s">
        <v>7541</v>
      </c>
      <c r="R3387" s="6" t="s">
        <v>7542</v>
      </c>
    </row>
    <row r="3388">
      <c r="A3388" s="6" t="s">
        <v>7537</v>
      </c>
      <c r="B3388" s="6" t="s">
        <v>7537</v>
      </c>
      <c r="C3388" s="6">
        <v>1779.0</v>
      </c>
      <c r="D3388" s="9" t="str">
        <f>HYPERLINK("https://www.linkedin.com/ad-library/detail/984499706","Open Ad")</f>
        <v>Open Ad</v>
      </c>
      <c r="E3388" s="6" t="s">
        <v>91</v>
      </c>
      <c r="F3388" s="6" t="s">
        <v>53</v>
      </c>
      <c r="G3388" s="6" t="s">
        <v>7933</v>
      </c>
      <c r="H3388" s="6" t="s">
        <v>55</v>
      </c>
      <c r="I3388" s="6" t="s">
        <v>7566</v>
      </c>
      <c r="J3388" s="6" t="s">
        <v>91</v>
      </c>
      <c r="K3388" s="9" t="str">
        <f>HYPERLINK("https://media.licdn.com/dms/image/v2/D4E22AQH83ZgSoXBKhQ/feedshare-shrink_1280/B4EZrphvEoGUAw-/0/1764854527251?e=2147483647&amp;v=beta&amp;t=T_eYpJgdvpqecMBc-uSxVBkZk3bEYRj-PgU0FhrKDwk","Open Creative")</f>
        <v>Open Creative</v>
      </c>
      <c r="L3388" s="6" t="s">
        <v>131</v>
      </c>
      <c r="M3388" s="6" t="s">
        <v>7537</v>
      </c>
      <c r="N3388" s="6" t="s">
        <v>132</v>
      </c>
      <c r="O3388" s="36" t="s">
        <v>132</v>
      </c>
      <c r="P3388" s="36">
        <v>9.84499706E8</v>
      </c>
      <c r="Q3388" s="36" t="s">
        <v>7541</v>
      </c>
      <c r="R3388" s="6" t="s">
        <v>7542</v>
      </c>
    </row>
    <row r="3389">
      <c r="A3389" s="6" t="s">
        <v>7537</v>
      </c>
      <c r="B3389" s="6" t="s">
        <v>7537</v>
      </c>
      <c r="C3389" s="6">
        <v>1780.0</v>
      </c>
      <c r="D3389" s="9" t="str">
        <f>HYPERLINK("https://www.linkedin.com/ad-library/detail/990009346","Open Ad")</f>
        <v>Open Ad</v>
      </c>
      <c r="E3389" s="6" t="s">
        <v>154</v>
      </c>
      <c r="F3389" s="6" t="s">
        <v>53</v>
      </c>
      <c r="G3389" s="6" t="s">
        <v>7931</v>
      </c>
      <c r="H3389" s="6" t="s">
        <v>55</v>
      </c>
      <c r="I3389" s="6" t="s">
        <v>7566</v>
      </c>
      <c r="J3389" s="6" t="s">
        <v>154</v>
      </c>
      <c r="K3389" s="9" t="str">
        <f>HYPERLINK("https://dms.licdn.com/playlist/vid/v2/D4E05AQEqyLBEQDJ0nQ/mp4-640p-30fp-crf28/B4EZsOaRoVKMBw-/0/1765473335491?e=2147483647&amp;v=beta&amp;t=TJkmTd-e0OPsg2HoyxOnWCFlA5Rv0QLL-YWJmUHSn3k","Open Creative")</f>
        <v>Open Creative</v>
      </c>
      <c r="L3389" s="6" t="s">
        <v>131</v>
      </c>
      <c r="M3389" s="6" t="s">
        <v>7537</v>
      </c>
      <c r="N3389" s="6" t="s">
        <v>132</v>
      </c>
      <c r="O3389" s="36" t="s">
        <v>132</v>
      </c>
      <c r="P3389" s="36">
        <v>9.90009346E8</v>
      </c>
      <c r="Q3389" s="36" t="s">
        <v>7541</v>
      </c>
      <c r="R3389" s="6" t="s">
        <v>7542</v>
      </c>
    </row>
    <row r="3390">
      <c r="A3390" s="6" t="s">
        <v>7537</v>
      </c>
      <c r="B3390" s="6" t="s">
        <v>7537</v>
      </c>
      <c r="C3390" s="6">
        <v>1781.0</v>
      </c>
      <c r="D3390" s="9" t="str">
        <f>HYPERLINK("https://www.linkedin.com/ad-library/detail/986974096","Open Ad")</f>
        <v>Open Ad</v>
      </c>
      <c r="E3390" s="6" t="s">
        <v>91</v>
      </c>
      <c r="F3390" s="6" t="s">
        <v>53</v>
      </c>
      <c r="G3390" s="6" t="s">
        <v>7934</v>
      </c>
      <c r="H3390" s="6" t="s">
        <v>55</v>
      </c>
      <c r="I3390" s="6" t="s">
        <v>7566</v>
      </c>
      <c r="J3390" s="6" t="s">
        <v>91</v>
      </c>
      <c r="K3390" s="9" t="str">
        <f>HYPERLINK("https://media.licdn.com/dms/image/v2/D4E22AQHrMWuu8o51wQ/feedshare-shrink_1280/B4EZsDZxc7IUAw-/0/1765288647680?e=2147483647&amp;v=beta&amp;t=9ra1feLMzU3I4fccmn0nNdKfsKM4HynURnsOS7HFma4","Open Creative")</f>
        <v>Open Creative</v>
      </c>
      <c r="L3390" s="6" t="s">
        <v>131</v>
      </c>
      <c r="M3390" s="6" t="s">
        <v>7537</v>
      </c>
      <c r="N3390" s="6" t="s">
        <v>132</v>
      </c>
      <c r="O3390" s="36" t="s">
        <v>132</v>
      </c>
      <c r="P3390" s="36">
        <v>9.86974096E8</v>
      </c>
      <c r="Q3390" s="36" t="s">
        <v>7541</v>
      </c>
      <c r="R3390" s="6" t="s">
        <v>7542</v>
      </c>
    </row>
    <row r="3391">
      <c r="A3391" s="6" t="s">
        <v>7537</v>
      </c>
      <c r="B3391" s="6" t="s">
        <v>7537</v>
      </c>
      <c r="C3391" s="6">
        <v>1782.0</v>
      </c>
      <c r="D3391" s="9" t="str">
        <f>HYPERLINK("https://www.linkedin.com/ad-library/detail/981719426","Open Ad")</f>
        <v>Open Ad</v>
      </c>
      <c r="E3391" s="6" t="s">
        <v>91</v>
      </c>
      <c r="F3391" s="6" t="s">
        <v>53</v>
      </c>
      <c r="G3391" s="6" t="s">
        <v>7935</v>
      </c>
      <c r="H3391" s="6" t="s">
        <v>55</v>
      </c>
      <c r="I3391" s="6" t="s">
        <v>7566</v>
      </c>
      <c r="J3391" s="6" t="s">
        <v>91</v>
      </c>
      <c r="K3391" s="9" t="str">
        <f>HYPERLINK("https://media.licdn.com/dms/image/v2/D4E22AQH_9U9L6unTIQ/feedshare-shrink_1280/B4EZrmNcb7GUAs-/0/1764798876253?e=2147483647&amp;v=beta&amp;t=NeYDJB1MD77kcw4CxKAT-yn3SREY5GDx_M6aZnp9s6k","Open Creative")</f>
        <v>Open Creative</v>
      </c>
      <c r="L3391" s="6" t="s">
        <v>131</v>
      </c>
      <c r="M3391" s="6" t="s">
        <v>7537</v>
      </c>
      <c r="N3391" s="6" t="s">
        <v>132</v>
      </c>
      <c r="O3391" s="36" t="s">
        <v>132</v>
      </c>
      <c r="P3391" s="36">
        <v>9.81719426E8</v>
      </c>
      <c r="Q3391" s="36" t="s">
        <v>7541</v>
      </c>
      <c r="R3391" s="6" t="s">
        <v>7542</v>
      </c>
    </row>
    <row r="3392">
      <c r="A3392" s="6" t="s">
        <v>7537</v>
      </c>
      <c r="B3392" s="6" t="s">
        <v>7537</v>
      </c>
      <c r="C3392" s="6">
        <v>1783.0</v>
      </c>
      <c r="D3392" s="9" t="str">
        <f>HYPERLINK("https://www.linkedin.com/ad-library/detail/990114246","Open Ad")</f>
        <v>Open Ad</v>
      </c>
      <c r="E3392" s="6" t="s">
        <v>154</v>
      </c>
      <c r="F3392" s="6" t="s">
        <v>53</v>
      </c>
      <c r="G3392" s="6" t="s">
        <v>7936</v>
      </c>
      <c r="H3392" s="6" t="s">
        <v>55</v>
      </c>
      <c r="I3392" s="6" t="s">
        <v>7566</v>
      </c>
      <c r="J3392" s="6" t="s">
        <v>154</v>
      </c>
      <c r="K3392" s="9" t="str">
        <f>HYPERLINK("https://dms.licdn.com/playlist/vid/v2/D4E05AQH3EuvMATNWyQ/mp4-640p-30fp-crf28/B4EZsOcqX_IUBw-/0/1765473966308?e=2147483647&amp;v=beta&amp;t=cWByNt-2tYjMfVG6S-bsGDG2tg3ztYYVgSJxcM5WN_4","Open Creative")</f>
        <v>Open Creative</v>
      </c>
      <c r="L3392" s="6" t="s">
        <v>131</v>
      </c>
      <c r="M3392" s="6" t="s">
        <v>7537</v>
      </c>
      <c r="N3392" s="6" t="s">
        <v>132</v>
      </c>
      <c r="O3392" s="36" t="s">
        <v>132</v>
      </c>
      <c r="P3392" s="36">
        <v>9.90114246E8</v>
      </c>
      <c r="Q3392" s="36" t="s">
        <v>7541</v>
      </c>
      <c r="R3392" s="6" t="s">
        <v>7542</v>
      </c>
    </row>
    <row r="3393">
      <c r="A3393" s="6" t="s">
        <v>7537</v>
      </c>
      <c r="B3393" s="6" t="s">
        <v>7537</v>
      </c>
      <c r="C3393" s="6">
        <v>1784.0</v>
      </c>
      <c r="D3393" s="9" t="str">
        <f>HYPERLINK("https://www.linkedin.com/ad-library/detail/988619416","Open Ad")</f>
        <v>Open Ad</v>
      </c>
      <c r="E3393" s="6" t="s">
        <v>91</v>
      </c>
      <c r="F3393" s="6" t="s">
        <v>53</v>
      </c>
      <c r="G3393" s="6" t="s">
        <v>7934</v>
      </c>
      <c r="H3393" s="6" t="s">
        <v>55</v>
      </c>
      <c r="I3393" s="6" t="s">
        <v>7566</v>
      </c>
      <c r="J3393" s="6" t="s">
        <v>91</v>
      </c>
      <c r="K3393" s="9" t="str">
        <f>HYPERLINK("https://media.licdn.com/dms/image/v2/D4E22AQHrMWuu8o51wQ/feedshare-shrink_1280/B4EZsDZxc7IUAw-/0/1765288647680?e=2147483647&amp;v=beta&amp;t=9ra1feLMzU3I4fccmn0nNdKfsKM4HynURnsOS7HFma4","Open Creative")</f>
        <v>Open Creative</v>
      </c>
      <c r="L3393" s="6" t="s">
        <v>131</v>
      </c>
      <c r="M3393" s="6" t="s">
        <v>7537</v>
      </c>
      <c r="N3393" s="6" t="s">
        <v>132</v>
      </c>
      <c r="O3393" s="36" t="s">
        <v>132</v>
      </c>
      <c r="P3393" s="36">
        <v>9.88619416E8</v>
      </c>
      <c r="Q3393" s="36" t="s">
        <v>7541</v>
      </c>
      <c r="R3393" s="6" t="s">
        <v>7542</v>
      </c>
    </row>
    <row r="3394">
      <c r="A3394" s="6" t="s">
        <v>7537</v>
      </c>
      <c r="B3394" s="6" t="s">
        <v>7537</v>
      </c>
      <c r="C3394" s="6">
        <v>1785.0</v>
      </c>
      <c r="D3394" s="9" t="str">
        <f>HYPERLINK("https://www.linkedin.com/ad-library/detail/982089486","Open Ad")</f>
        <v>Open Ad</v>
      </c>
      <c r="E3394" s="6" t="s">
        <v>91</v>
      </c>
      <c r="F3394" s="6" t="s">
        <v>53</v>
      </c>
      <c r="G3394" s="6" t="s">
        <v>7935</v>
      </c>
      <c r="H3394" s="6" t="s">
        <v>55</v>
      </c>
      <c r="I3394" s="6" t="s">
        <v>7566</v>
      </c>
      <c r="J3394" s="6" t="s">
        <v>91</v>
      </c>
      <c r="K3394" s="9" t="str">
        <f>HYPERLINK("https://media.licdn.com/dms/image/v2/D4E22AQH_9U9L6unTIQ/feedshare-shrink_1280/B4EZrmNcb7GUAs-/0/1764798876253?e=2147483647&amp;v=beta&amp;t=NeYDJB1MD77kcw4CxKAT-yn3SREY5GDx_M6aZnp9s6k","Open Creative")</f>
        <v>Open Creative</v>
      </c>
      <c r="L3394" s="6" t="s">
        <v>131</v>
      </c>
      <c r="M3394" s="6" t="s">
        <v>7537</v>
      </c>
      <c r="N3394" s="6" t="s">
        <v>132</v>
      </c>
      <c r="O3394" s="36" t="s">
        <v>132</v>
      </c>
      <c r="P3394" s="36">
        <v>9.82089486E8</v>
      </c>
      <c r="Q3394" s="36" t="s">
        <v>7541</v>
      </c>
      <c r="R3394" s="6" t="s">
        <v>7542</v>
      </c>
    </row>
    <row r="3395">
      <c r="A3395" s="6" t="s">
        <v>7537</v>
      </c>
      <c r="B3395" s="6" t="s">
        <v>7537</v>
      </c>
      <c r="C3395" s="6">
        <v>1786.0</v>
      </c>
      <c r="D3395" s="9" t="str">
        <f>HYPERLINK("https://www.linkedin.com/ad-library/detail/980941106","Open Ad")</f>
        <v>Open Ad</v>
      </c>
      <c r="E3395" s="6" t="s">
        <v>91</v>
      </c>
      <c r="F3395" s="6" t="s">
        <v>53</v>
      </c>
      <c r="G3395" s="6" t="s">
        <v>7932</v>
      </c>
      <c r="H3395" s="6" t="s">
        <v>55</v>
      </c>
      <c r="I3395" s="6" t="s">
        <v>7566</v>
      </c>
      <c r="J3395" s="6" t="s">
        <v>91</v>
      </c>
      <c r="K3395" s="9" t="str">
        <f>HYPERLINK("https://media.licdn.com/dms/image/v2/D4E22AQF3C3EkKbs0DA/feedshare-shrink_1280/B4EZrlz1RAIQAs-/0/1764792161971?e=2147483647&amp;v=beta&amp;t=X-EQn9cNIDgr9AFf-qarM-nJJsCMdb5br7yo-45B_Ao","Open Creative")</f>
        <v>Open Creative</v>
      </c>
      <c r="L3395" s="6" t="s">
        <v>131</v>
      </c>
      <c r="M3395" s="6" t="s">
        <v>7537</v>
      </c>
      <c r="N3395" s="6" t="s">
        <v>132</v>
      </c>
      <c r="O3395" s="36" t="s">
        <v>132</v>
      </c>
      <c r="P3395" s="36">
        <v>9.80941106E8</v>
      </c>
      <c r="Q3395" s="36" t="s">
        <v>7541</v>
      </c>
      <c r="R3395" s="6" t="s">
        <v>7542</v>
      </c>
    </row>
    <row r="3396">
      <c r="A3396" s="6" t="s">
        <v>7537</v>
      </c>
      <c r="B3396" s="6" t="s">
        <v>7537</v>
      </c>
      <c r="C3396" s="6">
        <v>1787.0</v>
      </c>
      <c r="D3396" s="9" t="str">
        <f>HYPERLINK("https://www.linkedin.com/ad-library/detail/984785416","Open Ad")</f>
        <v>Open Ad</v>
      </c>
      <c r="E3396" s="6" t="s">
        <v>91</v>
      </c>
      <c r="F3396" s="6" t="s">
        <v>53</v>
      </c>
      <c r="G3396" s="6" t="s">
        <v>7933</v>
      </c>
      <c r="H3396" s="6" t="s">
        <v>55</v>
      </c>
      <c r="I3396" s="6" t="s">
        <v>7566</v>
      </c>
      <c r="J3396" s="6" t="s">
        <v>91</v>
      </c>
      <c r="K3396" s="9" t="str">
        <f>HYPERLINK("https://media.licdn.com/dms/image/v2/D4E22AQH83ZgSoXBKhQ/feedshare-shrink_1280/B4EZrphvEoGUAw-/0/1764854527251?e=2147483647&amp;v=beta&amp;t=T_eYpJgdvpqecMBc-uSxVBkZk3bEYRj-PgU0FhrKDwk","Open Creative")</f>
        <v>Open Creative</v>
      </c>
      <c r="L3396" s="6" t="s">
        <v>131</v>
      </c>
      <c r="M3396" s="6" t="s">
        <v>7537</v>
      </c>
      <c r="N3396" s="6" t="s">
        <v>132</v>
      </c>
      <c r="O3396" s="36" t="s">
        <v>132</v>
      </c>
      <c r="P3396" s="36">
        <v>9.84785416E8</v>
      </c>
      <c r="Q3396" s="36" t="s">
        <v>7541</v>
      </c>
      <c r="R3396" s="6" t="s">
        <v>7542</v>
      </c>
    </row>
    <row r="3397">
      <c r="A3397" s="6" t="s">
        <v>7537</v>
      </c>
      <c r="B3397" s="6" t="s">
        <v>7537</v>
      </c>
      <c r="C3397" s="6">
        <v>1788.0</v>
      </c>
      <c r="D3397" s="9" t="str">
        <f>HYPERLINK("https://www.linkedin.com/ad-library/detail/992087776","Open Ad")</f>
        <v>Open Ad</v>
      </c>
      <c r="E3397" s="6" t="s">
        <v>154</v>
      </c>
      <c r="F3397" s="6" t="s">
        <v>53</v>
      </c>
      <c r="G3397" s="6" t="s">
        <v>7936</v>
      </c>
      <c r="H3397" s="6" t="s">
        <v>55</v>
      </c>
      <c r="I3397" s="6" t="s">
        <v>7566</v>
      </c>
      <c r="J3397" s="6" t="s">
        <v>154</v>
      </c>
      <c r="K3397" s="9" t="str">
        <f>HYPERLINK("https://dms.licdn.com/playlist/vid/v2/D4E05AQH3EuvMATNWyQ/mp4-640p-30fp-crf28/B4EZsOcqX_IUBw-/0/1765473966308?e=2147483647&amp;v=beta&amp;t=cWByNt-2tYjMfVG6S-bsGDG2tg3ztYYVgSJxcM5WN_4","Open Creative")</f>
        <v>Open Creative</v>
      </c>
      <c r="L3397" s="6" t="s">
        <v>131</v>
      </c>
      <c r="M3397" s="6" t="s">
        <v>7537</v>
      </c>
      <c r="N3397" s="6" t="s">
        <v>132</v>
      </c>
      <c r="O3397" s="36" t="s">
        <v>132</v>
      </c>
      <c r="P3397" s="36">
        <v>9.92087776E8</v>
      </c>
      <c r="Q3397" s="36" t="s">
        <v>7541</v>
      </c>
      <c r="R3397" s="6" t="s">
        <v>7542</v>
      </c>
    </row>
    <row r="3398">
      <c r="A3398" s="6" t="s">
        <v>7537</v>
      </c>
      <c r="B3398" s="6" t="s">
        <v>7537</v>
      </c>
      <c r="C3398" s="6">
        <v>1789.0</v>
      </c>
      <c r="D3398" s="9" t="str">
        <f>HYPERLINK("https://www.linkedin.com/ad-library/detail/989383866","Open Ad")</f>
        <v>Open Ad</v>
      </c>
      <c r="E3398" s="6" t="s">
        <v>91</v>
      </c>
      <c r="F3398" s="6" t="s">
        <v>53</v>
      </c>
      <c r="G3398" s="6" t="s">
        <v>7937</v>
      </c>
      <c r="H3398" s="6" t="s">
        <v>55</v>
      </c>
      <c r="I3398" s="6" t="s">
        <v>7566</v>
      </c>
      <c r="J3398" s="6" t="s">
        <v>91</v>
      </c>
      <c r="K3398" s="9" t="str">
        <f>HYPERLINK("https://media.licdn.com/dms/image/v2/D4E22AQG41UwTJZGyZA/feedshare-shrink_1280/B4EZr.7qUNHUAs-/0/1765213645199?e=2147483647&amp;v=beta&amp;t=Cn3I9dKHrFrvQDZhLu8OdUtuOylxN6F0RjswCzqiKhc","Open Creative")</f>
        <v>Open Creative</v>
      </c>
      <c r="L3398" s="6" t="s">
        <v>131</v>
      </c>
      <c r="M3398" s="6" t="s">
        <v>7537</v>
      </c>
      <c r="N3398" s="6" t="s">
        <v>132</v>
      </c>
      <c r="O3398" s="36" t="s">
        <v>132</v>
      </c>
      <c r="P3398" s="36">
        <v>9.89383866E8</v>
      </c>
      <c r="Q3398" s="36" t="s">
        <v>7541</v>
      </c>
      <c r="R3398" s="6" t="s">
        <v>7542</v>
      </c>
    </row>
    <row r="3399">
      <c r="A3399" s="6" t="s">
        <v>7537</v>
      </c>
      <c r="B3399" s="6" t="s">
        <v>7537</v>
      </c>
      <c r="C3399" s="6">
        <v>1790.0</v>
      </c>
      <c r="D3399" s="9" t="str">
        <f>HYPERLINK("https://www.linkedin.com/ad-library/detail/983572856","Open Ad")</f>
        <v>Open Ad</v>
      </c>
      <c r="E3399" s="6" t="s">
        <v>91</v>
      </c>
      <c r="F3399" s="6" t="s">
        <v>53</v>
      </c>
      <c r="G3399" s="6" t="s">
        <v>7933</v>
      </c>
      <c r="H3399" s="6" t="s">
        <v>55</v>
      </c>
      <c r="I3399" s="6" t="s">
        <v>7566</v>
      </c>
      <c r="J3399" s="6" t="s">
        <v>91</v>
      </c>
      <c r="K3399" s="9" t="str">
        <f>HYPERLINK("https://media.licdn.com/dms/image/v2/D4E22AQH83ZgSoXBKhQ/feedshare-shrink_1280/B4EZrphvEoGUAw-/0/1764854527251?e=2147483647&amp;v=beta&amp;t=T_eYpJgdvpqecMBc-uSxVBkZk3bEYRj-PgU0FhrKDwk","Open Creative")</f>
        <v>Open Creative</v>
      </c>
      <c r="L3399" s="6" t="s">
        <v>131</v>
      </c>
      <c r="M3399" s="6" t="s">
        <v>7537</v>
      </c>
      <c r="N3399" s="6" t="s">
        <v>132</v>
      </c>
      <c r="O3399" s="36" t="s">
        <v>132</v>
      </c>
      <c r="P3399" s="36">
        <v>9.83572856E8</v>
      </c>
      <c r="Q3399" s="36" t="s">
        <v>7541</v>
      </c>
      <c r="R3399" s="6" t="s">
        <v>7542</v>
      </c>
    </row>
    <row r="3400">
      <c r="A3400" s="6" t="s">
        <v>7537</v>
      </c>
      <c r="B3400" s="6" t="s">
        <v>7537</v>
      </c>
      <c r="C3400" s="6">
        <v>1791.0</v>
      </c>
      <c r="D3400" s="9" t="str">
        <f>HYPERLINK("https://www.linkedin.com/ad-library/detail/1072060324","Open Ad")</f>
        <v>Open Ad</v>
      </c>
      <c r="E3400" s="6" t="s">
        <v>91</v>
      </c>
      <c r="F3400" s="6" t="s">
        <v>53</v>
      </c>
      <c r="G3400" s="6" t="s">
        <v>7938</v>
      </c>
      <c r="H3400" s="6" t="s">
        <v>55</v>
      </c>
      <c r="I3400" s="6" t="s">
        <v>7566</v>
      </c>
      <c r="J3400" s="6" t="s">
        <v>91</v>
      </c>
      <c r="K3400" s="9" t="str">
        <f>HYPERLINK("https://media.licdn.com/dms/image/v2/D4E10AQHzdvhJPOR5JQ/image_627_1200/B4DZr1agcUIMAY-/0/1765053958077/WebinarAdA-LinkedInpng?e=2147483647&amp;v=beta&amp;t=ly9MYA5NgvBuNq4jSy6Mmm6UiBeEHJWyA__oTi4hEcc","Open Creative")</f>
        <v>Open Creative</v>
      </c>
      <c r="L3400" s="6" t="s">
        <v>131</v>
      </c>
      <c r="M3400" s="6" t="s">
        <v>7537</v>
      </c>
      <c r="N3400" s="6" t="s">
        <v>132</v>
      </c>
      <c r="O3400" s="36" t="s">
        <v>132</v>
      </c>
      <c r="P3400" s="36">
        <v>1.072060324E9</v>
      </c>
      <c r="Q3400" s="36" t="s">
        <v>7541</v>
      </c>
      <c r="R3400" s="6" t="s">
        <v>7542</v>
      </c>
    </row>
    <row r="3401">
      <c r="A3401" s="6" t="s">
        <v>7537</v>
      </c>
      <c r="B3401" s="6" t="s">
        <v>7537</v>
      </c>
      <c r="C3401" s="6">
        <v>1792.0</v>
      </c>
      <c r="D3401" s="9" t="str">
        <f>HYPERLINK("https://www.linkedin.com/ad-library/detail/987769756","Open Ad")</f>
        <v>Open Ad</v>
      </c>
      <c r="E3401" s="6" t="s">
        <v>154</v>
      </c>
      <c r="F3401" s="6" t="s">
        <v>53</v>
      </c>
      <c r="G3401" s="6" t="s">
        <v>7931</v>
      </c>
      <c r="H3401" s="6" t="s">
        <v>55</v>
      </c>
      <c r="I3401" s="6" t="s">
        <v>7566</v>
      </c>
      <c r="J3401" s="6" t="s">
        <v>154</v>
      </c>
      <c r="K3401" s="9" t="str">
        <f>HYPERLINK("https://dms.licdn.com/playlist/vid/v2/D4E05AQEqyLBEQDJ0nQ/mp4-640p-30fp-crf28/B4EZsOaRoVKMBw-/0/1765473335491?e=2147483647&amp;v=beta&amp;t=TJkmTd-e0OPsg2HoyxOnWCFlA5Rv0QLL-YWJmUHSn3k","Open Creative")</f>
        <v>Open Creative</v>
      </c>
      <c r="L3401" s="6" t="s">
        <v>131</v>
      </c>
      <c r="M3401" s="6" t="s">
        <v>7537</v>
      </c>
      <c r="N3401" s="6" t="s">
        <v>132</v>
      </c>
      <c r="O3401" s="36" t="s">
        <v>132</v>
      </c>
      <c r="P3401" s="36">
        <v>9.87769756E8</v>
      </c>
      <c r="Q3401" s="36" t="s">
        <v>7541</v>
      </c>
      <c r="R3401" s="6" t="s">
        <v>7542</v>
      </c>
    </row>
    <row r="3402">
      <c r="A3402" s="6" t="s">
        <v>7537</v>
      </c>
      <c r="B3402" s="6" t="s">
        <v>7537</v>
      </c>
      <c r="C3402" s="6">
        <v>1793.0</v>
      </c>
      <c r="D3402" s="9" t="str">
        <f>HYPERLINK("https://www.linkedin.com/ad-library/detail/983473806","Open Ad")</f>
        <v>Open Ad</v>
      </c>
      <c r="E3402" s="6" t="s">
        <v>91</v>
      </c>
      <c r="F3402" s="6" t="s">
        <v>53</v>
      </c>
      <c r="G3402" s="6" t="s">
        <v>7933</v>
      </c>
      <c r="H3402" s="6" t="s">
        <v>55</v>
      </c>
      <c r="I3402" s="6" t="s">
        <v>7566</v>
      </c>
      <c r="J3402" s="6" t="s">
        <v>91</v>
      </c>
      <c r="K3402" s="9" t="str">
        <f>HYPERLINK("https://media.licdn.com/dms/image/v2/D4E22AQH83ZgSoXBKhQ/feedshare-shrink_1280/B4EZrphvEoGUAw-/0/1764854527251?e=2147483647&amp;v=beta&amp;t=T_eYpJgdvpqecMBc-uSxVBkZk3bEYRj-PgU0FhrKDwk","Open Creative")</f>
        <v>Open Creative</v>
      </c>
      <c r="L3402" s="6" t="s">
        <v>131</v>
      </c>
      <c r="M3402" s="6" t="s">
        <v>7537</v>
      </c>
      <c r="N3402" s="6" t="s">
        <v>132</v>
      </c>
      <c r="O3402" s="36" t="s">
        <v>132</v>
      </c>
      <c r="P3402" s="36">
        <v>9.83473806E8</v>
      </c>
      <c r="Q3402" s="36" t="s">
        <v>7541</v>
      </c>
      <c r="R3402" s="6" t="s">
        <v>7542</v>
      </c>
    </row>
    <row r="3403">
      <c r="A3403" s="6" t="s">
        <v>7537</v>
      </c>
      <c r="B3403" s="6" t="s">
        <v>7537</v>
      </c>
      <c r="C3403" s="6">
        <v>1794.0</v>
      </c>
      <c r="D3403" s="9" t="str">
        <f>HYPERLINK("https://www.linkedin.com/ad-library/detail/980045266","Open Ad")</f>
        <v>Open Ad</v>
      </c>
      <c r="E3403" s="6" t="s">
        <v>91</v>
      </c>
      <c r="F3403" s="6" t="s">
        <v>53</v>
      </c>
      <c r="G3403" s="6" t="s">
        <v>7935</v>
      </c>
      <c r="H3403" s="6" t="s">
        <v>55</v>
      </c>
      <c r="I3403" s="6" t="s">
        <v>7566</v>
      </c>
      <c r="J3403" s="6" t="s">
        <v>91</v>
      </c>
      <c r="K3403" s="9" t="str">
        <f>HYPERLINK("https://media.licdn.com/dms/image/v2/D4E22AQH_9U9L6unTIQ/feedshare-shrink_1280/B4EZrmNcb7GUAs-/0/1764798876253?e=2147483647&amp;v=beta&amp;t=NeYDJB1MD77kcw4CxKAT-yn3SREY5GDx_M6aZnp9s6k","Open Creative")</f>
        <v>Open Creative</v>
      </c>
      <c r="L3403" s="6" t="s">
        <v>131</v>
      </c>
      <c r="M3403" s="6" t="s">
        <v>7537</v>
      </c>
      <c r="N3403" s="6" t="s">
        <v>132</v>
      </c>
      <c r="O3403" s="36" t="s">
        <v>132</v>
      </c>
      <c r="P3403" s="36">
        <v>9.80045266E8</v>
      </c>
      <c r="Q3403" s="36" t="s">
        <v>7541</v>
      </c>
      <c r="R3403" s="6" t="s">
        <v>7542</v>
      </c>
    </row>
    <row r="3404">
      <c r="A3404" s="6" t="s">
        <v>7537</v>
      </c>
      <c r="B3404" s="6" t="s">
        <v>7537</v>
      </c>
      <c r="C3404" s="6">
        <v>1795.0</v>
      </c>
      <c r="D3404" s="9" t="str">
        <f>HYPERLINK("https://www.linkedin.com/ad-library/detail/983172686","Open Ad")</f>
        <v>Open Ad</v>
      </c>
      <c r="E3404" s="6" t="s">
        <v>91</v>
      </c>
      <c r="F3404" s="6" t="s">
        <v>53</v>
      </c>
      <c r="G3404" s="6" t="s">
        <v>7933</v>
      </c>
      <c r="H3404" s="6" t="s">
        <v>55</v>
      </c>
      <c r="I3404" s="6" t="s">
        <v>7566</v>
      </c>
      <c r="J3404" s="6" t="s">
        <v>91</v>
      </c>
      <c r="K3404" s="9" t="str">
        <f t="shared" ref="K3404:K3405" si="175">HYPERLINK("https://media.licdn.com/dms/image/v2/D4E22AQH83ZgSoXBKhQ/feedshare-shrink_1280/B4EZrphvEoGUAw-/0/1764854527251?e=2147483647&amp;v=beta&amp;t=T_eYpJgdvpqecMBc-uSxVBkZk3bEYRj-PgU0FhrKDwk","Open Creative")</f>
        <v>Open Creative</v>
      </c>
      <c r="L3404" s="6" t="s">
        <v>131</v>
      </c>
      <c r="M3404" s="6" t="s">
        <v>7537</v>
      </c>
      <c r="N3404" s="6" t="s">
        <v>132</v>
      </c>
      <c r="O3404" s="36" t="s">
        <v>132</v>
      </c>
      <c r="P3404" s="36">
        <v>9.83172686E8</v>
      </c>
      <c r="Q3404" s="36" t="s">
        <v>7541</v>
      </c>
      <c r="R3404" s="6" t="s">
        <v>7542</v>
      </c>
    </row>
    <row r="3405">
      <c r="A3405" s="6" t="s">
        <v>7537</v>
      </c>
      <c r="B3405" s="6" t="s">
        <v>7537</v>
      </c>
      <c r="C3405" s="6">
        <v>1796.0</v>
      </c>
      <c r="D3405" s="9" t="str">
        <f>HYPERLINK("https://www.linkedin.com/ad-library/detail/983345456","Open Ad")</f>
        <v>Open Ad</v>
      </c>
      <c r="E3405" s="6" t="s">
        <v>91</v>
      </c>
      <c r="F3405" s="6" t="s">
        <v>53</v>
      </c>
      <c r="G3405" s="6" t="s">
        <v>7933</v>
      </c>
      <c r="H3405" s="6" t="s">
        <v>55</v>
      </c>
      <c r="I3405" s="6" t="s">
        <v>7566</v>
      </c>
      <c r="J3405" s="6" t="s">
        <v>91</v>
      </c>
      <c r="K3405" s="9" t="str">
        <f t="shared" si="175"/>
        <v>Open Creative</v>
      </c>
      <c r="L3405" s="6" t="s">
        <v>131</v>
      </c>
      <c r="M3405" s="6" t="s">
        <v>7537</v>
      </c>
      <c r="N3405" s="6" t="s">
        <v>132</v>
      </c>
      <c r="O3405" s="36" t="s">
        <v>132</v>
      </c>
      <c r="P3405" s="36">
        <v>9.83345456E8</v>
      </c>
      <c r="Q3405" s="36" t="s">
        <v>7541</v>
      </c>
      <c r="R3405" s="6" t="s">
        <v>7542</v>
      </c>
    </row>
    <row r="3406">
      <c r="A3406" s="6" t="s">
        <v>7537</v>
      </c>
      <c r="B3406" s="6" t="s">
        <v>7537</v>
      </c>
      <c r="C3406" s="6">
        <v>1797.0</v>
      </c>
      <c r="D3406" s="9" t="str">
        <f>HYPERLINK("https://www.linkedin.com/ad-library/detail/981426296","Open Ad")</f>
        <v>Open Ad</v>
      </c>
      <c r="E3406" s="6" t="s">
        <v>91</v>
      </c>
      <c r="F3406" s="6" t="s">
        <v>53</v>
      </c>
      <c r="G3406" s="6" t="s">
        <v>7935</v>
      </c>
      <c r="H3406" s="6" t="s">
        <v>55</v>
      </c>
      <c r="I3406" s="6" t="s">
        <v>7566</v>
      </c>
      <c r="J3406" s="6" t="s">
        <v>91</v>
      </c>
      <c r="K3406" s="9" t="str">
        <f t="shared" ref="K3406:K3407" si="176">HYPERLINK("https://media.licdn.com/dms/image/v2/D4E22AQH_9U9L6unTIQ/feedshare-shrink_1280/B4EZrmNcb7GUAs-/0/1764798876253?e=2147483647&amp;v=beta&amp;t=NeYDJB1MD77kcw4CxKAT-yn3SREY5GDx_M6aZnp9s6k","Open Creative")</f>
        <v>Open Creative</v>
      </c>
      <c r="L3406" s="6" t="s">
        <v>131</v>
      </c>
      <c r="M3406" s="6" t="s">
        <v>7537</v>
      </c>
      <c r="N3406" s="6" t="s">
        <v>132</v>
      </c>
      <c r="O3406" s="36" t="s">
        <v>132</v>
      </c>
      <c r="P3406" s="36">
        <v>9.81426296E8</v>
      </c>
      <c r="Q3406" s="36" t="s">
        <v>7541</v>
      </c>
      <c r="R3406" s="6" t="s">
        <v>7542</v>
      </c>
    </row>
    <row r="3407">
      <c r="A3407" s="6" t="s">
        <v>7537</v>
      </c>
      <c r="B3407" s="6" t="s">
        <v>7537</v>
      </c>
      <c r="C3407" s="6">
        <v>1798.0</v>
      </c>
      <c r="D3407" s="9" t="str">
        <f>HYPERLINK("https://www.linkedin.com/ad-library/detail/981912746","Open Ad")</f>
        <v>Open Ad</v>
      </c>
      <c r="E3407" s="6" t="s">
        <v>91</v>
      </c>
      <c r="F3407" s="6" t="s">
        <v>53</v>
      </c>
      <c r="G3407" s="6" t="s">
        <v>7935</v>
      </c>
      <c r="H3407" s="6" t="s">
        <v>55</v>
      </c>
      <c r="I3407" s="6" t="s">
        <v>7566</v>
      </c>
      <c r="J3407" s="6" t="s">
        <v>91</v>
      </c>
      <c r="K3407" s="9" t="str">
        <f t="shared" si="176"/>
        <v>Open Creative</v>
      </c>
      <c r="L3407" s="6" t="s">
        <v>131</v>
      </c>
      <c r="M3407" s="6" t="s">
        <v>7537</v>
      </c>
      <c r="N3407" s="6" t="s">
        <v>132</v>
      </c>
      <c r="O3407" s="36" t="s">
        <v>132</v>
      </c>
      <c r="P3407" s="36">
        <v>9.81912746E8</v>
      </c>
      <c r="Q3407" s="36" t="s">
        <v>7541</v>
      </c>
      <c r="R3407" s="6" t="s">
        <v>7542</v>
      </c>
    </row>
    <row r="3408">
      <c r="A3408" s="6" t="s">
        <v>7537</v>
      </c>
      <c r="B3408" s="6" t="s">
        <v>7537</v>
      </c>
      <c r="C3408" s="6">
        <v>1799.0</v>
      </c>
      <c r="D3408" s="9" t="str">
        <f>HYPERLINK("https://www.linkedin.com/ad-library/detail/979641186","Open Ad")</f>
        <v>Open Ad</v>
      </c>
      <c r="E3408" s="6" t="s">
        <v>91</v>
      </c>
      <c r="F3408" s="6" t="s">
        <v>53</v>
      </c>
      <c r="G3408" s="6" t="s">
        <v>7932</v>
      </c>
      <c r="H3408" s="6" t="s">
        <v>55</v>
      </c>
      <c r="I3408" s="6" t="s">
        <v>7566</v>
      </c>
      <c r="J3408" s="6" t="s">
        <v>91</v>
      </c>
      <c r="K3408" s="9" t="str">
        <f>HYPERLINK("https://media.licdn.com/dms/image/v2/D4E22AQF3C3EkKbs0DA/feedshare-shrink_1280/B4EZrlz1RAIQAs-/0/1764792161971?e=2147483647&amp;v=beta&amp;t=X-EQn9cNIDgr9AFf-qarM-nJJsCMdb5br7yo-45B_Ao","Open Creative")</f>
        <v>Open Creative</v>
      </c>
      <c r="L3408" s="6" t="s">
        <v>131</v>
      </c>
      <c r="M3408" s="6" t="s">
        <v>7537</v>
      </c>
      <c r="N3408" s="6" t="s">
        <v>132</v>
      </c>
      <c r="O3408" s="36" t="s">
        <v>132</v>
      </c>
      <c r="P3408" s="36">
        <v>9.79641186E8</v>
      </c>
      <c r="Q3408" s="36" t="s">
        <v>7541</v>
      </c>
      <c r="R3408" s="6" t="s">
        <v>7542</v>
      </c>
    </row>
    <row r="3409">
      <c r="A3409" s="6" t="s">
        <v>7537</v>
      </c>
      <c r="B3409" s="6" t="s">
        <v>7537</v>
      </c>
      <c r="C3409" s="6">
        <v>1800.0</v>
      </c>
      <c r="D3409" s="9" t="str">
        <f>HYPERLINK("https://www.linkedin.com/ad-library/detail/987774916","Open Ad")</f>
        <v>Open Ad</v>
      </c>
      <c r="E3409" s="6" t="s">
        <v>154</v>
      </c>
      <c r="F3409" s="6" t="s">
        <v>53</v>
      </c>
      <c r="G3409" s="6" t="s">
        <v>7936</v>
      </c>
      <c r="H3409" s="6" t="s">
        <v>55</v>
      </c>
      <c r="I3409" s="6" t="s">
        <v>7566</v>
      </c>
      <c r="J3409" s="6" t="s">
        <v>154</v>
      </c>
      <c r="K3409" s="9" t="str">
        <f>HYPERLINK("https://dms.licdn.com/playlist/vid/v2/D4E05AQH3EuvMATNWyQ/mp4-640p-30fp-crf28/B4EZsOcqX_IUBw-/0/1765473966308?e=2147483647&amp;v=beta&amp;t=cWByNt-2tYjMfVG6S-bsGDG2tg3ztYYVgSJxcM5WN_4","Open Creative")</f>
        <v>Open Creative</v>
      </c>
      <c r="L3409" s="6" t="s">
        <v>131</v>
      </c>
      <c r="M3409" s="6" t="s">
        <v>7537</v>
      </c>
      <c r="N3409" s="6" t="s">
        <v>132</v>
      </c>
      <c r="O3409" s="36" t="s">
        <v>132</v>
      </c>
      <c r="P3409" s="36">
        <v>9.87774916E8</v>
      </c>
      <c r="Q3409" s="36" t="s">
        <v>7541</v>
      </c>
      <c r="R3409" s="6" t="s">
        <v>7542</v>
      </c>
    </row>
    <row r="3410">
      <c r="A3410" s="6" t="s">
        <v>7537</v>
      </c>
      <c r="B3410" s="6" t="s">
        <v>7537</v>
      </c>
      <c r="C3410" s="6">
        <v>1801.0</v>
      </c>
      <c r="D3410" s="9" t="str">
        <f>HYPERLINK("https://www.linkedin.com/ad-library/detail/959110886","Open Ad")</f>
        <v>Open Ad</v>
      </c>
      <c r="E3410" s="6" t="s">
        <v>91</v>
      </c>
      <c r="F3410" s="6" t="s">
        <v>53</v>
      </c>
      <c r="G3410" s="6" t="s">
        <v>7875</v>
      </c>
      <c r="H3410" s="6" t="s">
        <v>55</v>
      </c>
      <c r="I3410" s="6" t="s">
        <v>7566</v>
      </c>
      <c r="J3410" s="6" t="s">
        <v>91</v>
      </c>
      <c r="K3410" s="9" t="str">
        <f>HYPERLINK("https://media.licdn.com/dms/image/v2/D4E22AQFicauXoZbtgA/feedshare-shrink_1280/B4EZp41Bo.KcAs-/0/1762963759302?e=2147483647&amp;v=beta&amp;t=Q9_WQd3fUm2lq_LyH8MrkZZfebmukr0s9NebbnGh9cI","Open Creative")</f>
        <v>Open Creative</v>
      </c>
      <c r="L3410" s="6" t="s">
        <v>131</v>
      </c>
      <c r="M3410" s="6" t="s">
        <v>7537</v>
      </c>
      <c r="N3410" s="6" t="s">
        <v>132</v>
      </c>
      <c r="O3410" s="36" t="s">
        <v>132</v>
      </c>
      <c r="P3410" s="36">
        <v>9.59110886E8</v>
      </c>
      <c r="Q3410" s="36" t="s">
        <v>7541</v>
      </c>
      <c r="R3410" s="6" t="s">
        <v>7542</v>
      </c>
    </row>
    <row r="3411">
      <c r="A3411" s="6" t="s">
        <v>7537</v>
      </c>
      <c r="B3411" s="6" t="s">
        <v>7537</v>
      </c>
      <c r="C3411" s="6">
        <v>1802.0</v>
      </c>
      <c r="D3411" s="9" t="str">
        <f>HYPERLINK("https://www.linkedin.com/ad-library/detail/958812296","Open Ad")</f>
        <v>Open Ad</v>
      </c>
      <c r="E3411" s="6" t="s">
        <v>91</v>
      </c>
      <c r="F3411" s="6" t="s">
        <v>53</v>
      </c>
      <c r="G3411" s="6" t="s">
        <v>7939</v>
      </c>
      <c r="H3411" s="6" t="s">
        <v>55</v>
      </c>
      <c r="I3411" s="6" t="s">
        <v>7566</v>
      </c>
      <c r="J3411" s="6" t="s">
        <v>91</v>
      </c>
      <c r="K3411" s="9" t="str">
        <f>HYPERLINK("https://media.licdn.com/dms/image/v2/D4E22AQFfQc1IvIgvZA/feedshare-shrink_1280/B4EZp.bb29KMAs-/0/1763057713180?e=2147483647&amp;v=beta&amp;t=wFYg95h2czNQV5k4bU52vcUC-_DccJY6NhsYqILukaw","Open Creative")</f>
        <v>Open Creative</v>
      </c>
      <c r="L3411" s="6" t="s">
        <v>131</v>
      </c>
      <c r="M3411" s="6" t="s">
        <v>7537</v>
      </c>
      <c r="N3411" s="6" t="s">
        <v>132</v>
      </c>
      <c r="O3411" s="36" t="s">
        <v>132</v>
      </c>
      <c r="P3411" s="36">
        <v>9.58812296E8</v>
      </c>
      <c r="Q3411" s="36" t="s">
        <v>7541</v>
      </c>
      <c r="R3411" s="6" t="s">
        <v>7542</v>
      </c>
    </row>
    <row r="3412">
      <c r="A3412" s="6" t="s">
        <v>7537</v>
      </c>
      <c r="B3412" s="6" t="s">
        <v>7537</v>
      </c>
      <c r="C3412" s="6">
        <v>1803.0</v>
      </c>
      <c r="D3412" s="9" t="str">
        <f>HYPERLINK("https://www.linkedin.com/ad-library/detail/975427506","Open Ad")</f>
        <v>Open Ad</v>
      </c>
      <c r="E3412" s="6" t="s">
        <v>154</v>
      </c>
      <c r="F3412" s="6" t="s">
        <v>53</v>
      </c>
      <c r="G3412" s="6" t="s">
        <v>7640</v>
      </c>
      <c r="H3412" s="6" t="s">
        <v>55</v>
      </c>
      <c r="I3412" s="6" t="s">
        <v>7566</v>
      </c>
      <c r="J3412" s="6" t="s">
        <v>154</v>
      </c>
      <c r="K3412" s="9" t="str">
        <f>HYPERLINK("https://dms.licdn.com/playlist/vid/v2/D4E05AQEZIBMQ5dvMiw/mp4-640p-30fp-crf28/B4EZq7fWtpGcB0-/0/1764082160741?e=2147483647&amp;v=beta&amp;t=XFL1jBqfg-_iulKKPx99xtiUuPTR1oKXosCHSzSTLSs","Open Creative")</f>
        <v>Open Creative</v>
      </c>
      <c r="L3412" s="6" t="s">
        <v>131</v>
      </c>
      <c r="M3412" s="6" t="s">
        <v>7537</v>
      </c>
      <c r="N3412" s="6" t="s">
        <v>132</v>
      </c>
      <c r="O3412" s="36" t="s">
        <v>132</v>
      </c>
      <c r="P3412" s="36">
        <v>9.75427506E8</v>
      </c>
      <c r="Q3412" s="36" t="s">
        <v>7541</v>
      </c>
      <c r="R3412" s="6" t="s">
        <v>7542</v>
      </c>
    </row>
    <row r="3413">
      <c r="A3413" s="6" t="s">
        <v>7537</v>
      </c>
      <c r="B3413" s="6" t="s">
        <v>7537</v>
      </c>
      <c r="C3413" s="6">
        <v>1804.0</v>
      </c>
      <c r="D3413" s="9" t="str">
        <f>HYPERLINK("https://www.linkedin.com/ad-library/detail/972897616","Open Ad")</f>
        <v>Open Ad</v>
      </c>
      <c r="E3413" s="6" t="s">
        <v>91</v>
      </c>
      <c r="F3413" s="6" t="s">
        <v>53</v>
      </c>
      <c r="G3413" s="6" t="s">
        <v>7940</v>
      </c>
      <c r="H3413" s="6" t="s">
        <v>55</v>
      </c>
      <c r="I3413" s="6" t="s">
        <v>7566</v>
      </c>
      <c r="J3413" s="6" t="s">
        <v>91</v>
      </c>
      <c r="K3413" s="9" t="str">
        <f>HYPERLINK("https://media.licdn.com/dms/image/v2/D4E22AQFvRq2j2DIsQw/feedshare-shrink_1280/B4EZh7CNOYHgAk-/0/1754410833402?e=2147483647&amp;v=beta&amp;t=s24uwfUsaXqukSWitS8dOJx_EafSxhqZjlKyYBdt_34","Open Creative")</f>
        <v>Open Creative</v>
      </c>
      <c r="L3413" s="6" t="s">
        <v>131</v>
      </c>
      <c r="M3413" s="6" t="s">
        <v>7537</v>
      </c>
      <c r="N3413" s="6" t="s">
        <v>132</v>
      </c>
      <c r="O3413" s="36" t="s">
        <v>132</v>
      </c>
      <c r="P3413" s="36">
        <v>9.72897616E8</v>
      </c>
      <c r="Q3413" s="36" t="s">
        <v>7541</v>
      </c>
      <c r="R3413" s="6" t="s">
        <v>7542</v>
      </c>
    </row>
    <row r="3414">
      <c r="A3414" s="6" t="s">
        <v>7537</v>
      </c>
      <c r="B3414" s="6" t="s">
        <v>7537</v>
      </c>
      <c r="C3414" s="6">
        <v>1805.0</v>
      </c>
      <c r="D3414" s="9" t="str">
        <f>HYPERLINK("https://www.linkedin.com/ad-library/detail/981714886","Open Ad")</f>
        <v>Open Ad</v>
      </c>
      <c r="E3414" s="6" t="s">
        <v>91</v>
      </c>
      <c r="F3414" s="6" t="s">
        <v>53</v>
      </c>
      <c r="G3414" s="6" t="s">
        <v>7932</v>
      </c>
      <c r="H3414" s="6" t="s">
        <v>55</v>
      </c>
      <c r="I3414" s="6" t="s">
        <v>7566</v>
      </c>
      <c r="J3414" s="6" t="s">
        <v>91</v>
      </c>
      <c r="K3414" s="9" t="str">
        <f>HYPERLINK("https://media.licdn.com/dms/image/v2/D4E22AQF3C3EkKbs0DA/feedshare-shrink_1280/B4EZrlz1RAIQAs-/0/1764792161971?e=2147483647&amp;v=beta&amp;t=X-EQn9cNIDgr9AFf-qarM-nJJsCMdb5br7yo-45B_Ao","Open Creative")</f>
        <v>Open Creative</v>
      </c>
      <c r="L3414" s="6" t="s">
        <v>131</v>
      </c>
      <c r="M3414" s="6" t="s">
        <v>7537</v>
      </c>
      <c r="N3414" s="6" t="s">
        <v>132</v>
      </c>
      <c r="O3414" s="36" t="s">
        <v>132</v>
      </c>
      <c r="P3414" s="36">
        <v>9.81714886E8</v>
      </c>
      <c r="Q3414" s="36" t="s">
        <v>7541</v>
      </c>
      <c r="R3414" s="6" t="s">
        <v>7542</v>
      </c>
    </row>
    <row r="3415">
      <c r="A3415" s="6" t="s">
        <v>7537</v>
      </c>
      <c r="B3415" s="6" t="s">
        <v>7537</v>
      </c>
      <c r="C3415" s="6">
        <v>1806.0</v>
      </c>
      <c r="D3415" s="9" t="str">
        <f>HYPERLINK("https://www.linkedin.com/ad-library/detail/979999626","Open Ad")</f>
        <v>Open Ad</v>
      </c>
      <c r="E3415" s="6" t="s">
        <v>91</v>
      </c>
      <c r="F3415" s="6" t="s">
        <v>53</v>
      </c>
      <c r="G3415" s="6" t="s">
        <v>7941</v>
      </c>
      <c r="H3415" s="6" t="s">
        <v>55</v>
      </c>
      <c r="I3415" s="6" t="s">
        <v>7566</v>
      </c>
      <c r="J3415" s="6" t="s">
        <v>91</v>
      </c>
      <c r="K3415" s="9" t="str">
        <f>HYPERLINK("https://media.licdn.com/dms/image/v2/D4E22AQEy6PU3K8VYlQ/feedshare-shrink_1280/B4EZrcjq1kHcAs-/0/1764636929763?e=2147483647&amp;v=beta&amp;t=BpGNtDU20i9tVilAZU2E9d9O9tiURE_4dG95ARM3vEs","Open Creative")</f>
        <v>Open Creative</v>
      </c>
      <c r="L3415" s="6" t="s">
        <v>131</v>
      </c>
      <c r="M3415" s="6" t="s">
        <v>7537</v>
      </c>
      <c r="N3415" s="6" t="s">
        <v>132</v>
      </c>
      <c r="O3415" s="36" t="s">
        <v>132</v>
      </c>
      <c r="P3415" s="36">
        <v>9.79999626E8</v>
      </c>
      <c r="Q3415" s="36" t="s">
        <v>7541</v>
      </c>
      <c r="R3415" s="6" t="s">
        <v>7542</v>
      </c>
    </row>
    <row r="3416">
      <c r="A3416" s="6" t="s">
        <v>7537</v>
      </c>
      <c r="B3416" s="6" t="s">
        <v>7537</v>
      </c>
      <c r="C3416" s="6">
        <v>1807.0</v>
      </c>
      <c r="D3416" s="9" t="str">
        <f>HYPERLINK("https://www.linkedin.com/ad-library/detail/965381216","Open Ad")</f>
        <v>Open Ad</v>
      </c>
      <c r="E3416" s="6" t="s">
        <v>154</v>
      </c>
      <c r="F3416" s="6" t="s">
        <v>53</v>
      </c>
      <c r="G3416" s="6" t="s">
        <v>7942</v>
      </c>
      <c r="H3416" s="6" t="s">
        <v>55</v>
      </c>
      <c r="I3416" s="6" t="s">
        <v>7566</v>
      </c>
      <c r="J3416" s="6" t="s">
        <v>154</v>
      </c>
      <c r="K3416" s="9" t="str">
        <f>HYPERLINK("https://dms.licdn.com/playlist/vid/v2/D4E05AQGCiNaRA_-J1Q/mp4-640p-30fp-crf28/B4EZqXfFdvKYB0-/0/1763478103219?e=2147483647&amp;v=beta&amp;t=YlsPzyU67g3Sx5C4KmYB6r9N-iFT_d7xWhSPjvwDT_k","Open Creative")</f>
        <v>Open Creative</v>
      </c>
      <c r="L3416" s="6" t="s">
        <v>131</v>
      </c>
      <c r="M3416" s="6" t="s">
        <v>7537</v>
      </c>
      <c r="N3416" s="6" t="s">
        <v>132</v>
      </c>
      <c r="O3416" s="36" t="s">
        <v>132</v>
      </c>
      <c r="P3416" s="36">
        <v>9.65381216E8</v>
      </c>
      <c r="Q3416" s="36" t="s">
        <v>7541</v>
      </c>
      <c r="R3416" s="6" t="s">
        <v>7542</v>
      </c>
    </row>
    <row r="3417">
      <c r="A3417" s="6" t="s">
        <v>7537</v>
      </c>
      <c r="B3417" s="6" t="s">
        <v>7537</v>
      </c>
      <c r="C3417" s="6">
        <v>1808.0</v>
      </c>
      <c r="D3417" s="9" t="str">
        <f>HYPERLINK("https://www.linkedin.com/ad-library/detail/957837356","Open Ad")</f>
        <v>Open Ad</v>
      </c>
      <c r="E3417" s="6" t="s">
        <v>91</v>
      </c>
      <c r="F3417" s="6" t="s">
        <v>53</v>
      </c>
      <c r="G3417" s="6" t="s">
        <v>7939</v>
      </c>
      <c r="H3417" s="6" t="s">
        <v>55</v>
      </c>
      <c r="I3417" s="6" t="s">
        <v>7566</v>
      </c>
      <c r="J3417" s="6" t="s">
        <v>91</v>
      </c>
      <c r="K3417" s="9" t="str">
        <f>HYPERLINK("https://media.licdn.com/dms/image/v2/D4E22AQFfQc1IvIgvZA/feedshare-shrink_1280/B4EZp.bb29KMAs-/0/1763057713180?e=2147483647&amp;v=beta&amp;t=wFYg95h2czNQV5k4bU52vcUC-_DccJY6NhsYqILukaw","Open Creative")</f>
        <v>Open Creative</v>
      </c>
      <c r="L3417" s="6" t="s">
        <v>131</v>
      </c>
      <c r="M3417" s="6" t="s">
        <v>7537</v>
      </c>
      <c r="N3417" s="6" t="s">
        <v>132</v>
      </c>
      <c r="O3417" s="36" t="s">
        <v>132</v>
      </c>
      <c r="P3417" s="36">
        <v>9.57837356E8</v>
      </c>
      <c r="Q3417" s="36" t="s">
        <v>7541</v>
      </c>
      <c r="R3417" s="6" t="s">
        <v>7542</v>
      </c>
    </row>
    <row r="3418">
      <c r="A3418" s="6" t="s">
        <v>7537</v>
      </c>
      <c r="B3418" s="6" t="s">
        <v>7537</v>
      </c>
      <c r="C3418" s="6">
        <v>1809.0</v>
      </c>
      <c r="D3418" s="9" t="str">
        <f>HYPERLINK("https://www.linkedin.com/ad-library/detail/967220546","Open Ad")</f>
        <v>Open Ad</v>
      </c>
      <c r="E3418" s="6" t="s">
        <v>91</v>
      </c>
      <c r="F3418" s="6" t="s">
        <v>53</v>
      </c>
      <c r="G3418" s="6" t="s">
        <v>7943</v>
      </c>
      <c r="H3418" s="6" t="s">
        <v>55</v>
      </c>
      <c r="I3418" s="6" t="s">
        <v>7566</v>
      </c>
      <c r="J3418" s="6" t="s">
        <v>91</v>
      </c>
      <c r="K3418" s="9" t="str">
        <f>HYPERLINK("https://media.licdn.com/dms/image/v2/D5610AQEoptN2wRz3Tw/image-shrink_1280/B56ZqdGhuAG0AU-/0/1763572326270/ICG-Shelby-Clark-Masterclasspng?e=2147483647&amp;v=beta&amp;t=FfIUZWbX5UwxEOjlQmQEgQOVSF63nEhoz66DDVieeIQ","Open Creative")</f>
        <v>Open Creative</v>
      </c>
      <c r="L3418" s="6" t="s">
        <v>131</v>
      </c>
      <c r="M3418" s="6" t="s">
        <v>7537</v>
      </c>
      <c r="N3418" s="6" t="s">
        <v>132</v>
      </c>
      <c r="O3418" s="36" t="s">
        <v>132</v>
      </c>
      <c r="P3418" s="36">
        <v>9.67220546E8</v>
      </c>
      <c r="Q3418" s="36" t="s">
        <v>7541</v>
      </c>
      <c r="R3418" s="6" t="s">
        <v>7542</v>
      </c>
    </row>
    <row r="3419">
      <c r="A3419" s="6" t="s">
        <v>7537</v>
      </c>
      <c r="B3419" s="6" t="s">
        <v>7537</v>
      </c>
      <c r="C3419" s="6">
        <v>1810.0</v>
      </c>
      <c r="D3419" s="9" t="str">
        <f>HYPERLINK("https://www.linkedin.com/ad-library/detail/959979806","Open Ad")</f>
        <v>Open Ad</v>
      </c>
      <c r="E3419" s="6" t="s">
        <v>91</v>
      </c>
      <c r="F3419" s="6" t="s">
        <v>53</v>
      </c>
      <c r="G3419" s="6" t="s">
        <v>7875</v>
      </c>
      <c r="H3419" s="6" t="s">
        <v>55</v>
      </c>
      <c r="I3419" s="6" t="s">
        <v>7566</v>
      </c>
      <c r="J3419" s="6" t="s">
        <v>91</v>
      </c>
      <c r="K3419" s="9" t="str">
        <f>HYPERLINK("https://media.licdn.com/dms/image/v2/D4E22AQFicauXoZbtgA/feedshare-shrink_1280/B4EZp41Bo.KcAs-/0/1762963759302?e=2147483647&amp;v=beta&amp;t=Q9_WQd3fUm2lq_LyH8MrkZZfebmukr0s9NebbnGh9cI","Open Creative")</f>
        <v>Open Creative</v>
      </c>
      <c r="L3419" s="6" t="s">
        <v>131</v>
      </c>
      <c r="M3419" s="6" t="s">
        <v>7537</v>
      </c>
      <c r="N3419" s="6" t="s">
        <v>132</v>
      </c>
      <c r="O3419" s="36" t="s">
        <v>132</v>
      </c>
      <c r="P3419" s="36">
        <v>9.59979806E8</v>
      </c>
      <c r="Q3419" s="36" t="s">
        <v>7541</v>
      </c>
      <c r="R3419" s="6" t="s">
        <v>7542</v>
      </c>
    </row>
    <row r="3420">
      <c r="A3420" s="6" t="s">
        <v>7537</v>
      </c>
      <c r="B3420" s="6" t="s">
        <v>7537</v>
      </c>
      <c r="C3420" s="6">
        <v>1811.0</v>
      </c>
      <c r="D3420" s="9" t="str">
        <f>HYPERLINK("https://www.linkedin.com/ad-library/detail/979999726","Open Ad")</f>
        <v>Open Ad</v>
      </c>
      <c r="E3420" s="6" t="s">
        <v>154</v>
      </c>
      <c r="F3420" s="6" t="s">
        <v>53</v>
      </c>
      <c r="G3420" s="6" t="s">
        <v>7944</v>
      </c>
      <c r="H3420" s="6" t="s">
        <v>55</v>
      </c>
      <c r="I3420" s="6" t="s">
        <v>7566</v>
      </c>
      <c r="J3420" s="6" t="s">
        <v>154</v>
      </c>
      <c r="K3420" s="9" t="str">
        <f>HYPERLINK("https://dms.licdn.com/playlist/vid/v2/D5605AQFmbcoAQEcf9A/mp4-640p-30fp-crf28/B56Zq8vQrjJ8Bw-/0/1764103120122?e=2147483647&amp;v=beta&amp;t=WkiqqeBxK4zRqZn8J1s0uO6TlPlsev69aY6g3Ch2Bqg","Open Creative")</f>
        <v>Open Creative</v>
      </c>
      <c r="L3420" s="6" t="s">
        <v>131</v>
      </c>
      <c r="M3420" s="6" t="s">
        <v>7537</v>
      </c>
      <c r="N3420" s="6" t="s">
        <v>132</v>
      </c>
      <c r="O3420" s="36" t="s">
        <v>132</v>
      </c>
      <c r="P3420" s="36">
        <v>9.79999726E8</v>
      </c>
      <c r="Q3420" s="36" t="s">
        <v>7541</v>
      </c>
      <c r="R3420" s="6" t="s">
        <v>7542</v>
      </c>
    </row>
    <row r="3421">
      <c r="A3421" s="6" t="s">
        <v>7537</v>
      </c>
      <c r="B3421" s="6" t="s">
        <v>7537</v>
      </c>
      <c r="C3421" s="6">
        <v>1812.0</v>
      </c>
      <c r="D3421" s="9" t="str">
        <f>HYPERLINK("https://www.linkedin.com/ad-library/detail/974097466","Open Ad")</f>
        <v>Open Ad</v>
      </c>
      <c r="E3421" s="6" t="s">
        <v>91</v>
      </c>
      <c r="F3421" s="6" t="s">
        <v>53</v>
      </c>
      <c r="G3421" s="6" t="s">
        <v>7940</v>
      </c>
      <c r="H3421" s="6" t="s">
        <v>55</v>
      </c>
      <c r="I3421" s="6" t="s">
        <v>7566</v>
      </c>
      <c r="J3421" s="6" t="s">
        <v>91</v>
      </c>
      <c r="K3421" s="9" t="str">
        <f>HYPERLINK("https://media.licdn.com/dms/image/v2/D4E22AQFvRq2j2DIsQw/feedshare-shrink_1280/B4EZh7CNOYHgAk-/0/1754410833402?e=2147483647&amp;v=beta&amp;t=s24uwfUsaXqukSWitS8dOJx_EafSxhqZjlKyYBdt_34","Open Creative")</f>
        <v>Open Creative</v>
      </c>
      <c r="L3421" s="6" t="s">
        <v>131</v>
      </c>
      <c r="M3421" s="6" t="s">
        <v>7537</v>
      </c>
      <c r="N3421" s="6" t="s">
        <v>132</v>
      </c>
      <c r="O3421" s="36" t="s">
        <v>132</v>
      </c>
      <c r="P3421" s="36">
        <v>9.74097466E8</v>
      </c>
      <c r="Q3421" s="36" t="s">
        <v>7541</v>
      </c>
      <c r="R3421" s="6" t="s">
        <v>7542</v>
      </c>
    </row>
    <row r="3422">
      <c r="A3422" s="6" t="s">
        <v>7537</v>
      </c>
      <c r="B3422" s="6" t="s">
        <v>7537</v>
      </c>
      <c r="C3422" s="6">
        <v>1813.0</v>
      </c>
      <c r="D3422" s="9" t="str">
        <f>HYPERLINK("https://www.linkedin.com/ad-library/detail/977773416","Open Ad")</f>
        <v>Open Ad</v>
      </c>
      <c r="E3422" s="6" t="s">
        <v>91</v>
      </c>
      <c r="F3422" s="6" t="s">
        <v>53</v>
      </c>
      <c r="G3422" s="6" t="s">
        <v>7941</v>
      </c>
      <c r="H3422" s="6" t="s">
        <v>55</v>
      </c>
      <c r="I3422" s="6" t="s">
        <v>7566</v>
      </c>
      <c r="J3422" s="6" t="s">
        <v>91</v>
      </c>
      <c r="K3422" s="9" t="str">
        <f>HYPERLINK("https://media.licdn.com/dms/image/v2/D4E22AQEy6PU3K8VYlQ/feedshare-shrink_1280/B4EZrcjq1kHcAs-/0/1764636929763?e=2147483647&amp;v=beta&amp;t=BpGNtDU20i9tVilAZU2E9d9O9tiURE_4dG95ARM3vEs","Open Creative")</f>
        <v>Open Creative</v>
      </c>
      <c r="L3422" s="6" t="s">
        <v>131</v>
      </c>
      <c r="M3422" s="6" t="s">
        <v>7537</v>
      </c>
      <c r="N3422" s="6" t="s">
        <v>132</v>
      </c>
      <c r="O3422" s="36" t="s">
        <v>132</v>
      </c>
      <c r="P3422" s="36">
        <v>9.77773416E8</v>
      </c>
      <c r="Q3422" s="36" t="s">
        <v>7541</v>
      </c>
      <c r="R3422" s="6" t="s">
        <v>7542</v>
      </c>
    </row>
    <row r="3423">
      <c r="A3423" s="6" t="s">
        <v>7537</v>
      </c>
      <c r="B3423" s="6" t="s">
        <v>7537</v>
      </c>
      <c r="C3423" s="6">
        <v>1814.0</v>
      </c>
      <c r="D3423" s="9" t="str">
        <f>HYPERLINK("https://www.linkedin.com/ad-library/detail/979487766","Open Ad")</f>
        <v>Open Ad</v>
      </c>
      <c r="E3423" s="6" t="s">
        <v>7543</v>
      </c>
      <c r="F3423" s="6" t="s">
        <v>53</v>
      </c>
      <c r="G3423" s="6" t="s">
        <v>7945</v>
      </c>
      <c r="H3423" s="6" t="s">
        <v>55</v>
      </c>
      <c r="I3423" s="6" t="s">
        <v>7566</v>
      </c>
      <c r="J3423" s="6" t="s">
        <v>7546</v>
      </c>
      <c r="K3423" s="6" t="s">
        <v>60</v>
      </c>
      <c r="L3423" s="6" t="s">
        <v>131</v>
      </c>
      <c r="M3423" s="6" t="s">
        <v>7537</v>
      </c>
      <c r="N3423" s="6" t="s">
        <v>132</v>
      </c>
      <c r="O3423" s="36" t="s">
        <v>132</v>
      </c>
      <c r="P3423" s="36">
        <v>9.79487766E8</v>
      </c>
      <c r="Q3423" s="36" t="s">
        <v>7541</v>
      </c>
      <c r="R3423" s="6" t="s">
        <v>7542</v>
      </c>
    </row>
    <row r="3424">
      <c r="A3424" s="6" t="s">
        <v>7537</v>
      </c>
      <c r="B3424" s="6" t="s">
        <v>7537</v>
      </c>
      <c r="C3424" s="6">
        <v>1815.0</v>
      </c>
      <c r="D3424" s="9" t="str">
        <f>HYPERLINK("https://www.linkedin.com/ad-library/detail/964981456","Open Ad")</f>
        <v>Open Ad</v>
      </c>
      <c r="E3424" s="6" t="s">
        <v>154</v>
      </c>
      <c r="F3424" s="6" t="s">
        <v>53</v>
      </c>
      <c r="G3424" s="6" t="s">
        <v>7942</v>
      </c>
      <c r="H3424" s="6" t="s">
        <v>55</v>
      </c>
      <c r="I3424" s="6" t="s">
        <v>7566</v>
      </c>
      <c r="J3424" s="6" t="s">
        <v>154</v>
      </c>
      <c r="K3424" s="9" t="str">
        <f>HYPERLINK("https://dms.licdn.com/playlist/vid/v2/D4E05AQGCiNaRA_-J1Q/mp4-640p-30fp-crf28/B4EZqXfFdvKYB0-/0/1763478103219?e=2147483647&amp;v=beta&amp;t=YlsPzyU67g3Sx5C4KmYB6r9N-iFT_d7xWhSPjvwDT_k","Open Creative")</f>
        <v>Open Creative</v>
      </c>
      <c r="L3424" s="6" t="s">
        <v>131</v>
      </c>
      <c r="M3424" s="6" t="s">
        <v>7537</v>
      </c>
      <c r="N3424" s="6" t="s">
        <v>132</v>
      </c>
      <c r="O3424" s="36" t="s">
        <v>132</v>
      </c>
      <c r="P3424" s="36">
        <v>9.64981456E8</v>
      </c>
      <c r="Q3424" s="36" t="s">
        <v>7541</v>
      </c>
      <c r="R3424" s="6" t="s">
        <v>7542</v>
      </c>
    </row>
    <row r="3425">
      <c r="A3425" s="6" t="s">
        <v>7537</v>
      </c>
      <c r="B3425" s="6" t="s">
        <v>7537</v>
      </c>
      <c r="C3425" s="6">
        <v>1816.0</v>
      </c>
      <c r="D3425" s="9" t="str">
        <f>HYPERLINK("https://www.linkedin.com/ad-library/detail/981200116","Open Ad")</f>
        <v>Open Ad</v>
      </c>
      <c r="E3425" s="6" t="s">
        <v>7543</v>
      </c>
      <c r="F3425" s="6" t="s">
        <v>53</v>
      </c>
      <c r="G3425" s="6" t="s">
        <v>7946</v>
      </c>
      <c r="H3425" s="6" t="s">
        <v>55</v>
      </c>
      <c r="I3425" s="6" t="s">
        <v>7566</v>
      </c>
      <c r="J3425" s="6" t="s">
        <v>7546</v>
      </c>
      <c r="K3425" s="6" t="s">
        <v>60</v>
      </c>
      <c r="L3425" s="6" t="s">
        <v>131</v>
      </c>
      <c r="M3425" s="6" t="s">
        <v>7537</v>
      </c>
      <c r="N3425" s="6" t="s">
        <v>132</v>
      </c>
      <c r="O3425" s="36" t="s">
        <v>132</v>
      </c>
      <c r="P3425" s="36">
        <v>9.81200116E8</v>
      </c>
      <c r="Q3425" s="36" t="s">
        <v>7541</v>
      </c>
      <c r="R3425" s="6" t="s">
        <v>7542</v>
      </c>
    </row>
    <row r="3426">
      <c r="A3426" s="6" t="s">
        <v>7537</v>
      </c>
      <c r="B3426" s="6" t="s">
        <v>7537</v>
      </c>
      <c r="C3426" s="6">
        <v>1817.0</v>
      </c>
      <c r="D3426" s="9" t="str">
        <f>HYPERLINK("https://www.linkedin.com/ad-library/detail/979588286","Open Ad")</f>
        <v>Open Ad</v>
      </c>
      <c r="E3426" s="6" t="s">
        <v>7543</v>
      </c>
      <c r="F3426" s="6" t="s">
        <v>53</v>
      </c>
      <c r="G3426" s="6" t="s">
        <v>7947</v>
      </c>
      <c r="H3426" s="6" t="s">
        <v>55</v>
      </c>
      <c r="I3426" s="6" t="s">
        <v>7566</v>
      </c>
      <c r="J3426" s="6" t="s">
        <v>7546</v>
      </c>
      <c r="K3426" s="6" t="s">
        <v>60</v>
      </c>
      <c r="L3426" s="6" t="s">
        <v>131</v>
      </c>
      <c r="M3426" s="6" t="s">
        <v>7537</v>
      </c>
      <c r="N3426" s="6" t="s">
        <v>132</v>
      </c>
      <c r="O3426" s="36" t="s">
        <v>132</v>
      </c>
      <c r="P3426" s="36">
        <v>9.79588286E8</v>
      </c>
      <c r="Q3426" s="36" t="s">
        <v>7541</v>
      </c>
      <c r="R3426" s="6" t="s">
        <v>7542</v>
      </c>
    </row>
    <row r="3427">
      <c r="A3427" s="6" t="s">
        <v>7537</v>
      </c>
      <c r="B3427" s="6" t="s">
        <v>7537</v>
      </c>
      <c r="C3427" s="6">
        <v>1818.0</v>
      </c>
      <c r="D3427" s="9" t="str">
        <f>HYPERLINK("https://www.linkedin.com/ad-library/detail/979487746","Open Ad")</f>
        <v>Open Ad</v>
      </c>
      <c r="E3427" s="6" t="s">
        <v>7543</v>
      </c>
      <c r="F3427" s="6" t="s">
        <v>53</v>
      </c>
      <c r="G3427" s="6" t="s">
        <v>7945</v>
      </c>
      <c r="H3427" s="6" t="s">
        <v>55</v>
      </c>
      <c r="I3427" s="6" t="s">
        <v>7566</v>
      </c>
      <c r="J3427" s="6" t="s">
        <v>7546</v>
      </c>
      <c r="K3427" s="6" t="s">
        <v>60</v>
      </c>
      <c r="L3427" s="6" t="s">
        <v>131</v>
      </c>
      <c r="M3427" s="6" t="s">
        <v>7537</v>
      </c>
      <c r="N3427" s="6" t="s">
        <v>132</v>
      </c>
      <c r="O3427" s="36" t="s">
        <v>132</v>
      </c>
      <c r="P3427" s="36">
        <v>9.79487746E8</v>
      </c>
      <c r="Q3427" s="36" t="s">
        <v>7541</v>
      </c>
      <c r="R3427" s="6" t="s">
        <v>7542</v>
      </c>
    </row>
    <row r="3428">
      <c r="A3428" s="6" t="s">
        <v>7537</v>
      </c>
      <c r="B3428" s="6" t="s">
        <v>7537</v>
      </c>
      <c r="C3428" s="6">
        <v>1819.0</v>
      </c>
      <c r="D3428" s="9" t="str">
        <f>HYPERLINK("https://www.linkedin.com/ad-library/detail/958812316","Open Ad")</f>
        <v>Open Ad</v>
      </c>
      <c r="E3428" s="6" t="s">
        <v>91</v>
      </c>
      <c r="F3428" s="6" t="s">
        <v>53</v>
      </c>
      <c r="G3428" s="6" t="s">
        <v>7875</v>
      </c>
      <c r="H3428" s="6" t="s">
        <v>55</v>
      </c>
      <c r="I3428" s="6" t="s">
        <v>7566</v>
      </c>
      <c r="J3428" s="6" t="s">
        <v>91</v>
      </c>
      <c r="K3428" s="9" t="str">
        <f>HYPERLINK("https://media.licdn.com/dms/image/v2/D4E22AQFicauXoZbtgA/feedshare-shrink_1280/B4EZp41Bo.KcAs-/0/1762963759302?e=2147483647&amp;v=beta&amp;t=Q9_WQd3fUm2lq_LyH8MrkZZfebmukr0s9NebbnGh9cI","Open Creative")</f>
        <v>Open Creative</v>
      </c>
      <c r="L3428" s="6" t="s">
        <v>131</v>
      </c>
      <c r="M3428" s="6" t="s">
        <v>7537</v>
      </c>
      <c r="N3428" s="6" t="s">
        <v>132</v>
      </c>
      <c r="O3428" s="36" t="s">
        <v>132</v>
      </c>
      <c r="P3428" s="36">
        <v>9.58812316E8</v>
      </c>
      <c r="Q3428" s="36" t="s">
        <v>7541</v>
      </c>
      <c r="R3428" s="6" t="s">
        <v>7542</v>
      </c>
    </row>
    <row r="3429">
      <c r="A3429" s="6" t="s">
        <v>7537</v>
      </c>
      <c r="B3429" s="6" t="s">
        <v>7537</v>
      </c>
      <c r="C3429" s="6">
        <v>1820.0</v>
      </c>
      <c r="D3429" s="9" t="str">
        <f>HYPERLINK("https://www.linkedin.com/ad-library/detail/979799526","Open Ad")</f>
        <v>Open Ad</v>
      </c>
      <c r="E3429" s="6" t="s">
        <v>91</v>
      </c>
      <c r="F3429" s="6" t="s">
        <v>53</v>
      </c>
      <c r="G3429" s="6" t="s">
        <v>7941</v>
      </c>
      <c r="H3429" s="6" t="s">
        <v>55</v>
      </c>
      <c r="I3429" s="6" t="s">
        <v>7566</v>
      </c>
      <c r="J3429" s="6" t="s">
        <v>91</v>
      </c>
      <c r="K3429" s="9" t="str">
        <f>HYPERLINK("https://media.licdn.com/dms/image/v2/D4E22AQEy6PU3K8VYlQ/feedshare-shrink_1280/B4EZrcjq1kHcAs-/0/1764636929763?e=2147483647&amp;v=beta&amp;t=BpGNtDU20i9tVilAZU2E9d9O9tiURE_4dG95ARM3vEs","Open Creative")</f>
        <v>Open Creative</v>
      </c>
      <c r="L3429" s="6" t="s">
        <v>131</v>
      </c>
      <c r="M3429" s="6" t="s">
        <v>7537</v>
      </c>
      <c r="N3429" s="6" t="s">
        <v>132</v>
      </c>
      <c r="O3429" s="36" t="s">
        <v>132</v>
      </c>
      <c r="P3429" s="36">
        <v>9.79799526E8</v>
      </c>
      <c r="Q3429" s="36" t="s">
        <v>7541</v>
      </c>
      <c r="R3429" s="6" t="s">
        <v>7542</v>
      </c>
    </row>
    <row r="3430">
      <c r="A3430" s="6" t="s">
        <v>7537</v>
      </c>
      <c r="B3430" s="6" t="s">
        <v>7537</v>
      </c>
      <c r="C3430" s="6">
        <v>1821.0</v>
      </c>
      <c r="D3430" s="9" t="str">
        <f>HYPERLINK("https://www.linkedin.com/ad-library/detail/979740746","Open Ad")</f>
        <v>Open Ad</v>
      </c>
      <c r="E3430" s="6" t="s">
        <v>91</v>
      </c>
      <c r="F3430" s="6" t="s">
        <v>53</v>
      </c>
      <c r="G3430" s="6" t="s">
        <v>7932</v>
      </c>
      <c r="H3430" s="6" t="s">
        <v>55</v>
      </c>
      <c r="I3430" s="6" t="s">
        <v>7566</v>
      </c>
      <c r="J3430" s="6" t="s">
        <v>91</v>
      </c>
      <c r="K3430" s="9" t="str">
        <f>HYPERLINK("https://media.licdn.com/dms/image/v2/D4E22AQF3C3EkKbs0DA/feedshare-shrink_1280/B4EZrlz1RAIQAs-/0/1764792161971?e=2147483647&amp;v=beta&amp;t=X-EQn9cNIDgr9AFf-qarM-nJJsCMdb5br7yo-45B_Ao","Open Creative")</f>
        <v>Open Creative</v>
      </c>
      <c r="L3430" s="6" t="s">
        <v>131</v>
      </c>
      <c r="M3430" s="6" t="s">
        <v>7537</v>
      </c>
      <c r="N3430" s="6" t="s">
        <v>132</v>
      </c>
      <c r="O3430" s="36" t="s">
        <v>132</v>
      </c>
      <c r="P3430" s="36">
        <v>9.79740746E8</v>
      </c>
      <c r="Q3430" s="36" t="s">
        <v>7541</v>
      </c>
      <c r="R3430" s="6" t="s">
        <v>7542</v>
      </c>
    </row>
    <row r="3431">
      <c r="A3431" s="6" t="s">
        <v>7537</v>
      </c>
      <c r="B3431" s="6" t="s">
        <v>7537</v>
      </c>
      <c r="C3431" s="6">
        <v>1822.0</v>
      </c>
      <c r="D3431" s="9" t="str">
        <f>HYPERLINK("https://www.linkedin.com/ad-library/detail/958216466","Open Ad")</f>
        <v>Open Ad</v>
      </c>
      <c r="E3431" s="6" t="s">
        <v>91</v>
      </c>
      <c r="F3431" s="6" t="s">
        <v>53</v>
      </c>
      <c r="G3431" s="6" t="s">
        <v>7939</v>
      </c>
      <c r="H3431" s="6" t="s">
        <v>55</v>
      </c>
      <c r="I3431" s="6" t="s">
        <v>7566</v>
      </c>
      <c r="J3431" s="6" t="s">
        <v>91</v>
      </c>
      <c r="K3431" s="9" t="str">
        <f>HYPERLINK("https://media.licdn.com/dms/image/v2/D4E22AQFfQc1IvIgvZA/feedshare-shrink_1280/B4EZp.bb29KMAs-/0/1763057713180?e=2147483647&amp;v=beta&amp;t=wFYg95h2czNQV5k4bU52vcUC-_DccJY6NhsYqILukaw","Open Creative")</f>
        <v>Open Creative</v>
      </c>
      <c r="L3431" s="6" t="s">
        <v>131</v>
      </c>
      <c r="M3431" s="6" t="s">
        <v>7537</v>
      </c>
      <c r="N3431" s="6" t="s">
        <v>132</v>
      </c>
      <c r="O3431" s="36" t="s">
        <v>132</v>
      </c>
      <c r="P3431" s="36">
        <v>9.58216466E8</v>
      </c>
      <c r="Q3431" s="36" t="s">
        <v>7541</v>
      </c>
      <c r="R3431" s="6" t="s">
        <v>7542</v>
      </c>
    </row>
    <row r="3432">
      <c r="A3432" s="6" t="s">
        <v>7537</v>
      </c>
      <c r="B3432" s="6" t="s">
        <v>7537</v>
      </c>
      <c r="C3432" s="6">
        <v>1823.0</v>
      </c>
      <c r="D3432" s="9" t="str">
        <f>HYPERLINK("https://www.linkedin.com/ad-library/detail/979487706","Open Ad")</f>
        <v>Open Ad</v>
      </c>
      <c r="E3432" s="6" t="s">
        <v>7543</v>
      </c>
      <c r="F3432" s="6" t="s">
        <v>53</v>
      </c>
      <c r="G3432" s="6" t="s">
        <v>7945</v>
      </c>
      <c r="H3432" s="6" t="s">
        <v>55</v>
      </c>
      <c r="I3432" s="6" t="s">
        <v>7566</v>
      </c>
      <c r="J3432" s="6" t="s">
        <v>7546</v>
      </c>
      <c r="K3432" s="6" t="s">
        <v>60</v>
      </c>
      <c r="L3432" s="6" t="s">
        <v>131</v>
      </c>
      <c r="M3432" s="6" t="s">
        <v>7537</v>
      </c>
      <c r="N3432" s="6" t="s">
        <v>132</v>
      </c>
      <c r="O3432" s="36" t="s">
        <v>132</v>
      </c>
      <c r="P3432" s="36">
        <v>9.79487706E8</v>
      </c>
      <c r="Q3432" s="36" t="s">
        <v>7541</v>
      </c>
      <c r="R3432" s="6" t="s">
        <v>7542</v>
      </c>
    </row>
    <row r="3433">
      <c r="A3433" s="6" t="s">
        <v>7537</v>
      </c>
      <c r="B3433" s="6" t="s">
        <v>7537</v>
      </c>
      <c r="C3433" s="6">
        <v>1824.0</v>
      </c>
      <c r="D3433" s="9" t="str">
        <f>HYPERLINK("https://www.linkedin.com/ad-library/detail/975485856","Open Ad")</f>
        <v>Open Ad</v>
      </c>
      <c r="E3433" s="6" t="s">
        <v>154</v>
      </c>
      <c r="F3433" s="6" t="s">
        <v>53</v>
      </c>
      <c r="G3433" s="6" t="s">
        <v>7640</v>
      </c>
      <c r="H3433" s="6" t="s">
        <v>55</v>
      </c>
      <c r="I3433" s="6" t="s">
        <v>7566</v>
      </c>
      <c r="J3433" s="6" t="s">
        <v>154</v>
      </c>
      <c r="K3433" s="9" t="str">
        <f>HYPERLINK("https://dms.licdn.com/playlist/vid/v2/D4E05AQEZIBMQ5dvMiw/mp4-640p-30fp-crf28/B4EZq7fWtpGcB0-/0/1764082160741?e=2147483647&amp;v=beta&amp;t=XFL1jBqfg-_iulKKPx99xtiUuPTR1oKXosCHSzSTLSs","Open Creative")</f>
        <v>Open Creative</v>
      </c>
      <c r="L3433" s="6" t="s">
        <v>131</v>
      </c>
      <c r="M3433" s="6" t="s">
        <v>7537</v>
      </c>
      <c r="N3433" s="6" t="s">
        <v>132</v>
      </c>
      <c r="O3433" s="36" t="s">
        <v>132</v>
      </c>
      <c r="P3433" s="36">
        <v>9.75485856E8</v>
      </c>
      <c r="Q3433" s="36" t="s">
        <v>7541</v>
      </c>
      <c r="R3433" s="6" t="s">
        <v>7542</v>
      </c>
    </row>
    <row r="3434">
      <c r="A3434" s="6" t="s">
        <v>7537</v>
      </c>
      <c r="B3434" s="6" t="s">
        <v>7537</v>
      </c>
      <c r="C3434" s="6">
        <v>1825.0</v>
      </c>
      <c r="D3434" s="9" t="str">
        <f>HYPERLINK("https://www.linkedin.com/ad-library/detail/955042776","Open Ad")</f>
        <v>Open Ad</v>
      </c>
      <c r="E3434" s="6" t="s">
        <v>7543</v>
      </c>
      <c r="F3434" s="6" t="s">
        <v>53</v>
      </c>
      <c r="G3434" s="6" t="s">
        <v>7948</v>
      </c>
      <c r="H3434" s="6" t="s">
        <v>55</v>
      </c>
      <c r="I3434" s="6" t="s">
        <v>7566</v>
      </c>
      <c r="J3434" s="6" t="s">
        <v>7546</v>
      </c>
      <c r="K3434" s="6" t="s">
        <v>60</v>
      </c>
      <c r="L3434" s="6" t="s">
        <v>131</v>
      </c>
      <c r="M3434" s="6" t="s">
        <v>7537</v>
      </c>
      <c r="N3434" s="6" t="s">
        <v>132</v>
      </c>
      <c r="O3434" s="36" t="s">
        <v>132</v>
      </c>
      <c r="P3434" s="36">
        <v>9.55042776E8</v>
      </c>
      <c r="Q3434" s="36" t="s">
        <v>7541</v>
      </c>
      <c r="R3434" s="6" t="s">
        <v>7542</v>
      </c>
    </row>
    <row r="3435">
      <c r="A3435" s="6" t="s">
        <v>7537</v>
      </c>
      <c r="B3435" s="6" t="s">
        <v>7537</v>
      </c>
      <c r="C3435" s="6">
        <v>1826.0</v>
      </c>
      <c r="D3435" s="9" t="str">
        <f>HYPERLINK("https://www.linkedin.com/ad-library/detail/895443864","Open Ad")</f>
        <v>Open Ad</v>
      </c>
      <c r="E3435" s="6" t="s">
        <v>91</v>
      </c>
      <c r="F3435" s="6" t="s">
        <v>53</v>
      </c>
      <c r="G3435" s="6" t="s">
        <v>7949</v>
      </c>
      <c r="H3435" s="6" t="s">
        <v>55</v>
      </c>
      <c r="I3435" s="6" t="s">
        <v>7566</v>
      </c>
      <c r="J3435" s="6" t="s">
        <v>91</v>
      </c>
      <c r="K3435" s="9" t="str">
        <f>HYPERLINK("https://media.licdn.com/dms/image/v2/D4E10AQE2eHmkk8IaFw/image-shrink_1280/B4EZpYS_0aKkAM-/0/1762417974016/CopyofPROFOUNDADSERIES2zip-32png?e=2147483647&amp;v=beta&amp;t=Apg8EHKhHu3V52wdsJFnRyKc5_VH7p6uoK-z18PcM7Q","Open Creative")</f>
        <v>Open Creative</v>
      </c>
      <c r="L3435" s="6" t="s">
        <v>131</v>
      </c>
      <c r="M3435" s="6" t="s">
        <v>7537</v>
      </c>
      <c r="N3435" s="6" t="s">
        <v>132</v>
      </c>
      <c r="O3435" s="36" t="s">
        <v>132</v>
      </c>
      <c r="P3435" s="36">
        <v>8.95443864E8</v>
      </c>
      <c r="Q3435" s="36" t="s">
        <v>7541</v>
      </c>
      <c r="R3435" s="6" t="s">
        <v>7542</v>
      </c>
    </row>
    <row r="3436">
      <c r="A3436" s="6" t="s">
        <v>7537</v>
      </c>
      <c r="B3436" s="6" t="s">
        <v>7537</v>
      </c>
      <c r="C3436" s="6">
        <v>1827.0</v>
      </c>
      <c r="D3436" s="9" t="str">
        <f>HYPERLINK("https://www.linkedin.com/ad-library/detail/955777506","Open Ad")</f>
        <v>Open Ad</v>
      </c>
      <c r="E3436" s="6" t="s">
        <v>91</v>
      </c>
      <c r="F3436" s="6" t="s">
        <v>53</v>
      </c>
      <c r="G3436" s="6" t="s">
        <v>7950</v>
      </c>
      <c r="H3436" s="6" t="s">
        <v>55</v>
      </c>
      <c r="I3436" s="6" t="s">
        <v>7566</v>
      </c>
      <c r="J3436" s="6" t="s">
        <v>91</v>
      </c>
      <c r="K3436" s="9" t="str">
        <f>HYPERLINK("https://media.licdn.com/dms/image/v2/D4E22AQFjBlUIfkAfBw/feedshare-shrink_1280/B4EZp0pXtGKsAs-/0/1762893593922?e=2147483647&amp;v=beta&amp;t=qiXfP8dgyXd5dkEFb3xU6Mv5XUA5RmpvXzSlOKHriBw","Open Creative")</f>
        <v>Open Creative</v>
      </c>
      <c r="L3436" s="6" t="s">
        <v>131</v>
      </c>
      <c r="M3436" s="6" t="s">
        <v>7537</v>
      </c>
      <c r="N3436" s="6" t="s">
        <v>132</v>
      </c>
      <c r="O3436" s="36" t="s">
        <v>132</v>
      </c>
      <c r="P3436" s="36">
        <v>9.55777506E8</v>
      </c>
      <c r="Q3436" s="36" t="s">
        <v>7541</v>
      </c>
      <c r="R3436" s="6" t="s">
        <v>7542</v>
      </c>
    </row>
    <row r="3437">
      <c r="A3437" s="6" t="s">
        <v>7537</v>
      </c>
      <c r="B3437" s="6" t="s">
        <v>7537</v>
      </c>
      <c r="C3437" s="6">
        <v>1828.0</v>
      </c>
      <c r="D3437" s="9" t="str">
        <f>HYPERLINK("https://www.linkedin.com/ad-library/detail/954996606","Open Ad")</f>
        <v>Open Ad</v>
      </c>
      <c r="E3437" s="6" t="s">
        <v>91</v>
      </c>
      <c r="F3437" s="6" t="s">
        <v>53</v>
      </c>
      <c r="G3437" s="6" t="s">
        <v>7951</v>
      </c>
      <c r="H3437" s="6" t="s">
        <v>55</v>
      </c>
      <c r="I3437" s="6" t="s">
        <v>7566</v>
      </c>
      <c r="J3437" s="6" t="s">
        <v>91</v>
      </c>
      <c r="K3437" s="9" t="str">
        <f>HYPERLINK("https://media.licdn.com/dms/image/v2/D4E22AQEHt8VYpL5Meg/feedshare-shrink_1280/B4EZpVX45dKkAs-/0/1762368917799?e=2147483647&amp;v=beta&amp;t=oHje3mLIquhOxjLUvAt_bBSV2c6iZ8hSAlZUFUMn3B8","Open Creative")</f>
        <v>Open Creative</v>
      </c>
      <c r="L3437" s="6" t="s">
        <v>131</v>
      </c>
      <c r="M3437" s="6" t="s">
        <v>7537</v>
      </c>
      <c r="N3437" s="6" t="s">
        <v>132</v>
      </c>
      <c r="O3437" s="36" t="s">
        <v>132</v>
      </c>
      <c r="P3437" s="36">
        <v>9.54996606E8</v>
      </c>
      <c r="Q3437" s="36" t="s">
        <v>7541</v>
      </c>
      <c r="R3437" s="6" t="s">
        <v>7542</v>
      </c>
    </row>
    <row r="3438">
      <c r="A3438" s="6" t="s">
        <v>7537</v>
      </c>
      <c r="B3438" s="6" t="s">
        <v>7537</v>
      </c>
      <c r="C3438" s="6">
        <v>1829.0</v>
      </c>
      <c r="D3438" s="9" t="str">
        <f>HYPERLINK("https://www.linkedin.com/ad-library/detail/956379036","Open Ad")</f>
        <v>Open Ad</v>
      </c>
      <c r="E3438" s="6" t="s">
        <v>91</v>
      </c>
      <c r="F3438" s="6" t="s">
        <v>53</v>
      </c>
      <c r="G3438" s="6" t="s">
        <v>7952</v>
      </c>
      <c r="H3438" s="6" t="s">
        <v>55</v>
      </c>
      <c r="I3438" s="6" t="s">
        <v>7566</v>
      </c>
      <c r="J3438" s="6" t="s">
        <v>91</v>
      </c>
      <c r="K3438" s="9" t="str">
        <f>HYPERLINK("https://media.licdn.com/dms/image/v2/D4E22AQFO_kMqumirAw/feedshare-shrink_1280/B4EZmW6bmrIIAs-/0/1759173525412?e=2147483647&amp;v=beta&amp;t=CgStZqkZO3BtWGvFFXdtH22rWgz_4YDm1Cxg9TqOEn8","Open Creative")</f>
        <v>Open Creative</v>
      </c>
      <c r="L3438" s="6" t="s">
        <v>131</v>
      </c>
      <c r="M3438" s="6" t="s">
        <v>7537</v>
      </c>
      <c r="N3438" s="6" t="s">
        <v>132</v>
      </c>
      <c r="O3438" s="36" t="s">
        <v>132</v>
      </c>
      <c r="P3438" s="36">
        <v>9.56379036E8</v>
      </c>
      <c r="Q3438" s="36" t="s">
        <v>7541</v>
      </c>
      <c r="R3438" s="6" t="s">
        <v>7542</v>
      </c>
    </row>
    <row r="3439">
      <c r="A3439" s="6" t="s">
        <v>7537</v>
      </c>
      <c r="B3439" s="6" t="s">
        <v>7537</v>
      </c>
      <c r="C3439" s="6">
        <v>1830.0</v>
      </c>
      <c r="D3439" s="9" t="str">
        <f>HYPERLINK("https://www.linkedin.com/ad-library/detail/953286986","Open Ad")</f>
        <v>Open Ad</v>
      </c>
      <c r="E3439" s="6" t="s">
        <v>154</v>
      </c>
      <c r="F3439" s="6" t="s">
        <v>53</v>
      </c>
      <c r="G3439" s="6" t="s">
        <v>7953</v>
      </c>
      <c r="H3439" s="6" t="s">
        <v>55</v>
      </c>
      <c r="I3439" s="6" t="s">
        <v>7566</v>
      </c>
      <c r="J3439" s="6" t="s">
        <v>154</v>
      </c>
      <c r="K3439" s="9" t="str">
        <f>HYPERLINK("https://dms.licdn.com/playlist/vid/v2/D4E05AQFI0GRpLVeN0w/mp4-640p-30fp-crf28/B4EZpaGbzJGoBw-/0/1762448234920?e=2147483647&amp;v=beta&amp;t=t_LU17pDJ7_SFGBlTRaDec_Its_tVMhxITjwuZmLt-w","Open Creative")</f>
        <v>Open Creative</v>
      </c>
      <c r="L3439" s="6" t="s">
        <v>131</v>
      </c>
      <c r="M3439" s="6" t="s">
        <v>7537</v>
      </c>
      <c r="N3439" s="6" t="s">
        <v>132</v>
      </c>
      <c r="O3439" s="36" t="s">
        <v>132</v>
      </c>
      <c r="P3439" s="36">
        <v>9.53286986E8</v>
      </c>
      <c r="Q3439" s="36" t="s">
        <v>7541</v>
      </c>
      <c r="R3439" s="6" t="s">
        <v>7542</v>
      </c>
    </row>
    <row r="3440">
      <c r="A3440" s="6" t="s">
        <v>7537</v>
      </c>
      <c r="B3440" s="6" t="s">
        <v>7537</v>
      </c>
      <c r="C3440" s="6">
        <v>1831.0</v>
      </c>
      <c r="D3440" s="9" t="str">
        <f>HYPERLINK("https://www.linkedin.com/ad-library/detail/895267054","Open Ad")</f>
        <v>Open Ad</v>
      </c>
      <c r="E3440" s="6" t="s">
        <v>91</v>
      </c>
      <c r="F3440" s="6" t="s">
        <v>53</v>
      </c>
      <c r="G3440" s="6" t="s">
        <v>7954</v>
      </c>
      <c r="H3440" s="6" t="s">
        <v>55</v>
      </c>
      <c r="I3440" s="6" t="s">
        <v>7566</v>
      </c>
      <c r="J3440" s="6" t="s">
        <v>91</v>
      </c>
      <c r="K3440" s="9" t="str">
        <f>HYPERLINK("https://media.licdn.com/dms/image/v2/D4E10AQFOSYLJdVGO-g/image-shrink_1280/B4EZpYTD9LKcAM-/0/1762417994627/CopyofPROFOUNDADSERIES2zip-33png?e=2147483647&amp;v=beta&amp;t=lbP40aIyRb8uSbf0EOOF1-Q_5UGvX9hxS5GB1ZjR3L0","Open Creative")</f>
        <v>Open Creative</v>
      </c>
      <c r="L3440" s="6" t="s">
        <v>131</v>
      </c>
      <c r="M3440" s="6" t="s">
        <v>7537</v>
      </c>
      <c r="N3440" s="6" t="s">
        <v>132</v>
      </c>
      <c r="O3440" s="36" t="s">
        <v>132</v>
      </c>
      <c r="P3440" s="36">
        <v>8.95267054E8</v>
      </c>
      <c r="Q3440" s="36" t="s">
        <v>7541</v>
      </c>
      <c r="R3440" s="6" t="s">
        <v>7542</v>
      </c>
    </row>
    <row r="3441">
      <c r="A3441" s="6" t="s">
        <v>7537</v>
      </c>
      <c r="B3441" s="6" t="s">
        <v>7537</v>
      </c>
      <c r="C3441" s="6">
        <v>1832.0</v>
      </c>
      <c r="D3441" s="9" t="str">
        <f>HYPERLINK("https://www.linkedin.com/ad-library/detail/957090316","Open Ad")</f>
        <v>Open Ad</v>
      </c>
      <c r="E3441" s="6" t="s">
        <v>91</v>
      </c>
      <c r="F3441" s="6" t="s">
        <v>53</v>
      </c>
      <c r="G3441" s="6" t="s">
        <v>7955</v>
      </c>
      <c r="H3441" s="6" t="s">
        <v>55</v>
      </c>
      <c r="I3441" s="6" t="s">
        <v>7566</v>
      </c>
      <c r="J3441" s="6" t="s">
        <v>91</v>
      </c>
      <c r="K3441" s="9" t="str">
        <f>HYPERLINK("https://media.licdn.com/dms/image/v2/D4E22AQHN-K6uPq-dAQ/feedshare-shrink_1280/B4EZoTDS1eIIAs-/0/1761256222868?e=2147483647&amp;v=beta&amp;t=ueETDe2sLOFgltNPPVDsRhu-G1k7i_nU17vvha4ffWY","Open Creative")</f>
        <v>Open Creative</v>
      </c>
      <c r="L3441" s="6" t="s">
        <v>131</v>
      </c>
      <c r="M3441" s="6" t="s">
        <v>7537</v>
      </c>
      <c r="N3441" s="6" t="s">
        <v>132</v>
      </c>
      <c r="O3441" s="36" t="s">
        <v>132</v>
      </c>
      <c r="P3441" s="36">
        <v>9.57090316E8</v>
      </c>
      <c r="Q3441" s="36" t="s">
        <v>7541</v>
      </c>
      <c r="R3441" s="6" t="s">
        <v>7542</v>
      </c>
    </row>
    <row r="3442">
      <c r="A3442" s="6" t="s">
        <v>7537</v>
      </c>
      <c r="B3442" s="6" t="s">
        <v>7537</v>
      </c>
      <c r="C3442" s="6">
        <v>1833.0</v>
      </c>
      <c r="D3442" s="9" t="str">
        <f>HYPERLINK("https://www.linkedin.com/ad-library/detail/952886876","Open Ad")</f>
        <v>Open Ad</v>
      </c>
      <c r="E3442" s="6" t="s">
        <v>154</v>
      </c>
      <c r="F3442" s="6" t="s">
        <v>53</v>
      </c>
      <c r="G3442" s="6" t="s">
        <v>7953</v>
      </c>
      <c r="H3442" s="6" t="s">
        <v>55</v>
      </c>
      <c r="I3442" s="6" t="s">
        <v>7566</v>
      </c>
      <c r="J3442" s="6" t="s">
        <v>154</v>
      </c>
      <c r="K3442" s="9" t="str">
        <f>HYPERLINK("https://dms.licdn.com/playlist/vid/v2/D4E05AQFI0GRpLVeN0w/mp4-640p-30fp-crf28/B4EZpaGbzJGoBw-/0/1762448234920?e=2147483647&amp;v=beta&amp;t=t_LU17pDJ7_SFGBlTRaDec_Its_tVMhxITjwuZmLt-w","Open Creative")</f>
        <v>Open Creative</v>
      </c>
      <c r="L3442" s="6" t="s">
        <v>131</v>
      </c>
      <c r="M3442" s="6" t="s">
        <v>7537</v>
      </c>
      <c r="N3442" s="6" t="s">
        <v>132</v>
      </c>
      <c r="O3442" s="36" t="s">
        <v>132</v>
      </c>
      <c r="P3442" s="36">
        <v>9.52886876E8</v>
      </c>
      <c r="Q3442" s="36" t="s">
        <v>7541</v>
      </c>
      <c r="R3442" s="6" t="s">
        <v>7542</v>
      </c>
    </row>
    <row r="3443">
      <c r="A3443" s="6" t="s">
        <v>7537</v>
      </c>
      <c r="B3443" s="6" t="s">
        <v>7537</v>
      </c>
      <c r="C3443" s="6">
        <v>1834.0</v>
      </c>
      <c r="D3443" s="9" t="str">
        <f>HYPERLINK("https://www.linkedin.com/ad-library/detail/952986846","Open Ad")</f>
        <v>Open Ad</v>
      </c>
      <c r="E3443" s="6" t="s">
        <v>91</v>
      </c>
      <c r="F3443" s="6" t="s">
        <v>53</v>
      </c>
      <c r="G3443" s="6" t="s">
        <v>7956</v>
      </c>
      <c r="H3443" s="6" t="s">
        <v>55</v>
      </c>
      <c r="I3443" s="6" t="s">
        <v>7566</v>
      </c>
      <c r="J3443" s="6" t="s">
        <v>91</v>
      </c>
      <c r="K3443" s="9" t="str">
        <f>HYPERLINK("https://media.licdn.com/dms/image/v2/D5622AQHKfln_JoguBg/feedshare-shrink_1280/B56Zpaf8PzJoAs-/0/1762454917818?e=2147483647&amp;v=beta&amp;t=HKqfeCiq9q8r9e8_wOBM6WJqx7UXOlnY179AbZapMoI","Open Creative")</f>
        <v>Open Creative</v>
      </c>
      <c r="L3443" s="6" t="s">
        <v>131</v>
      </c>
      <c r="M3443" s="6" t="s">
        <v>7537</v>
      </c>
      <c r="N3443" s="6" t="s">
        <v>132</v>
      </c>
      <c r="O3443" s="36" t="s">
        <v>132</v>
      </c>
      <c r="P3443" s="36">
        <v>9.52986846E8</v>
      </c>
      <c r="Q3443" s="36" t="s">
        <v>7541</v>
      </c>
      <c r="R3443" s="6" t="s">
        <v>7542</v>
      </c>
    </row>
    <row r="3444">
      <c r="A3444" s="6" t="s">
        <v>7537</v>
      </c>
      <c r="B3444" s="6" t="s">
        <v>7537</v>
      </c>
      <c r="C3444" s="6">
        <v>1835.0</v>
      </c>
      <c r="D3444" s="9" t="str">
        <f>HYPERLINK("https://www.linkedin.com/ad-library/detail/895433924","Open Ad")</f>
        <v>Open Ad</v>
      </c>
      <c r="E3444" s="6" t="s">
        <v>91</v>
      </c>
      <c r="F3444" s="6" t="s">
        <v>53</v>
      </c>
      <c r="G3444" s="6" t="s">
        <v>7957</v>
      </c>
      <c r="H3444" s="6" t="s">
        <v>55</v>
      </c>
      <c r="I3444" s="6" t="s">
        <v>7566</v>
      </c>
      <c r="J3444" s="6" t="s">
        <v>91</v>
      </c>
      <c r="K3444" s="9" t="str">
        <f>HYPERLINK("https://media.licdn.com/dms/image/v2/D4E10AQGbmDYyyZ741A/image-shrink_1280/B4EZpYTJDSJgAM-/0/1762418011087/CopyofPROFOUNDADSERIES2zip-34png?e=2147483647&amp;v=beta&amp;t=pYW70r8vHvM43GMhEFLkvskaKWJzWYvW75kkb0a3f2Y","Open Creative")</f>
        <v>Open Creative</v>
      </c>
      <c r="L3444" s="6" t="s">
        <v>131</v>
      </c>
      <c r="M3444" s="6" t="s">
        <v>7537</v>
      </c>
      <c r="N3444" s="6" t="s">
        <v>132</v>
      </c>
      <c r="O3444" s="36" t="s">
        <v>132</v>
      </c>
      <c r="P3444" s="36">
        <v>8.95433924E8</v>
      </c>
      <c r="Q3444" s="36" t="s">
        <v>7541</v>
      </c>
      <c r="R3444" s="6" t="s">
        <v>7542</v>
      </c>
    </row>
    <row r="3445">
      <c r="A3445" s="6" t="s">
        <v>7537</v>
      </c>
      <c r="B3445" s="6" t="s">
        <v>7537</v>
      </c>
      <c r="C3445" s="6">
        <v>1836.0</v>
      </c>
      <c r="D3445" s="9" t="str">
        <f>HYPERLINK("https://www.linkedin.com/ad-library/detail/955042796","Open Ad")</f>
        <v>Open Ad</v>
      </c>
      <c r="E3445" s="6" t="s">
        <v>7543</v>
      </c>
      <c r="F3445" s="6" t="s">
        <v>53</v>
      </c>
      <c r="G3445" s="6" t="s">
        <v>7948</v>
      </c>
      <c r="H3445" s="6" t="s">
        <v>55</v>
      </c>
      <c r="I3445" s="6" t="s">
        <v>7566</v>
      </c>
      <c r="J3445" s="6" t="s">
        <v>7546</v>
      </c>
      <c r="K3445" s="6" t="s">
        <v>60</v>
      </c>
      <c r="L3445" s="6" t="s">
        <v>131</v>
      </c>
      <c r="M3445" s="6" t="s">
        <v>7537</v>
      </c>
      <c r="N3445" s="6" t="s">
        <v>132</v>
      </c>
      <c r="O3445" s="36" t="s">
        <v>132</v>
      </c>
      <c r="P3445" s="36">
        <v>9.55042796E8</v>
      </c>
      <c r="Q3445" s="36" t="s">
        <v>7541</v>
      </c>
      <c r="R3445" s="6" t="s">
        <v>7542</v>
      </c>
    </row>
    <row r="3446">
      <c r="A3446" s="6" t="s">
        <v>7537</v>
      </c>
      <c r="B3446" s="6" t="s">
        <v>7537</v>
      </c>
      <c r="C3446" s="6">
        <v>1837.0</v>
      </c>
      <c r="D3446" s="9" t="str">
        <f>HYPERLINK("https://www.linkedin.com/ad-library/detail/958088036","Open Ad")</f>
        <v>Open Ad</v>
      </c>
      <c r="E3446" s="6" t="s">
        <v>91</v>
      </c>
      <c r="F3446" s="6" t="s">
        <v>53</v>
      </c>
      <c r="G3446" s="6" t="s">
        <v>7748</v>
      </c>
      <c r="H3446" s="6" t="s">
        <v>55</v>
      </c>
      <c r="I3446" s="6" t="s">
        <v>7566</v>
      </c>
      <c r="J3446" s="6" t="s">
        <v>91</v>
      </c>
      <c r="K3446" s="9" t="str">
        <f>HYPERLINK("https://media.licdn.com/dms/image/v2/D4E22AQHbFCQCDCGG3g/feedshare-image-high-res/B4EZpOeqO1HgAw-/0/1762253252103?e=2147483647&amp;v=beta&amp;t=Br5vflKeqacS-e7vktti7ZfaCAL9Qm6QJloy5pf7CYw","Open Creative")</f>
        <v>Open Creative</v>
      </c>
      <c r="L3446" s="6" t="s">
        <v>131</v>
      </c>
      <c r="M3446" s="6" t="s">
        <v>7537</v>
      </c>
      <c r="N3446" s="6" t="s">
        <v>132</v>
      </c>
      <c r="O3446" s="36" t="s">
        <v>132</v>
      </c>
      <c r="P3446" s="36">
        <v>9.58088036E8</v>
      </c>
      <c r="Q3446" s="36" t="s">
        <v>7541</v>
      </c>
      <c r="R3446" s="6" t="s">
        <v>7542</v>
      </c>
    </row>
    <row r="3447">
      <c r="A3447" s="6" t="s">
        <v>7537</v>
      </c>
      <c r="B3447" s="6" t="s">
        <v>7537</v>
      </c>
      <c r="C3447" s="6">
        <v>1838.0</v>
      </c>
      <c r="D3447" s="9" t="str">
        <f>HYPERLINK("https://www.linkedin.com/ad-library/detail/946265786","Open Ad")</f>
        <v>Open Ad</v>
      </c>
      <c r="E3447" s="6" t="s">
        <v>7543</v>
      </c>
      <c r="F3447" s="6" t="s">
        <v>53</v>
      </c>
      <c r="G3447" s="6" t="s">
        <v>7958</v>
      </c>
      <c r="H3447" s="6" t="s">
        <v>55</v>
      </c>
      <c r="I3447" s="6" t="s">
        <v>7566</v>
      </c>
      <c r="J3447" s="6" t="s">
        <v>7546</v>
      </c>
      <c r="K3447" s="6" t="s">
        <v>60</v>
      </c>
      <c r="L3447" s="6" t="s">
        <v>131</v>
      </c>
      <c r="M3447" s="6" t="s">
        <v>7537</v>
      </c>
      <c r="N3447" s="6" t="s">
        <v>132</v>
      </c>
      <c r="O3447" s="36" t="s">
        <v>132</v>
      </c>
      <c r="P3447" s="36">
        <v>9.46265786E8</v>
      </c>
      <c r="Q3447" s="36" t="s">
        <v>7541</v>
      </c>
      <c r="R3447" s="6" t="s">
        <v>7542</v>
      </c>
    </row>
    <row r="3448">
      <c r="A3448" s="6" t="s">
        <v>7537</v>
      </c>
      <c r="B3448" s="6" t="s">
        <v>7537</v>
      </c>
      <c r="C3448" s="6">
        <v>1839.0</v>
      </c>
      <c r="D3448" s="9" t="str">
        <f>HYPERLINK("https://www.linkedin.com/ad-library/detail/958284886","Open Ad")</f>
        <v>Open Ad</v>
      </c>
      <c r="E3448" s="6" t="s">
        <v>154</v>
      </c>
      <c r="F3448" s="6" t="s">
        <v>53</v>
      </c>
      <c r="G3448" s="6" t="s">
        <v>7953</v>
      </c>
      <c r="H3448" s="6" t="s">
        <v>55</v>
      </c>
      <c r="I3448" s="6" t="s">
        <v>7566</v>
      </c>
      <c r="J3448" s="6" t="s">
        <v>154</v>
      </c>
      <c r="K3448" s="9" t="str">
        <f>HYPERLINK("https://dms.licdn.com/playlist/vid/v2/D4E05AQFI0GRpLVeN0w/mp4-640p-30fp-crf28/B4EZpaGbzJGoBw-/0/1762448234920?e=2147483647&amp;v=beta&amp;t=t_LU17pDJ7_SFGBlTRaDec_Its_tVMhxITjwuZmLt-w","Open Creative")</f>
        <v>Open Creative</v>
      </c>
      <c r="L3448" s="6" t="s">
        <v>131</v>
      </c>
      <c r="M3448" s="6" t="s">
        <v>7537</v>
      </c>
      <c r="N3448" s="6" t="s">
        <v>132</v>
      </c>
      <c r="O3448" s="36" t="s">
        <v>132</v>
      </c>
      <c r="P3448" s="36">
        <v>9.58284886E8</v>
      </c>
      <c r="Q3448" s="36" t="s">
        <v>7541</v>
      </c>
      <c r="R3448" s="6" t="s">
        <v>7542</v>
      </c>
    </row>
    <row r="3449">
      <c r="A3449" s="6" t="s">
        <v>7537</v>
      </c>
      <c r="B3449" s="6" t="s">
        <v>7537</v>
      </c>
      <c r="C3449" s="6">
        <v>1840.0</v>
      </c>
      <c r="D3449" s="9" t="str">
        <f>HYPERLINK("https://www.linkedin.com/ad-library/detail/954086656","Open Ad")</f>
        <v>Open Ad</v>
      </c>
      <c r="E3449" s="6" t="s">
        <v>91</v>
      </c>
      <c r="F3449" s="6" t="s">
        <v>53</v>
      </c>
      <c r="G3449" s="6" t="s">
        <v>7956</v>
      </c>
      <c r="H3449" s="6" t="s">
        <v>55</v>
      </c>
      <c r="I3449" s="6" t="s">
        <v>7566</v>
      </c>
      <c r="J3449" s="6" t="s">
        <v>91</v>
      </c>
      <c r="K3449" s="9" t="str">
        <f>HYPERLINK("https://media.licdn.com/dms/image/v2/D5622AQHKfln_JoguBg/feedshare-shrink_1280/B56Zpaf8PzJoAs-/0/1762454917818?e=2147483647&amp;v=beta&amp;t=HKqfeCiq9q8r9e8_wOBM6WJqx7UXOlnY179AbZapMoI","Open Creative")</f>
        <v>Open Creative</v>
      </c>
      <c r="L3449" s="6" t="s">
        <v>131</v>
      </c>
      <c r="M3449" s="6" t="s">
        <v>7537</v>
      </c>
      <c r="N3449" s="6" t="s">
        <v>132</v>
      </c>
      <c r="O3449" s="36" t="s">
        <v>132</v>
      </c>
      <c r="P3449" s="36">
        <v>9.54086656E8</v>
      </c>
      <c r="Q3449" s="36" t="s">
        <v>7541</v>
      </c>
      <c r="R3449" s="6" t="s">
        <v>7542</v>
      </c>
    </row>
    <row r="3450">
      <c r="A3450" s="6" t="s">
        <v>7537</v>
      </c>
      <c r="B3450" s="6" t="s">
        <v>7537</v>
      </c>
      <c r="C3450" s="6">
        <v>1841.0</v>
      </c>
      <c r="D3450" s="9" t="str">
        <f>HYPERLINK("https://www.linkedin.com/ad-library/detail/895405144","Open Ad")</f>
        <v>Open Ad</v>
      </c>
      <c r="E3450" s="6" t="s">
        <v>91</v>
      </c>
      <c r="F3450" s="6" t="s">
        <v>53</v>
      </c>
      <c r="G3450" s="6" t="s">
        <v>7959</v>
      </c>
      <c r="H3450" s="6" t="s">
        <v>55</v>
      </c>
      <c r="I3450" s="6" t="s">
        <v>7566</v>
      </c>
      <c r="J3450" s="6" t="s">
        <v>91</v>
      </c>
      <c r="K3450" s="9" t="str">
        <f>HYPERLINK("https://media.licdn.com/dms/image/v2/D4E10AQH1NbvoA_HJpg/image-shrink_1280/B4EZpYS6QVGoAM-/0/1762417951821/CopyofPROFOUNDADSERIES2zip-31png?e=2147483647&amp;v=beta&amp;t=KRe3-BtIb6XK7zedn_mRGl9ServPPhf-a_RnanzqDV8","Open Creative")</f>
        <v>Open Creative</v>
      </c>
      <c r="L3450" s="6" t="s">
        <v>131</v>
      </c>
      <c r="M3450" s="6" t="s">
        <v>7537</v>
      </c>
      <c r="N3450" s="6" t="s">
        <v>132</v>
      </c>
      <c r="O3450" s="36" t="s">
        <v>132</v>
      </c>
      <c r="P3450" s="36">
        <v>8.95405144E8</v>
      </c>
      <c r="Q3450" s="36" t="s">
        <v>7541</v>
      </c>
      <c r="R3450" s="6" t="s">
        <v>7542</v>
      </c>
    </row>
    <row r="3451">
      <c r="A3451" s="6" t="s">
        <v>7537</v>
      </c>
      <c r="B3451" s="6" t="s">
        <v>7537</v>
      </c>
      <c r="C3451" s="6">
        <v>1842.0</v>
      </c>
      <c r="D3451" s="9" t="str">
        <f>HYPERLINK("https://www.linkedin.com/ad-library/detail/957712406","Open Ad")</f>
        <v>Open Ad</v>
      </c>
      <c r="E3451" s="6" t="s">
        <v>91</v>
      </c>
      <c r="F3451" s="6" t="s">
        <v>53</v>
      </c>
      <c r="G3451" s="6" t="s">
        <v>7960</v>
      </c>
      <c r="H3451" s="6" t="s">
        <v>55</v>
      </c>
      <c r="I3451" s="6" t="s">
        <v>7566</v>
      </c>
      <c r="J3451" s="6" t="s">
        <v>91</v>
      </c>
      <c r="K3451" s="9" t="str">
        <f>HYPERLINK("https://media.licdn.com/dms/image/v2/D4E22AQE1-cHMShzcIg/feedshare-shrink_1280/B4EZoIcku6J0As-/0/1761078300183?e=2147483647&amp;v=beta&amp;t=v6qe_4gseca8di_345HzdV-Xq0ZiH-0IHhQ4XukEvK4","Open Creative")</f>
        <v>Open Creative</v>
      </c>
      <c r="L3451" s="6" t="s">
        <v>131</v>
      </c>
      <c r="M3451" s="6" t="s">
        <v>7537</v>
      </c>
      <c r="N3451" s="6" t="s">
        <v>132</v>
      </c>
      <c r="O3451" s="36" t="s">
        <v>132</v>
      </c>
      <c r="P3451" s="36">
        <v>9.57712406E8</v>
      </c>
      <c r="Q3451" s="36" t="s">
        <v>7541</v>
      </c>
      <c r="R3451" s="6" t="s">
        <v>7542</v>
      </c>
    </row>
    <row r="3452">
      <c r="A3452" s="6" t="s">
        <v>7537</v>
      </c>
      <c r="B3452" s="6" t="s">
        <v>7537</v>
      </c>
      <c r="C3452" s="6">
        <v>1843.0</v>
      </c>
      <c r="D3452" s="9" t="str">
        <f>HYPERLINK("https://www.linkedin.com/ad-library/detail/956577256","Open Ad")</f>
        <v>Open Ad</v>
      </c>
      <c r="E3452" s="6" t="s">
        <v>91</v>
      </c>
      <c r="F3452" s="6" t="s">
        <v>53</v>
      </c>
      <c r="G3452" s="6" t="s">
        <v>7961</v>
      </c>
      <c r="H3452" s="6" t="s">
        <v>55</v>
      </c>
      <c r="I3452" s="6" t="s">
        <v>7566</v>
      </c>
      <c r="J3452" s="6" t="s">
        <v>91</v>
      </c>
      <c r="K3452" s="9" t="str">
        <f>HYPERLINK("https://media.licdn.com/dms/image/v2/D4E22AQF2brM9_mbtbw/feedshare-shrink_1280/B4EZoHNGbzHcAs-/0/1761057466594?e=2147483647&amp;v=beta&amp;t=CpMEhfPGSXjRM9qOuXujN_G6IIOizRwVi5HHt-5mIeU","Open Creative")</f>
        <v>Open Creative</v>
      </c>
      <c r="L3452" s="6" t="s">
        <v>131</v>
      </c>
      <c r="M3452" s="6" t="s">
        <v>7537</v>
      </c>
      <c r="N3452" s="6" t="s">
        <v>132</v>
      </c>
      <c r="O3452" s="36" t="s">
        <v>132</v>
      </c>
      <c r="P3452" s="36">
        <v>9.56577256E8</v>
      </c>
      <c r="Q3452" s="36" t="s">
        <v>7541</v>
      </c>
      <c r="R3452" s="6" t="s">
        <v>7542</v>
      </c>
    </row>
    <row r="3453">
      <c r="A3453" s="6" t="s">
        <v>7537</v>
      </c>
      <c r="B3453" s="6" t="s">
        <v>7537</v>
      </c>
      <c r="C3453" s="6">
        <v>1844.0</v>
      </c>
      <c r="D3453" s="9" t="str">
        <f>HYPERLINK("https://www.linkedin.com/ad-library/detail/957177846","Open Ad")</f>
        <v>Open Ad</v>
      </c>
      <c r="E3453" s="6" t="s">
        <v>154</v>
      </c>
      <c r="F3453" s="6" t="s">
        <v>53</v>
      </c>
      <c r="G3453" s="6" t="s">
        <v>7962</v>
      </c>
      <c r="H3453" s="6" t="s">
        <v>55</v>
      </c>
      <c r="I3453" s="6" t="s">
        <v>7566</v>
      </c>
      <c r="J3453" s="6" t="s">
        <v>154</v>
      </c>
      <c r="K3453" s="9" t="str">
        <f>HYPERLINK("https://dms.licdn.com/playlist/vid/v2/D4E05AQHr_mzttrd9ag/mp4-640p-30fp-crf28/B4EZoIG45zJ0Bk-/0/1761072620061?e=2147483647&amp;v=beta&amp;t=sk6CQ0gHOuibtSVTE9taT4L2arNXtFd8ajVMTyy6VcY","Open Creative")</f>
        <v>Open Creative</v>
      </c>
      <c r="L3453" s="6" t="s">
        <v>131</v>
      </c>
      <c r="M3453" s="6" t="s">
        <v>7537</v>
      </c>
      <c r="N3453" s="6" t="s">
        <v>132</v>
      </c>
      <c r="O3453" s="36" t="s">
        <v>132</v>
      </c>
      <c r="P3453" s="36">
        <v>9.57177846E8</v>
      </c>
      <c r="Q3453" s="36" t="s">
        <v>7541</v>
      </c>
      <c r="R3453" s="6" t="s">
        <v>7542</v>
      </c>
    </row>
    <row r="3454">
      <c r="A3454" s="6" t="s">
        <v>7537</v>
      </c>
      <c r="B3454" s="6" t="s">
        <v>7537</v>
      </c>
      <c r="C3454" s="6">
        <v>1845.0</v>
      </c>
      <c r="D3454" s="9" t="str">
        <f>HYPERLINK("https://www.linkedin.com/ad-library/detail/955578746","Open Ad")</f>
        <v>Open Ad</v>
      </c>
      <c r="E3454" s="6" t="s">
        <v>91</v>
      </c>
      <c r="F3454" s="6" t="s">
        <v>53</v>
      </c>
      <c r="G3454" s="6" t="s">
        <v>7963</v>
      </c>
      <c r="H3454" s="6" t="s">
        <v>55</v>
      </c>
      <c r="I3454" s="6" t="s">
        <v>7566</v>
      </c>
      <c r="J3454" s="6" t="s">
        <v>91</v>
      </c>
      <c r="K3454" s="6" t="s">
        <v>60</v>
      </c>
      <c r="L3454" s="6" t="s">
        <v>131</v>
      </c>
      <c r="M3454" s="6" t="s">
        <v>7537</v>
      </c>
      <c r="N3454" s="6" t="s">
        <v>132</v>
      </c>
      <c r="O3454" s="36" t="s">
        <v>132</v>
      </c>
      <c r="P3454" s="36">
        <v>9.55578746E8</v>
      </c>
      <c r="Q3454" s="36" t="s">
        <v>7541</v>
      </c>
      <c r="R3454" s="6" t="s">
        <v>7542</v>
      </c>
    </row>
    <row r="3455">
      <c r="A3455" s="6" t="s">
        <v>7537</v>
      </c>
      <c r="B3455" s="6" t="s">
        <v>7537</v>
      </c>
      <c r="C3455" s="6">
        <v>1846.0</v>
      </c>
      <c r="D3455" s="9" t="str">
        <f>HYPERLINK("https://www.linkedin.com/ad-library/detail/957289646","Open Ad")</f>
        <v>Open Ad</v>
      </c>
      <c r="E3455" s="6" t="s">
        <v>91</v>
      </c>
      <c r="F3455" s="6" t="s">
        <v>53</v>
      </c>
      <c r="G3455" s="6" t="s">
        <v>7964</v>
      </c>
      <c r="H3455" s="6" t="s">
        <v>55</v>
      </c>
      <c r="I3455" s="6" t="s">
        <v>7566</v>
      </c>
      <c r="J3455" s="6" t="s">
        <v>91</v>
      </c>
      <c r="K3455" s="9" t="str">
        <f>HYPERLINK("https://media.licdn.com/dms/image/v2/D4E22AQH5Dx2MezqwGg/feedshare-shrink_1280/B4EZoSwRO8IIAs-/0/1761251235575?e=2147483647&amp;v=beta&amp;t=VxNmjnPik8qVjUTQWKc7mWgF0_GzU0CgDPkP-08x8GU","Open Creative")</f>
        <v>Open Creative</v>
      </c>
      <c r="L3455" s="6" t="s">
        <v>131</v>
      </c>
      <c r="M3455" s="6" t="s">
        <v>7537</v>
      </c>
      <c r="N3455" s="6" t="s">
        <v>132</v>
      </c>
      <c r="O3455" s="36" t="s">
        <v>132</v>
      </c>
      <c r="P3455" s="36">
        <v>9.57289646E8</v>
      </c>
      <c r="Q3455" s="36" t="s">
        <v>7541</v>
      </c>
      <c r="R3455" s="6" t="s">
        <v>7542</v>
      </c>
    </row>
    <row r="3456">
      <c r="A3456" s="6" t="s">
        <v>7537</v>
      </c>
      <c r="B3456" s="6" t="s">
        <v>7537</v>
      </c>
      <c r="C3456" s="6">
        <v>1847.0</v>
      </c>
      <c r="D3456" s="9" t="str">
        <f>HYPERLINK("https://www.linkedin.com/ad-library/detail/958088556","Open Ad")</f>
        <v>Open Ad</v>
      </c>
      <c r="E3456" s="6" t="s">
        <v>154</v>
      </c>
      <c r="F3456" s="6" t="s">
        <v>53</v>
      </c>
      <c r="G3456" s="6" t="s">
        <v>7965</v>
      </c>
      <c r="H3456" s="6" t="s">
        <v>55</v>
      </c>
      <c r="I3456" s="6" t="s">
        <v>7566</v>
      </c>
      <c r="J3456" s="6" t="s">
        <v>154</v>
      </c>
      <c r="K3456" s="9" t="str">
        <f>HYPERLINK("https://dms.licdn.com/playlist/vid/v2/D4E05AQH-lOoPjeuTXg/mp4-640p-30fp-crf28/B4EZoB.yuJGUBg-/0/1760969833826?e=2147483647&amp;v=beta&amp;t=EuynpswcPuEysl_qid-zHtYRmiashAza_VruTNtEYZ8","Open Creative")</f>
        <v>Open Creative</v>
      </c>
      <c r="L3456" s="6" t="s">
        <v>131</v>
      </c>
      <c r="M3456" s="6" t="s">
        <v>7537</v>
      </c>
      <c r="N3456" s="6" t="s">
        <v>132</v>
      </c>
      <c r="O3456" s="36" t="s">
        <v>132</v>
      </c>
      <c r="P3456" s="36">
        <v>9.58088556E8</v>
      </c>
      <c r="Q3456" s="36" t="s">
        <v>7541</v>
      </c>
      <c r="R3456" s="6" t="s">
        <v>7542</v>
      </c>
    </row>
    <row r="3457">
      <c r="A3457" s="6" t="s">
        <v>7537</v>
      </c>
      <c r="B3457" s="6" t="s">
        <v>7537</v>
      </c>
      <c r="C3457" s="6">
        <v>1848.0</v>
      </c>
      <c r="D3457" s="9" t="str">
        <f>HYPERLINK("https://www.linkedin.com/ad-library/detail/945666276","Open Ad")</f>
        <v>Open Ad</v>
      </c>
      <c r="E3457" s="6" t="s">
        <v>7543</v>
      </c>
      <c r="F3457" s="6" t="s">
        <v>53</v>
      </c>
      <c r="G3457" s="6" t="s">
        <v>7966</v>
      </c>
      <c r="H3457" s="6" t="s">
        <v>55</v>
      </c>
      <c r="I3457" s="6" t="s">
        <v>7566</v>
      </c>
      <c r="J3457" s="6" t="s">
        <v>7546</v>
      </c>
      <c r="K3457" s="6" t="s">
        <v>60</v>
      </c>
      <c r="L3457" s="6" t="s">
        <v>131</v>
      </c>
      <c r="M3457" s="6" t="s">
        <v>7537</v>
      </c>
      <c r="N3457" s="6" t="s">
        <v>132</v>
      </c>
      <c r="O3457" s="36" t="s">
        <v>132</v>
      </c>
      <c r="P3457" s="36">
        <v>9.45666276E8</v>
      </c>
      <c r="Q3457" s="36" t="s">
        <v>7541</v>
      </c>
      <c r="R3457" s="6" t="s">
        <v>7542</v>
      </c>
    </row>
    <row r="3458">
      <c r="A3458" s="6" t="s">
        <v>7537</v>
      </c>
      <c r="B3458" s="6" t="s">
        <v>7537</v>
      </c>
      <c r="C3458" s="6">
        <v>1849.0</v>
      </c>
      <c r="D3458" s="9" t="str">
        <f>HYPERLINK("https://www.linkedin.com/ad-library/detail/945752726","Open Ad")</f>
        <v>Open Ad</v>
      </c>
      <c r="E3458" s="6" t="s">
        <v>91</v>
      </c>
      <c r="F3458" s="6" t="s">
        <v>53</v>
      </c>
      <c r="G3458" s="6" t="s">
        <v>7967</v>
      </c>
      <c r="H3458" s="6" t="s">
        <v>55</v>
      </c>
      <c r="I3458" s="6" t="s">
        <v>7566</v>
      </c>
      <c r="J3458" s="6" t="s">
        <v>91</v>
      </c>
      <c r="K3458" s="9" t="str">
        <f>HYPERLINK("https://media.licdn.com/dms/image/v2/D4E22AQHfYMtHQ8vKLg/feedshare-shrink_1280/B4EZpLHsU9IoAw-/0/1762196901082?e=2147483647&amp;v=beta&amp;t=YzBlHffsBiAbE9TkMtTwryMgHA3hiIIaMhvdpOrWA3Y","Open Creative")</f>
        <v>Open Creative</v>
      </c>
      <c r="L3458" s="6" t="s">
        <v>131</v>
      </c>
      <c r="M3458" s="6" t="s">
        <v>7537</v>
      </c>
      <c r="N3458" s="6" t="s">
        <v>132</v>
      </c>
      <c r="O3458" s="36" t="s">
        <v>132</v>
      </c>
      <c r="P3458" s="36">
        <v>9.45752726E8</v>
      </c>
      <c r="Q3458" s="36" t="s">
        <v>7541</v>
      </c>
      <c r="R3458" s="6" t="s">
        <v>7542</v>
      </c>
    </row>
    <row r="3459">
      <c r="A3459" s="6" t="s">
        <v>7537</v>
      </c>
      <c r="B3459" s="6" t="s">
        <v>7537</v>
      </c>
      <c r="C3459" s="6">
        <v>1850.0</v>
      </c>
      <c r="D3459" s="9" t="str">
        <f>HYPERLINK("https://www.linkedin.com/ad-library/detail/945495376","Open Ad")</f>
        <v>Open Ad</v>
      </c>
      <c r="E3459" s="6" t="s">
        <v>154</v>
      </c>
      <c r="F3459" s="6" t="s">
        <v>53</v>
      </c>
      <c r="G3459" s="6" t="s">
        <v>7968</v>
      </c>
      <c r="H3459" s="6" t="s">
        <v>55</v>
      </c>
      <c r="I3459" s="6" t="s">
        <v>7566</v>
      </c>
      <c r="J3459" s="6" t="s">
        <v>154</v>
      </c>
      <c r="K3459" s="9" t="str">
        <f>HYPERLINK("https://dms.licdn.com/playlist/vid/v2/D4E05AQH2bUH3YG0npQ/mp4-640p-30fp-crf28/B4EZoxV.XGHcBs-/0/1761764439194?e=2147483647&amp;v=beta&amp;t=DBK2FkxBxLSfvzT-bkSnNrdo8Hw0A6k_p34axH27VN8","Open Creative")</f>
        <v>Open Creative</v>
      </c>
      <c r="L3459" s="6" t="s">
        <v>131</v>
      </c>
      <c r="M3459" s="6" t="s">
        <v>7537</v>
      </c>
      <c r="N3459" s="6" t="s">
        <v>132</v>
      </c>
      <c r="O3459" s="36" t="s">
        <v>132</v>
      </c>
      <c r="P3459" s="36">
        <v>9.45495376E8</v>
      </c>
      <c r="Q3459" s="36" t="s">
        <v>7541</v>
      </c>
      <c r="R3459" s="6" t="s">
        <v>7542</v>
      </c>
    </row>
    <row r="3460">
      <c r="A3460" s="6" t="s">
        <v>7537</v>
      </c>
      <c r="B3460" s="6" t="s">
        <v>7537</v>
      </c>
      <c r="C3460" s="6">
        <v>1851.0</v>
      </c>
      <c r="D3460" s="9" t="str">
        <f>HYPERLINK("https://www.linkedin.com/ad-library/detail/947056686","Open Ad")</f>
        <v>Open Ad</v>
      </c>
      <c r="E3460" s="6" t="s">
        <v>91</v>
      </c>
      <c r="F3460" s="6" t="s">
        <v>53</v>
      </c>
      <c r="G3460" s="6" t="s">
        <v>7748</v>
      </c>
      <c r="H3460" s="6" t="s">
        <v>55</v>
      </c>
      <c r="I3460" s="6" t="s">
        <v>7566</v>
      </c>
      <c r="J3460" s="6" t="s">
        <v>91</v>
      </c>
      <c r="K3460" s="9" t="str">
        <f>HYPERLINK("https://media.licdn.com/dms/image/v2/D4E22AQHbFCQCDCGG3g/feedshare-image-high-res/B4EZpOeqO1HgAw-/0/1762253252103?e=2147483647&amp;v=beta&amp;t=Br5vflKeqacS-e7vktti7ZfaCAL9Qm6QJloy5pf7CYw","Open Creative")</f>
        <v>Open Creative</v>
      </c>
      <c r="L3460" s="6" t="s">
        <v>131</v>
      </c>
      <c r="M3460" s="6" t="s">
        <v>7537</v>
      </c>
      <c r="N3460" s="6" t="s">
        <v>132</v>
      </c>
      <c r="O3460" s="36" t="s">
        <v>132</v>
      </c>
      <c r="P3460" s="36">
        <v>9.47056686E8</v>
      </c>
      <c r="Q3460" s="36" t="s">
        <v>7541</v>
      </c>
      <c r="R3460" s="6" t="s">
        <v>7542</v>
      </c>
    </row>
    <row r="3461">
      <c r="A3461" s="6" t="s">
        <v>7537</v>
      </c>
      <c r="B3461" s="6" t="s">
        <v>7537</v>
      </c>
      <c r="C3461" s="6">
        <v>1852.0</v>
      </c>
      <c r="D3461" s="9" t="str">
        <f>HYPERLINK("https://www.linkedin.com/ad-library/detail/945694756","Open Ad")</f>
        <v>Open Ad</v>
      </c>
      <c r="E3461" s="6" t="s">
        <v>91</v>
      </c>
      <c r="F3461" s="6" t="s">
        <v>53</v>
      </c>
      <c r="G3461" s="6" t="s">
        <v>7952</v>
      </c>
      <c r="H3461" s="6" t="s">
        <v>55</v>
      </c>
      <c r="I3461" s="6" t="s">
        <v>7566</v>
      </c>
      <c r="J3461" s="6" t="s">
        <v>91</v>
      </c>
      <c r="K3461" s="9" t="str">
        <f>HYPERLINK("https://media.licdn.com/dms/image/v2/D4E22AQFO_kMqumirAw/feedshare-shrink_1280/B4EZmW6bmrIIAs-/0/1759173525412?e=2147483647&amp;v=beta&amp;t=CgStZqkZO3BtWGvFFXdtH22rWgz_4YDm1Cxg9TqOEn8","Open Creative")</f>
        <v>Open Creative</v>
      </c>
      <c r="L3461" s="6" t="s">
        <v>131</v>
      </c>
      <c r="M3461" s="6" t="s">
        <v>7537</v>
      </c>
      <c r="N3461" s="6" t="s">
        <v>132</v>
      </c>
      <c r="O3461" s="36" t="s">
        <v>132</v>
      </c>
      <c r="P3461" s="36">
        <v>9.45694756E8</v>
      </c>
      <c r="Q3461" s="36" t="s">
        <v>7541</v>
      </c>
      <c r="R3461" s="6" t="s">
        <v>7542</v>
      </c>
    </row>
    <row r="3462">
      <c r="A3462" s="6" t="s">
        <v>7537</v>
      </c>
      <c r="B3462" s="6" t="s">
        <v>7537</v>
      </c>
      <c r="C3462" s="6">
        <v>1853.0</v>
      </c>
      <c r="D3462" s="9" t="str">
        <f>HYPERLINK("https://www.linkedin.com/ad-library/detail/946165366","Open Ad")</f>
        <v>Open Ad</v>
      </c>
      <c r="E3462" s="6" t="s">
        <v>7543</v>
      </c>
      <c r="F3462" s="6" t="s">
        <v>53</v>
      </c>
      <c r="G3462" s="6" t="s">
        <v>7966</v>
      </c>
      <c r="H3462" s="6" t="s">
        <v>55</v>
      </c>
      <c r="I3462" s="6" t="s">
        <v>7566</v>
      </c>
      <c r="J3462" s="6" t="s">
        <v>7546</v>
      </c>
      <c r="K3462" s="6" t="s">
        <v>60</v>
      </c>
      <c r="L3462" s="6" t="s">
        <v>131</v>
      </c>
      <c r="M3462" s="6" t="s">
        <v>7537</v>
      </c>
      <c r="N3462" s="6" t="s">
        <v>132</v>
      </c>
      <c r="O3462" s="36" t="s">
        <v>132</v>
      </c>
      <c r="P3462" s="36">
        <v>9.46165366E8</v>
      </c>
      <c r="Q3462" s="36" t="s">
        <v>7541</v>
      </c>
      <c r="R3462" s="6" t="s">
        <v>7542</v>
      </c>
    </row>
    <row r="3463">
      <c r="A3463" s="6" t="s">
        <v>7537</v>
      </c>
      <c r="B3463" s="6" t="s">
        <v>7537</v>
      </c>
      <c r="C3463" s="6">
        <v>1854.0</v>
      </c>
      <c r="D3463" s="9" t="str">
        <f>HYPERLINK("https://www.linkedin.com/ad-library/detail/946786376","Open Ad")</f>
        <v>Open Ad</v>
      </c>
      <c r="E3463" s="6" t="s">
        <v>91</v>
      </c>
      <c r="F3463" s="6" t="s">
        <v>53</v>
      </c>
      <c r="G3463" s="6" t="s">
        <v>7961</v>
      </c>
      <c r="H3463" s="6" t="s">
        <v>55</v>
      </c>
      <c r="I3463" s="6" t="s">
        <v>7566</v>
      </c>
      <c r="J3463" s="6" t="s">
        <v>91</v>
      </c>
      <c r="K3463" s="9" t="str">
        <f>HYPERLINK("https://media.licdn.com/dms/image/v2/D4E22AQF2brM9_mbtbw/feedshare-shrink_1280/B4EZoHNGbzHcAs-/0/1761057466594?e=2147483647&amp;v=beta&amp;t=CpMEhfPGSXjRM9qOuXujN_G6IIOizRwVi5HHt-5mIeU","Open Creative")</f>
        <v>Open Creative</v>
      </c>
      <c r="L3463" s="6" t="s">
        <v>131</v>
      </c>
      <c r="M3463" s="6" t="s">
        <v>7537</v>
      </c>
      <c r="N3463" s="6" t="s">
        <v>132</v>
      </c>
      <c r="O3463" s="36" t="s">
        <v>132</v>
      </c>
      <c r="P3463" s="36">
        <v>9.46786376E8</v>
      </c>
      <c r="Q3463" s="36" t="s">
        <v>7541</v>
      </c>
      <c r="R3463" s="6" t="s">
        <v>7542</v>
      </c>
    </row>
    <row r="3464">
      <c r="A3464" s="6" t="s">
        <v>7537</v>
      </c>
      <c r="B3464" s="6" t="s">
        <v>7537</v>
      </c>
      <c r="C3464" s="6">
        <v>1855.0</v>
      </c>
      <c r="D3464" s="9" t="str">
        <f>HYPERLINK("https://www.linkedin.com/ad-library/detail/945266626","Open Ad")</f>
        <v>Open Ad</v>
      </c>
      <c r="E3464" s="6" t="s">
        <v>7543</v>
      </c>
      <c r="F3464" s="6" t="s">
        <v>53</v>
      </c>
      <c r="G3464" s="6" t="s">
        <v>7958</v>
      </c>
      <c r="H3464" s="6" t="s">
        <v>55</v>
      </c>
      <c r="I3464" s="6" t="s">
        <v>7566</v>
      </c>
      <c r="J3464" s="6" t="s">
        <v>7546</v>
      </c>
      <c r="K3464" s="6" t="s">
        <v>60</v>
      </c>
      <c r="L3464" s="6" t="s">
        <v>131</v>
      </c>
      <c r="M3464" s="6" t="s">
        <v>7537</v>
      </c>
      <c r="N3464" s="6" t="s">
        <v>132</v>
      </c>
      <c r="O3464" s="36" t="s">
        <v>132</v>
      </c>
      <c r="P3464" s="36">
        <v>9.45266626E8</v>
      </c>
      <c r="Q3464" s="36" t="s">
        <v>7541</v>
      </c>
      <c r="R3464" s="6" t="s">
        <v>7542</v>
      </c>
    </row>
    <row r="3465">
      <c r="A3465" s="6" t="s">
        <v>7537</v>
      </c>
      <c r="B3465" s="6" t="s">
        <v>7537</v>
      </c>
      <c r="C3465" s="6">
        <v>1856.0</v>
      </c>
      <c r="D3465" s="9" t="str">
        <f>HYPERLINK("https://www.linkedin.com/ad-library/detail/945395216","Open Ad")</f>
        <v>Open Ad</v>
      </c>
      <c r="E3465" s="6" t="s">
        <v>154</v>
      </c>
      <c r="F3465" s="6" t="s">
        <v>53</v>
      </c>
      <c r="G3465" s="6" t="s">
        <v>7965</v>
      </c>
      <c r="H3465" s="6" t="s">
        <v>55</v>
      </c>
      <c r="I3465" s="6" t="s">
        <v>7566</v>
      </c>
      <c r="J3465" s="6" t="s">
        <v>154</v>
      </c>
      <c r="K3465" s="9" t="str">
        <f>HYPERLINK("https://dms.licdn.com/playlist/vid/v2/D4E05AQH-lOoPjeuTXg/mp4-640p-30fp-crf28/B4EZoB.yuJGUBg-/0/1760969833826?e=2147483647&amp;v=beta&amp;t=EuynpswcPuEysl_qid-zHtYRmiashAza_VruTNtEYZ8","Open Creative")</f>
        <v>Open Creative</v>
      </c>
      <c r="L3465" s="6" t="s">
        <v>131</v>
      </c>
      <c r="M3465" s="6" t="s">
        <v>7537</v>
      </c>
      <c r="N3465" s="6" t="s">
        <v>132</v>
      </c>
      <c r="O3465" s="36" t="s">
        <v>132</v>
      </c>
      <c r="P3465" s="36">
        <v>9.45395216E8</v>
      </c>
      <c r="Q3465" s="36" t="s">
        <v>7541</v>
      </c>
      <c r="R3465" s="6" t="s">
        <v>7542</v>
      </c>
    </row>
    <row r="3466">
      <c r="A3466" s="6" t="s">
        <v>7537</v>
      </c>
      <c r="B3466" s="6" t="s">
        <v>7537</v>
      </c>
      <c r="C3466" s="6">
        <v>1857.0</v>
      </c>
      <c r="D3466" s="9" t="str">
        <f>HYPERLINK("https://www.linkedin.com/ad-library/detail/947185126","Open Ad")</f>
        <v>Open Ad</v>
      </c>
      <c r="E3466" s="6" t="s">
        <v>154</v>
      </c>
      <c r="F3466" s="6" t="s">
        <v>53</v>
      </c>
      <c r="G3466" s="6" t="s">
        <v>7969</v>
      </c>
      <c r="H3466" s="6" t="s">
        <v>55</v>
      </c>
      <c r="I3466" s="6" t="s">
        <v>7566</v>
      </c>
      <c r="J3466" s="6" t="s">
        <v>154</v>
      </c>
      <c r="K3466" s="9" t="str">
        <f>HYPERLINK("https://dms.licdn.com/playlist/vid/v2/D4E05AQH5EBXBJ0kmlg/mp4-640p-30fp-crf28/B4EZn4hGzPIIBg-/0/1760811058754?e=2147483647&amp;v=beta&amp;t=imZHK86HgN3lpi6yW63ahpdSHRaT9yI8VCCvkh14v4c","Open Creative")</f>
        <v>Open Creative</v>
      </c>
      <c r="L3466" s="6" t="s">
        <v>131</v>
      </c>
      <c r="M3466" s="6" t="s">
        <v>7537</v>
      </c>
      <c r="N3466" s="6" t="s">
        <v>132</v>
      </c>
      <c r="O3466" s="36" t="s">
        <v>132</v>
      </c>
      <c r="P3466" s="36">
        <v>9.47185126E8</v>
      </c>
      <c r="Q3466" s="36" t="s">
        <v>7541</v>
      </c>
      <c r="R3466" s="6" t="s">
        <v>7542</v>
      </c>
    </row>
    <row r="3467">
      <c r="A3467" s="6" t="s">
        <v>7537</v>
      </c>
      <c r="B3467" s="6" t="s">
        <v>7537</v>
      </c>
      <c r="C3467" s="6">
        <v>1858.0</v>
      </c>
      <c r="D3467" s="9" t="str">
        <f>HYPERLINK("https://www.linkedin.com/ad-library/detail/946886616","Open Ad")</f>
        <v>Open Ad</v>
      </c>
      <c r="E3467" s="6" t="s">
        <v>91</v>
      </c>
      <c r="F3467" s="6" t="s">
        <v>53</v>
      </c>
      <c r="G3467" s="6" t="s">
        <v>7961</v>
      </c>
      <c r="H3467" s="6" t="s">
        <v>55</v>
      </c>
      <c r="I3467" s="6" t="s">
        <v>7566</v>
      </c>
      <c r="J3467" s="6" t="s">
        <v>91</v>
      </c>
      <c r="K3467" s="9" t="str">
        <f>HYPERLINK("https://media.licdn.com/dms/image/v2/D4E22AQF2brM9_mbtbw/feedshare-shrink_1280/B4EZoHNGbzHcAs-/0/1761057466594?e=2147483647&amp;v=beta&amp;t=CpMEhfPGSXjRM9qOuXujN_G6IIOizRwVi5HHt-5mIeU","Open Creative")</f>
        <v>Open Creative</v>
      </c>
      <c r="L3467" s="6" t="s">
        <v>131</v>
      </c>
      <c r="M3467" s="6" t="s">
        <v>7537</v>
      </c>
      <c r="N3467" s="6" t="s">
        <v>132</v>
      </c>
      <c r="O3467" s="36" t="s">
        <v>132</v>
      </c>
      <c r="P3467" s="36">
        <v>9.46886616E8</v>
      </c>
      <c r="Q3467" s="36" t="s">
        <v>7541</v>
      </c>
      <c r="R3467" s="6" t="s">
        <v>7542</v>
      </c>
    </row>
    <row r="3468">
      <c r="A3468" s="6" t="s">
        <v>7537</v>
      </c>
      <c r="B3468" s="6" t="s">
        <v>7537</v>
      </c>
      <c r="C3468" s="6">
        <v>1859.0</v>
      </c>
      <c r="D3468" s="9" t="str">
        <f>HYPERLINK("https://www.linkedin.com/ad-library/detail/945694776","Open Ad")</f>
        <v>Open Ad</v>
      </c>
      <c r="E3468" s="6" t="s">
        <v>91</v>
      </c>
      <c r="F3468" s="6" t="s">
        <v>53</v>
      </c>
      <c r="G3468" s="6" t="s">
        <v>7963</v>
      </c>
      <c r="H3468" s="6" t="s">
        <v>55</v>
      </c>
      <c r="I3468" s="6" t="s">
        <v>7566</v>
      </c>
      <c r="J3468" s="6" t="s">
        <v>91</v>
      </c>
      <c r="K3468" s="6" t="s">
        <v>60</v>
      </c>
      <c r="L3468" s="6" t="s">
        <v>131</v>
      </c>
      <c r="M3468" s="6" t="s">
        <v>7537</v>
      </c>
      <c r="N3468" s="6" t="s">
        <v>132</v>
      </c>
      <c r="O3468" s="36" t="s">
        <v>132</v>
      </c>
      <c r="P3468" s="36">
        <v>9.45694776E8</v>
      </c>
      <c r="Q3468" s="36" t="s">
        <v>7541</v>
      </c>
      <c r="R3468" s="6" t="s">
        <v>7542</v>
      </c>
    </row>
    <row r="3469">
      <c r="A3469" s="6" t="s">
        <v>7537</v>
      </c>
      <c r="B3469" s="6" t="s">
        <v>7537</v>
      </c>
      <c r="C3469" s="6">
        <v>1860.0</v>
      </c>
      <c r="D3469" s="9" t="str">
        <f>HYPERLINK("https://www.linkedin.com/ad-library/detail/946164756","Open Ad")</f>
        <v>Open Ad</v>
      </c>
      <c r="E3469" s="6" t="s">
        <v>91</v>
      </c>
      <c r="F3469" s="6" t="s">
        <v>53</v>
      </c>
      <c r="G3469" s="6" t="s">
        <v>7748</v>
      </c>
      <c r="H3469" s="6" t="s">
        <v>55</v>
      </c>
      <c r="I3469" s="6" t="s">
        <v>7566</v>
      </c>
      <c r="J3469" s="6" t="s">
        <v>91</v>
      </c>
      <c r="K3469" s="9" t="str">
        <f>HYPERLINK("https://media.licdn.com/dms/image/v2/D4E22AQHbFCQCDCGG3g/feedshare-image-high-res/B4EZpOeqO1HgAw-/0/1762253252103?e=2147483647&amp;v=beta&amp;t=Br5vflKeqacS-e7vktti7ZfaCAL9Qm6QJloy5pf7CYw","Open Creative")</f>
        <v>Open Creative</v>
      </c>
      <c r="L3469" s="6" t="s">
        <v>131</v>
      </c>
      <c r="M3469" s="6" t="s">
        <v>7537</v>
      </c>
      <c r="N3469" s="6" t="s">
        <v>132</v>
      </c>
      <c r="O3469" s="36" t="s">
        <v>132</v>
      </c>
      <c r="P3469" s="36">
        <v>9.46164756E8</v>
      </c>
      <c r="Q3469" s="36" t="s">
        <v>7541</v>
      </c>
      <c r="R3469" s="6" t="s">
        <v>7542</v>
      </c>
    </row>
    <row r="3470">
      <c r="A3470" s="6" t="s">
        <v>7537</v>
      </c>
      <c r="B3470" s="6" t="s">
        <v>7537</v>
      </c>
      <c r="C3470" s="6">
        <v>1861.0</v>
      </c>
      <c r="D3470" s="9" t="str">
        <f>HYPERLINK("https://www.linkedin.com/ad-library/detail/946293846","Open Ad")</f>
        <v>Open Ad</v>
      </c>
      <c r="E3470" s="6" t="s">
        <v>91</v>
      </c>
      <c r="F3470" s="6" t="s">
        <v>53</v>
      </c>
      <c r="G3470" s="6" t="s">
        <v>7970</v>
      </c>
      <c r="H3470" s="6" t="s">
        <v>55</v>
      </c>
      <c r="I3470" s="6" t="s">
        <v>7566</v>
      </c>
      <c r="J3470" s="6" t="s">
        <v>91</v>
      </c>
      <c r="K3470" s="9" t="str">
        <f>HYPERLINK("https://media.licdn.com/dms/image/v2/D4E22AQHC7j3zWNJnCQ/feedshare-shrink_1280/B4EZloCJxnKUAs-/0/1758387019309?e=2147483647&amp;v=beta&amp;t=rx3wTM29qmVx4eWfzcaz7Y9yazcwLQEpvT-E-44D3K4","Open Creative")</f>
        <v>Open Creative</v>
      </c>
      <c r="L3470" s="6" t="s">
        <v>131</v>
      </c>
      <c r="M3470" s="6" t="s">
        <v>7537</v>
      </c>
      <c r="N3470" s="6" t="s">
        <v>132</v>
      </c>
      <c r="O3470" s="36" t="s">
        <v>132</v>
      </c>
      <c r="P3470" s="36">
        <v>9.46293846E8</v>
      </c>
      <c r="Q3470" s="36" t="s">
        <v>7541</v>
      </c>
      <c r="R3470" s="6" t="s">
        <v>7542</v>
      </c>
    </row>
    <row r="3471">
      <c r="A3471" s="6" t="s">
        <v>7537</v>
      </c>
      <c r="B3471" s="6" t="s">
        <v>7537</v>
      </c>
      <c r="C3471" s="6">
        <v>1862.0</v>
      </c>
      <c r="D3471" s="9" t="str">
        <f>HYPERLINK("https://www.linkedin.com/ad-library/detail/945455536","Open Ad")</f>
        <v>Open Ad</v>
      </c>
      <c r="E3471" s="6" t="s">
        <v>91</v>
      </c>
      <c r="F3471" s="6" t="s">
        <v>53</v>
      </c>
      <c r="G3471" s="6" t="s">
        <v>7967</v>
      </c>
      <c r="H3471" s="6" t="s">
        <v>55</v>
      </c>
      <c r="I3471" s="6" t="s">
        <v>7566</v>
      </c>
      <c r="J3471" s="6" t="s">
        <v>91</v>
      </c>
      <c r="K3471" s="9" t="str">
        <f>HYPERLINK("https://media.licdn.com/dms/image/v2/D4E22AQHfYMtHQ8vKLg/feedshare-shrink_1280/B4EZpLHsU9IoAw-/0/1762196901082?e=2147483647&amp;v=beta&amp;t=YzBlHffsBiAbE9TkMtTwryMgHA3hiIIaMhvdpOrWA3Y","Open Creative")</f>
        <v>Open Creative</v>
      </c>
      <c r="L3471" s="6" t="s">
        <v>131</v>
      </c>
      <c r="M3471" s="6" t="s">
        <v>7537</v>
      </c>
      <c r="N3471" s="6" t="s">
        <v>132</v>
      </c>
      <c r="O3471" s="36" t="s">
        <v>132</v>
      </c>
      <c r="P3471" s="36">
        <v>9.45455536E8</v>
      </c>
      <c r="Q3471" s="36" t="s">
        <v>7541</v>
      </c>
      <c r="R3471" s="6" t="s">
        <v>7542</v>
      </c>
    </row>
    <row r="3472">
      <c r="A3472" s="6" t="s">
        <v>7537</v>
      </c>
      <c r="B3472" s="6" t="s">
        <v>7537</v>
      </c>
      <c r="C3472" s="6">
        <v>1863.0</v>
      </c>
      <c r="D3472" s="9" t="str">
        <f>HYPERLINK("https://www.linkedin.com/ad-library/detail/945762856","Open Ad")</f>
        <v>Open Ad</v>
      </c>
      <c r="E3472" s="6" t="s">
        <v>91</v>
      </c>
      <c r="F3472" s="6" t="s">
        <v>53</v>
      </c>
      <c r="G3472" s="6" t="s">
        <v>7748</v>
      </c>
      <c r="H3472" s="6" t="s">
        <v>55</v>
      </c>
      <c r="I3472" s="6" t="s">
        <v>7566</v>
      </c>
      <c r="J3472" s="6" t="s">
        <v>91</v>
      </c>
      <c r="K3472" s="9" t="str">
        <f>HYPERLINK("https://media.licdn.com/dms/image/v2/D4E22AQHbFCQCDCGG3g/feedshare-image-high-res/B4EZpOeqO1HgAw-/0/1762253252103?e=2147483647&amp;v=beta&amp;t=Br5vflKeqacS-e7vktti7ZfaCAL9Qm6QJloy5pf7CYw","Open Creative")</f>
        <v>Open Creative</v>
      </c>
      <c r="L3472" s="6" t="s">
        <v>131</v>
      </c>
      <c r="M3472" s="6" t="s">
        <v>7537</v>
      </c>
      <c r="N3472" s="6" t="s">
        <v>132</v>
      </c>
      <c r="O3472" s="36" t="s">
        <v>132</v>
      </c>
      <c r="P3472" s="36">
        <v>9.45762856E8</v>
      </c>
      <c r="Q3472" s="36" t="s">
        <v>7541</v>
      </c>
      <c r="R3472" s="6" t="s">
        <v>7542</v>
      </c>
    </row>
    <row r="3473">
      <c r="A3473" s="6" t="s">
        <v>7537</v>
      </c>
      <c r="B3473" s="6" t="s">
        <v>7537</v>
      </c>
      <c r="C3473" s="6">
        <v>1864.0</v>
      </c>
      <c r="D3473" s="9" t="str">
        <f>HYPERLINK("https://www.linkedin.com/ad-library/detail/945595836","Open Ad")</f>
        <v>Open Ad</v>
      </c>
      <c r="E3473" s="6" t="s">
        <v>91</v>
      </c>
      <c r="F3473" s="6" t="s">
        <v>53</v>
      </c>
      <c r="G3473" s="6" t="s">
        <v>7963</v>
      </c>
      <c r="H3473" s="6" t="s">
        <v>55</v>
      </c>
      <c r="I3473" s="6" t="s">
        <v>7566</v>
      </c>
      <c r="J3473" s="6" t="s">
        <v>91</v>
      </c>
      <c r="K3473" s="6" t="s">
        <v>60</v>
      </c>
      <c r="L3473" s="6" t="s">
        <v>131</v>
      </c>
      <c r="M3473" s="6" t="s">
        <v>7537</v>
      </c>
      <c r="N3473" s="6" t="s">
        <v>132</v>
      </c>
      <c r="O3473" s="36" t="s">
        <v>132</v>
      </c>
      <c r="P3473" s="36">
        <v>9.45595836E8</v>
      </c>
      <c r="Q3473" s="36" t="s">
        <v>7541</v>
      </c>
      <c r="R3473" s="6" t="s">
        <v>7542</v>
      </c>
    </row>
    <row r="3474">
      <c r="A3474" s="6" t="s">
        <v>7537</v>
      </c>
      <c r="B3474" s="6" t="s">
        <v>7537</v>
      </c>
      <c r="C3474" s="6">
        <v>1865.0</v>
      </c>
      <c r="D3474" s="9" t="str">
        <f>HYPERLINK("https://www.linkedin.com/ad-library/detail/945895236","Open Ad")</f>
        <v>Open Ad</v>
      </c>
      <c r="E3474" s="6" t="s">
        <v>91</v>
      </c>
      <c r="F3474" s="6" t="s">
        <v>53</v>
      </c>
      <c r="G3474" s="6" t="s">
        <v>7971</v>
      </c>
      <c r="H3474" s="6" t="s">
        <v>55</v>
      </c>
      <c r="I3474" s="6" t="s">
        <v>7566</v>
      </c>
      <c r="J3474" s="6" t="s">
        <v>91</v>
      </c>
      <c r="K3474" s="9" t="str">
        <f>HYPERLINK("https://media.licdn.com/dms/image/v2/D4E22AQGsxI6fMWHVtw/feedshare-shrink_1280/B4EZjIyNr0GUAw-/0/1755715263608?e=2147483647&amp;v=beta&amp;t=aYXR97LeIfrucp1eJzNjUcZIiq9aW1kCAQBbojwgL6o","Open Creative")</f>
        <v>Open Creative</v>
      </c>
      <c r="L3474" s="6" t="s">
        <v>131</v>
      </c>
      <c r="M3474" s="6" t="s">
        <v>7537</v>
      </c>
      <c r="N3474" s="6" t="s">
        <v>132</v>
      </c>
      <c r="O3474" s="36" t="s">
        <v>132</v>
      </c>
      <c r="P3474" s="36">
        <v>9.45895236E8</v>
      </c>
      <c r="Q3474" s="36" t="s">
        <v>7541</v>
      </c>
      <c r="R3474" s="6" t="s">
        <v>7542</v>
      </c>
    </row>
    <row r="3475">
      <c r="A3475" s="6" t="s">
        <v>7537</v>
      </c>
      <c r="B3475" s="6" t="s">
        <v>7537</v>
      </c>
      <c r="C3475" s="6">
        <v>1866.0</v>
      </c>
      <c r="D3475" s="9" t="str">
        <f>HYPERLINK("https://www.linkedin.com/ad-library/detail/945355376","Open Ad")</f>
        <v>Open Ad</v>
      </c>
      <c r="E3475" s="6" t="s">
        <v>91</v>
      </c>
      <c r="F3475" s="6" t="s">
        <v>53</v>
      </c>
      <c r="G3475" s="6" t="s">
        <v>7967</v>
      </c>
      <c r="H3475" s="6" t="s">
        <v>55</v>
      </c>
      <c r="I3475" s="6" t="s">
        <v>7566</v>
      </c>
      <c r="J3475" s="6" t="s">
        <v>91</v>
      </c>
      <c r="K3475" s="9" t="str">
        <f>HYPERLINK("https://media.licdn.com/dms/image/v2/D4E22AQHfYMtHQ8vKLg/feedshare-shrink_1280/B4EZpLHsU9IoAw-/0/1762196901082?e=2147483647&amp;v=beta&amp;t=YzBlHffsBiAbE9TkMtTwryMgHA3hiIIaMhvdpOrWA3Y","Open Creative")</f>
        <v>Open Creative</v>
      </c>
      <c r="L3475" s="6" t="s">
        <v>131</v>
      </c>
      <c r="M3475" s="6" t="s">
        <v>7537</v>
      </c>
      <c r="N3475" s="6" t="s">
        <v>132</v>
      </c>
      <c r="O3475" s="36" t="s">
        <v>132</v>
      </c>
      <c r="P3475" s="36">
        <v>9.45355376E8</v>
      </c>
      <c r="Q3475" s="36" t="s">
        <v>7541</v>
      </c>
      <c r="R3475" s="6" t="s">
        <v>7542</v>
      </c>
    </row>
    <row r="3476">
      <c r="A3476" s="6" t="s">
        <v>7537</v>
      </c>
      <c r="B3476" s="6" t="s">
        <v>7537</v>
      </c>
      <c r="C3476" s="6">
        <v>1867.0</v>
      </c>
      <c r="D3476" s="9" t="str">
        <f>HYPERLINK("https://www.linkedin.com/ad-library/detail/946786126","Open Ad")</f>
        <v>Open Ad</v>
      </c>
      <c r="E3476" s="6" t="s">
        <v>154</v>
      </c>
      <c r="F3476" s="6" t="s">
        <v>53</v>
      </c>
      <c r="G3476" s="6" t="s">
        <v>7968</v>
      </c>
      <c r="H3476" s="6" t="s">
        <v>55</v>
      </c>
      <c r="I3476" s="6" t="s">
        <v>7566</v>
      </c>
      <c r="J3476" s="6" t="s">
        <v>154</v>
      </c>
      <c r="K3476" s="9" t="str">
        <f>HYPERLINK("https://dms.licdn.com/playlist/vid/v2/D4E05AQH2bUH3YG0npQ/mp4-640p-30fp-crf28/B4EZoxV.XGHcBs-/0/1761764439194?e=2147483647&amp;v=beta&amp;t=DBK2FkxBxLSfvzT-bkSnNrdo8Hw0A6k_p34axH27VN8","Open Creative")</f>
        <v>Open Creative</v>
      </c>
      <c r="L3476" s="6" t="s">
        <v>131</v>
      </c>
      <c r="M3476" s="6" t="s">
        <v>7537</v>
      </c>
      <c r="N3476" s="6" t="s">
        <v>132</v>
      </c>
      <c r="O3476" s="36" t="s">
        <v>132</v>
      </c>
      <c r="P3476" s="36">
        <v>9.46786126E8</v>
      </c>
      <c r="Q3476" s="36" t="s">
        <v>7541</v>
      </c>
      <c r="R3476" s="6" t="s">
        <v>7542</v>
      </c>
    </row>
    <row r="3477">
      <c r="A3477" s="6" t="s">
        <v>7537</v>
      </c>
      <c r="B3477" s="6" t="s">
        <v>7537</v>
      </c>
      <c r="C3477" s="6">
        <v>1868.0</v>
      </c>
      <c r="D3477" s="9" t="str">
        <f>HYPERLINK("https://www.linkedin.com/ad-library/detail/1155644756","Open Ad")</f>
        <v>Open Ad</v>
      </c>
      <c r="E3477" s="6" t="s">
        <v>91</v>
      </c>
      <c r="F3477" s="6" t="s">
        <v>53</v>
      </c>
      <c r="G3477" s="6" t="s">
        <v>7972</v>
      </c>
      <c r="H3477" s="6" t="s">
        <v>55</v>
      </c>
      <c r="I3477" s="6" t="s">
        <v>7566</v>
      </c>
      <c r="J3477" s="6" t="s">
        <v>91</v>
      </c>
      <c r="K3477" s="9" t="str">
        <f>HYPERLINK("https://static.licdn.com/aero-v1/sc/h/9l8dv1r8a09nem281grvopn9l","Open Creative")</f>
        <v>Open Creative</v>
      </c>
      <c r="L3477" s="6" t="s">
        <v>131</v>
      </c>
      <c r="M3477" s="6" t="s">
        <v>7537</v>
      </c>
      <c r="N3477" s="6" t="s">
        <v>132</v>
      </c>
      <c r="O3477" s="36" t="s">
        <v>132</v>
      </c>
      <c r="P3477" s="36">
        <v>1.155644756E9</v>
      </c>
      <c r="Q3477" s="36" t="s">
        <v>7541</v>
      </c>
      <c r="R3477" s="6" t="s">
        <v>7542</v>
      </c>
    </row>
    <row r="3478">
      <c r="A3478" s="6" t="s">
        <v>7537</v>
      </c>
      <c r="B3478" s="6" t="s">
        <v>7537</v>
      </c>
      <c r="C3478" s="6">
        <v>1869.0</v>
      </c>
      <c r="D3478" s="9" t="str">
        <f>HYPERLINK("https://www.linkedin.com/ad-library/detail/946394246","Open Ad")</f>
        <v>Open Ad</v>
      </c>
      <c r="E3478" s="6" t="s">
        <v>91</v>
      </c>
      <c r="F3478" s="6" t="s">
        <v>53</v>
      </c>
      <c r="G3478" s="6" t="s">
        <v>7960</v>
      </c>
      <c r="H3478" s="6" t="s">
        <v>55</v>
      </c>
      <c r="I3478" s="6" t="s">
        <v>7566</v>
      </c>
      <c r="J3478" s="6" t="s">
        <v>91</v>
      </c>
      <c r="K3478" s="9" t="str">
        <f>HYPERLINK("https://media.licdn.com/dms/image/v2/D4E22AQE1-cHMShzcIg/feedshare-shrink_1280/B4EZoIcku6J0As-/0/1761078300183?e=2147483647&amp;v=beta&amp;t=v6qe_4gseca8di_345HzdV-Xq0ZiH-0IHhQ4XukEvK4","Open Creative")</f>
        <v>Open Creative</v>
      </c>
      <c r="L3478" s="6" t="s">
        <v>131</v>
      </c>
      <c r="M3478" s="6" t="s">
        <v>7537</v>
      </c>
      <c r="N3478" s="6" t="s">
        <v>132</v>
      </c>
      <c r="O3478" s="36" t="s">
        <v>132</v>
      </c>
      <c r="P3478" s="36">
        <v>9.46394246E8</v>
      </c>
      <c r="Q3478" s="36" t="s">
        <v>7541</v>
      </c>
      <c r="R3478" s="6" t="s">
        <v>7542</v>
      </c>
    </row>
    <row r="3479">
      <c r="A3479" s="6" t="s">
        <v>7537</v>
      </c>
      <c r="B3479" s="6" t="s">
        <v>7537</v>
      </c>
      <c r="C3479" s="6">
        <v>1870.0</v>
      </c>
      <c r="D3479" s="9" t="str">
        <f>HYPERLINK("https://www.linkedin.com/ad-library/detail/945595796","Open Ad")</f>
        <v>Open Ad</v>
      </c>
      <c r="E3479" s="6" t="s">
        <v>154</v>
      </c>
      <c r="F3479" s="6" t="s">
        <v>53</v>
      </c>
      <c r="G3479" s="6" t="s">
        <v>7973</v>
      </c>
      <c r="H3479" s="6" t="s">
        <v>55</v>
      </c>
      <c r="I3479" s="6" t="s">
        <v>7566</v>
      </c>
      <c r="J3479" s="6" t="s">
        <v>154</v>
      </c>
      <c r="K3479" s="9" t="str">
        <f>HYPERLINK("https://dms.licdn.com/playlist/vid/v2/D4E05AQE9siAfSuYXCQ/mp4-720p-30fp-crf28/B4EZno0Pq8GUBk-/0/1760547754042?e=2147483647&amp;v=beta&amp;t=k7qYD3GnVR7NZX6JucAQ6ojJymoQ5iaRIl5kldNgWMI","Open Creative")</f>
        <v>Open Creative</v>
      </c>
      <c r="L3479" s="6" t="s">
        <v>131</v>
      </c>
      <c r="M3479" s="6" t="s">
        <v>7537</v>
      </c>
      <c r="N3479" s="6" t="s">
        <v>132</v>
      </c>
      <c r="O3479" s="36" t="s">
        <v>132</v>
      </c>
      <c r="P3479" s="36">
        <v>9.45595796E8</v>
      </c>
      <c r="Q3479" s="36" t="s">
        <v>7541</v>
      </c>
      <c r="R3479" s="6" t="s">
        <v>7542</v>
      </c>
    </row>
    <row r="3480">
      <c r="A3480" s="6" t="s">
        <v>7537</v>
      </c>
      <c r="B3480" s="6" t="s">
        <v>7537</v>
      </c>
      <c r="C3480" s="6">
        <v>1871.0</v>
      </c>
      <c r="D3480" s="9" t="str">
        <f>HYPERLINK("https://www.linkedin.com/ad-library/detail/946201266","Open Ad")</f>
        <v>Open Ad</v>
      </c>
      <c r="E3480" s="6" t="s">
        <v>91</v>
      </c>
      <c r="F3480" s="6" t="s">
        <v>53</v>
      </c>
      <c r="G3480" s="6" t="s">
        <v>7974</v>
      </c>
      <c r="H3480" s="6" t="s">
        <v>55</v>
      </c>
      <c r="I3480" s="6" t="s">
        <v>7566</v>
      </c>
      <c r="J3480" s="6" t="s">
        <v>91</v>
      </c>
      <c r="K3480" s="9" t="str">
        <f>HYPERLINK("https://media.licdn.com/dms/image/v2/D5622AQG24L_-sHYaeQ/feedshare-shrink_1280/B56Zo2FyoPJkAw-/0/1761844081057?e=2147483647&amp;v=beta&amp;t=jIbUbsjS3i0t2SNyuMS9k5zLK2B3LcX58HlivMBJNwg","Open Creative")</f>
        <v>Open Creative</v>
      </c>
      <c r="L3480" s="6" t="s">
        <v>131</v>
      </c>
      <c r="M3480" s="6" t="s">
        <v>7537</v>
      </c>
      <c r="N3480" s="6" t="s">
        <v>132</v>
      </c>
      <c r="O3480" s="36" t="s">
        <v>132</v>
      </c>
      <c r="P3480" s="36">
        <v>9.46201266E8</v>
      </c>
      <c r="Q3480" s="36" t="s">
        <v>7541</v>
      </c>
      <c r="R3480" s="6" t="s">
        <v>7542</v>
      </c>
    </row>
    <row r="3481">
      <c r="A3481" s="6" t="s">
        <v>7537</v>
      </c>
      <c r="B3481" s="6" t="s">
        <v>7537</v>
      </c>
      <c r="C3481" s="6">
        <v>1872.0</v>
      </c>
      <c r="D3481" s="9" t="str">
        <f>HYPERLINK("https://www.linkedin.com/ad-library/detail/946786216","Open Ad")</f>
        <v>Open Ad</v>
      </c>
      <c r="E3481" s="6" t="s">
        <v>91</v>
      </c>
      <c r="F3481" s="6" t="s">
        <v>53</v>
      </c>
      <c r="G3481" s="6" t="s">
        <v>7960</v>
      </c>
      <c r="H3481" s="6" t="s">
        <v>55</v>
      </c>
      <c r="I3481" s="6" t="s">
        <v>7566</v>
      </c>
      <c r="J3481" s="6" t="s">
        <v>91</v>
      </c>
      <c r="K3481" s="9" t="str">
        <f>HYPERLINK("https://media.licdn.com/dms/image/v2/D4E22AQE1-cHMShzcIg/feedshare-shrink_1280/B4EZoIcku6J0As-/0/1761078300183?e=2147483647&amp;v=beta&amp;t=v6qe_4gseca8di_345HzdV-Xq0ZiH-0IHhQ4XukEvK4","Open Creative")</f>
        <v>Open Creative</v>
      </c>
      <c r="L3481" s="6" t="s">
        <v>131</v>
      </c>
      <c r="M3481" s="6" t="s">
        <v>7537</v>
      </c>
      <c r="N3481" s="6" t="s">
        <v>132</v>
      </c>
      <c r="O3481" s="36" t="s">
        <v>132</v>
      </c>
      <c r="P3481" s="36">
        <v>9.46786216E8</v>
      </c>
      <c r="Q3481" s="36" t="s">
        <v>7541</v>
      </c>
      <c r="R3481" s="6" t="s">
        <v>7542</v>
      </c>
    </row>
    <row r="3482">
      <c r="A3482" s="6" t="s">
        <v>7537</v>
      </c>
      <c r="B3482" s="6" t="s">
        <v>7537</v>
      </c>
      <c r="C3482" s="6">
        <v>1873.0</v>
      </c>
      <c r="D3482" s="9" t="str">
        <f>HYPERLINK("https://www.linkedin.com/ad-library/detail/946493356","Open Ad")</f>
        <v>Open Ad</v>
      </c>
      <c r="E3482" s="6" t="s">
        <v>91</v>
      </c>
      <c r="F3482" s="6" t="s">
        <v>53</v>
      </c>
      <c r="G3482" s="6" t="s">
        <v>7963</v>
      </c>
      <c r="H3482" s="6" t="s">
        <v>55</v>
      </c>
      <c r="I3482" s="6" t="s">
        <v>7566</v>
      </c>
      <c r="J3482" s="6" t="s">
        <v>91</v>
      </c>
      <c r="K3482" s="6" t="s">
        <v>60</v>
      </c>
      <c r="L3482" s="6" t="s">
        <v>131</v>
      </c>
      <c r="M3482" s="6" t="s">
        <v>7537</v>
      </c>
      <c r="N3482" s="6" t="s">
        <v>132</v>
      </c>
      <c r="O3482" s="36" t="s">
        <v>132</v>
      </c>
      <c r="P3482" s="36">
        <v>9.46493356E8</v>
      </c>
      <c r="Q3482" s="36" t="s">
        <v>7541</v>
      </c>
      <c r="R3482" s="6" t="s">
        <v>7542</v>
      </c>
    </row>
    <row r="3483">
      <c r="A3483" s="6" t="s">
        <v>7537</v>
      </c>
      <c r="B3483" s="6" t="s">
        <v>7537</v>
      </c>
      <c r="C3483" s="6">
        <v>1874.0</v>
      </c>
      <c r="D3483" s="9" t="str">
        <f>HYPERLINK("https://www.linkedin.com/ad-library/detail/930343836","Open Ad")</f>
        <v>Open Ad</v>
      </c>
      <c r="E3483" s="6" t="s">
        <v>91</v>
      </c>
      <c r="F3483" s="6" t="s">
        <v>53</v>
      </c>
      <c r="G3483" s="6" t="s">
        <v>7960</v>
      </c>
      <c r="H3483" s="6" t="s">
        <v>55</v>
      </c>
      <c r="I3483" s="6" t="s">
        <v>7566</v>
      </c>
      <c r="J3483" s="6" t="s">
        <v>91</v>
      </c>
      <c r="K3483" s="9" t="str">
        <f>HYPERLINK("https://media.licdn.com/dms/image/v2/D4E22AQE1-cHMShzcIg/feedshare-shrink_1280/B4EZoIcku6J0As-/0/1761078300183?e=2147483647&amp;v=beta&amp;t=v6qe_4gseca8di_345HzdV-Xq0ZiH-0IHhQ4XukEvK4","Open Creative")</f>
        <v>Open Creative</v>
      </c>
      <c r="L3483" s="6" t="s">
        <v>131</v>
      </c>
      <c r="M3483" s="6" t="s">
        <v>7537</v>
      </c>
      <c r="N3483" s="6" t="s">
        <v>132</v>
      </c>
      <c r="O3483" s="36" t="s">
        <v>132</v>
      </c>
      <c r="P3483" s="36">
        <v>9.30343836E8</v>
      </c>
      <c r="Q3483" s="36" t="s">
        <v>7541</v>
      </c>
      <c r="R3483" s="6" t="s">
        <v>7542</v>
      </c>
    </row>
    <row r="3484">
      <c r="A3484" s="6" t="s">
        <v>7537</v>
      </c>
      <c r="B3484" s="6" t="s">
        <v>7537</v>
      </c>
      <c r="C3484" s="6">
        <v>1875.0</v>
      </c>
      <c r="D3484" s="9" t="str">
        <f>HYPERLINK("https://www.linkedin.com/ad-library/detail/938567266","Open Ad")</f>
        <v>Open Ad</v>
      </c>
      <c r="E3484" s="6" t="s">
        <v>91</v>
      </c>
      <c r="F3484" s="6" t="s">
        <v>53</v>
      </c>
      <c r="G3484" s="6" t="s">
        <v>7975</v>
      </c>
      <c r="H3484" s="6" t="s">
        <v>55</v>
      </c>
      <c r="I3484" s="6" t="s">
        <v>7566</v>
      </c>
      <c r="J3484" s="6" t="s">
        <v>91</v>
      </c>
      <c r="K3484" s="9" t="str">
        <f>HYPERLINK("https://media.licdn.com/dms/image/v2/D5610AQHi0jwivwcxLQ/image-shrink_1280/B56ZorXosQJsAM-/0/1761664208477/linkedin_ads_1png?e=2147483647&amp;v=beta&amp;t=3Cb44pIqdpm3vUurEJvOFAvme2XFHoIhHIXNLEFBG-M","Open Creative")</f>
        <v>Open Creative</v>
      </c>
      <c r="L3484" s="6" t="s">
        <v>131</v>
      </c>
      <c r="M3484" s="6" t="s">
        <v>7537</v>
      </c>
      <c r="N3484" s="6" t="s">
        <v>132</v>
      </c>
      <c r="O3484" s="36" t="s">
        <v>132</v>
      </c>
      <c r="P3484" s="36">
        <v>9.38567266E8</v>
      </c>
      <c r="Q3484" s="36" t="s">
        <v>7541</v>
      </c>
      <c r="R3484" s="6" t="s">
        <v>7542</v>
      </c>
    </row>
    <row r="3485">
      <c r="A3485" s="6" t="s">
        <v>7537</v>
      </c>
      <c r="B3485" s="6" t="s">
        <v>7537</v>
      </c>
      <c r="C3485" s="6">
        <v>1876.0</v>
      </c>
      <c r="D3485" s="9" t="str">
        <f>HYPERLINK("https://www.linkedin.com/ad-library/detail/928464566","Open Ad")</f>
        <v>Open Ad</v>
      </c>
      <c r="E3485" s="6" t="s">
        <v>91</v>
      </c>
      <c r="F3485" s="6" t="s">
        <v>53</v>
      </c>
      <c r="G3485" s="6" t="s">
        <v>7975</v>
      </c>
      <c r="H3485" s="6" t="s">
        <v>55</v>
      </c>
      <c r="I3485" s="6" t="s">
        <v>7566</v>
      </c>
      <c r="J3485" s="6" t="s">
        <v>91</v>
      </c>
      <c r="K3485" s="9" t="str">
        <f>HYPERLINK("https://media.licdn.com/dms/image/v2/D5610AQGBX4VrjOoWyA/image-shrink_800/B56ZoItz_iIYAc-/0/1761082819260/unnamed7png?e=2147483647&amp;v=beta&amp;t=PjYtZSvAdx-1yxB4Dnd-BqM9eOh09GE-xELn2nGDko8","Open Creative")</f>
        <v>Open Creative</v>
      </c>
      <c r="L3485" s="6" t="s">
        <v>131</v>
      </c>
      <c r="M3485" s="6" t="s">
        <v>7537</v>
      </c>
      <c r="N3485" s="6" t="s">
        <v>132</v>
      </c>
      <c r="O3485" s="36" t="s">
        <v>132</v>
      </c>
      <c r="P3485" s="36">
        <v>9.28464566E8</v>
      </c>
      <c r="Q3485" s="36" t="s">
        <v>7541</v>
      </c>
      <c r="R3485" s="6" t="s">
        <v>7542</v>
      </c>
    </row>
    <row r="3486">
      <c r="A3486" s="6" t="s">
        <v>7537</v>
      </c>
      <c r="B3486" s="6" t="s">
        <v>7537</v>
      </c>
      <c r="C3486" s="6">
        <v>1877.0</v>
      </c>
      <c r="D3486" s="9" t="str">
        <f>HYPERLINK("https://www.linkedin.com/ad-library/detail/930284956","Open Ad")</f>
        <v>Open Ad</v>
      </c>
      <c r="E3486" s="6" t="s">
        <v>91</v>
      </c>
      <c r="F3486" s="6" t="s">
        <v>53</v>
      </c>
      <c r="G3486" s="6" t="s">
        <v>7960</v>
      </c>
      <c r="H3486" s="6" t="s">
        <v>55</v>
      </c>
      <c r="I3486" s="6" t="s">
        <v>7566</v>
      </c>
      <c r="J3486" s="6" t="s">
        <v>91</v>
      </c>
      <c r="K3486" s="9" t="str">
        <f>HYPERLINK("https://media.licdn.com/dms/image/v2/D4E22AQE1-cHMShzcIg/feedshare-shrink_1280/B4EZoIcku6J0As-/0/1761078300183?e=2147483647&amp;v=beta&amp;t=v6qe_4gseca8di_345HzdV-Xq0ZiH-0IHhQ4XukEvK4","Open Creative")</f>
        <v>Open Creative</v>
      </c>
      <c r="L3486" s="6" t="s">
        <v>131</v>
      </c>
      <c r="M3486" s="6" t="s">
        <v>7537</v>
      </c>
      <c r="N3486" s="6" t="s">
        <v>132</v>
      </c>
      <c r="O3486" s="36" t="s">
        <v>132</v>
      </c>
      <c r="P3486" s="36">
        <v>9.30284956E8</v>
      </c>
      <c r="Q3486" s="36" t="s">
        <v>7541</v>
      </c>
      <c r="R3486" s="6" t="s">
        <v>7542</v>
      </c>
    </row>
    <row r="3487">
      <c r="A3487" s="6" t="s">
        <v>7537</v>
      </c>
      <c r="B3487" s="6" t="s">
        <v>7537</v>
      </c>
      <c r="C3487" s="6">
        <v>1878.0</v>
      </c>
      <c r="D3487" s="9" t="str">
        <f>HYPERLINK("https://www.linkedin.com/ad-library/detail/928626096","Open Ad")</f>
        <v>Open Ad</v>
      </c>
      <c r="E3487" s="6" t="s">
        <v>91</v>
      </c>
      <c r="F3487" s="6" t="s">
        <v>53</v>
      </c>
      <c r="G3487" s="6" t="s">
        <v>7975</v>
      </c>
      <c r="H3487" s="6" t="s">
        <v>55</v>
      </c>
      <c r="I3487" s="6" t="s">
        <v>7566</v>
      </c>
      <c r="J3487" s="6" t="s">
        <v>91</v>
      </c>
      <c r="K3487" s="9" t="str">
        <f>HYPERLINK("https://media.licdn.com/dms/image/v2/D5610AQGBX4VrjOoWyA/image-shrink_800/B56ZoItz_iIYAc-/0/1761082819260/unnamed7png?e=2147483647&amp;v=beta&amp;t=PjYtZSvAdx-1yxB4Dnd-BqM9eOh09GE-xELn2nGDko8","Open Creative")</f>
        <v>Open Creative</v>
      </c>
      <c r="L3487" s="6" t="s">
        <v>131</v>
      </c>
      <c r="M3487" s="6" t="s">
        <v>7537</v>
      </c>
      <c r="N3487" s="6" t="s">
        <v>132</v>
      </c>
      <c r="O3487" s="36" t="s">
        <v>132</v>
      </c>
      <c r="P3487" s="36">
        <v>9.28626096E8</v>
      </c>
      <c r="Q3487" s="36" t="s">
        <v>7541</v>
      </c>
      <c r="R3487" s="6" t="s">
        <v>7542</v>
      </c>
    </row>
    <row r="3488">
      <c r="A3488" s="6" t="s">
        <v>7537</v>
      </c>
      <c r="B3488" s="6" t="s">
        <v>7537</v>
      </c>
      <c r="C3488" s="6">
        <v>1879.0</v>
      </c>
      <c r="D3488" s="9" t="str">
        <f>HYPERLINK("https://www.linkedin.com/ad-library/detail/928654116","Open Ad")</f>
        <v>Open Ad</v>
      </c>
      <c r="E3488" s="6" t="s">
        <v>91</v>
      </c>
      <c r="F3488" s="6" t="s">
        <v>53</v>
      </c>
      <c r="G3488" s="6" t="s">
        <v>7976</v>
      </c>
      <c r="H3488" s="6" t="s">
        <v>55</v>
      </c>
      <c r="I3488" s="6" t="s">
        <v>7566</v>
      </c>
      <c r="J3488" s="6" t="s">
        <v>91</v>
      </c>
      <c r="K3488" s="9" t="str">
        <f>HYPERLINK("https://media.licdn.com/dms/image/v2/D5610AQEhV__8rG6BBw/image-shrink_800/B56ZoIwRIzIYAc-/0/1761083462837/unnamed10png?e=2147483647&amp;v=beta&amp;t=kC1lmd7pPrjg-1vW4gjTkO4CB-jPO_egaFO4ixPaCTQ","Open Creative")</f>
        <v>Open Creative</v>
      </c>
      <c r="L3488" s="6" t="s">
        <v>131</v>
      </c>
      <c r="M3488" s="6" t="s">
        <v>7537</v>
      </c>
      <c r="N3488" s="6" t="s">
        <v>132</v>
      </c>
      <c r="O3488" s="36" t="s">
        <v>132</v>
      </c>
      <c r="P3488" s="36">
        <v>9.28654116E8</v>
      </c>
      <c r="Q3488" s="36" t="s">
        <v>7541</v>
      </c>
      <c r="R3488" s="6" t="s">
        <v>7542</v>
      </c>
    </row>
    <row r="3489">
      <c r="A3489" s="6" t="s">
        <v>7537</v>
      </c>
      <c r="B3489" s="6" t="s">
        <v>7537</v>
      </c>
      <c r="C3489" s="6">
        <v>1880.0</v>
      </c>
      <c r="D3489" s="9" t="str">
        <f>HYPERLINK("https://www.linkedin.com/ad-library/detail/928554306","Open Ad")</f>
        <v>Open Ad</v>
      </c>
      <c r="E3489" s="6" t="s">
        <v>91</v>
      </c>
      <c r="F3489" s="6" t="s">
        <v>53</v>
      </c>
      <c r="G3489" s="6" t="s">
        <v>7977</v>
      </c>
      <c r="H3489" s="6" t="s">
        <v>55</v>
      </c>
      <c r="I3489" s="6" t="s">
        <v>7566</v>
      </c>
      <c r="J3489" s="6" t="s">
        <v>91</v>
      </c>
      <c r="K3489" s="9" t="str">
        <f>HYPERLINK("https://media.licdn.com/dms/image/v2/D5610AQGqp9Kpgiv5VQ/image-shrink_800/B56ZoIv_GiKIAc-/0/1761083389056/unnamed9png?e=2147483647&amp;v=beta&amp;t=80fcVOhP6QmWT07PtbT9ADgTQhvexFZfzTIvG5DR1ik","Open Creative")</f>
        <v>Open Creative</v>
      </c>
      <c r="L3489" s="6" t="s">
        <v>131</v>
      </c>
      <c r="M3489" s="6" t="s">
        <v>7537</v>
      </c>
      <c r="N3489" s="6" t="s">
        <v>132</v>
      </c>
      <c r="O3489" s="36" t="s">
        <v>132</v>
      </c>
      <c r="P3489" s="36">
        <v>9.28554306E8</v>
      </c>
      <c r="Q3489" s="36" t="s">
        <v>7541</v>
      </c>
      <c r="R3489" s="6" t="s">
        <v>7542</v>
      </c>
    </row>
    <row r="3490">
      <c r="A3490" s="6" t="s">
        <v>7537</v>
      </c>
      <c r="B3490" s="6" t="s">
        <v>7537</v>
      </c>
      <c r="C3490" s="6">
        <v>1881.0</v>
      </c>
      <c r="D3490" s="9" t="str">
        <f>HYPERLINK("https://www.linkedin.com/ad-library/detail/928675676","Open Ad")</f>
        <v>Open Ad</v>
      </c>
      <c r="E3490" s="6" t="s">
        <v>91</v>
      </c>
      <c r="F3490" s="6" t="s">
        <v>53</v>
      </c>
      <c r="G3490" s="6" t="s">
        <v>7976</v>
      </c>
      <c r="H3490" s="6" t="s">
        <v>55</v>
      </c>
      <c r="I3490" s="6" t="s">
        <v>7566</v>
      </c>
      <c r="J3490" s="6" t="s">
        <v>91</v>
      </c>
      <c r="K3490" s="9" t="str">
        <f>HYPERLINK("https://media.licdn.com/dms/image/v2/D5610AQEhV__8rG6BBw/image-shrink_800/B56ZoIwRIzIYAc-/0/1761083462837/unnamed10png?e=2147483647&amp;v=beta&amp;t=kC1lmd7pPrjg-1vW4gjTkO4CB-jPO_egaFO4ixPaCTQ","Open Creative")</f>
        <v>Open Creative</v>
      </c>
      <c r="L3490" s="6" t="s">
        <v>131</v>
      </c>
      <c r="M3490" s="6" t="s">
        <v>7537</v>
      </c>
      <c r="N3490" s="6" t="s">
        <v>132</v>
      </c>
      <c r="O3490" s="36" t="s">
        <v>132</v>
      </c>
      <c r="P3490" s="36">
        <v>9.28675676E8</v>
      </c>
      <c r="Q3490" s="36" t="s">
        <v>7541</v>
      </c>
      <c r="R3490" s="6" t="s">
        <v>7542</v>
      </c>
    </row>
    <row r="3491">
      <c r="A3491" s="6" t="s">
        <v>7537</v>
      </c>
      <c r="B3491" s="6" t="s">
        <v>7537</v>
      </c>
      <c r="C3491" s="6">
        <v>1882.0</v>
      </c>
      <c r="D3491" s="9" t="str">
        <f>HYPERLINK("https://www.linkedin.com/ad-library/detail/939131456","Open Ad")</f>
        <v>Open Ad</v>
      </c>
      <c r="E3491" s="6" t="s">
        <v>91</v>
      </c>
      <c r="F3491" s="6" t="s">
        <v>53</v>
      </c>
      <c r="G3491" s="6" t="s">
        <v>7978</v>
      </c>
      <c r="H3491" s="6" t="s">
        <v>55</v>
      </c>
      <c r="I3491" s="6" t="s">
        <v>7566</v>
      </c>
      <c r="J3491" s="6" t="s">
        <v>91</v>
      </c>
      <c r="K3491" s="9" t="str">
        <f>HYPERLINK("https://media.licdn.com/dms/image/v2/D4E22AQGGp6BqA_Rn_w/feedshare-shrink_1280/B4EZne1Am1KYAw-/0/1760380062765?e=2147483647&amp;v=beta&amp;t=jQyeFiZRmukTHZGwrxJm-oH0xe2q87PjyAZ9OQ2Bib0","Open Creative")</f>
        <v>Open Creative</v>
      </c>
      <c r="L3491" s="6" t="s">
        <v>131</v>
      </c>
      <c r="M3491" s="6" t="s">
        <v>7537</v>
      </c>
      <c r="N3491" s="6" t="s">
        <v>132</v>
      </c>
      <c r="O3491" s="36" t="s">
        <v>132</v>
      </c>
      <c r="P3491" s="36">
        <v>9.39131456E8</v>
      </c>
      <c r="Q3491" s="36" t="s">
        <v>7541</v>
      </c>
      <c r="R3491" s="6" t="s">
        <v>7542</v>
      </c>
    </row>
    <row r="3492">
      <c r="A3492" s="6" t="s">
        <v>7537</v>
      </c>
      <c r="B3492" s="6" t="s">
        <v>7537</v>
      </c>
      <c r="C3492" s="6">
        <v>1883.0</v>
      </c>
      <c r="D3492" s="9" t="str">
        <f>HYPERLINK("https://www.linkedin.com/ad-library/detail/946886536","Open Ad")</f>
        <v>Open Ad</v>
      </c>
      <c r="E3492" s="6" t="s">
        <v>154</v>
      </c>
      <c r="F3492" s="6" t="s">
        <v>53</v>
      </c>
      <c r="G3492" s="6" t="s">
        <v>7965</v>
      </c>
      <c r="H3492" s="6" t="s">
        <v>55</v>
      </c>
      <c r="I3492" s="6" t="s">
        <v>7566</v>
      </c>
      <c r="J3492" s="6" t="s">
        <v>154</v>
      </c>
      <c r="K3492" s="9" t="str">
        <f>HYPERLINK("https://dms.licdn.com/playlist/vid/v2/D4E05AQH-lOoPjeuTXg/mp4-640p-30fp-crf28/B4EZoB.yuJGUBg-/0/1760969833826?e=2147483647&amp;v=beta&amp;t=EuynpswcPuEysl_qid-zHtYRmiashAza_VruTNtEYZ8","Open Creative")</f>
        <v>Open Creative</v>
      </c>
      <c r="L3492" s="6" t="s">
        <v>131</v>
      </c>
      <c r="M3492" s="6" t="s">
        <v>7537</v>
      </c>
      <c r="N3492" s="6" t="s">
        <v>132</v>
      </c>
      <c r="O3492" s="36" t="s">
        <v>132</v>
      </c>
      <c r="P3492" s="36">
        <v>9.46886536E8</v>
      </c>
      <c r="Q3492" s="36" t="s">
        <v>7541</v>
      </c>
      <c r="R3492" s="6" t="s">
        <v>7542</v>
      </c>
    </row>
    <row r="3493">
      <c r="A3493" s="6" t="s">
        <v>7537</v>
      </c>
      <c r="B3493" s="6" t="s">
        <v>7537</v>
      </c>
      <c r="C3493" s="6">
        <v>1884.0</v>
      </c>
      <c r="D3493" s="9" t="str">
        <f>HYPERLINK("https://www.linkedin.com/ad-library/detail/1155427536","Open Ad")</f>
        <v>Open Ad</v>
      </c>
      <c r="E3493" s="6" t="s">
        <v>91</v>
      </c>
      <c r="F3493" s="6" t="s">
        <v>53</v>
      </c>
      <c r="G3493" s="6" t="s">
        <v>7979</v>
      </c>
      <c r="H3493" s="6" t="s">
        <v>55</v>
      </c>
      <c r="I3493" s="6" t="s">
        <v>7566</v>
      </c>
      <c r="J3493" s="6" t="s">
        <v>91</v>
      </c>
      <c r="K3493" s="9" t="str">
        <f>HYPERLINK("https://media.licdn.com/dms/image/v2/D5610AQHXXoy-hpag3g/image-shrink_1280/B56ZorXKYwHIAM-/0/1761664084262/linkedin_ads_3png?e=2147483647&amp;v=beta&amp;t=b1FLazEwb4Opy_WY46igHFqOwdcTZNYX7gYm9X9nj4U","Open Creative")</f>
        <v>Open Creative</v>
      </c>
      <c r="L3493" s="6" t="s">
        <v>131</v>
      </c>
      <c r="M3493" s="6" t="s">
        <v>7537</v>
      </c>
      <c r="N3493" s="6" t="s">
        <v>132</v>
      </c>
      <c r="O3493" s="36" t="s">
        <v>132</v>
      </c>
      <c r="P3493" s="36">
        <v>1.155427536E9</v>
      </c>
      <c r="Q3493" s="36" t="s">
        <v>7541</v>
      </c>
      <c r="R3493" s="6" t="s">
        <v>7542</v>
      </c>
    </row>
    <row r="3494">
      <c r="A3494" s="6" t="s">
        <v>7537</v>
      </c>
      <c r="B3494" s="6" t="s">
        <v>7537</v>
      </c>
      <c r="C3494" s="6">
        <v>1885.0</v>
      </c>
      <c r="D3494" s="9" t="str">
        <f>HYPERLINK("https://www.linkedin.com/ad-library/detail/930245186","Open Ad")</f>
        <v>Open Ad</v>
      </c>
      <c r="E3494" s="6" t="s">
        <v>91</v>
      </c>
      <c r="F3494" s="6" t="s">
        <v>53</v>
      </c>
      <c r="G3494" s="6" t="s">
        <v>7960</v>
      </c>
      <c r="H3494" s="6" t="s">
        <v>55</v>
      </c>
      <c r="I3494" s="6" t="s">
        <v>7566</v>
      </c>
      <c r="J3494" s="6" t="s">
        <v>91</v>
      </c>
      <c r="K3494" s="9" t="str">
        <f>HYPERLINK("https://media.licdn.com/dms/image/v2/D4E22AQE1-cHMShzcIg/feedshare-shrink_1280/B4EZoIcku6J0As-/0/1761078300183?e=2147483647&amp;v=beta&amp;t=v6qe_4gseca8di_345HzdV-Xq0ZiH-0IHhQ4XukEvK4","Open Creative")</f>
        <v>Open Creative</v>
      </c>
      <c r="L3494" s="6" t="s">
        <v>131</v>
      </c>
      <c r="M3494" s="6" t="s">
        <v>7537</v>
      </c>
      <c r="N3494" s="6" t="s">
        <v>132</v>
      </c>
      <c r="O3494" s="36" t="s">
        <v>132</v>
      </c>
      <c r="P3494" s="36">
        <v>9.30245186E8</v>
      </c>
      <c r="Q3494" s="36" t="s">
        <v>7541</v>
      </c>
      <c r="R3494" s="6" t="s">
        <v>7542</v>
      </c>
    </row>
    <row r="3495">
      <c r="A3495" s="6" t="s">
        <v>7537</v>
      </c>
      <c r="B3495" s="6" t="s">
        <v>7537</v>
      </c>
      <c r="C3495" s="6">
        <v>1886.0</v>
      </c>
      <c r="D3495" s="9" t="str">
        <f>HYPERLINK("https://www.linkedin.com/ad-library/detail/928633936","Open Ad")</f>
        <v>Open Ad</v>
      </c>
      <c r="E3495" s="6" t="s">
        <v>91</v>
      </c>
      <c r="F3495" s="6" t="s">
        <v>53</v>
      </c>
      <c r="G3495" s="6" t="s">
        <v>7979</v>
      </c>
      <c r="H3495" s="6" t="s">
        <v>55</v>
      </c>
      <c r="I3495" s="6" t="s">
        <v>7566</v>
      </c>
      <c r="J3495" s="6" t="s">
        <v>91</v>
      </c>
      <c r="K3495" s="9" t="str">
        <f>HYPERLINK("https://media.licdn.com/dms/image/v2/D5610AQFH3LwH198Kvw/image-shrink_1280/B56ZoIvp7MI0AM-/0/1761083302436/unnamed8png?e=2147483647&amp;v=beta&amp;t=fHNt7iiKJ8r_BAsQNMwaNe7Yg_aAhNqqjZFdECrXJqI","Open Creative")</f>
        <v>Open Creative</v>
      </c>
      <c r="L3495" s="6" t="s">
        <v>131</v>
      </c>
      <c r="M3495" s="6" t="s">
        <v>7537</v>
      </c>
      <c r="N3495" s="6" t="s">
        <v>132</v>
      </c>
      <c r="O3495" s="36" t="s">
        <v>132</v>
      </c>
      <c r="P3495" s="36">
        <v>9.28633936E8</v>
      </c>
      <c r="Q3495" s="36" t="s">
        <v>7541</v>
      </c>
      <c r="R3495" s="6" t="s">
        <v>7542</v>
      </c>
    </row>
    <row r="3496">
      <c r="A3496" s="6" t="s">
        <v>7537</v>
      </c>
      <c r="B3496" s="6" t="s">
        <v>7537</v>
      </c>
      <c r="C3496" s="6">
        <v>1887.0</v>
      </c>
      <c r="D3496" s="9" t="str">
        <f>HYPERLINK("https://www.linkedin.com/ad-library/detail/928484636","Open Ad")</f>
        <v>Open Ad</v>
      </c>
      <c r="E3496" s="6" t="s">
        <v>91</v>
      </c>
      <c r="F3496" s="6" t="s">
        <v>53</v>
      </c>
      <c r="G3496" s="6" t="s">
        <v>7980</v>
      </c>
      <c r="H3496" s="6" t="s">
        <v>55</v>
      </c>
      <c r="I3496" s="6" t="s">
        <v>7566</v>
      </c>
      <c r="J3496" s="6" t="s">
        <v>91</v>
      </c>
      <c r="K3496" s="9" t="str">
        <f>HYPERLINK("https://media.licdn.com/dms/image/v2/D5610AQEZp0g7CMazxw/image-shrink_800/B56ZoIuhFKIsAc-/0/1761083003805/unnamed7png?e=2147483647&amp;v=beta&amp;t=oGk-zpxBo4dgRt95jedcrzyumTgV4CvK8LUztvmDueI","Open Creative")</f>
        <v>Open Creative</v>
      </c>
      <c r="L3496" s="6" t="s">
        <v>131</v>
      </c>
      <c r="M3496" s="6" t="s">
        <v>7537</v>
      </c>
      <c r="N3496" s="6" t="s">
        <v>132</v>
      </c>
      <c r="O3496" s="36" t="s">
        <v>132</v>
      </c>
      <c r="P3496" s="36">
        <v>9.28484636E8</v>
      </c>
      <c r="Q3496" s="36" t="s">
        <v>7541</v>
      </c>
      <c r="R3496" s="6" t="s">
        <v>7542</v>
      </c>
    </row>
    <row r="3497">
      <c r="A3497" s="6" t="s">
        <v>7537</v>
      </c>
      <c r="B3497" s="6" t="s">
        <v>7537</v>
      </c>
      <c r="C3497" s="6">
        <v>1888.0</v>
      </c>
      <c r="D3497" s="9" t="str">
        <f>HYPERLINK("https://www.linkedin.com/ad-library/detail/938616636","Open Ad")</f>
        <v>Open Ad</v>
      </c>
      <c r="E3497" s="6" t="s">
        <v>91</v>
      </c>
      <c r="F3497" s="6" t="s">
        <v>53</v>
      </c>
      <c r="G3497" s="6" t="s">
        <v>7976</v>
      </c>
      <c r="H3497" s="6" t="s">
        <v>55</v>
      </c>
      <c r="I3497" s="6" t="s">
        <v>7566</v>
      </c>
      <c r="J3497" s="6" t="s">
        <v>91</v>
      </c>
      <c r="K3497" s="9" t="str">
        <f>HYPERLINK("https://media.licdn.com/dms/image/v2/D5610AQEhV__8rG6BBw/image-shrink_800/B56ZoIwRIzIYAc-/0/1761083462837/unnamed10png?e=2147483647&amp;v=beta&amp;t=kC1lmd7pPrjg-1vW4gjTkO4CB-jPO_egaFO4ixPaCTQ","Open Creative")</f>
        <v>Open Creative</v>
      </c>
      <c r="L3497" s="6" t="s">
        <v>131</v>
      </c>
      <c r="M3497" s="6" t="s">
        <v>7537</v>
      </c>
      <c r="N3497" s="6" t="s">
        <v>132</v>
      </c>
      <c r="O3497" s="36" t="s">
        <v>132</v>
      </c>
      <c r="P3497" s="36">
        <v>9.38616636E8</v>
      </c>
      <c r="Q3497" s="36" t="s">
        <v>7541</v>
      </c>
      <c r="R3497" s="6" t="s">
        <v>7542</v>
      </c>
    </row>
    <row r="3498">
      <c r="A3498" s="6" t="s">
        <v>7537</v>
      </c>
      <c r="B3498" s="6" t="s">
        <v>7537</v>
      </c>
      <c r="C3498" s="6">
        <v>1889.0</v>
      </c>
      <c r="D3498" s="9" t="str">
        <f>HYPERLINK("https://www.linkedin.com/ad-library/detail/946493366","Open Ad")</f>
        <v>Open Ad</v>
      </c>
      <c r="E3498" s="6" t="s">
        <v>91</v>
      </c>
      <c r="F3498" s="6" t="s">
        <v>53</v>
      </c>
      <c r="G3498" s="6" t="s">
        <v>7963</v>
      </c>
      <c r="H3498" s="6" t="s">
        <v>55</v>
      </c>
      <c r="I3498" s="6" t="s">
        <v>7566</v>
      </c>
      <c r="J3498" s="6" t="s">
        <v>91</v>
      </c>
      <c r="K3498" s="6" t="s">
        <v>60</v>
      </c>
      <c r="L3498" s="6" t="s">
        <v>131</v>
      </c>
      <c r="M3498" s="6" t="s">
        <v>7537</v>
      </c>
      <c r="N3498" s="6" t="s">
        <v>132</v>
      </c>
      <c r="O3498" s="36" t="s">
        <v>132</v>
      </c>
      <c r="P3498" s="36">
        <v>9.46493366E8</v>
      </c>
      <c r="Q3498" s="36" t="s">
        <v>7541</v>
      </c>
      <c r="R3498" s="6" t="s">
        <v>7542</v>
      </c>
    </row>
    <row r="3499">
      <c r="A3499" s="6" t="s">
        <v>7537</v>
      </c>
      <c r="B3499" s="6" t="s">
        <v>7537</v>
      </c>
      <c r="C3499" s="6">
        <v>1890.0</v>
      </c>
      <c r="D3499" s="9" t="str">
        <f>HYPERLINK("https://www.linkedin.com/ad-library/detail/928645656","Open Ad")</f>
        <v>Open Ad</v>
      </c>
      <c r="E3499" s="6" t="s">
        <v>91</v>
      </c>
      <c r="F3499" s="6" t="s">
        <v>53</v>
      </c>
      <c r="G3499" s="6" t="s">
        <v>7979</v>
      </c>
      <c r="H3499" s="6" t="s">
        <v>55</v>
      </c>
      <c r="I3499" s="6" t="s">
        <v>7566</v>
      </c>
      <c r="J3499" s="6" t="s">
        <v>91</v>
      </c>
      <c r="K3499" s="9" t="str">
        <f>HYPERLINK("https://media.licdn.com/dms/image/v2/D5610AQFH3LwH198Kvw/image-shrink_1280/B56ZoIvp7MI0AM-/0/1761083302436/unnamed8png?e=2147483647&amp;v=beta&amp;t=fHNt7iiKJ8r_BAsQNMwaNe7Yg_aAhNqqjZFdECrXJqI","Open Creative")</f>
        <v>Open Creative</v>
      </c>
      <c r="L3499" s="6" t="s">
        <v>131</v>
      </c>
      <c r="M3499" s="6" t="s">
        <v>7537</v>
      </c>
      <c r="N3499" s="6" t="s">
        <v>132</v>
      </c>
      <c r="O3499" s="36" t="s">
        <v>132</v>
      </c>
      <c r="P3499" s="36">
        <v>9.28645656E8</v>
      </c>
      <c r="Q3499" s="36" t="s">
        <v>7541</v>
      </c>
      <c r="R3499" s="6" t="s">
        <v>7542</v>
      </c>
    </row>
    <row r="3500">
      <c r="A3500" s="6" t="s">
        <v>7537</v>
      </c>
      <c r="B3500" s="6" t="s">
        <v>7537</v>
      </c>
      <c r="C3500" s="6">
        <v>1891.0</v>
      </c>
      <c r="D3500" s="9" t="str">
        <f>HYPERLINK("https://www.linkedin.com/ad-library/detail/928466096","Open Ad")</f>
        <v>Open Ad</v>
      </c>
      <c r="E3500" s="6" t="s">
        <v>91</v>
      </c>
      <c r="F3500" s="6" t="s">
        <v>53</v>
      </c>
      <c r="G3500" s="6" t="s">
        <v>7977</v>
      </c>
      <c r="H3500" s="6" t="s">
        <v>55</v>
      </c>
      <c r="I3500" s="6" t="s">
        <v>7566</v>
      </c>
      <c r="J3500" s="6" t="s">
        <v>91</v>
      </c>
      <c r="K3500" s="9" t="str">
        <f>HYPERLINK("https://media.licdn.com/dms/image/v2/D5610AQGqp9Kpgiv5VQ/image-shrink_800/B56ZoIv_GiKIAc-/0/1761083389056/unnamed9png?e=2147483647&amp;v=beta&amp;t=80fcVOhP6QmWT07PtbT9ADgTQhvexFZfzTIvG5DR1ik","Open Creative")</f>
        <v>Open Creative</v>
      </c>
      <c r="L3500" s="6" t="s">
        <v>131</v>
      </c>
      <c r="M3500" s="6" t="s">
        <v>7537</v>
      </c>
      <c r="N3500" s="6" t="s">
        <v>132</v>
      </c>
      <c r="O3500" s="36" t="s">
        <v>132</v>
      </c>
      <c r="P3500" s="36">
        <v>9.28466096E8</v>
      </c>
      <c r="Q3500" s="36" t="s">
        <v>7541</v>
      </c>
      <c r="R3500" s="6" t="s">
        <v>7542</v>
      </c>
    </row>
    <row r="3501">
      <c r="A3501" s="6" t="s">
        <v>7537</v>
      </c>
      <c r="B3501" s="6" t="s">
        <v>7537</v>
      </c>
      <c r="C3501" s="6">
        <v>1892.0</v>
      </c>
      <c r="D3501" s="9" t="str">
        <f>HYPERLINK("https://www.linkedin.com/ad-library/detail/942589746","Open Ad")</f>
        <v>Open Ad</v>
      </c>
      <c r="E3501" s="6" t="s">
        <v>154</v>
      </c>
      <c r="F3501" s="6" t="s">
        <v>53</v>
      </c>
      <c r="G3501" s="6" t="s">
        <v>7968</v>
      </c>
      <c r="H3501" s="6" t="s">
        <v>55</v>
      </c>
      <c r="I3501" s="6" t="s">
        <v>7566</v>
      </c>
      <c r="J3501" s="6" t="s">
        <v>154</v>
      </c>
      <c r="K3501" s="9" t="str">
        <f>HYPERLINK("https://dms.licdn.com/playlist/vid/v2/D4E05AQH2bUH3YG0npQ/mp4-640p-30fp-crf28/B4EZoxV.XGHcBs-/0/1761764439194?e=2147483647&amp;v=beta&amp;t=DBK2FkxBxLSfvzT-bkSnNrdo8Hw0A6k_p34axH27VN8","Open Creative")</f>
        <v>Open Creative</v>
      </c>
      <c r="L3501" s="6" t="s">
        <v>131</v>
      </c>
      <c r="M3501" s="6" t="s">
        <v>7537</v>
      </c>
      <c r="N3501" s="6" t="s">
        <v>132</v>
      </c>
      <c r="O3501" s="36" t="s">
        <v>132</v>
      </c>
      <c r="P3501" s="36">
        <v>9.42589746E8</v>
      </c>
      <c r="Q3501" s="36" t="s">
        <v>7541</v>
      </c>
      <c r="R3501" s="6" t="s">
        <v>7542</v>
      </c>
    </row>
    <row r="3502">
      <c r="A3502" s="6" t="s">
        <v>7537</v>
      </c>
      <c r="B3502" s="6" t="s">
        <v>7537</v>
      </c>
      <c r="C3502" s="6">
        <v>1893.0</v>
      </c>
      <c r="D3502" s="9" t="str">
        <f>HYPERLINK("https://www.linkedin.com/ad-library/detail/938566996","Open Ad")</f>
        <v>Open Ad</v>
      </c>
      <c r="E3502" s="6" t="s">
        <v>91</v>
      </c>
      <c r="F3502" s="6" t="s">
        <v>53</v>
      </c>
      <c r="G3502" s="6" t="s">
        <v>7980</v>
      </c>
      <c r="H3502" s="6" t="s">
        <v>55</v>
      </c>
      <c r="I3502" s="6" t="s">
        <v>7566</v>
      </c>
      <c r="J3502" s="6" t="s">
        <v>91</v>
      </c>
      <c r="K3502" s="9" t="str">
        <f>HYPERLINK("https://media.licdn.com/dms/image/v2/D5610AQEZp0g7CMazxw/image-shrink_800/B56ZoIuhFKIsAc-/0/1761083003805/unnamed7png?e=2147483647&amp;v=beta&amp;t=oGk-zpxBo4dgRt95jedcrzyumTgV4CvK8LUztvmDueI","Open Creative")</f>
        <v>Open Creative</v>
      </c>
      <c r="L3502" s="6" t="s">
        <v>131</v>
      </c>
      <c r="M3502" s="6" t="s">
        <v>7537</v>
      </c>
      <c r="N3502" s="6" t="s">
        <v>132</v>
      </c>
      <c r="O3502" s="36" t="s">
        <v>132</v>
      </c>
      <c r="P3502" s="36">
        <v>9.38566996E8</v>
      </c>
      <c r="Q3502" s="36" t="s">
        <v>7541</v>
      </c>
      <c r="R3502" s="6" t="s">
        <v>7542</v>
      </c>
    </row>
    <row r="3503">
      <c r="A3503" s="6" t="s">
        <v>7537</v>
      </c>
      <c r="B3503" s="6" t="s">
        <v>7537</v>
      </c>
      <c r="C3503" s="6">
        <v>1894.0</v>
      </c>
      <c r="D3503" s="9" t="str">
        <f>HYPERLINK("https://www.linkedin.com/ad-library/detail/946194506","Open Ad")</f>
        <v>Open Ad</v>
      </c>
      <c r="E3503" s="6" t="s">
        <v>154</v>
      </c>
      <c r="F3503" s="6" t="s">
        <v>53</v>
      </c>
      <c r="G3503" s="6" t="s">
        <v>7962</v>
      </c>
      <c r="H3503" s="6" t="s">
        <v>55</v>
      </c>
      <c r="I3503" s="6" t="s">
        <v>7566</v>
      </c>
      <c r="J3503" s="6" t="s">
        <v>154</v>
      </c>
      <c r="K3503" s="9" t="str">
        <f>HYPERLINK("https://dms.licdn.com/playlist/vid/v2/D4E05AQHr_mzttrd9ag/mp4-640p-30fp-crf28/B4EZoIG45zJ0Bk-/0/1761072620061?e=2147483647&amp;v=beta&amp;t=sk6CQ0gHOuibtSVTE9taT4L2arNXtFd8ajVMTyy6VcY","Open Creative")</f>
        <v>Open Creative</v>
      </c>
      <c r="L3503" s="6" t="s">
        <v>131</v>
      </c>
      <c r="M3503" s="6" t="s">
        <v>7537</v>
      </c>
      <c r="N3503" s="6" t="s">
        <v>132</v>
      </c>
      <c r="O3503" s="36" t="s">
        <v>132</v>
      </c>
      <c r="P3503" s="36">
        <v>9.46194506E8</v>
      </c>
      <c r="Q3503" s="36" t="s">
        <v>7541</v>
      </c>
      <c r="R3503" s="6" t="s">
        <v>7542</v>
      </c>
    </row>
    <row r="3504">
      <c r="A3504" s="6" t="s">
        <v>7537</v>
      </c>
      <c r="B3504" s="6" t="s">
        <v>7537</v>
      </c>
      <c r="C3504" s="6">
        <v>1895.0</v>
      </c>
      <c r="D3504" s="9" t="str">
        <f>HYPERLINK("https://www.linkedin.com/ad-library/detail/945894826","Open Ad")</f>
        <v>Open Ad</v>
      </c>
      <c r="E3504" s="6" t="s">
        <v>91</v>
      </c>
      <c r="F3504" s="6" t="s">
        <v>53</v>
      </c>
      <c r="G3504" s="6" t="s">
        <v>7963</v>
      </c>
      <c r="H3504" s="6" t="s">
        <v>55</v>
      </c>
      <c r="I3504" s="6" t="s">
        <v>7566</v>
      </c>
      <c r="J3504" s="6" t="s">
        <v>91</v>
      </c>
      <c r="K3504" s="6" t="s">
        <v>60</v>
      </c>
      <c r="L3504" s="6" t="s">
        <v>131</v>
      </c>
      <c r="M3504" s="6" t="s">
        <v>7537</v>
      </c>
      <c r="N3504" s="6" t="s">
        <v>132</v>
      </c>
      <c r="O3504" s="36" t="s">
        <v>132</v>
      </c>
      <c r="P3504" s="36">
        <v>9.45894826E8</v>
      </c>
      <c r="Q3504" s="36" t="s">
        <v>7541</v>
      </c>
      <c r="R3504" s="6" t="s">
        <v>7542</v>
      </c>
    </row>
    <row r="3505">
      <c r="A3505" s="6" t="s">
        <v>7537</v>
      </c>
      <c r="B3505" s="6" t="s">
        <v>7537</v>
      </c>
      <c r="C3505" s="6">
        <v>1896.0</v>
      </c>
      <c r="D3505" s="9" t="str">
        <f>HYPERLINK("https://www.linkedin.com/ad-library/detail/930165536","Open Ad")</f>
        <v>Open Ad</v>
      </c>
      <c r="E3505" s="6" t="s">
        <v>91</v>
      </c>
      <c r="F3505" s="6" t="s">
        <v>53</v>
      </c>
      <c r="G3505" s="6" t="s">
        <v>7960</v>
      </c>
      <c r="H3505" s="6" t="s">
        <v>55</v>
      </c>
      <c r="I3505" s="6" t="s">
        <v>7566</v>
      </c>
      <c r="J3505" s="6" t="s">
        <v>91</v>
      </c>
      <c r="K3505" s="9" t="str">
        <f>HYPERLINK("https://media.licdn.com/dms/image/v2/D4E22AQE1-cHMShzcIg/feedshare-shrink_1280/B4EZoIcku6J0As-/0/1761078300183?e=2147483647&amp;v=beta&amp;t=v6qe_4gseca8di_345HzdV-Xq0ZiH-0IHhQ4XukEvK4","Open Creative")</f>
        <v>Open Creative</v>
      </c>
      <c r="L3505" s="6" t="s">
        <v>131</v>
      </c>
      <c r="M3505" s="6" t="s">
        <v>7537</v>
      </c>
      <c r="N3505" s="6" t="s">
        <v>132</v>
      </c>
      <c r="O3505" s="36" t="s">
        <v>132</v>
      </c>
      <c r="P3505" s="36">
        <v>9.30165536E8</v>
      </c>
      <c r="Q3505" s="36" t="s">
        <v>7541</v>
      </c>
      <c r="R3505" s="6" t="s">
        <v>7542</v>
      </c>
    </row>
    <row r="3506">
      <c r="A3506" s="6" t="s">
        <v>7537</v>
      </c>
      <c r="B3506" s="6" t="s">
        <v>7537</v>
      </c>
      <c r="C3506" s="6">
        <v>1897.0</v>
      </c>
      <c r="D3506" s="9" t="str">
        <f>HYPERLINK("https://www.linkedin.com/ad-library/detail/924000796","Open Ad")</f>
        <v>Open Ad</v>
      </c>
      <c r="E3506" s="6" t="s">
        <v>154</v>
      </c>
      <c r="F3506" s="6" t="s">
        <v>53</v>
      </c>
      <c r="G3506" s="6" t="s">
        <v>7973</v>
      </c>
      <c r="H3506" s="6" t="s">
        <v>55</v>
      </c>
      <c r="I3506" s="6" t="s">
        <v>7566</v>
      </c>
      <c r="J3506" s="6" t="s">
        <v>154</v>
      </c>
      <c r="K3506" s="9" t="str">
        <f>HYPERLINK("https://dms.licdn.com/playlist/vid/v2/D4E05AQE9siAfSuYXCQ/mp4-720p-30fp-crf28/B4EZno0Pq8GUBk-/0/1760547754042?e=2147483647&amp;v=beta&amp;t=k7qYD3GnVR7NZX6JucAQ6ojJymoQ5iaRIl5kldNgWMI","Open Creative")</f>
        <v>Open Creative</v>
      </c>
      <c r="L3506" s="6" t="s">
        <v>131</v>
      </c>
      <c r="M3506" s="6" t="s">
        <v>7537</v>
      </c>
      <c r="N3506" s="6" t="s">
        <v>132</v>
      </c>
      <c r="O3506" s="36" t="s">
        <v>132</v>
      </c>
      <c r="P3506" s="36">
        <v>9.24000796E8</v>
      </c>
      <c r="Q3506" s="36" t="s">
        <v>7541</v>
      </c>
      <c r="R3506" s="6" t="s">
        <v>7542</v>
      </c>
    </row>
    <row r="3507">
      <c r="A3507" s="6" t="s">
        <v>7537</v>
      </c>
      <c r="B3507" s="6" t="s">
        <v>7537</v>
      </c>
      <c r="C3507" s="6">
        <v>1898.0</v>
      </c>
      <c r="D3507" s="9" t="str">
        <f>HYPERLINK("https://www.linkedin.com/ad-library/detail/928530716","Open Ad")</f>
        <v>Open Ad</v>
      </c>
      <c r="E3507" s="6" t="s">
        <v>154</v>
      </c>
      <c r="F3507" s="6" t="s">
        <v>53</v>
      </c>
      <c r="G3507" s="6" t="s">
        <v>7969</v>
      </c>
      <c r="H3507" s="6" t="s">
        <v>55</v>
      </c>
      <c r="I3507" s="6" t="s">
        <v>7566</v>
      </c>
      <c r="J3507" s="6" t="s">
        <v>154</v>
      </c>
      <c r="K3507" s="9" t="str">
        <f>HYPERLINK("https://dms.licdn.com/playlist/vid/v2/D4E05AQH5EBXBJ0kmlg/mp4-640p-30fp-crf28/B4EZn4hGzPIIBg-/0/1760811058754?e=2147483647&amp;v=beta&amp;t=imZHK86HgN3lpi6yW63ahpdSHRaT9yI8VCCvkh14v4c","Open Creative")</f>
        <v>Open Creative</v>
      </c>
      <c r="L3507" s="6" t="s">
        <v>131</v>
      </c>
      <c r="M3507" s="6" t="s">
        <v>7537</v>
      </c>
      <c r="N3507" s="6" t="s">
        <v>132</v>
      </c>
      <c r="O3507" s="36" t="s">
        <v>132</v>
      </c>
      <c r="P3507" s="36">
        <v>9.28530716E8</v>
      </c>
      <c r="Q3507" s="36" t="s">
        <v>7541</v>
      </c>
      <c r="R3507" s="6" t="s">
        <v>7542</v>
      </c>
    </row>
    <row r="3508">
      <c r="A3508" s="6" t="s">
        <v>7537</v>
      </c>
      <c r="B3508" s="6" t="s">
        <v>7537</v>
      </c>
      <c r="C3508" s="6">
        <v>1899.0</v>
      </c>
      <c r="D3508" s="9" t="str">
        <f>HYPERLINK("https://www.linkedin.com/ad-library/detail/921187176","Open Ad")</f>
        <v>Open Ad</v>
      </c>
      <c r="E3508" s="6" t="s">
        <v>91</v>
      </c>
      <c r="F3508" s="6" t="s">
        <v>53</v>
      </c>
      <c r="G3508" s="6" t="s">
        <v>7981</v>
      </c>
      <c r="H3508" s="6" t="s">
        <v>55</v>
      </c>
      <c r="I3508" s="6" t="s">
        <v>7566</v>
      </c>
      <c r="J3508" s="6" t="s">
        <v>91</v>
      </c>
      <c r="K3508" s="9" t="str">
        <f>HYPERLINK("https://media.licdn.com/dms/image/v2/D4E22AQE96lq_yY28gQ/feedshare-shrink_1280/B4EZm5hGQ1HcAs-/0/1759754086345?e=2147483647&amp;v=beta&amp;t=APocWSUl4k4fA-Nkhs1KWo3yYhhTxkk0hVEkr2XC2MQ","Open Creative")</f>
        <v>Open Creative</v>
      </c>
      <c r="L3508" s="6" t="s">
        <v>131</v>
      </c>
      <c r="M3508" s="6" t="s">
        <v>7537</v>
      </c>
      <c r="N3508" s="6" t="s">
        <v>132</v>
      </c>
      <c r="O3508" s="36" t="s">
        <v>132</v>
      </c>
      <c r="P3508" s="36">
        <v>9.21187176E8</v>
      </c>
      <c r="Q3508" s="36" t="s">
        <v>7541</v>
      </c>
      <c r="R3508" s="6" t="s">
        <v>7542</v>
      </c>
    </row>
    <row r="3509">
      <c r="A3509" s="6" t="s">
        <v>7537</v>
      </c>
      <c r="B3509" s="6" t="s">
        <v>7537</v>
      </c>
      <c r="C3509" s="6">
        <v>1900.0</v>
      </c>
      <c r="D3509" s="9" t="str">
        <f>HYPERLINK("https://www.linkedin.com/ad-library/detail/869730754","Open Ad")</f>
        <v>Open Ad</v>
      </c>
      <c r="E3509" s="6" t="s">
        <v>154</v>
      </c>
      <c r="F3509" s="6" t="s">
        <v>53</v>
      </c>
      <c r="G3509" s="6" t="s">
        <v>7962</v>
      </c>
      <c r="H3509" s="6" t="s">
        <v>55</v>
      </c>
      <c r="I3509" s="6" t="s">
        <v>7566</v>
      </c>
      <c r="J3509" s="6" t="s">
        <v>154</v>
      </c>
      <c r="K3509" s="9" t="str">
        <f>HYPERLINK("https://dms.licdn.com/playlist/vid/v2/D4E05AQHr_mzttrd9ag/mp4-640p-30fp-crf28/B4EZoIG45zJ0Bk-/0/1761072620061?e=2147483647&amp;v=beta&amp;t=sk6CQ0gHOuibtSVTE9taT4L2arNXtFd8ajVMTyy6VcY","Open Creative")</f>
        <v>Open Creative</v>
      </c>
      <c r="L3509" s="6" t="s">
        <v>131</v>
      </c>
      <c r="M3509" s="6" t="s">
        <v>7537</v>
      </c>
      <c r="N3509" s="6" t="s">
        <v>132</v>
      </c>
      <c r="O3509" s="36" t="s">
        <v>132</v>
      </c>
      <c r="P3509" s="36">
        <v>8.69730754E8</v>
      </c>
      <c r="Q3509" s="36" t="s">
        <v>7541</v>
      </c>
      <c r="R3509" s="6" t="s">
        <v>7542</v>
      </c>
    </row>
    <row r="3510">
      <c r="A3510" s="6" t="s">
        <v>7537</v>
      </c>
      <c r="B3510" s="6" t="s">
        <v>7537</v>
      </c>
      <c r="C3510" s="6">
        <v>1901.0</v>
      </c>
      <c r="D3510" s="9" t="str">
        <f>HYPERLINK("https://www.linkedin.com/ad-library/detail/921147306","Open Ad")</f>
        <v>Open Ad</v>
      </c>
      <c r="E3510" s="6" t="s">
        <v>91</v>
      </c>
      <c r="F3510" s="6" t="s">
        <v>53</v>
      </c>
      <c r="G3510" s="6" t="s">
        <v>7982</v>
      </c>
      <c r="H3510" s="6" t="s">
        <v>55</v>
      </c>
      <c r="I3510" s="6" t="s">
        <v>7566</v>
      </c>
      <c r="J3510" s="6" t="s">
        <v>91</v>
      </c>
      <c r="K3510" s="9" t="str">
        <f>HYPERLINK("https://media.licdn.com/dms/image/sync/v2/D4E27AQHqWVMOofIb0A/articleshare-shrink_800/B56aBkDEo9IwAU-/0/1788384923817?e=2147483647&amp;v=beta&amp;t=foqqR249K41MQs4522vxZehQ___RnXnY-aAWs1zgW_Y","Open Creative")</f>
        <v>Open Creative</v>
      </c>
      <c r="L3510" s="6" t="s">
        <v>131</v>
      </c>
      <c r="M3510" s="6" t="s">
        <v>7537</v>
      </c>
      <c r="N3510" s="6" t="s">
        <v>132</v>
      </c>
      <c r="O3510" s="36" t="s">
        <v>132</v>
      </c>
      <c r="P3510" s="36">
        <v>9.21147306E8</v>
      </c>
      <c r="Q3510" s="36" t="s">
        <v>7541</v>
      </c>
      <c r="R3510" s="6" t="s">
        <v>7542</v>
      </c>
    </row>
    <row r="3511">
      <c r="A3511" s="6" t="s">
        <v>7537</v>
      </c>
      <c r="B3511" s="6" t="s">
        <v>7537</v>
      </c>
      <c r="C3511" s="6">
        <v>1902.0</v>
      </c>
      <c r="D3511" s="9" t="str">
        <f>HYPERLINK("https://www.linkedin.com/ad-library/detail/921216706","Open Ad")</f>
        <v>Open Ad</v>
      </c>
      <c r="E3511" s="6" t="s">
        <v>91</v>
      </c>
      <c r="F3511" s="6" t="s">
        <v>53</v>
      </c>
      <c r="G3511" s="6" t="s">
        <v>7983</v>
      </c>
      <c r="H3511" s="6" t="s">
        <v>55</v>
      </c>
      <c r="I3511" s="6" t="s">
        <v>7566</v>
      </c>
      <c r="J3511" s="6" t="s">
        <v>91</v>
      </c>
      <c r="K3511" s="9" t="str">
        <f>HYPERLINK("https://media.licdn.com/dms/image/v2/D4E22AQGfZdYcrYrPkA/feedshare-shrink_1280/B4EZmruluHKkAs-/0/1759522743768?e=2147483647&amp;v=beta&amp;t=0Hp-UYkbg_zr8UmJioOOMnZ0qpkSjsz10IG1le70Ji4","Open Creative")</f>
        <v>Open Creative</v>
      </c>
      <c r="L3511" s="6" t="s">
        <v>131</v>
      </c>
      <c r="M3511" s="6" t="s">
        <v>7537</v>
      </c>
      <c r="N3511" s="6" t="s">
        <v>132</v>
      </c>
      <c r="O3511" s="36" t="s">
        <v>132</v>
      </c>
      <c r="P3511" s="36">
        <v>9.21216706E8</v>
      </c>
      <c r="Q3511" s="36" t="s">
        <v>7541</v>
      </c>
      <c r="R3511" s="6" t="s">
        <v>7542</v>
      </c>
    </row>
    <row r="3512">
      <c r="A3512" s="6" t="s">
        <v>7537</v>
      </c>
      <c r="B3512" s="6" t="s">
        <v>7537</v>
      </c>
      <c r="C3512" s="6">
        <v>1903.0</v>
      </c>
      <c r="D3512" s="9" t="str">
        <f>HYPERLINK("https://www.linkedin.com/ad-library/detail/928461106","Open Ad")</f>
        <v>Open Ad</v>
      </c>
      <c r="E3512" s="6" t="s">
        <v>154</v>
      </c>
      <c r="F3512" s="6" t="s">
        <v>53</v>
      </c>
      <c r="G3512" s="6" t="s">
        <v>7965</v>
      </c>
      <c r="H3512" s="6" t="s">
        <v>55</v>
      </c>
      <c r="I3512" s="6" t="s">
        <v>7566</v>
      </c>
      <c r="J3512" s="6" t="s">
        <v>154</v>
      </c>
      <c r="K3512" s="9" t="str">
        <f>HYPERLINK("https://dms.licdn.com/playlist/vid/v2/D4E05AQH-lOoPjeuTXg/mp4-640p-30fp-crf28/B4EZoB.yuJGUBg-/0/1760969833826?e=2147483647&amp;v=beta&amp;t=EuynpswcPuEysl_qid-zHtYRmiashAza_VruTNtEYZ8","Open Creative")</f>
        <v>Open Creative</v>
      </c>
      <c r="L3512" s="6" t="s">
        <v>131</v>
      </c>
      <c r="M3512" s="6" t="s">
        <v>7537</v>
      </c>
      <c r="N3512" s="6" t="s">
        <v>132</v>
      </c>
      <c r="O3512" s="36" t="s">
        <v>132</v>
      </c>
      <c r="P3512" s="36">
        <v>9.28461106E8</v>
      </c>
      <c r="Q3512" s="36" t="s">
        <v>7541</v>
      </c>
      <c r="R3512" s="6" t="s">
        <v>7542</v>
      </c>
    </row>
    <row r="3513">
      <c r="A3513" s="6" t="s">
        <v>7537</v>
      </c>
      <c r="B3513" s="6" t="s">
        <v>7537</v>
      </c>
      <c r="C3513" s="6">
        <v>1904.0</v>
      </c>
      <c r="D3513" s="9" t="str">
        <f>HYPERLINK("https://www.linkedin.com/ad-library/detail/921107626","Open Ad")</f>
        <v>Open Ad</v>
      </c>
      <c r="E3513" s="6" t="s">
        <v>91</v>
      </c>
      <c r="F3513" s="6" t="s">
        <v>53</v>
      </c>
      <c r="G3513" s="6" t="s">
        <v>7981</v>
      </c>
      <c r="H3513" s="6" t="s">
        <v>55</v>
      </c>
      <c r="I3513" s="6" t="s">
        <v>7566</v>
      </c>
      <c r="J3513" s="6" t="s">
        <v>91</v>
      </c>
      <c r="K3513" s="9" t="str">
        <f>HYPERLINK("https://media.licdn.com/dms/image/v2/D4E22AQE96lq_yY28gQ/feedshare-shrink_1280/B4EZm5hGQ1HcAs-/0/1759754086345?e=2147483647&amp;v=beta&amp;t=APocWSUl4k4fA-Nkhs1KWo3yYhhTxkk0hVEkr2XC2MQ","Open Creative")</f>
        <v>Open Creative</v>
      </c>
      <c r="L3513" s="6" t="s">
        <v>131</v>
      </c>
      <c r="M3513" s="6" t="s">
        <v>7537</v>
      </c>
      <c r="N3513" s="6" t="s">
        <v>132</v>
      </c>
      <c r="O3513" s="36" t="s">
        <v>132</v>
      </c>
      <c r="P3513" s="36">
        <v>9.21107626E8</v>
      </c>
      <c r="Q3513" s="36" t="s">
        <v>7541</v>
      </c>
      <c r="R3513" s="6" t="s">
        <v>7542</v>
      </c>
    </row>
    <row r="3514">
      <c r="A3514" s="6" t="s">
        <v>7537</v>
      </c>
      <c r="B3514" s="6" t="s">
        <v>7537</v>
      </c>
      <c r="C3514" s="6">
        <v>1905.0</v>
      </c>
      <c r="D3514" s="9" t="str">
        <f>HYPERLINK("https://www.linkedin.com/ad-library/detail/928298376","Open Ad")</f>
        <v>Open Ad</v>
      </c>
      <c r="E3514" s="6" t="s">
        <v>91</v>
      </c>
      <c r="F3514" s="6" t="s">
        <v>53</v>
      </c>
      <c r="G3514" s="6" t="s">
        <v>7961</v>
      </c>
      <c r="H3514" s="6" t="s">
        <v>55</v>
      </c>
      <c r="I3514" s="6" t="s">
        <v>7566</v>
      </c>
      <c r="J3514" s="6" t="s">
        <v>91</v>
      </c>
      <c r="K3514" s="9" t="str">
        <f t="shared" ref="K3514:K3515" si="177">HYPERLINK("https://media.licdn.com/dms/image/v2/D4E22AQF2brM9_mbtbw/feedshare-shrink_1280/B4EZoHNGbzHcAs-/0/1761057466594?e=2147483647&amp;v=beta&amp;t=CpMEhfPGSXjRM9qOuXujN_G6IIOizRwVi5HHt-5mIeU","Open Creative")</f>
        <v>Open Creative</v>
      </c>
      <c r="L3514" s="6" t="s">
        <v>131</v>
      </c>
      <c r="M3514" s="6" t="s">
        <v>7537</v>
      </c>
      <c r="N3514" s="6" t="s">
        <v>132</v>
      </c>
      <c r="O3514" s="36" t="s">
        <v>132</v>
      </c>
      <c r="P3514" s="36">
        <v>9.28298376E8</v>
      </c>
      <c r="Q3514" s="36" t="s">
        <v>7541</v>
      </c>
      <c r="R3514" s="6" t="s">
        <v>7542</v>
      </c>
    </row>
    <row r="3515">
      <c r="A3515" s="6" t="s">
        <v>7537</v>
      </c>
      <c r="B3515" s="6" t="s">
        <v>7537</v>
      </c>
      <c r="C3515" s="6">
        <v>1906.0</v>
      </c>
      <c r="D3515" s="9" t="str">
        <f>HYPERLINK("https://www.linkedin.com/ad-library/detail/928229536","Open Ad")</f>
        <v>Open Ad</v>
      </c>
      <c r="E3515" s="6" t="s">
        <v>91</v>
      </c>
      <c r="F3515" s="6" t="s">
        <v>53</v>
      </c>
      <c r="G3515" s="6" t="s">
        <v>7961</v>
      </c>
      <c r="H3515" s="6" t="s">
        <v>55</v>
      </c>
      <c r="I3515" s="6" t="s">
        <v>7566</v>
      </c>
      <c r="J3515" s="6" t="s">
        <v>91</v>
      </c>
      <c r="K3515" s="9" t="str">
        <f t="shared" si="177"/>
        <v>Open Creative</v>
      </c>
      <c r="L3515" s="6" t="s">
        <v>131</v>
      </c>
      <c r="M3515" s="6" t="s">
        <v>7537</v>
      </c>
      <c r="N3515" s="6" t="s">
        <v>132</v>
      </c>
      <c r="O3515" s="36" t="s">
        <v>132</v>
      </c>
      <c r="P3515" s="36">
        <v>9.28229536E8</v>
      </c>
      <c r="Q3515" s="36" t="s">
        <v>7541</v>
      </c>
      <c r="R3515" s="6" t="s">
        <v>7542</v>
      </c>
    </row>
    <row r="3516">
      <c r="A3516" s="6" t="s">
        <v>7537</v>
      </c>
      <c r="B3516" s="6" t="s">
        <v>7537</v>
      </c>
      <c r="C3516" s="6">
        <v>1907.0</v>
      </c>
      <c r="D3516" s="9" t="str">
        <f>HYPERLINK("https://www.linkedin.com/ad-library/detail/928630426","Open Ad")</f>
        <v>Open Ad</v>
      </c>
      <c r="E3516" s="6" t="s">
        <v>154</v>
      </c>
      <c r="F3516" s="6" t="s">
        <v>53</v>
      </c>
      <c r="G3516" s="6" t="s">
        <v>7965</v>
      </c>
      <c r="H3516" s="6" t="s">
        <v>55</v>
      </c>
      <c r="I3516" s="6" t="s">
        <v>7566</v>
      </c>
      <c r="J3516" s="6" t="s">
        <v>154</v>
      </c>
      <c r="K3516" s="9" t="str">
        <f>HYPERLINK("https://dms.licdn.com/playlist/vid/v2/D4E05AQH-lOoPjeuTXg/mp4-640p-30fp-crf28/B4EZoB.yuJGUBg-/0/1760969833826?e=2147483647&amp;v=beta&amp;t=EuynpswcPuEysl_qid-zHtYRmiashAza_VruTNtEYZ8","Open Creative")</f>
        <v>Open Creative</v>
      </c>
      <c r="L3516" s="6" t="s">
        <v>131</v>
      </c>
      <c r="M3516" s="6" t="s">
        <v>7537</v>
      </c>
      <c r="N3516" s="6" t="s">
        <v>132</v>
      </c>
      <c r="O3516" s="36" t="s">
        <v>132</v>
      </c>
      <c r="P3516" s="36">
        <v>9.28630426E8</v>
      </c>
      <c r="Q3516" s="36" t="s">
        <v>7541</v>
      </c>
      <c r="R3516" s="6" t="s">
        <v>7542</v>
      </c>
    </row>
    <row r="3517">
      <c r="A3517" s="6" t="s">
        <v>7537</v>
      </c>
      <c r="B3517" s="6" t="s">
        <v>7537</v>
      </c>
      <c r="C3517" s="6">
        <v>1908.0</v>
      </c>
      <c r="D3517" s="9" t="str">
        <f>HYPERLINK("https://www.linkedin.com/ad-library/detail/921678586","Open Ad")</f>
        <v>Open Ad</v>
      </c>
      <c r="E3517" s="6" t="s">
        <v>91</v>
      </c>
      <c r="F3517" s="6" t="s">
        <v>53</v>
      </c>
      <c r="G3517" s="6" t="s">
        <v>7984</v>
      </c>
      <c r="H3517" s="6" t="s">
        <v>55</v>
      </c>
      <c r="I3517" s="6" t="s">
        <v>7566</v>
      </c>
      <c r="J3517" s="6" t="s">
        <v>91</v>
      </c>
      <c r="K3517" s="9" t="str">
        <f>HYPERLINK("https://media.licdn.com/dms/image/v2/D4E22AQGHFl2JEyx45w/feedshare-shrink_1280/B4EZnfXK_gHEAw-/0/1760389018475?e=2147483647&amp;v=beta&amp;t=W2YWVWt-o8Vp4wNUiEgY-aSIgF91jcRwrUc5g0fMyaU","Open Creative")</f>
        <v>Open Creative</v>
      </c>
      <c r="L3517" s="6" t="s">
        <v>131</v>
      </c>
      <c r="M3517" s="6" t="s">
        <v>7537</v>
      </c>
      <c r="N3517" s="6" t="s">
        <v>132</v>
      </c>
      <c r="O3517" s="36" t="s">
        <v>132</v>
      </c>
      <c r="P3517" s="36">
        <v>9.21678586E8</v>
      </c>
      <c r="Q3517" s="36" t="s">
        <v>7541</v>
      </c>
      <c r="R3517" s="6" t="s">
        <v>7542</v>
      </c>
    </row>
    <row r="3518">
      <c r="A3518" s="6" t="s">
        <v>7537</v>
      </c>
      <c r="B3518" s="6" t="s">
        <v>7537</v>
      </c>
      <c r="C3518" s="6">
        <v>1909.0</v>
      </c>
      <c r="D3518" s="9" t="str">
        <f>HYPERLINK("https://www.linkedin.com/ad-library/detail/923632846","Open Ad")</f>
        <v>Open Ad</v>
      </c>
      <c r="E3518" s="6" t="s">
        <v>91</v>
      </c>
      <c r="F3518" s="6" t="s">
        <v>53</v>
      </c>
      <c r="G3518" s="6" t="s">
        <v>7985</v>
      </c>
      <c r="H3518" s="6" t="s">
        <v>55</v>
      </c>
      <c r="I3518" s="6" t="s">
        <v>7566</v>
      </c>
      <c r="J3518" s="6" t="s">
        <v>91</v>
      </c>
      <c r="K3518" s="9" t="str">
        <f>HYPERLINK("https://media.licdn.com/dms/image/v2/D5622AQHZltglF6ohqg/feedshare-shrink_1280/B56ZnkeytbJkAs-/0/1760474902691?e=2147483647&amp;v=beta&amp;t=O7bbcPI3moDRZcPa4IOACzgwBac2JWQLuoA8OJXhAi0","Open Creative")</f>
        <v>Open Creative</v>
      </c>
      <c r="L3518" s="6" t="s">
        <v>131</v>
      </c>
      <c r="M3518" s="6" t="s">
        <v>7537</v>
      </c>
      <c r="N3518" s="6" t="s">
        <v>132</v>
      </c>
      <c r="O3518" s="36" t="s">
        <v>132</v>
      </c>
      <c r="P3518" s="36">
        <v>9.23632846E8</v>
      </c>
      <c r="Q3518" s="36" t="s">
        <v>7541</v>
      </c>
      <c r="R3518" s="6" t="s">
        <v>7542</v>
      </c>
    </row>
    <row r="3519">
      <c r="A3519" s="6" t="s">
        <v>7537</v>
      </c>
      <c r="B3519" s="6" t="s">
        <v>7537</v>
      </c>
      <c r="C3519" s="6">
        <v>1910.0</v>
      </c>
      <c r="D3519" s="9" t="str">
        <f>HYPERLINK("https://www.linkedin.com/ad-library/detail/928426386","Open Ad")</f>
        <v>Open Ad</v>
      </c>
      <c r="E3519" s="6" t="s">
        <v>91</v>
      </c>
      <c r="F3519" s="6" t="s">
        <v>53</v>
      </c>
      <c r="G3519" s="6" t="s">
        <v>7961</v>
      </c>
      <c r="H3519" s="6" t="s">
        <v>55</v>
      </c>
      <c r="I3519" s="6" t="s">
        <v>7566</v>
      </c>
      <c r="J3519" s="6" t="s">
        <v>91</v>
      </c>
      <c r="K3519" s="9" t="str">
        <f>HYPERLINK("https://media.licdn.com/dms/image/v2/D4E22AQF2brM9_mbtbw/feedshare-shrink_1280/B4EZoHNGbzHcAs-/0/1761057466594?e=2147483647&amp;v=beta&amp;t=CpMEhfPGSXjRM9qOuXujN_G6IIOizRwVi5HHt-5mIeU","Open Creative")</f>
        <v>Open Creative</v>
      </c>
      <c r="L3519" s="6" t="s">
        <v>131</v>
      </c>
      <c r="M3519" s="6" t="s">
        <v>7537</v>
      </c>
      <c r="N3519" s="6" t="s">
        <v>132</v>
      </c>
      <c r="O3519" s="36" t="s">
        <v>132</v>
      </c>
      <c r="P3519" s="36">
        <v>9.28426386E8</v>
      </c>
      <c r="Q3519" s="36" t="s">
        <v>7541</v>
      </c>
      <c r="R3519" s="6" t="s">
        <v>7542</v>
      </c>
    </row>
    <row r="3520">
      <c r="A3520" s="6" t="s">
        <v>7537</v>
      </c>
      <c r="B3520" s="6" t="s">
        <v>7537</v>
      </c>
      <c r="C3520" s="6">
        <v>1911.0</v>
      </c>
      <c r="D3520" s="9" t="str">
        <f>HYPERLINK("https://www.linkedin.com/ad-library/detail/925357326","Open Ad")</f>
        <v>Open Ad</v>
      </c>
      <c r="E3520" s="6" t="s">
        <v>91</v>
      </c>
      <c r="F3520" s="6" t="s">
        <v>53</v>
      </c>
      <c r="G3520" s="6" t="s">
        <v>7986</v>
      </c>
      <c r="H3520" s="6" t="s">
        <v>55</v>
      </c>
      <c r="I3520" s="6" t="s">
        <v>7566</v>
      </c>
      <c r="J3520" s="6" t="s">
        <v>91</v>
      </c>
      <c r="K3520" s="6" t="s">
        <v>60</v>
      </c>
      <c r="L3520" s="6" t="s">
        <v>131</v>
      </c>
      <c r="M3520" s="6" t="s">
        <v>7537</v>
      </c>
      <c r="N3520" s="6" t="s">
        <v>132</v>
      </c>
      <c r="O3520" s="36" t="s">
        <v>132</v>
      </c>
      <c r="P3520" s="36">
        <v>9.25357326E8</v>
      </c>
      <c r="Q3520" s="36" t="s">
        <v>7541</v>
      </c>
      <c r="R3520" s="6" t="s">
        <v>7542</v>
      </c>
    </row>
    <row r="3521">
      <c r="A3521" s="6" t="s">
        <v>7537</v>
      </c>
      <c r="B3521" s="6" t="s">
        <v>7537</v>
      </c>
      <c r="C3521" s="6">
        <v>1912.0</v>
      </c>
      <c r="D3521" s="9" t="str">
        <f>HYPERLINK("https://www.linkedin.com/ad-library/detail/928620526","Open Ad")</f>
        <v>Open Ad</v>
      </c>
      <c r="E3521" s="6" t="s">
        <v>154</v>
      </c>
      <c r="F3521" s="6" t="s">
        <v>53</v>
      </c>
      <c r="G3521" s="6" t="s">
        <v>7969</v>
      </c>
      <c r="H3521" s="6" t="s">
        <v>55</v>
      </c>
      <c r="I3521" s="6" t="s">
        <v>7566</v>
      </c>
      <c r="J3521" s="6" t="s">
        <v>154</v>
      </c>
      <c r="K3521" s="9" t="str">
        <f>HYPERLINK("https://dms.licdn.com/playlist/vid/v2/D4E05AQH5EBXBJ0kmlg/mp4-640p-30fp-crf28/B4EZn4hGzPIIBg-/0/1760811058754?e=2147483647&amp;v=beta&amp;t=imZHK86HgN3lpi6yW63ahpdSHRaT9yI8VCCvkh14v4c","Open Creative")</f>
        <v>Open Creative</v>
      </c>
      <c r="L3521" s="6" t="s">
        <v>131</v>
      </c>
      <c r="M3521" s="6" t="s">
        <v>7537</v>
      </c>
      <c r="N3521" s="6" t="s">
        <v>132</v>
      </c>
      <c r="O3521" s="36" t="s">
        <v>132</v>
      </c>
      <c r="P3521" s="36">
        <v>9.28620526E8</v>
      </c>
      <c r="Q3521" s="36" t="s">
        <v>7541</v>
      </c>
      <c r="R3521" s="6" t="s">
        <v>7542</v>
      </c>
    </row>
    <row r="3522">
      <c r="A3522" s="6" t="s">
        <v>7537</v>
      </c>
      <c r="B3522" s="6" t="s">
        <v>7537</v>
      </c>
      <c r="C3522" s="6">
        <v>1913.0</v>
      </c>
      <c r="D3522" s="9" t="str">
        <f>HYPERLINK("https://www.linkedin.com/ad-library/detail/925446906","Open Ad")</f>
        <v>Open Ad</v>
      </c>
      <c r="E3522" s="6" t="s">
        <v>91</v>
      </c>
      <c r="F3522" s="6" t="s">
        <v>53</v>
      </c>
      <c r="G3522" s="6" t="s">
        <v>7987</v>
      </c>
      <c r="H3522" s="6" t="s">
        <v>55</v>
      </c>
      <c r="I3522" s="6" t="s">
        <v>7566</v>
      </c>
      <c r="J3522" s="6" t="s">
        <v>91</v>
      </c>
      <c r="K3522" s="6" t="s">
        <v>60</v>
      </c>
      <c r="L3522" s="6" t="s">
        <v>131</v>
      </c>
      <c r="M3522" s="6" t="s">
        <v>7537</v>
      </c>
      <c r="N3522" s="6" t="s">
        <v>132</v>
      </c>
      <c r="O3522" s="36" t="s">
        <v>132</v>
      </c>
      <c r="P3522" s="36">
        <v>9.25446906E8</v>
      </c>
      <c r="Q3522" s="36" t="s">
        <v>7541</v>
      </c>
      <c r="R3522" s="6" t="s">
        <v>7542</v>
      </c>
    </row>
    <row r="3523">
      <c r="A3523" s="6" t="s">
        <v>7537</v>
      </c>
      <c r="B3523" s="6" t="s">
        <v>7537</v>
      </c>
      <c r="C3523" s="6">
        <v>1914.0</v>
      </c>
      <c r="D3523" s="9" t="str">
        <f>HYPERLINK("https://www.linkedin.com/ad-library/detail/928629836","Open Ad")</f>
        <v>Open Ad</v>
      </c>
      <c r="E3523" s="6" t="s">
        <v>91</v>
      </c>
      <c r="F3523" s="6" t="s">
        <v>53</v>
      </c>
      <c r="G3523" s="6" t="s">
        <v>7961</v>
      </c>
      <c r="H3523" s="6" t="s">
        <v>55</v>
      </c>
      <c r="I3523" s="6" t="s">
        <v>7566</v>
      </c>
      <c r="J3523" s="6" t="s">
        <v>91</v>
      </c>
      <c r="K3523" s="9" t="str">
        <f>HYPERLINK("https://media.licdn.com/dms/image/v2/D4E22AQF2brM9_mbtbw/feedshare-shrink_1280/B4EZoHNGbzHcAs-/0/1761057466594?e=2147483647&amp;v=beta&amp;t=CpMEhfPGSXjRM9qOuXujN_G6IIOizRwVi5HHt-5mIeU","Open Creative")</f>
        <v>Open Creative</v>
      </c>
      <c r="L3523" s="6" t="s">
        <v>131</v>
      </c>
      <c r="M3523" s="6" t="s">
        <v>7537</v>
      </c>
      <c r="N3523" s="6" t="s">
        <v>132</v>
      </c>
      <c r="O3523" s="36" t="s">
        <v>132</v>
      </c>
      <c r="P3523" s="36">
        <v>9.28629836E8</v>
      </c>
      <c r="Q3523" s="36" t="s">
        <v>7541</v>
      </c>
      <c r="R3523" s="6" t="s">
        <v>7542</v>
      </c>
    </row>
    <row r="3524">
      <c r="A3524" s="6" t="s">
        <v>7537</v>
      </c>
      <c r="B3524" s="6" t="s">
        <v>7537</v>
      </c>
      <c r="C3524" s="6">
        <v>1915.0</v>
      </c>
      <c r="D3524" s="9" t="str">
        <f>HYPERLINK("https://www.linkedin.com/ad-library/detail/921117306","Open Ad")</f>
        <v>Open Ad</v>
      </c>
      <c r="E3524" s="6" t="s">
        <v>91</v>
      </c>
      <c r="F3524" s="6" t="s">
        <v>53</v>
      </c>
      <c r="G3524" s="6" t="s">
        <v>7988</v>
      </c>
      <c r="H3524" s="6" t="s">
        <v>55</v>
      </c>
      <c r="I3524" s="6" t="s">
        <v>7566</v>
      </c>
      <c r="J3524" s="6" t="s">
        <v>91</v>
      </c>
      <c r="K3524" s="9" t="str">
        <f>HYPERLINK("https://media.licdn.com/dms/image/v2/D4E22AQGO0x10QwkqmA/feedshare-shrink_1280/B4EZnJ1_F1KwAs-/0/1760027997121?e=2147483647&amp;v=beta&amp;t=dbPe5WtdiPjz8rN2B6ug1nGP9-vpAuHj9SOXBERqBKk","Open Creative")</f>
        <v>Open Creative</v>
      </c>
      <c r="L3524" s="6" t="s">
        <v>131</v>
      </c>
      <c r="M3524" s="6" t="s">
        <v>7537</v>
      </c>
      <c r="N3524" s="6" t="s">
        <v>132</v>
      </c>
      <c r="O3524" s="36" t="s">
        <v>132</v>
      </c>
      <c r="P3524" s="36">
        <v>9.21117306E8</v>
      </c>
      <c r="Q3524" s="36" t="s">
        <v>7541</v>
      </c>
      <c r="R3524" s="6" t="s">
        <v>7542</v>
      </c>
    </row>
    <row r="3525">
      <c r="A3525" s="6" t="s">
        <v>7537</v>
      </c>
      <c r="B3525" s="6" t="s">
        <v>7537</v>
      </c>
      <c r="C3525" s="6">
        <v>1916.0</v>
      </c>
      <c r="D3525" s="9" t="str">
        <f>HYPERLINK("https://www.linkedin.com/ad-library/detail/921688796","Open Ad")</f>
        <v>Open Ad</v>
      </c>
      <c r="E3525" s="6" t="s">
        <v>91</v>
      </c>
      <c r="F3525" s="6" t="s">
        <v>53</v>
      </c>
      <c r="G3525" s="6" t="s">
        <v>7984</v>
      </c>
      <c r="H3525" s="6" t="s">
        <v>55</v>
      </c>
      <c r="I3525" s="6" t="s">
        <v>7566</v>
      </c>
      <c r="J3525" s="6" t="s">
        <v>91</v>
      </c>
      <c r="K3525" s="9" t="str">
        <f t="shared" ref="K3525:K3526" si="178">HYPERLINK("https://media.licdn.com/dms/image/v2/D4E22AQGHFl2JEyx45w/feedshare-shrink_1280/B4EZnfXK_gHEAw-/0/1760389018475?e=2147483647&amp;v=beta&amp;t=W2YWVWt-o8Vp4wNUiEgY-aSIgF91jcRwrUc5g0fMyaU","Open Creative")</f>
        <v>Open Creative</v>
      </c>
      <c r="L3525" s="6" t="s">
        <v>131</v>
      </c>
      <c r="M3525" s="6" t="s">
        <v>7537</v>
      </c>
      <c r="N3525" s="6" t="s">
        <v>132</v>
      </c>
      <c r="O3525" s="36" t="s">
        <v>132</v>
      </c>
      <c r="P3525" s="36">
        <v>9.21688796E8</v>
      </c>
      <c r="Q3525" s="36" t="s">
        <v>7541</v>
      </c>
      <c r="R3525" s="6" t="s">
        <v>7542</v>
      </c>
    </row>
    <row r="3526">
      <c r="A3526" s="6" t="s">
        <v>7537</v>
      </c>
      <c r="B3526" s="6" t="s">
        <v>7537</v>
      </c>
      <c r="C3526" s="6">
        <v>1917.0</v>
      </c>
      <c r="D3526" s="9" t="str">
        <f>HYPERLINK("https://www.linkedin.com/ad-library/detail/921688786","Open Ad")</f>
        <v>Open Ad</v>
      </c>
      <c r="E3526" s="6" t="s">
        <v>91</v>
      </c>
      <c r="F3526" s="6" t="s">
        <v>53</v>
      </c>
      <c r="G3526" s="6" t="s">
        <v>7984</v>
      </c>
      <c r="H3526" s="6" t="s">
        <v>55</v>
      </c>
      <c r="I3526" s="6" t="s">
        <v>7566</v>
      </c>
      <c r="J3526" s="6" t="s">
        <v>91</v>
      </c>
      <c r="K3526" s="9" t="str">
        <f t="shared" si="178"/>
        <v>Open Creative</v>
      </c>
      <c r="L3526" s="6" t="s">
        <v>131</v>
      </c>
      <c r="M3526" s="6" t="s">
        <v>7537</v>
      </c>
      <c r="N3526" s="6" t="s">
        <v>132</v>
      </c>
      <c r="O3526" s="36" t="s">
        <v>132</v>
      </c>
      <c r="P3526" s="36">
        <v>9.21688786E8</v>
      </c>
      <c r="Q3526" s="36" t="s">
        <v>7541</v>
      </c>
      <c r="R3526" s="6" t="s">
        <v>7542</v>
      </c>
    </row>
    <row r="3527">
      <c r="A3527" s="6" t="s">
        <v>7537</v>
      </c>
      <c r="B3527" s="6" t="s">
        <v>7537</v>
      </c>
      <c r="C3527" s="6">
        <v>1918.0</v>
      </c>
      <c r="D3527" s="9" t="str">
        <f>HYPERLINK("https://www.linkedin.com/ad-library/detail/928600386","Open Ad")</f>
        <v>Open Ad</v>
      </c>
      <c r="E3527" s="6" t="s">
        <v>154</v>
      </c>
      <c r="F3527" s="6" t="s">
        <v>53</v>
      </c>
      <c r="G3527" s="6" t="s">
        <v>7989</v>
      </c>
      <c r="H3527" s="6" t="s">
        <v>55</v>
      </c>
      <c r="I3527" s="6" t="s">
        <v>7566</v>
      </c>
      <c r="J3527" s="6" t="s">
        <v>154</v>
      </c>
      <c r="K3527" s="9" t="str">
        <f>HYPERLINK("https://dms.licdn.com/playlist/vid/v2/D4E05AQGMj1n3fAPVNg/mp4-720p-30fp-crf28/B4EZmCWUc4GoBk-/0/1758828516478?e=2147483647&amp;v=beta&amp;t=jD4Nkk81Mh4HJXnq3xgvU1Upnrjos5Xnb82MlW0XjBQ","Open Creative")</f>
        <v>Open Creative</v>
      </c>
      <c r="L3527" s="6" t="s">
        <v>131</v>
      </c>
      <c r="M3527" s="6" t="s">
        <v>7537</v>
      </c>
      <c r="N3527" s="6" t="s">
        <v>132</v>
      </c>
      <c r="O3527" s="36" t="s">
        <v>132</v>
      </c>
      <c r="P3527" s="36">
        <v>9.28600386E8</v>
      </c>
      <c r="Q3527" s="36" t="s">
        <v>7541</v>
      </c>
      <c r="R3527" s="6" t="s">
        <v>7542</v>
      </c>
    </row>
    <row r="3528">
      <c r="A3528" s="6" t="s">
        <v>7537</v>
      </c>
      <c r="B3528" s="6" t="s">
        <v>7537</v>
      </c>
      <c r="C3528" s="6">
        <v>1919.0</v>
      </c>
      <c r="D3528" s="9" t="str">
        <f>HYPERLINK("https://www.linkedin.com/ad-library/detail/925496096","Open Ad")</f>
        <v>Open Ad</v>
      </c>
      <c r="E3528" s="6" t="s">
        <v>154</v>
      </c>
      <c r="F3528" s="6" t="s">
        <v>53</v>
      </c>
      <c r="G3528" s="6" t="s">
        <v>7990</v>
      </c>
      <c r="H3528" s="6" t="s">
        <v>55</v>
      </c>
      <c r="I3528" s="6" t="s">
        <v>7566</v>
      </c>
      <c r="J3528" s="6" t="s">
        <v>154</v>
      </c>
      <c r="K3528" s="9" t="str">
        <f>HYPERLINK("https://dms.licdn.com/playlist/vid/v2/D4E05AQHBZR88cWOSEw/mp4-720p-30fp-crf28/B4EZnzU3RtKkBk-/0/1760723964854?e=2147483647&amp;v=beta&amp;t=5RAeMWxskmYrJpx7hP5xUEDVvoLslv4_G2ZaAqkcPuY","Open Creative")</f>
        <v>Open Creative</v>
      </c>
      <c r="L3528" s="6" t="s">
        <v>131</v>
      </c>
      <c r="M3528" s="6" t="s">
        <v>7537</v>
      </c>
      <c r="N3528" s="6" t="s">
        <v>132</v>
      </c>
      <c r="O3528" s="36" t="s">
        <v>132</v>
      </c>
      <c r="P3528" s="36">
        <v>9.25496096E8</v>
      </c>
      <c r="Q3528" s="36" t="s">
        <v>7541</v>
      </c>
      <c r="R3528" s="6" t="s">
        <v>7542</v>
      </c>
    </row>
    <row r="3529">
      <c r="A3529" s="6" t="s">
        <v>7537</v>
      </c>
      <c r="B3529" s="6" t="s">
        <v>7537</v>
      </c>
      <c r="C3529" s="6">
        <v>1920.0</v>
      </c>
      <c r="D3529" s="9" t="str">
        <f>HYPERLINK("https://www.linkedin.com/ad-library/detail/923921806","Open Ad")</f>
        <v>Open Ad</v>
      </c>
      <c r="E3529" s="6" t="s">
        <v>154</v>
      </c>
      <c r="F3529" s="6" t="s">
        <v>53</v>
      </c>
      <c r="G3529" s="6" t="s">
        <v>7973</v>
      </c>
      <c r="H3529" s="6" t="s">
        <v>55</v>
      </c>
      <c r="I3529" s="6" t="s">
        <v>7566</v>
      </c>
      <c r="J3529" s="6" t="s">
        <v>154</v>
      </c>
      <c r="K3529" s="9" t="str">
        <f>HYPERLINK("https://dms.licdn.com/playlist/vid/v2/D4E05AQE9siAfSuYXCQ/mp4-720p-30fp-crf28/B4EZno0Pq8GUBk-/0/1760547754042?e=2147483647&amp;v=beta&amp;t=k7qYD3GnVR7NZX6JucAQ6ojJymoQ5iaRIl5kldNgWMI","Open Creative")</f>
        <v>Open Creative</v>
      </c>
      <c r="L3529" s="6" t="s">
        <v>131</v>
      </c>
      <c r="M3529" s="6" t="s">
        <v>7537</v>
      </c>
      <c r="N3529" s="6" t="s">
        <v>132</v>
      </c>
      <c r="O3529" s="36" t="s">
        <v>132</v>
      </c>
      <c r="P3529" s="36">
        <v>9.23921806E8</v>
      </c>
      <c r="Q3529" s="36" t="s">
        <v>7541</v>
      </c>
      <c r="R3529" s="6" t="s">
        <v>7542</v>
      </c>
    </row>
    <row r="3530">
      <c r="A3530" s="6" t="s">
        <v>7537</v>
      </c>
      <c r="B3530" s="6" t="s">
        <v>7537</v>
      </c>
      <c r="C3530" s="6">
        <v>1921.0</v>
      </c>
      <c r="D3530" s="9" t="str">
        <f>HYPERLINK("https://www.linkedin.com/ad-library/detail/891223406","Open Ad")</f>
        <v>Open Ad</v>
      </c>
      <c r="E3530" s="6" t="s">
        <v>91</v>
      </c>
      <c r="F3530" s="6" t="s">
        <v>53</v>
      </c>
      <c r="G3530" s="6" t="s">
        <v>7952</v>
      </c>
      <c r="H3530" s="6" t="s">
        <v>55</v>
      </c>
      <c r="I3530" s="6" t="s">
        <v>7566</v>
      </c>
      <c r="J3530" s="6" t="s">
        <v>91</v>
      </c>
      <c r="K3530" s="9" t="str">
        <f>HYPERLINK("https://media.licdn.com/dms/image/v2/D4E22AQFO_kMqumirAw/feedshare-shrink_1280/B4EZmW6bmrIIAs-/0/1759173525412?e=2147483647&amp;v=beta&amp;t=CgStZqkZO3BtWGvFFXdtH22rWgz_4YDm1Cxg9TqOEn8","Open Creative")</f>
        <v>Open Creative</v>
      </c>
      <c r="L3530" s="6" t="s">
        <v>131</v>
      </c>
      <c r="M3530" s="6" t="s">
        <v>7537</v>
      </c>
      <c r="N3530" s="6" t="s">
        <v>132</v>
      </c>
      <c r="O3530" s="36" t="s">
        <v>132</v>
      </c>
      <c r="P3530" s="36">
        <v>8.91223406E8</v>
      </c>
      <c r="Q3530" s="36" t="s">
        <v>7541</v>
      </c>
      <c r="R3530" s="6" t="s">
        <v>7542</v>
      </c>
    </row>
    <row r="3531">
      <c r="A3531" s="6" t="s">
        <v>7537</v>
      </c>
      <c r="B3531" s="6" t="s">
        <v>7537</v>
      </c>
      <c r="C3531" s="6">
        <v>1922.0</v>
      </c>
      <c r="D3531" s="9" t="str">
        <f>HYPERLINK("https://www.linkedin.com/ad-library/detail/921307076","Open Ad")</f>
        <v>Open Ad</v>
      </c>
      <c r="E3531" s="6" t="s">
        <v>91</v>
      </c>
      <c r="F3531" s="6" t="s">
        <v>53</v>
      </c>
      <c r="G3531" s="6" t="s">
        <v>7983</v>
      </c>
      <c r="H3531" s="6" t="s">
        <v>55</v>
      </c>
      <c r="I3531" s="6" t="s">
        <v>7566</v>
      </c>
      <c r="J3531" s="6" t="s">
        <v>91</v>
      </c>
      <c r="K3531" s="9" t="str">
        <f>HYPERLINK("https://media.licdn.com/dms/image/v2/D4E22AQGfZdYcrYrPkA/feedshare-shrink_1280/B4EZmruluHKkAs-/0/1759522743768?e=2147483647&amp;v=beta&amp;t=0Hp-UYkbg_zr8UmJioOOMnZ0qpkSjsz10IG1le70Ji4","Open Creative")</f>
        <v>Open Creative</v>
      </c>
      <c r="L3531" s="6" t="s">
        <v>131</v>
      </c>
      <c r="M3531" s="6" t="s">
        <v>7537</v>
      </c>
      <c r="N3531" s="6" t="s">
        <v>132</v>
      </c>
      <c r="O3531" s="36" t="s">
        <v>132</v>
      </c>
      <c r="P3531" s="36">
        <v>9.21307076E8</v>
      </c>
      <c r="Q3531" s="36" t="s">
        <v>7541</v>
      </c>
      <c r="R3531" s="6" t="s">
        <v>7542</v>
      </c>
    </row>
    <row r="3532">
      <c r="A3532" s="6" t="s">
        <v>7537</v>
      </c>
      <c r="B3532" s="6" t="s">
        <v>7537</v>
      </c>
      <c r="C3532" s="6">
        <v>1923.0</v>
      </c>
      <c r="D3532" s="9" t="str">
        <f>HYPERLINK("https://www.linkedin.com/ad-library/detail/889422386","Open Ad")</f>
        <v>Open Ad</v>
      </c>
      <c r="E3532" s="6" t="s">
        <v>91</v>
      </c>
      <c r="F3532" s="6" t="s">
        <v>53</v>
      </c>
      <c r="G3532" s="6" t="s">
        <v>7991</v>
      </c>
      <c r="H3532" s="6" t="s">
        <v>55</v>
      </c>
      <c r="I3532" s="6" t="s">
        <v>7566</v>
      </c>
      <c r="J3532" s="6" t="s">
        <v>91</v>
      </c>
      <c r="K3532" s="9" t="str">
        <f>HYPERLINK("https://media.licdn.com/dms/image/sync/v2/D5627AQFJQrINiMd0DA/articleshare-shrink_1280_800/B56ZmBEPNWI4AQ-/0/1758806997487?e=2147483647&amp;v=beta&amp;t=Jj2uuFy2bbkJXcfYHtzlevziUbauLRHbpB72IIQ2zoc","Open Creative")</f>
        <v>Open Creative</v>
      </c>
      <c r="L3532" s="6" t="s">
        <v>131</v>
      </c>
      <c r="M3532" s="6" t="s">
        <v>7537</v>
      </c>
      <c r="N3532" s="6" t="s">
        <v>132</v>
      </c>
      <c r="O3532" s="36" t="s">
        <v>132</v>
      </c>
      <c r="P3532" s="36">
        <v>8.89422386E8</v>
      </c>
      <c r="Q3532" s="36" t="s">
        <v>7541</v>
      </c>
      <c r="R3532" s="6" t="s">
        <v>7542</v>
      </c>
    </row>
    <row r="3533">
      <c r="A3533" s="6" t="s">
        <v>7537</v>
      </c>
      <c r="B3533" s="6" t="s">
        <v>7537</v>
      </c>
      <c r="C3533" s="6">
        <v>1924.0</v>
      </c>
      <c r="D3533" s="9" t="str">
        <f>HYPERLINK("https://www.linkedin.com/ad-library/detail/889327976","Open Ad")</f>
        <v>Open Ad</v>
      </c>
      <c r="E3533" s="6" t="s">
        <v>154</v>
      </c>
      <c r="F3533" s="6" t="s">
        <v>53</v>
      </c>
      <c r="G3533" s="6" t="s">
        <v>7989</v>
      </c>
      <c r="H3533" s="6" t="s">
        <v>55</v>
      </c>
      <c r="I3533" s="6" t="s">
        <v>7566</v>
      </c>
      <c r="J3533" s="6" t="s">
        <v>154</v>
      </c>
      <c r="K3533" s="9" t="str">
        <f>HYPERLINK("https://dms.licdn.com/playlist/vid/v2/D4E05AQGMj1n3fAPVNg/mp4-720p-30fp-crf28/B4EZmCWUc4GoBk-/0/1758828516478?e=2147483647&amp;v=beta&amp;t=jD4Nkk81Mh4HJXnq3xgvU1Upnrjos5Xnb82MlW0XjBQ","Open Creative")</f>
        <v>Open Creative</v>
      </c>
      <c r="L3533" s="6" t="s">
        <v>131</v>
      </c>
      <c r="M3533" s="6" t="s">
        <v>7537</v>
      </c>
      <c r="N3533" s="6" t="s">
        <v>132</v>
      </c>
      <c r="O3533" s="36" t="s">
        <v>132</v>
      </c>
      <c r="P3533" s="36">
        <v>8.89327976E8</v>
      </c>
      <c r="Q3533" s="36" t="s">
        <v>7541</v>
      </c>
      <c r="R3533" s="6" t="s">
        <v>7542</v>
      </c>
    </row>
    <row r="3534">
      <c r="A3534" s="6" t="s">
        <v>7537</v>
      </c>
      <c r="B3534" s="6" t="s">
        <v>7537</v>
      </c>
      <c r="C3534" s="6">
        <v>1925.0</v>
      </c>
      <c r="D3534" s="9" t="str">
        <f>HYPERLINK("https://www.linkedin.com/ad-library/detail/921277656","Open Ad")</f>
        <v>Open Ad</v>
      </c>
      <c r="E3534" s="6" t="s">
        <v>91</v>
      </c>
      <c r="F3534" s="6" t="s">
        <v>53</v>
      </c>
      <c r="G3534" s="6" t="s">
        <v>7988</v>
      </c>
      <c r="H3534" s="6" t="s">
        <v>55</v>
      </c>
      <c r="I3534" s="6" t="s">
        <v>7566</v>
      </c>
      <c r="J3534" s="6" t="s">
        <v>91</v>
      </c>
      <c r="K3534" s="9" t="str">
        <f>HYPERLINK("https://media.licdn.com/dms/image/v2/D4E22AQGO0x10QwkqmA/feedshare-shrink_1280/B4EZnJ1_F1KwAs-/0/1760027997121?e=2147483647&amp;v=beta&amp;t=dbPe5WtdiPjz8rN2B6ug1nGP9-vpAuHj9SOXBERqBKk","Open Creative")</f>
        <v>Open Creative</v>
      </c>
      <c r="L3534" s="6" t="s">
        <v>131</v>
      </c>
      <c r="M3534" s="6" t="s">
        <v>7537</v>
      </c>
      <c r="N3534" s="6" t="s">
        <v>132</v>
      </c>
      <c r="O3534" s="36" t="s">
        <v>132</v>
      </c>
      <c r="P3534" s="36">
        <v>9.21277656E8</v>
      </c>
      <c r="Q3534" s="36" t="s">
        <v>7541</v>
      </c>
      <c r="R3534" s="6" t="s">
        <v>7542</v>
      </c>
    </row>
    <row r="3535">
      <c r="A3535" s="6" t="s">
        <v>7537</v>
      </c>
      <c r="B3535" s="6" t="s">
        <v>7537</v>
      </c>
      <c r="C3535" s="6">
        <v>1926.0</v>
      </c>
      <c r="D3535" s="9" t="str">
        <f>HYPERLINK("https://www.linkedin.com/ad-library/detail/890164696","Open Ad")</f>
        <v>Open Ad</v>
      </c>
      <c r="E3535" s="6" t="s">
        <v>91</v>
      </c>
      <c r="F3535" s="6" t="s">
        <v>53</v>
      </c>
      <c r="G3535" s="6" t="s">
        <v>7952</v>
      </c>
      <c r="H3535" s="6" t="s">
        <v>55</v>
      </c>
      <c r="I3535" s="6" t="s">
        <v>7566</v>
      </c>
      <c r="J3535" s="6" t="s">
        <v>91</v>
      </c>
      <c r="K3535" s="9" t="str">
        <f>HYPERLINK("https://media.licdn.com/dms/image/v2/D4E22AQFO_kMqumirAw/feedshare-shrink_1280/B4EZmW6bmrIIAs-/0/1759173525412?e=2147483647&amp;v=beta&amp;t=CgStZqkZO3BtWGvFFXdtH22rWgz_4YDm1Cxg9TqOEn8","Open Creative")</f>
        <v>Open Creative</v>
      </c>
      <c r="L3535" s="6" t="s">
        <v>131</v>
      </c>
      <c r="M3535" s="6" t="s">
        <v>7537</v>
      </c>
      <c r="N3535" s="6" t="s">
        <v>132</v>
      </c>
      <c r="O3535" s="36" t="s">
        <v>132</v>
      </c>
      <c r="P3535" s="36">
        <v>8.90164696E8</v>
      </c>
      <c r="Q3535" s="36" t="s">
        <v>7541</v>
      </c>
      <c r="R3535" s="6" t="s">
        <v>7542</v>
      </c>
    </row>
    <row r="3536">
      <c r="A3536" s="6" t="s">
        <v>7537</v>
      </c>
      <c r="B3536" s="6" t="s">
        <v>7537</v>
      </c>
      <c r="C3536" s="6">
        <v>1927.0</v>
      </c>
      <c r="D3536" s="9" t="str">
        <f>HYPERLINK("https://www.linkedin.com/ad-library/detail/881836056","Open Ad")</f>
        <v>Open Ad</v>
      </c>
      <c r="E3536" s="6" t="s">
        <v>91</v>
      </c>
      <c r="F3536" s="6" t="s">
        <v>53</v>
      </c>
      <c r="G3536" s="6" t="s">
        <v>7970</v>
      </c>
      <c r="H3536" s="6" t="s">
        <v>55</v>
      </c>
      <c r="I3536" s="6" t="s">
        <v>7566</v>
      </c>
      <c r="J3536" s="6" t="s">
        <v>91</v>
      </c>
      <c r="K3536" s="9" t="str">
        <f>HYPERLINK("https://media.licdn.com/dms/image/v2/D4E22AQHC7j3zWNJnCQ/feedshare-shrink_1280/B4EZloCJxnKUAs-/0/1758387019309?e=2147483647&amp;v=beta&amp;t=rx3wTM29qmVx4eWfzcaz7Y9yazcwLQEpvT-E-44D3K4","Open Creative")</f>
        <v>Open Creative</v>
      </c>
      <c r="L3536" s="6" t="s">
        <v>131</v>
      </c>
      <c r="M3536" s="6" t="s">
        <v>7537</v>
      </c>
      <c r="N3536" s="6" t="s">
        <v>132</v>
      </c>
      <c r="O3536" s="36" t="s">
        <v>132</v>
      </c>
      <c r="P3536" s="36">
        <v>8.81836056E8</v>
      </c>
      <c r="Q3536" s="36" t="s">
        <v>7541</v>
      </c>
      <c r="R3536" s="6" t="s">
        <v>7542</v>
      </c>
    </row>
    <row r="3537">
      <c r="A3537" s="6" t="s">
        <v>7537</v>
      </c>
      <c r="B3537" s="6" t="s">
        <v>7537</v>
      </c>
      <c r="C3537" s="6">
        <v>1928.0</v>
      </c>
      <c r="D3537" s="9" t="str">
        <f>HYPERLINK("https://www.linkedin.com/ad-library/detail/889430706","Open Ad")</f>
        <v>Open Ad</v>
      </c>
      <c r="E3537" s="6" t="s">
        <v>91</v>
      </c>
      <c r="F3537" s="6" t="s">
        <v>53</v>
      </c>
      <c r="G3537" s="6" t="s">
        <v>7971</v>
      </c>
      <c r="H3537" s="6" t="s">
        <v>55</v>
      </c>
      <c r="I3537" s="6" t="s">
        <v>7566</v>
      </c>
      <c r="J3537" s="6" t="s">
        <v>91</v>
      </c>
      <c r="K3537" s="9" t="str">
        <f>HYPERLINK("https://media.licdn.com/dms/image/v2/D4E22AQGsxI6fMWHVtw/feedshare-shrink_1280/B4EZjIyNr0GUAw-/0/1755715263608?e=2147483647&amp;v=beta&amp;t=aYXR97LeIfrucp1eJzNjUcZIiq9aW1kCAQBbojwgL6o","Open Creative")</f>
        <v>Open Creative</v>
      </c>
      <c r="L3537" s="6" t="s">
        <v>131</v>
      </c>
      <c r="M3537" s="6" t="s">
        <v>7537</v>
      </c>
      <c r="N3537" s="6" t="s">
        <v>132</v>
      </c>
      <c r="O3537" s="36" t="s">
        <v>132</v>
      </c>
      <c r="P3537" s="36">
        <v>8.89430706E8</v>
      </c>
      <c r="Q3537" s="36" t="s">
        <v>7541</v>
      </c>
      <c r="R3537" s="6" t="s">
        <v>7542</v>
      </c>
    </row>
    <row r="3538">
      <c r="A3538" s="6" t="s">
        <v>7537</v>
      </c>
      <c r="B3538" s="6" t="s">
        <v>7537</v>
      </c>
      <c r="C3538" s="6">
        <v>1929.0</v>
      </c>
      <c r="D3538" s="9" t="str">
        <f>HYPERLINK("https://www.linkedin.com/ad-library/detail/889480196","Open Ad")</f>
        <v>Open Ad</v>
      </c>
      <c r="E3538" s="6" t="s">
        <v>91</v>
      </c>
      <c r="F3538" s="6" t="s">
        <v>53</v>
      </c>
      <c r="G3538" s="6" t="s">
        <v>7982</v>
      </c>
      <c r="H3538" s="6" t="s">
        <v>55</v>
      </c>
      <c r="I3538" s="6" t="s">
        <v>7566</v>
      </c>
      <c r="J3538" s="6" t="s">
        <v>91</v>
      </c>
      <c r="K3538" s="9" t="str">
        <f>HYPERLINK("https://media.licdn.com/dms/image/sync/v2/D4E27AQHqWVMOofIb0A/articleshare-shrink_800/B56aBkDEo9IwAU-/0/1788384923817?e=2147483647&amp;v=beta&amp;t=foqqR249K41MQs4522vxZehQ___RnXnY-aAWs1zgW_Y","Open Creative")</f>
        <v>Open Creative</v>
      </c>
      <c r="L3538" s="6" t="s">
        <v>131</v>
      </c>
      <c r="M3538" s="6" t="s">
        <v>7537</v>
      </c>
      <c r="N3538" s="6" t="s">
        <v>132</v>
      </c>
      <c r="O3538" s="36" t="s">
        <v>132</v>
      </c>
      <c r="P3538" s="36">
        <v>8.89480196E8</v>
      </c>
      <c r="Q3538" s="36" t="s">
        <v>7541</v>
      </c>
      <c r="R3538" s="6" t="s">
        <v>7542</v>
      </c>
    </row>
    <row r="3539">
      <c r="A3539" s="6" t="s">
        <v>7537</v>
      </c>
      <c r="B3539" s="6" t="s">
        <v>7537</v>
      </c>
      <c r="C3539" s="6">
        <v>1930.0</v>
      </c>
      <c r="D3539" s="9" t="str">
        <f>HYPERLINK("https://www.linkedin.com/ad-library/detail/889450516","Open Ad")</f>
        <v>Open Ad</v>
      </c>
      <c r="E3539" s="6" t="s">
        <v>91</v>
      </c>
      <c r="F3539" s="6" t="s">
        <v>53</v>
      </c>
      <c r="G3539" s="6" t="s">
        <v>7992</v>
      </c>
      <c r="H3539" s="6" t="s">
        <v>55</v>
      </c>
      <c r="I3539" s="6" t="s">
        <v>7566</v>
      </c>
      <c r="J3539" s="6" t="s">
        <v>91</v>
      </c>
      <c r="K3539" s="9" t="str">
        <f>HYPERLINK("https://media.licdn.com/dms/image/v2/D4E22AQFLNfiZn42lxg/feedshare-shrink_1280/B4EZmCvoiSHEAs-/0/1758835149758?e=2147483647&amp;v=beta&amp;t=jLpbKBJ3wNBXhlex3liLcThD0X6NpZPqSfssGQk2a_k","Open Creative")</f>
        <v>Open Creative</v>
      </c>
      <c r="L3539" s="6" t="s">
        <v>131</v>
      </c>
      <c r="M3539" s="6" t="s">
        <v>7537</v>
      </c>
      <c r="N3539" s="6" t="s">
        <v>132</v>
      </c>
      <c r="O3539" s="36" t="s">
        <v>132</v>
      </c>
      <c r="P3539" s="36">
        <v>8.89450516E8</v>
      </c>
      <c r="Q3539" s="36" t="s">
        <v>7541</v>
      </c>
      <c r="R3539" s="6" t="s">
        <v>7542</v>
      </c>
    </row>
    <row r="3540">
      <c r="A3540" s="6" t="s">
        <v>7537</v>
      </c>
      <c r="B3540" s="6" t="s">
        <v>7537</v>
      </c>
      <c r="C3540" s="6">
        <v>1931.0</v>
      </c>
      <c r="D3540" s="9" t="str">
        <f>HYPERLINK("https://www.linkedin.com/ad-library/detail/889371296","Open Ad")</f>
        <v>Open Ad</v>
      </c>
      <c r="E3540" s="6" t="s">
        <v>91</v>
      </c>
      <c r="F3540" s="6" t="s">
        <v>53</v>
      </c>
      <c r="G3540" s="6" t="s">
        <v>7982</v>
      </c>
      <c r="H3540" s="6" t="s">
        <v>55</v>
      </c>
      <c r="I3540" s="6" t="s">
        <v>7566</v>
      </c>
      <c r="J3540" s="6" t="s">
        <v>91</v>
      </c>
      <c r="K3540" s="9" t="str">
        <f t="shared" ref="K3540:K3541" si="179">HYPERLINK("https://media.licdn.com/dms/image/sync/v2/D4E27AQHqWVMOofIb0A/articleshare-shrink_800/B56aBkDEo9IwAU-/0/1788384923817?e=2147483647&amp;v=beta&amp;t=foqqR249K41MQs4522vxZehQ___RnXnY-aAWs1zgW_Y","Open Creative")</f>
        <v>Open Creative</v>
      </c>
      <c r="L3540" s="6" t="s">
        <v>131</v>
      </c>
      <c r="M3540" s="6" t="s">
        <v>7537</v>
      </c>
      <c r="N3540" s="6" t="s">
        <v>132</v>
      </c>
      <c r="O3540" s="36" t="s">
        <v>132</v>
      </c>
      <c r="P3540" s="36">
        <v>8.89371296E8</v>
      </c>
      <c r="Q3540" s="36" t="s">
        <v>7541</v>
      </c>
      <c r="R3540" s="6" t="s">
        <v>7542</v>
      </c>
    </row>
    <row r="3541">
      <c r="A3541" s="6" t="s">
        <v>7537</v>
      </c>
      <c r="B3541" s="6" t="s">
        <v>7537</v>
      </c>
      <c r="C3541" s="6">
        <v>1932.0</v>
      </c>
      <c r="D3541" s="9" t="str">
        <f>HYPERLINK("https://www.linkedin.com/ad-library/detail/889430636","Open Ad")</f>
        <v>Open Ad</v>
      </c>
      <c r="E3541" s="6" t="s">
        <v>91</v>
      </c>
      <c r="F3541" s="6" t="s">
        <v>53</v>
      </c>
      <c r="G3541" s="6" t="s">
        <v>7982</v>
      </c>
      <c r="H3541" s="6" t="s">
        <v>55</v>
      </c>
      <c r="I3541" s="6" t="s">
        <v>7566</v>
      </c>
      <c r="J3541" s="6" t="s">
        <v>91</v>
      </c>
      <c r="K3541" s="9" t="str">
        <f t="shared" si="179"/>
        <v>Open Creative</v>
      </c>
      <c r="L3541" s="6" t="s">
        <v>131</v>
      </c>
      <c r="M3541" s="6" t="s">
        <v>7537</v>
      </c>
      <c r="N3541" s="6" t="s">
        <v>132</v>
      </c>
      <c r="O3541" s="36" t="s">
        <v>132</v>
      </c>
      <c r="P3541" s="36">
        <v>8.89430636E8</v>
      </c>
      <c r="Q3541" s="36" t="s">
        <v>7541</v>
      </c>
      <c r="R3541" s="6" t="s">
        <v>7542</v>
      </c>
    </row>
    <row r="3542">
      <c r="A3542" s="6" t="s">
        <v>7537</v>
      </c>
      <c r="B3542" s="6" t="s">
        <v>7537</v>
      </c>
      <c r="C3542" s="6">
        <v>1933.0</v>
      </c>
      <c r="D3542" s="9" t="str">
        <f>HYPERLINK("https://www.linkedin.com/ad-library/detail/889249766","Open Ad")</f>
        <v>Open Ad</v>
      </c>
      <c r="E3542" s="6" t="s">
        <v>91</v>
      </c>
      <c r="F3542" s="6" t="s">
        <v>53</v>
      </c>
      <c r="G3542" s="6" t="s">
        <v>7992</v>
      </c>
      <c r="H3542" s="6" t="s">
        <v>55</v>
      </c>
      <c r="I3542" s="6" t="s">
        <v>7566</v>
      </c>
      <c r="J3542" s="6" t="s">
        <v>91</v>
      </c>
      <c r="K3542" s="9" t="str">
        <f t="shared" ref="K3542:K3543" si="180">HYPERLINK("https://media.licdn.com/dms/image/v2/D4E22AQFLNfiZn42lxg/feedshare-shrink_1280/B4EZmCvoiSHEAs-/0/1758835149758?e=2147483647&amp;v=beta&amp;t=jLpbKBJ3wNBXhlex3liLcThD0X6NpZPqSfssGQk2a_k","Open Creative")</f>
        <v>Open Creative</v>
      </c>
      <c r="L3542" s="6" t="s">
        <v>131</v>
      </c>
      <c r="M3542" s="6" t="s">
        <v>7537</v>
      </c>
      <c r="N3542" s="6" t="s">
        <v>132</v>
      </c>
      <c r="O3542" s="36" t="s">
        <v>132</v>
      </c>
      <c r="P3542" s="36">
        <v>8.89249766E8</v>
      </c>
      <c r="Q3542" s="36" t="s">
        <v>7541</v>
      </c>
      <c r="R3542" s="6" t="s">
        <v>7542</v>
      </c>
    </row>
    <row r="3543">
      <c r="A3543" s="6" t="s">
        <v>7537</v>
      </c>
      <c r="B3543" s="6" t="s">
        <v>7537</v>
      </c>
      <c r="C3543" s="6">
        <v>1934.0</v>
      </c>
      <c r="D3543" s="9" t="str">
        <f>HYPERLINK("https://www.linkedin.com/ad-library/detail/889309766","Open Ad")</f>
        <v>Open Ad</v>
      </c>
      <c r="E3543" s="6" t="s">
        <v>91</v>
      </c>
      <c r="F3543" s="6" t="s">
        <v>53</v>
      </c>
      <c r="G3543" s="6" t="s">
        <v>7992</v>
      </c>
      <c r="H3543" s="6" t="s">
        <v>55</v>
      </c>
      <c r="I3543" s="6" t="s">
        <v>7566</v>
      </c>
      <c r="J3543" s="6" t="s">
        <v>91</v>
      </c>
      <c r="K3543" s="9" t="str">
        <f t="shared" si="180"/>
        <v>Open Creative</v>
      </c>
      <c r="L3543" s="6" t="s">
        <v>131</v>
      </c>
      <c r="M3543" s="6" t="s">
        <v>7537</v>
      </c>
      <c r="N3543" s="6" t="s">
        <v>132</v>
      </c>
      <c r="O3543" s="36" t="s">
        <v>132</v>
      </c>
      <c r="P3543" s="36">
        <v>8.89309766E8</v>
      </c>
      <c r="Q3543" s="36" t="s">
        <v>7541</v>
      </c>
      <c r="R3543" s="6" t="s">
        <v>7542</v>
      </c>
    </row>
    <row r="3544">
      <c r="A3544" s="6" t="s">
        <v>7537</v>
      </c>
      <c r="B3544" s="6" t="s">
        <v>7537</v>
      </c>
      <c r="C3544" s="6">
        <v>1935.0</v>
      </c>
      <c r="D3544" s="9" t="str">
        <f>HYPERLINK("https://www.linkedin.com/ad-library/detail/921157326","Open Ad")</f>
        <v>Open Ad</v>
      </c>
      <c r="E3544" s="6" t="s">
        <v>91</v>
      </c>
      <c r="F3544" s="6" t="s">
        <v>53</v>
      </c>
      <c r="G3544" s="6" t="s">
        <v>7981</v>
      </c>
      <c r="H3544" s="6" t="s">
        <v>55</v>
      </c>
      <c r="I3544" s="6" t="s">
        <v>7566</v>
      </c>
      <c r="J3544" s="6" t="s">
        <v>91</v>
      </c>
      <c r="K3544" s="9" t="str">
        <f>HYPERLINK("https://media.licdn.com/dms/image/v2/D4E22AQE96lq_yY28gQ/feedshare-shrink_1280/B4EZm5hGQ1HcAs-/0/1759754086345?e=2147483647&amp;v=beta&amp;t=APocWSUl4k4fA-Nkhs1KWo3yYhhTxkk0hVEkr2XC2MQ","Open Creative")</f>
        <v>Open Creative</v>
      </c>
      <c r="L3544" s="6" t="s">
        <v>131</v>
      </c>
      <c r="M3544" s="6" t="s">
        <v>7537</v>
      </c>
      <c r="N3544" s="6" t="s">
        <v>132</v>
      </c>
      <c r="O3544" s="36" t="s">
        <v>132</v>
      </c>
      <c r="P3544" s="36">
        <v>9.21157326E8</v>
      </c>
      <c r="Q3544" s="36" t="s">
        <v>7541</v>
      </c>
      <c r="R3544" s="6" t="s">
        <v>7542</v>
      </c>
    </row>
    <row r="3545">
      <c r="A3545" s="6" t="s">
        <v>7537</v>
      </c>
      <c r="B3545" s="6" t="s">
        <v>7537</v>
      </c>
      <c r="C3545" s="6">
        <v>1936.0</v>
      </c>
      <c r="D3545" s="9" t="str">
        <f>HYPERLINK("https://www.linkedin.com/ad-library/detail/889400926","Open Ad")</f>
        <v>Open Ad</v>
      </c>
      <c r="E3545" s="6" t="s">
        <v>91</v>
      </c>
      <c r="F3545" s="6" t="s">
        <v>53</v>
      </c>
      <c r="G3545" s="6" t="s">
        <v>7993</v>
      </c>
      <c r="H3545" s="6" t="s">
        <v>55</v>
      </c>
      <c r="I3545" s="6" t="s">
        <v>7566</v>
      </c>
      <c r="J3545" s="6" t="s">
        <v>91</v>
      </c>
      <c r="K3545" s="9" t="str">
        <f>HYPERLINK("https://media.licdn.com/dms/image/v2/D4E22AQEqwEfYmRprzg/feedshare-shrink_1280/B4EZlOlRpwKYAs-/0/1757960019739?e=2147483647&amp;v=beta&amp;t=PJd3bYwBKSfNlaORZewYD5pL8viFpR0uaMM5cGQ2xOw","Open Creative")</f>
        <v>Open Creative</v>
      </c>
      <c r="L3545" s="6" t="s">
        <v>131</v>
      </c>
      <c r="M3545" s="6" t="s">
        <v>7537</v>
      </c>
      <c r="N3545" s="6" t="s">
        <v>132</v>
      </c>
      <c r="O3545" s="36" t="s">
        <v>132</v>
      </c>
      <c r="P3545" s="36">
        <v>8.89400926E8</v>
      </c>
      <c r="Q3545" s="36" t="s">
        <v>7541</v>
      </c>
      <c r="R3545" s="6" t="s">
        <v>7542</v>
      </c>
    </row>
    <row r="3546">
      <c r="A3546" s="6" t="s">
        <v>7537</v>
      </c>
      <c r="B3546" s="6" t="s">
        <v>7537</v>
      </c>
      <c r="C3546" s="6">
        <v>1937.0</v>
      </c>
      <c r="D3546" s="9" t="str">
        <f>HYPERLINK("https://www.linkedin.com/ad-library/detail/889420896","Open Ad")</f>
        <v>Open Ad</v>
      </c>
      <c r="E3546" s="6" t="s">
        <v>91</v>
      </c>
      <c r="F3546" s="6" t="s">
        <v>53</v>
      </c>
      <c r="G3546" s="6" t="s">
        <v>7970</v>
      </c>
      <c r="H3546" s="6" t="s">
        <v>55</v>
      </c>
      <c r="I3546" s="6" t="s">
        <v>7566</v>
      </c>
      <c r="J3546" s="6" t="s">
        <v>91</v>
      </c>
      <c r="K3546" s="9" t="str">
        <f>HYPERLINK("https://media.licdn.com/dms/image/v2/D4E22AQHC7j3zWNJnCQ/feedshare-shrink_1280/B4EZloCJxnKUAs-/0/1758387019309?e=2147483647&amp;v=beta&amp;t=rx3wTM29qmVx4eWfzcaz7Y9yazcwLQEpvT-E-44D3K4","Open Creative")</f>
        <v>Open Creative</v>
      </c>
      <c r="L3546" s="6" t="s">
        <v>131</v>
      </c>
      <c r="M3546" s="6" t="s">
        <v>7537</v>
      </c>
      <c r="N3546" s="6" t="s">
        <v>132</v>
      </c>
      <c r="O3546" s="36" t="s">
        <v>132</v>
      </c>
      <c r="P3546" s="36">
        <v>8.89420896E8</v>
      </c>
      <c r="Q3546" s="36" t="s">
        <v>7541</v>
      </c>
      <c r="R3546" s="6" t="s">
        <v>7542</v>
      </c>
    </row>
    <row r="3547">
      <c r="A3547" s="6" t="s">
        <v>7537</v>
      </c>
      <c r="B3547" s="6" t="s">
        <v>7537</v>
      </c>
      <c r="C3547" s="6">
        <v>1938.0</v>
      </c>
      <c r="D3547" s="9" t="str">
        <f>HYPERLINK("https://www.linkedin.com/ad-library/detail/891203896","Open Ad")</f>
        <v>Open Ad</v>
      </c>
      <c r="E3547" s="6" t="s">
        <v>91</v>
      </c>
      <c r="F3547" s="6" t="s">
        <v>53</v>
      </c>
      <c r="G3547" s="6" t="s">
        <v>7952</v>
      </c>
      <c r="H3547" s="6" t="s">
        <v>55</v>
      </c>
      <c r="I3547" s="6" t="s">
        <v>7566</v>
      </c>
      <c r="J3547" s="6" t="s">
        <v>91</v>
      </c>
      <c r="K3547" s="9" t="str">
        <f>HYPERLINK("https://media.licdn.com/dms/image/v2/D4E22AQFO_kMqumirAw/feedshare-shrink_1280/B4EZmW6bmrIIAs-/0/1759173525412?e=2147483647&amp;v=beta&amp;t=CgStZqkZO3BtWGvFFXdtH22rWgz_4YDm1Cxg9TqOEn8","Open Creative")</f>
        <v>Open Creative</v>
      </c>
      <c r="L3547" s="6" t="s">
        <v>131</v>
      </c>
      <c r="M3547" s="6" t="s">
        <v>7537</v>
      </c>
      <c r="N3547" s="6" t="s">
        <v>132</v>
      </c>
      <c r="O3547" s="36" t="s">
        <v>132</v>
      </c>
      <c r="P3547" s="36">
        <v>8.91203896E8</v>
      </c>
      <c r="Q3547" s="36" t="s">
        <v>7541</v>
      </c>
      <c r="R3547" s="6" t="s">
        <v>7542</v>
      </c>
    </row>
    <row r="3548">
      <c r="A3548" s="6" t="s">
        <v>7537</v>
      </c>
      <c r="B3548" s="6" t="s">
        <v>7537</v>
      </c>
      <c r="C3548" s="6">
        <v>1939.0</v>
      </c>
      <c r="D3548" s="9" t="str">
        <f>HYPERLINK("https://www.linkedin.com/ad-library/detail/921166856","Open Ad")</f>
        <v>Open Ad</v>
      </c>
      <c r="E3548" s="6" t="s">
        <v>91</v>
      </c>
      <c r="F3548" s="6" t="s">
        <v>53</v>
      </c>
      <c r="G3548" s="6" t="s">
        <v>7983</v>
      </c>
      <c r="H3548" s="6" t="s">
        <v>55</v>
      </c>
      <c r="I3548" s="6" t="s">
        <v>7566</v>
      </c>
      <c r="J3548" s="6" t="s">
        <v>91</v>
      </c>
      <c r="K3548" s="9" t="str">
        <f>HYPERLINK("https://media.licdn.com/dms/image/v2/D4E22AQGfZdYcrYrPkA/feedshare-shrink_1280/B4EZmruluHKkAs-/0/1759522743768?e=2147483647&amp;v=beta&amp;t=0Hp-UYkbg_zr8UmJioOOMnZ0qpkSjsz10IG1le70Ji4","Open Creative")</f>
        <v>Open Creative</v>
      </c>
      <c r="L3548" s="6" t="s">
        <v>131</v>
      </c>
      <c r="M3548" s="6" t="s">
        <v>7537</v>
      </c>
      <c r="N3548" s="6" t="s">
        <v>132</v>
      </c>
      <c r="O3548" s="36" t="s">
        <v>132</v>
      </c>
      <c r="P3548" s="36">
        <v>9.21166856E8</v>
      </c>
      <c r="Q3548" s="36" t="s">
        <v>7541</v>
      </c>
      <c r="R3548" s="6" t="s">
        <v>7542</v>
      </c>
    </row>
    <row r="3549">
      <c r="A3549" s="6" t="s">
        <v>7537</v>
      </c>
      <c r="B3549" s="6" t="s">
        <v>7537</v>
      </c>
      <c r="C3549" s="6">
        <v>1940.0</v>
      </c>
      <c r="D3549" s="9" t="str">
        <f>HYPERLINK("https://www.linkedin.com/ad-library/detail/889341546","Open Ad")</f>
        <v>Open Ad</v>
      </c>
      <c r="E3549" s="6" t="s">
        <v>91</v>
      </c>
      <c r="F3549" s="6" t="s">
        <v>53</v>
      </c>
      <c r="G3549" s="6" t="s">
        <v>7972</v>
      </c>
      <c r="H3549" s="6" t="s">
        <v>55</v>
      </c>
      <c r="I3549" s="6" t="s">
        <v>7566</v>
      </c>
      <c r="J3549" s="6" t="s">
        <v>91</v>
      </c>
      <c r="K3549" s="9" t="str">
        <f>HYPERLINK("https://static.licdn.com/aero-v1/sc/h/9l8dv1r8a09nem281grvopn9l","Open Creative")</f>
        <v>Open Creative</v>
      </c>
      <c r="L3549" s="6" t="s">
        <v>131</v>
      </c>
      <c r="M3549" s="6" t="s">
        <v>7537</v>
      </c>
      <c r="N3549" s="6" t="s">
        <v>132</v>
      </c>
      <c r="O3549" s="36" t="s">
        <v>132</v>
      </c>
      <c r="P3549" s="36">
        <v>8.89341546E8</v>
      </c>
      <c r="Q3549" s="36" t="s">
        <v>7541</v>
      </c>
      <c r="R3549" s="6" t="s">
        <v>7542</v>
      </c>
    </row>
    <row r="3550">
      <c r="A3550" s="6" t="s">
        <v>7537</v>
      </c>
      <c r="B3550" s="6" t="s">
        <v>7537</v>
      </c>
      <c r="C3550" s="6">
        <v>1941.0</v>
      </c>
      <c r="D3550" s="9" t="str">
        <f>HYPERLINK("https://www.linkedin.com/ad-library/detail/890085676","Open Ad")</f>
        <v>Open Ad</v>
      </c>
      <c r="E3550" s="6" t="s">
        <v>91</v>
      </c>
      <c r="F3550" s="6" t="s">
        <v>53</v>
      </c>
      <c r="G3550" s="6" t="s">
        <v>7952</v>
      </c>
      <c r="H3550" s="6" t="s">
        <v>55</v>
      </c>
      <c r="I3550" s="6" t="s">
        <v>7566</v>
      </c>
      <c r="J3550" s="6" t="s">
        <v>91</v>
      </c>
      <c r="K3550" s="9" t="str">
        <f>HYPERLINK("https://media.licdn.com/dms/image/v2/D4E22AQFO_kMqumirAw/feedshare-shrink_1280/B4EZmW6bmrIIAs-/0/1759173525412?e=2147483647&amp;v=beta&amp;t=CgStZqkZO3BtWGvFFXdtH22rWgz_4YDm1Cxg9TqOEn8","Open Creative")</f>
        <v>Open Creative</v>
      </c>
      <c r="L3550" s="6" t="s">
        <v>131</v>
      </c>
      <c r="M3550" s="6" t="s">
        <v>7537</v>
      </c>
      <c r="N3550" s="6" t="s">
        <v>132</v>
      </c>
      <c r="O3550" s="36" t="s">
        <v>132</v>
      </c>
      <c r="P3550" s="36">
        <v>8.90085676E8</v>
      </c>
      <c r="Q3550" s="36" t="s">
        <v>7541</v>
      </c>
      <c r="R3550" s="6" t="s">
        <v>7542</v>
      </c>
    </row>
    <row r="3551">
      <c r="A3551" s="6" t="s">
        <v>7537</v>
      </c>
      <c r="B3551" s="6" t="s">
        <v>7537</v>
      </c>
      <c r="C3551" s="6">
        <v>1942.0</v>
      </c>
      <c r="D3551" s="9" t="str">
        <f>HYPERLINK("https://www.linkedin.com/ad-library/detail/921187166","Open Ad")</f>
        <v>Open Ad</v>
      </c>
      <c r="E3551" s="6" t="s">
        <v>91</v>
      </c>
      <c r="F3551" s="6" t="s">
        <v>53</v>
      </c>
      <c r="G3551" s="6" t="s">
        <v>7988</v>
      </c>
      <c r="H3551" s="6" t="s">
        <v>55</v>
      </c>
      <c r="I3551" s="6" t="s">
        <v>7566</v>
      </c>
      <c r="J3551" s="6" t="s">
        <v>91</v>
      </c>
      <c r="K3551" s="9" t="str">
        <f>HYPERLINK("https://media.licdn.com/dms/image/v2/D4E22AQGO0x10QwkqmA/feedshare-shrink_1280/B4EZnJ1_F1KwAs-/0/1760027997121?e=2147483647&amp;v=beta&amp;t=dbPe5WtdiPjz8rN2B6ug1nGP9-vpAuHj9SOXBERqBKk","Open Creative")</f>
        <v>Open Creative</v>
      </c>
      <c r="L3551" s="6" t="s">
        <v>131</v>
      </c>
      <c r="M3551" s="6" t="s">
        <v>7537</v>
      </c>
      <c r="N3551" s="6" t="s">
        <v>132</v>
      </c>
      <c r="O3551" s="36" t="s">
        <v>132</v>
      </c>
      <c r="P3551" s="36">
        <v>9.21187166E8</v>
      </c>
      <c r="Q3551" s="36" t="s">
        <v>7541</v>
      </c>
      <c r="R3551" s="6" t="s">
        <v>7542</v>
      </c>
    </row>
    <row r="3552">
      <c r="A3552" s="6" t="s">
        <v>7537</v>
      </c>
      <c r="B3552" s="6" t="s">
        <v>7537</v>
      </c>
      <c r="C3552" s="6">
        <v>1943.0</v>
      </c>
      <c r="D3552" s="9" t="str">
        <f>HYPERLINK("https://www.linkedin.com/ad-library/detail/889499796","Open Ad")</f>
        <v>Open Ad</v>
      </c>
      <c r="E3552" s="6" t="s">
        <v>91</v>
      </c>
      <c r="F3552" s="6" t="s">
        <v>53</v>
      </c>
      <c r="G3552" s="6" t="s">
        <v>7992</v>
      </c>
      <c r="H3552" s="6" t="s">
        <v>55</v>
      </c>
      <c r="I3552" s="6" t="s">
        <v>7566</v>
      </c>
      <c r="J3552" s="6" t="s">
        <v>91</v>
      </c>
      <c r="K3552" s="9" t="str">
        <f>HYPERLINK("https://media.licdn.com/dms/image/v2/D4E22AQFLNfiZn42lxg/feedshare-shrink_1280/B4EZmCvoiSHEAs-/0/1758835149758?e=2147483647&amp;v=beta&amp;t=jLpbKBJ3wNBXhlex3liLcThD0X6NpZPqSfssGQk2a_k","Open Creative")</f>
        <v>Open Creative</v>
      </c>
      <c r="L3552" s="6" t="s">
        <v>131</v>
      </c>
      <c r="M3552" s="6" t="s">
        <v>7537</v>
      </c>
      <c r="N3552" s="6" t="s">
        <v>132</v>
      </c>
      <c r="O3552" s="36" t="s">
        <v>132</v>
      </c>
      <c r="P3552" s="36">
        <v>8.89499796E8</v>
      </c>
      <c r="Q3552" s="36" t="s">
        <v>7541</v>
      </c>
      <c r="R3552" s="6" t="s">
        <v>7542</v>
      </c>
    </row>
    <row r="3553">
      <c r="A3553" s="6" t="s">
        <v>7537</v>
      </c>
      <c r="B3553" s="6" t="s">
        <v>7537</v>
      </c>
      <c r="C3553" s="6">
        <v>1944.0</v>
      </c>
      <c r="D3553" s="9" t="str">
        <f>HYPERLINK("https://www.linkedin.com/ad-library/detail/885511696","Open Ad")</f>
        <v>Open Ad</v>
      </c>
      <c r="E3553" s="6" t="s">
        <v>91</v>
      </c>
      <c r="F3553" s="6" t="s">
        <v>53</v>
      </c>
      <c r="G3553" s="6" t="s">
        <v>7991</v>
      </c>
      <c r="H3553" s="6" t="s">
        <v>55</v>
      </c>
      <c r="I3553" s="6" t="s">
        <v>7566</v>
      </c>
      <c r="J3553" s="6" t="s">
        <v>91</v>
      </c>
      <c r="K3553" s="9" t="str">
        <f>HYPERLINK("https://media.licdn.com/dms/image/sync/v2/D5627AQFJQrINiMd0DA/articleshare-shrink_1280_800/B56ZmBEPNWI4AQ-/0/1758806997487?e=2147483647&amp;v=beta&amp;t=Jj2uuFy2bbkJXcfYHtzlevziUbauLRHbpB72IIQ2zoc","Open Creative")</f>
        <v>Open Creative</v>
      </c>
      <c r="L3553" s="6" t="s">
        <v>131</v>
      </c>
      <c r="M3553" s="6" t="s">
        <v>7537</v>
      </c>
      <c r="N3553" s="6" t="s">
        <v>132</v>
      </c>
      <c r="O3553" s="36" t="s">
        <v>132</v>
      </c>
      <c r="P3553" s="36">
        <v>8.85511696E8</v>
      </c>
      <c r="Q3553" s="36" t="s">
        <v>7541</v>
      </c>
      <c r="R3553" s="6" t="s">
        <v>7542</v>
      </c>
    </row>
    <row r="3554">
      <c r="A3554" s="6" t="s">
        <v>7537</v>
      </c>
      <c r="B3554" s="6" t="s">
        <v>7537</v>
      </c>
      <c r="C3554" s="6">
        <v>1945.0</v>
      </c>
      <c r="D3554" s="9" t="str">
        <f>HYPERLINK("https://www.linkedin.com/ad-library/detail/856576366","Open Ad")</f>
        <v>Open Ad</v>
      </c>
      <c r="E3554" s="6" t="s">
        <v>91</v>
      </c>
      <c r="F3554" s="6" t="s">
        <v>53</v>
      </c>
      <c r="G3554" s="6" t="s">
        <v>7994</v>
      </c>
      <c r="H3554" s="6" t="s">
        <v>55</v>
      </c>
      <c r="I3554" s="6" t="s">
        <v>7566</v>
      </c>
      <c r="J3554" s="6" t="s">
        <v>91</v>
      </c>
      <c r="K3554" s="9" t="str">
        <f>HYPERLINK("https://media.licdn.com/dms/image/v2/D5610AQFzdf-M4ojung/image-shrink_1280/B56ZkVunsXHkAY-/0/1757006168473/CHRO2png?e=2147483647&amp;v=beta&amp;t=HZ01zwtf9BiqoTbXC44HuZsxWLWyZjLt6rHNpZldFbw","Open Creative")</f>
        <v>Open Creative</v>
      </c>
      <c r="L3554" s="6" t="s">
        <v>131</v>
      </c>
      <c r="M3554" s="6" t="s">
        <v>7537</v>
      </c>
      <c r="N3554" s="6" t="s">
        <v>132</v>
      </c>
      <c r="O3554" s="36" t="s">
        <v>132</v>
      </c>
      <c r="P3554" s="36">
        <v>8.56576366E8</v>
      </c>
      <c r="Q3554" s="36" t="s">
        <v>7541</v>
      </c>
      <c r="R3554" s="6" t="s">
        <v>7542</v>
      </c>
    </row>
    <row r="3555">
      <c r="A3555" s="6" t="s">
        <v>7537</v>
      </c>
      <c r="B3555" s="6" t="s">
        <v>7537</v>
      </c>
      <c r="C3555" s="6">
        <v>1946.0</v>
      </c>
      <c r="D3555" s="9" t="str">
        <f>HYPERLINK("https://www.linkedin.com/ad-library/detail/881759456","Open Ad")</f>
        <v>Open Ad</v>
      </c>
      <c r="E3555" s="6" t="s">
        <v>91</v>
      </c>
      <c r="F3555" s="6" t="s">
        <v>53</v>
      </c>
      <c r="G3555" s="6" t="s">
        <v>7970</v>
      </c>
      <c r="H3555" s="6" t="s">
        <v>55</v>
      </c>
      <c r="I3555" s="6" t="s">
        <v>7566</v>
      </c>
      <c r="J3555" s="6" t="s">
        <v>91</v>
      </c>
      <c r="K3555" s="9" t="str">
        <f>HYPERLINK("https://media.licdn.com/dms/image/v2/D4E22AQHC7j3zWNJnCQ/feedshare-shrink_1280/B4EZloCJxnKUAs-/0/1758387019309?e=2147483647&amp;v=beta&amp;t=rx3wTM29qmVx4eWfzcaz7Y9yazcwLQEpvT-E-44D3K4","Open Creative")</f>
        <v>Open Creative</v>
      </c>
      <c r="L3555" s="6" t="s">
        <v>131</v>
      </c>
      <c r="M3555" s="6" t="s">
        <v>7537</v>
      </c>
      <c r="N3555" s="6" t="s">
        <v>132</v>
      </c>
      <c r="O3555" s="36" t="s">
        <v>132</v>
      </c>
      <c r="P3555" s="36">
        <v>8.81759456E8</v>
      </c>
      <c r="Q3555" s="36" t="s">
        <v>7541</v>
      </c>
      <c r="R3555" s="6" t="s">
        <v>7542</v>
      </c>
    </row>
    <row r="3556">
      <c r="A3556" s="6" t="s">
        <v>7537</v>
      </c>
      <c r="B3556" s="6" t="s">
        <v>7537</v>
      </c>
      <c r="C3556" s="6">
        <v>1947.0</v>
      </c>
      <c r="D3556" s="9" t="str">
        <f>HYPERLINK("https://www.linkedin.com/ad-library/detail/875176406","Open Ad")</f>
        <v>Open Ad</v>
      </c>
      <c r="E3556" s="6" t="s">
        <v>91</v>
      </c>
      <c r="F3556" s="6" t="s">
        <v>53</v>
      </c>
      <c r="G3556" s="6" t="s">
        <v>7995</v>
      </c>
      <c r="H3556" s="6" t="s">
        <v>55</v>
      </c>
      <c r="I3556" s="6" t="s">
        <v>7566</v>
      </c>
      <c r="J3556" s="6" t="s">
        <v>91</v>
      </c>
      <c r="K3556" s="9" t="str">
        <f>HYPERLINK("https://media.licdn.com/dms/image/v2/D4E22AQEX5EwAfCRAZw/feedshare-shrink_1280/B4EZlZUEXUKYAs-/0/1758140057632?e=2147483647&amp;v=beta&amp;t=kVjPt--NwgC8LGKbI1A0SNDi84wq6-lEI5ZpjNWjiwM","Open Creative")</f>
        <v>Open Creative</v>
      </c>
      <c r="L3556" s="6" t="s">
        <v>131</v>
      </c>
      <c r="M3556" s="6" t="s">
        <v>7537</v>
      </c>
      <c r="N3556" s="6" t="s">
        <v>132</v>
      </c>
      <c r="O3556" s="36" t="s">
        <v>132</v>
      </c>
      <c r="P3556" s="36">
        <v>8.75176406E8</v>
      </c>
      <c r="Q3556" s="36" t="s">
        <v>7541</v>
      </c>
      <c r="R3556" s="6" t="s">
        <v>7542</v>
      </c>
    </row>
    <row r="3557">
      <c r="A3557" s="6" t="s">
        <v>7537</v>
      </c>
      <c r="B3557" s="6" t="s">
        <v>7537</v>
      </c>
      <c r="C3557" s="6">
        <v>1948.0</v>
      </c>
      <c r="D3557" s="9" t="str">
        <f>HYPERLINK("https://www.linkedin.com/ad-library/detail/872779286","Open Ad")</f>
        <v>Open Ad</v>
      </c>
      <c r="E3557" s="6" t="s">
        <v>91</v>
      </c>
      <c r="F3557" s="6" t="s">
        <v>53</v>
      </c>
      <c r="G3557" s="6" t="s">
        <v>7972</v>
      </c>
      <c r="H3557" s="6" t="s">
        <v>55</v>
      </c>
      <c r="I3557" s="6" t="s">
        <v>7566</v>
      </c>
      <c r="J3557" s="6" t="s">
        <v>91</v>
      </c>
      <c r="K3557" s="9" t="str">
        <f>HYPERLINK("https://static.licdn.com/aero-v1/sc/h/9l8dv1r8a09nem281grvopn9l","Open Creative")</f>
        <v>Open Creative</v>
      </c>
      <c r="L3557" s="6" t="s">
        <v>131</v>
      </c>
      <c r="M3557" s="6" t="s">
        <v>7537</v>
      </c>
      <c r="N3557" s="6" t="s">
        <v>132</v>
      </c>
      <c r="O3557" s="36" t="s">
        <v>132</v>
      </c>
      <c r="P3557" s="36">
        <v>8.72779286E8</v>
      </c>
      <c r="Q3557" s="36" t="s">
        <v>7541</v>
      </c>
      <c r="R3557" s="6" t="s">
        <v>7542</v>
      </c>
    </row>
    <row r="3558">
      <c r="A3558" s="6" t="s">
        <v>7537</v>
      </c>
      <c r="B3558" s="6" t="s">
        <v>7537</v>
      </c>
      <c r="C3558" s="6">
        <v>1949.0</v>
      </c>
      <c r="D3558" s="9" t="str">
        <f>HYPERLINK("https://www.linkedin.com/ad-library/detail/861417926","Open Ad")</f>
        <v>Open Ad</v>
      </c>
      <c r="E3558" s="6" t="s">
        <v>91</v>
      </c>
      <c r="F3558" s="6" t="s">
        <v>53</v>
      </c>
      <c r="G3558" s="6" t="s">
        <v>7996</v>
      </c>
      <c r="H3558" s="6" t="s">
        <v>55</v>
      </c>
      <c r="I3558" s="6" t="s">
        <v>7566</v>
      </c>
      <c r="J3558" s="6" t="s">
        <v>91</v>
      </c>
      <c r="K3558" s="9" t="str">
        <f>HYPERLINK("https://media.licdn.com/dms/image/v2/D4E22AQHfNsmKV4DSJw/feedshare-shrink_1280/B4EZjDm4F9GcA4-/0/1755628406011?e=2147483647&amp;v=beta&amp;t=-HyVgifHtXy2GY-UDC5Q7bykqGna7yt_JKAvnP7UN1g","Open Creative")</f>
        <v>Open Creative</v>
      </c>
      <c r="L3558" s="6" t="s">
        <v>131</v>
      </c>
      <c r="M3558" s="6" t="s">
        <v>7537</v>
      </c>
      <c r="N3558" s="6" t="s">
        <v>132</v>
      </c>
      <c r="O3558" s="36" t="s">
        <v>132</v>
      </c>
      <c r="P3558" s="36">
        <v>8.61417926E8</v>
      </c>
      <c r="Q3558" s="36" t="s">
        <v>7541</v>
      </c>
      <c r="R3558" s="6" t="s">
        <v>7542</v>
      </c>
    </row>
    <row r="3559">
      <c r="A3559" s="6" t="s">
        <v>7537</v>
      </c>
      <c r="B3559" s="6" t="s">
        <v>7537</v>
      </c>
      <c r="C3559" s="6">
        <v>1950.0</v>
      </c>
      <c r="D3559" s="9" t="str">
        <f>HYPERLINK("https://www.linkedin.com/ad-library/detail/861506636","Open Ad")</f>
        <v>Open Ad</v>
      </c>
      <c r="E3559" s="6" t="s">
        <v>91</v>
      </c>
      <c r="F3559" s="6" t="s">
        <v>53</v>
      </c>
      <c r="G3559" s="6" t="s">
        <v>7997</v>
      </c>
      <c r="H3559" s="6" t="s">
        <v>55</v>
      </c>
      <c r="I3559" s="6" t="s">
        <v>7566</v>
      </c>
      <c r="J3559" s="6" t="s">
        <v>91</v>
      </c>
      <c r="K3559" s="9" t="str">
        <f>HYPERLINK("https://media.licdn.com/dms/image/v2/D4E22AQHDmZZFRlZ6Xw/feedshare-shrink_1280/B4EZj2bdZeIMAs-/0/1756481050805?e=2147483647&amp;v=beta&amp;t=KXzpQSnVxeLznEBzkoYS9JnF2Ar5NQWez7vvb8br4Iw","Open Creative")</f>
        <v>Open Creative</v>
      </c>
      <c r="L3559" s="6" t="s">
        <v>131</v>
      </c>
      <c r="M3559" s="6" t="s">
        <v>7537</v>
      </c>
      <c r="N3559" s="6" t="s">
        <v>132</v>
      </c>
      <c r="O3559" s="36" t="s">
        <v>132</v>
      </c>
      <c r="P3559" s="36">
        <v>8.61506636E8</v>
      </c>
      <c r="Q3559" s="36" t="s">
        <v>7541</v>
      </c>
      <c r="R3559" s="6" t="s">
        <v>7542</v>
      </c>
    </row>
    <row r="3560">
      <c r="A3560" s="6" t="s">
        <v>7537</v>
      </c>
      <c r="B3560" s="6" t="s">
        <v>7537</v>
      </c>
      <c r="C3560" s="6">
        <v>1951.0</v>
      </c>
      <c r="D3560" s="9" t="str">
        <f>HYPERLINK("https://www.linkedin.com/ad-library/detail/875147176","Open Ad")</f>
        <v>Open Ad</v>
      </c>
      <c r="E3560" s="6" t="s">
        <v>91</v>
      </c>
      <c r="F3560" s="6" t="s">
        <v>53</v>
      </c>
      <c r="G3560" s="6" t="s">
        <v>7995</v>
      </c>
      <c r="H3560" s="6" t="s">
        <v>55</v>
      </c>
      <c r="I3560" s="6" t="s">
        <v>7566</v>
      </c>
      <c r="J3560" s="6" t="s">
        <v>91</v>
      </c>
      <c r="K3560" s="9" t="str">
        <f>HYPERLINK("https://media.licdn.com/dms/image/v2/D4E22AQEX5EwAfCRAZw/feedshare-shrink_1280/B4EZlZUEXUKYAs-/0/1758140057632?e=2147483647&amp;v=beta&amp;t=kVjPt--NwgC8LGKbI1A0SNDi84wq6-lEI5ZpjNWjiwM","Open Creative")</f>
        <v>Open Creative</v>
      </c>
      <c r="L3560" s="6" t="s">
        <v>131</v>
      </c>
      <c r="M3560" s="6" t="s">
        <v>7537</v>
      </c>
      <c r="N3560" s="6" t="s">
        <v>132</v>
      </c>
      <c r="O3560" s="36" t="s">
        <v>132</v>
      </c>
      <c r="P3560" s="36">
        <v>8.75147176E8</v>
      </c>
      <c r="Q3560" s="36" t="s">
        <v>7541</v>
      </c>
      <c r="R3560" s="6" t="s">
        <v>7542</v>
      </c>
    </row>
    <row r="3561">
      <c r="A3561" s="6" t="s">
        <v>7537</v>
      </c>
      <c r="B3561" s="6" t="s">
        <v>7537</v>
      </c>
      <c r="C3561" s="6">
        <v>1952.0</v>
      </c>
      <c r="D3561" s="9" t="str">
        <f>HYPERLINK("https://www.linkedin.com/ad-library/detail/861546196","Open Ad")</f>
        <v>Open Ad</v>
      </c>
      <c r="E3561" s="6" t="s">
        <v>91</v>
      </c>
      <c r="F3561" s="6" t="s">
        <v>53</v>
      </c>
      <c r="G3561" s="6" t="s">
        <v>7998</v>
      </c>
      <c r="H3561" s="6" t="s">
        <v>55</v>
      </c>
      <c r="I3561" s="6" t="s">
        <v>7566</v>
      </c>
      <c r="J3561" s="6" t="s">
        <v>91</v>
      </c>
      <c r="K3561" s="9" t="str">
        <f>HYPERLINK("https://media.licdn.com/dms/image/v2/D4E22AQEkXb1HIfuY9g/feedshare-shrink_1280/B4EZiHaCLZGcAk-/0/1754618406102?e=2147483647&amp;v=beta&amp;t=gJ_zDF6YdOWhO3GXFJqI7EbDW1olvzucEyiTe912yL8","Open Creative")</f>
        <v>Open Creative</v>
      </c>
      <c r="L3561" s="6" t="s">
        <v>131</v>
      </c>
      <c r="M3561" s="6" t="s">
        <v>7537</v>
      </c>
      <c r="N3561" s="6" t="s">
        <v>132</v>
      </c>
      <c r="O3561" s="36" t="s">
        <v>132</v>
      </c>
      <c r="P3561" s="36">
        <v>8.61546196E8</v>
      </c>
      <c r="Q3561" s="36" t="s">
        <v>7541</v>
      </c>
      <c r="R3561" s="6" t="s">
        <v>7542</v>
      </c>
    </row>
    <row r="3562">
      <c r="A3562" s="6" t="s">
        <v>7537</v>
      </c>
      <c r="B3562" s="6" t="s">
        <v>7537</v>
      </c>
      <c r="C3562" s="6">
        <v>1953.0</v>
      </c>
      <c r="D3562" s="9" t="str">
        <f>HYPERLINK("https://www.linkedin.com/ad-library/detail/875676496","Open Ad")</f>
        <v>Open Ad</v>
      </c>
      <c r="E3562" s="6" t="s">
        <v>91</v>
      </c>
      <c r="F3562" s="6" t="s">
        <v>53</v>
      </c>
      <c r="G3562" s="6" t="s">
        <v>7999</v>
      </c>
      <c r="H3562" s="6" t="s">
        <v>55</v>
      </c>
      <c r="I3562" s="6" t="s">
        <v>7566</v>
      </c>
      <c r="J3562" s="6" t="s">
        <v>91</v>
      </c>
      <c r="K3562" s="9" t="str">
        <f>HYPERLINK("https://media.licdn.com/dms/image/v2/D5610AQFARtOslrZ9mg/image-shrink_1280/B56Zk_muJiJsAM-/0/1757708740447?e=2147483647&amp;v=beta&amp;t=sLqN__tNR0ZbJbnrZxk9vTx7Ay0yZE-_tdbYl6sE1qI","Open Creative")</f>
        <v>Open Creative</v>
      </c>
      <c r="L3562" s="6" t="s">
        <v>131</v>
      </c>
      <c r="M3562" s="6" t="s">
        <v>7537</v>
      </c>
      <c r="N3562" s="6" t="s">
        <v>132</v>
      </c>
      <c r="O3562" s="36" t="s">
        <v>132</v>
      </c>
      <c r="P3562" s="36">
        <v>8.75676496E8</v>
      </c>
      <c r="Q3562" s="36" t="s">
        <v>7541</v>
      </c>
      <c r="R3562" s="6" t="s">
        <v>7542</v>
      </c>
    </row>
    <row r="3563">
      <c r="A3563" s="6" t="s">
        <v>7537</v>
      </c>
      <c r="B3563" s="6" t="s">
        <v>7537</v>
      </c>
      <c r="C3563" s="6">
        <v>1954.0</v>
      </c>
      <c r="D3563" s="9" t="str">
        <f>HYPERLINK("https://www.linkedin.com/ad-library/detail/881941906","Open Ad")</f>
        <v>Open Ad</v>
      </c>
      <c r="E3563" s="6" t="s">
        <v>91</v>
      </c>
      <c r="F3563" s="6" t="s">
        <v>53</v>
      </c>
      <c r="G3563" s="6" t="s">
        <v>7970</v>
      </c>
      <c r="H3563" s="6" t="s">
        <v>55</v>
      </c>
      <c r="I3563" s="6" t="s">
        <v>7566</v>
      </c>
      <c r="J3563" s="6" t="s">
        <v>91</v>
      </c>
      <c r="K3563" s="9" t="str">
        <f>HYPERLINK("https://media.licdn.com/dms/image/v2/D4E22AQHC7j3zWNJnCQ/feedshare-shrink_1280/B4EZloCJxnKUAs-/0/1758387019309?e=2147483647&amp;v=beta&amp;t=rx3wTM29qmVx4eWfzcaz7Y9yazcwLQEpvT-E-44D3K4","Open Creative")</f>
        <v>Open Creative</v>
      </c>
      <c r="L3563" s="6" t="s">
        <v>131</v>
      </c>
      <c r="M3563" s="6" t="s">
        <v>7537</v>
      </c>
      <c r="N3563" s="6" t="s">
        <v>132</v>
      </c>
      <c r="O3563" s="36" t="s">
        <v>132</v>
      </c>
      <c r="P3563" s="36">
        <v>8.81941906E8</v>
      </c>
      <c r="Q3563" s="36" t="s">
        <v>7541</v>
      </c>
      <c r="R3563" s="6" t="s">
        <v>7542</v>
      </c>
    </row>
    <row r="3564">
      <c r="A3564" s="6" t="s">
        <v>7537</v>
      </c>
      <c r="B3564" s="6" t="s">
        <v>7537</v>
      </c>
      <c r="C3564" s="6">
        <v>1955.0</v>
      </c>
      <c r="D3564" s="9" t="str">
        <f>HYPERLINK("https://www.linkedin.com/ad-library/detail/856921926","Open Ad")</f>
        <v>Open Ad</v>
      </c>
      <c r="E3564" s="6" t="s">
        <v>91</v>
      </c>
      <c r="F3564" s="6" t="s">
        <v>53</v>
      </c>
      <c r="G3564" s="6" t="s">
        <v>8000</v>
      </c>
      <c r="H3564" s="6" t="s">
        <v>55</v>
      </c>
      <c r="I3564" s="6" t="s">
        <v>7566</v>
      </c>
      <c r="J3564" s="6" t="s">
        <v>91</v>
      </c>
      <c r="K3564" s="9" t="str">
        <f>HYPERLINK("https://media.licdn.com/dms/image/v2/D5610AQHt6qyGn1B8cQ/image-shrink_1280/B56ZkVqmyNIAAU-/0/1757005116058/ceo1png?e=2147483647&amp;v=beta&amp;t=8qfWq7enKZOclTbAM20IJNQjMkQtP7hofZLuaT8cjPI","Open Creative")</f>
        <v>Open Creative</v>
      </c>
      <c r="L3564" s="6" t="s">
        <v>131</v>
      </c>
      <c r="M3564" s="6" t="s">
        <v>7537</v>
      </c>
      <c r="N3564" s="6" t="s">
        <v>132</v>
      </c>
      <c r="O3564" s="36" t="s">
        <v>132</v>
      </c>
      <c r="P3564" s="36">
        <v>8.56921926E8</v>
      </c>
      <c r="Q3564" s="36" t="s">
        <v>7541</v>
      </c>
      <c r="R3564" s="6" t="s">
        <v>7542</v>
      </c>
    </row>
    <row r="3565">
      <c r="A3565" s="6" t="s">
        <v>7537</v>
      </c>
      <c r="B3565" s="6" t="s">
        <v>7537</v>
      </c>
      <c r="C3565" s="6">
        <v>1956.0</v>
      </c>
      <c r="D3565" s="9" t="str">
        <f>HYPERLINK("https://www.linkedin.com/ad-library/detail/838833336","Open Ad")</f>
        <v>Open Ad</v>
      </c>
      <c r="E3565" s="6" t="s">
        <v>154</v>
      </c>
      <c r="F3565" s="6" t="s">
        <v>53</v>
      </c>
      <c r="G3565" s="6" t="s">
        <v>8001</v>
      </c>
      <c r="H3565" s="6" t="s">
        <v>55</v>
      </c>
      <c r="I3565" s="6" t="s">
        <v>7566</v>
      </c>
      <c r="J3565" s="6" t="s">
        <v>154</v>
      </c>
      <c r="K3565" s="9" t="str">
        <f>HYPERLINK("https://dms.licdn.com/playlist/vid/v2/D4E05AQFv_ZgQiRcvVw/mp4-640p-30fp-crf28/B4EZjseCemGwBw-/0/1756313957318?e=2147483647&amp;v=beta&amp;t=33M0sHuJWlT-U4iZXCL6bpDSv7Z5adZ8UBBiRLbTdYg","Open Creative")</f>
        <v>Open Creative</v>
      </c>
      <c r="L3565" s="6" t="s">
        <v>131</v>
      </c>
      <c r="M3565" s="6" t="s">
        <v>7537</v>
      </c>
      <c r="N3565" s="6" t="s">
        <v>132</v>
      </c>
      <c r="O3565" s="36" t="s">
        <v>132</v>
      </c>
      <c r="P3565" s="36">
        <v>8.38833336E8</v>
      </c>
      <c r="Q3565" s="36" t="s">
        <v>7541</v>
      </c>
      <c r="R3565" s="6" t="s">
        <v>7542</v>
      </c>
    </row>
    <row r="3566">
      <c r="A3566" s="6" t="s">
        <v>7537</v>
      </c>
      <c r="B3566" s="6" t="s">
        <v>7537</v>
      </c>
      <c r="C3566" s="6">
        <v>1957.0</v>
      </c>
      <c r="D3566" s="9" t="str">
        <f>HYPERLINK("https://www.linkedin.com/ad-library/detail/875696656","Open Ad")</f>
        <v>Open Ad</v>
      </c>
      <c r="E3566" s="6" t="s">
        <v>91</v>
      </c>
      <c r="F3566" s="6" t="s">
        <v>53</v>
      </c>
      <c r="G3566" s="6" t="s">
        <v>8002</v>
      </c>
      <c r="H3566" s="6" t="s">
        <v>55</v>
      </c>
      <c r="I3566" s="6" t="s">
        <v>7566</v>
      </c>
      <c r="J3566" s="6" t="s">
        <v>91</v>
      </c>
      <c r="K3566" s="9" t="str">
        <f>HYPERLINK("https://media.licdn.com/dms/image/v2/D4E10AQEujU2IQcPGlw/image-shrink_1280/B4EZk.cQxuKcAQ-/0/1757689221876?e=2147483647&amp;v=beta&amp;t=qoKqOyTvRrlKRYEFXCxfCjlK2CCn0Nc7iOQlcMdytSg","Open Creative")</f>
        <v>Open Creative</v>
      </c>
      <c r="L3566" s="6" t="s">
        <v>131</v>
      </c>
      <c r="M3566" s="6" t="s">
        <v>7537</v>
      </c>
      <c r="N3566" s="6" t="s">
        <v>132</v>
      </c>
      <c r="O3566" s="36" t="s">
        <v>132</v>
      </c>
      <c r="P3566" s="36">
        <v>8.75696656E8</v>
      </c>
      <c r="Q3566" s="36" t="s">
        <v>7541</v>
      </c>
      <c r="R3566" s="6" t="s">
        <v>7542</v>
      </c>
    </row>
    <row r="3567">
      <c r="A3567" s="6" t="s">
        <v>7537</v>
      </c>
      <c r="B3567" s="6" t="s">
        <v>7537</v>
      </c>
      <c r="C3567" s="6">
        <v>1958.0</v>
      </c>
      <c r="D3567" s="9" t="str">
        <f>HYPERLINK("https://www.linkedin.com/ad-library/detail/872936196","Open Ad")</f>
        <v>Open Ad</v>
      </c>
      <c r="E3567" s="6" t="s">
        <v>91</v>
      </c>
      <c r="F3567" s="6" t="s">
        <v>53</v>
      </c>
      <c r="G3567" s="6" t="s">
        <v>7993</v>
      </c>
      <c r="H3567" s="6" t="s">
        <v>55</v>
      </c>
      <c r="I3567" s="6" t="s">
        <v>7566</v>
      </c>
      <c r="J3567" s="6" t="s">
        <v>91</v>
      </c>
      <c r="K3567" s="9" t="str">
        <f>HYPERLINK("https://media.licdn.com/dms/image/v2/D4E22AQEqwEfYmRprzg/feedshare-shrink_1280/B4EZlOlRpwKYAs-/0/1757960019739?e=2147483647&amp;v=beta&amp;t=PJd3bYwBKSfNlaORZewYD5pL8viFpR0uaMM5cGQ2xOw","Open Creative")</f>
        <v>Open Creative</v>
      </c>
      <c r="L3567" s="6" t="s">
        <v>131</v>
      </c>
      <c r="M3567" s="6" t="s">
        <v>7537</v>
      </c>
      <c r="N3567" s="6" t="s">
        <v>132</v>
      </c>
      <c r="O3567" s="36" t="s">
        <v>132</v>
      </c>
      <c r="P3567" s="36">
        <v>8.72936196E8</v>
      </c>
      <c r="Q3567" s="36" t="s">
        <v>7541</v>
      </c>
      <c r="R3567" s="6" t="s">
        <v>7542</v>
      </c>
    </row>
    <row r="3568">
      <c r="A3568" s="6" t="s">
        <v>7537</v>
      </c>
      <c r="B3568" s="6" t="s">
        <v>7537</v>
      </c>
      <c r="C3568" s="6">
        <v>1959.0</v>
      </c>
      <c r="D3568" s="9" t="str">
        <f>HYPERLINK("https://www.linkedin.com/ad-library/detail/856950556","Open Ad")</f>
        <v>Open Ad</v>
      </c>
      <c r="E3568" s="6" t="s">
        <v>91</v>
      </c>
      <c r="F3568" s="6" t="s">
        <v>53</v>
      </c>
      <c r="G3568" s="6" t="s">
        <v>8003</v>
      </c>
      <c r="H3568" s="6" t="s">
        <v>55</v>
      </c>
      <c r="I3568" s="6" t="s">
        <v>7566</v>
      </c>
      <c r="J3568" s="6" t="s">
        <v>91</v>
      </c>
      <c r="K3568" s="9" t="str">
        <f>HYPERLINK("https://media.licdn.com/dms/image/v2/D5610AQGSdVP_AEXvWQ/image-shrink_1280/B56ZkVr_YHHkAQ-/0/1757005479502/ceo2png?e=2147483647&amp;v=beta&amp;t=J-zybS3S3qtBN5mkHep7v2DjqX8zs1nT9BMTa2l7W8k","Open Creative")</f>
        <v>Open Creative</v>
      </c>
      <c r="L3568" s="6" t="s">
        <v>131</v>
      </c>
      <c r="M3568" s="6" t="s">
        <v>7537</v>
      </c>
      <c r="N3568" s="6" t="s">
        <v>132</v>
      </c>
      <c r="O3568" s="36" t="s">
        <v>132</v>
      </c>
      <c r="P3568" s="36">
        <v>8.56950556E8</v>
      </c>
      <c r="Q3568" s="36" t="s">
        <v>7541</v>
      </c>
      <c r="R3568" s="6" t="s">
        <v>7542</v>
      </c>
    </row>
    <row r="3569">
      <c r="A3569" s="6" t="s">
        <v>7537</v>
      </c>
      <c r="B3569" s="6" t="s">
        <v>7537</v>
      </c>
      <c r="C3569" s="6">
        <v>1960.0</v>
      </c>
      <c r="D3569" s="9" t="str">
        <f>HYPERLINK("https://www.linkedin.com/ad-library/detail/856603736","Open Ad")</f>
        <v>Open Ad</v>
      </c>
      <c r="E3569" s="6" t="s">
        <v>91</v>
      </c>
      <c r="F3569" s="6" t="s">
        <v>53</v>
      </c>
      <c r="G3569" s="6" t="s">
        <v>8004</v>
      </c>
      <c r="H3569" s="6" t="s">
        <v>55</v>
      </c>
      <c r="I3569" s="6" t="s">
        <v>7566</v>
      </c>
      <c r="J3569" s="6" t="s">
        <v>91</v>
      </c>
      <c r="K3569" s="9" t="str">
        <f>HYPERLINK("https://media.licdn.com/dms/image/v2/D5610AQFkSPh_Gqs5iQ/image-shrink_1280/B56ZkVuMINHQAY-/0/1757006056775/chro1png?e=2147483647&amp;v=beta&amp;t=wQBasoFfETZkI59Yx_wbyHYTw6yTm2dcO_41tY-E0pg","Open Creative")</f>
        <v>Open Creative</v>
      </c>
      <c r="L3569" s="6" t="s">
        <v>131</v>
      </c>
      <c r="M3569" s="6" t="s">
        <v>7537</v>
      </c>
      <c r="N3569" s="6" t="s">
        <v>132</v>
      </c>
      <c r="O3569" s="36" t="s">
        <v>132</v>
      </c>
      <c r="P3569" s="36">
        <v>8.56603736E8</v>
      </c>
      <c r="Q3569" s="36" t="s">
        <v>7541</v>
      </c>
      <c r="R3569" s="6" t="s">
        <v>7542</v>
      </c>
    </row>
    <row r="3570">
      <c r="A3570" s="6" t="s">
        <v>7537</v>
      </c>
      <c r="B3570" s="6" t="s">
        <v>7537</v>
      </c>
      <c r="C3570" s="6">
        <v>1961.0</v>
      </c>
      <c r="D3570" s="9" t="str">
        <f>HYPERLINK("https://www.linkedin.com/ad-library/detail/875672586","Open Ad")</f>
        <v>Open Ad</v>
      </c>
      <c r="E3570" s="6" t="s">
        <v>91</v>
      </c>
      <c r="F3570" s="6" t="s">
        <v>53</v>
      </c>
      <c r="G3570" s="6" t="s">
        <v>7999</v>
      </c>
      <c r="H3570" s="6" t="s">
        <v>55</v>
      </c>
      <c r="I3570" s="6" t="s">
        <v>7566</v>
      </c>
      <c r="J3570" s="6" t="s">
        <v>91</v>
      </c>
      <c r="K3570" s="9" t="str">
        <f>HYPERLINK("https://media.licdn.com/dms/image/v2/D5610AQFARtOslrZ9mg/image-shrink_1280/B56Zk_muJiJsAM-/0/1757708740447?e=2147483647&amp;v=beta&amp;t=sLqN__tNR0ZbJbnrZxk9vTx7Ay0yZE-_tdbYl6sE1qI","Open Creative")</f>
        <v>Open Creative</v>
      </c>
      <c r="L3570" s="6" t="s">
        <v>131</v>
      </c>
      <c r="M3570" s="6" t="s">
        <v>7537</v>
      </c>
      <c r="N3570" s="6" t="s">
        <v>132</v>
      </c>
      <c r="O3570" s="36" t="s">
        <v>132</v>
      </c>
      <c r="P3570" s="36">
        <v>8.75672586E8</v>
      </c>
      <c r="Q3570" s="36" t="s">
        <v>7541</v>
      </c>
      <c r="R3570" s="6" t="s">
        <v>7542</v>
      </c>
    </row>
    <row r="3571">
      <c r="A3571" s="6" t="s">
        <v>7537</v>
      </c>
      <c r="B3571" s="6" t="s">
        <v>7537</v>
      </c>
      <c r="C3571" s="6">
        <v>1962.0</v>
      </c>
      <c r="D3571" s="9" t="str">
        <f>HYPERLINK("https://www.linkedin.com/ad-library/detail/872769136","Open Ad")</f>
        <v>Open Ad</v>
      </c>
      <c r="E3571" s="6" t="s">
        <v>91</v>
      </c>
      <c r="F3571" s="6" t="s">
        <v>53</v>
      </c>
      <c r="G3571" s="6" t="s">
        <v>7972</v>
      </c>
      <c r="H3571" s="6" t="s">
        <v>55</v>
      </c>
      <c r="I3571" s="6" t="s">
        <v>7566</v>
      </c>
      <c r="J3571" s="6" t="s">
        <v>91</v>
      </c>
      <c r="K3571" s="9" t="str">
        <f>HYPERLINK("https://static.licdn.com/aero-v1/sc/h/9l8dv1r8a09nem281grvopn9l","Open Creative")</f>
        <v>Open Creative</v>
      </c>
      <c r="L3571" s="6" t="s">
        <v>131</v>
      </c>
      <c r="M3571" s="6" t="s">
        <v>7537</v>
      </c>
      <c r="N3571" s="6" t="s">
        <v>132</v>
      </c>
      <c r="O3571" s="36" t="s">
        <v>132</v>
      </c>
      <c r="P3571" s="36">
        <v>8.72769136E8</v>
      </c>
      <c r="Q3571" s="36" t="s">
        <v>7541</v>
      </c>
      <c r="R3571" s="6" t="s">
        <v>7542</v>
      </c>
    </row>
    <row r="3572">
      <c r="A3572" s="6" t="s">
        <v>7537</v>
      </c>
      <c r="B3572" s="6" t="s">
        <v>7537</v>
      </c>
      <c r="C3572" s="6">
        <v>1963.0</v>
      </c>
      <c r="D3572" s="9" t="str">
        <f>HYPERLINK("https://www.linkedin.com/ad-library/detail/872878306","Open Ad")</f>
        <v>Open Ad</v>
      </c>
      <c r="E3572" s="6" t="s">
        <v>91</v>
      </c>
      <c r="F3572" s="6" t="s">
        <v>53</v>
      </c>
      <c r="G3572" s="6" t="s">
        <v>7993</v>
      </c>
      <c r="H3572" s="6" t="s">
        <v>55</v>
      </c>
      <c r="I3572" s="6" t="s">
        <v>7566</v>
      </c>
      <c r="J3572" s="6" t="s">
        <v>91</v>
      </c>
      <c r="K3572" s="9" t="str">
        <f>HYPERLINK("https://media.licdn.com/dms/image/v2/D4E22AQEqwEfYmRprzg/feedshare-shrink_1280/B4EZlOlRpwKYAs-/0/1757960019739?e=2147483647&amp;v=beta&amp;t=PJd3bYwBKSfNlaORZewYD5pL8viFpR0uaMM5cGQ2xOw","Open Creative")</f>
        <v>Open Creative</v>
      </c>
      <c r="L3572" s="6" t="s">
        <v>131</v>
      </c>
      <c r="M3572" s="6" t="s">
        <v>7537</v>
      </c>
      <c r="N3572" s="6" t="s">
        <v>132</v>
      </c>
      <c r="O3572" s="36" t="s">
        <v>132</v>
      </c>
      <c r="P3572" s="36">
        <v>8.72878306E8</v>
      </c>
      <c r="Q3572" s="36" t="s">
        <v>7541</v>
      </c>
      <c r="R3572" s="6" t="s">
        <v>7542</v>
      </c>
    </row>
    <row r="3573">
      <c r="A3573" s="6" t="s">
        <v>7537</v>
      </c>
      <c r="B3573" s="6" t="s">
        <v>7537</v>
      </c>
      <c r="C3573" s="6">
        <v>1964.0</v>
      </c>
      <c r="D3573" s="9" t="str">
        <f>HYPERLINK("https://www.linkedin.com/ad-library/detail/861388196","Open Ad")</f>
        <v>Open Ad</v>
      </c>
      <c r="E3573" s="6" t="s">
        <v>91</v>
      </c>
      <c r="F3573" s="6" t="s">
        <v>53</v>
      </c>
      <c r="G3573" s="6" t="s">
        <v>8005</v>
      </c>
      <c r="H3573" s="6" t="s">
        <v>55</v>
      </c>
      <c r="I3573" s="6" t="s">
        <v>7566</v>
      </c>
      <c r="J3573" s="6" t="s">
        <v>91</v>
      </c>
      <c r="K3573" s="9" t="str">
        <f>HYPERLINK("https://media.licdn.com/dms/image/v2/D4E22AQHqERMH_zE3BQ/feedshare-shrink_1280/B4EZjHn_mGHgAw-/0/1755695807325?e=2147483647&amp;v=beta&amp;t=x2iCO3kFIIgDunAsdzTPrt4sK3AHmvWJkamtmiaTphU","Open Creative")</f>
        <v>Open Creative</v>
      </c>
      <c r="L3573" s="6" t="s">
        <v>131</v>
      </c>
      <c r="M3573" s="6" t="s">
        <v>7537</v>
      </c>
      <c r="N3573" s="6" t="s">
        <v>132</v>
      </c>
      <c r="O3573" s="36" t="s">
        <v>132</v>
      </c>
      <c r="P3573" s="36">
        <v>8.61388196E8</v>
      </c>
      <c r="Q3573" s="36" t="s">
        <v>7541</v>
      </c>
      <c r="R3573" s="6" t="s">
        <v>7542</v>
      </c>
    </row>
    <row r="3574">
      <c r="A3574" s="6" t="s">
        <v>7537</v>
      </c>
      <c r="B3574" s="6" t="s">
        <v>7537</v>
      </c>
      <c r="C3574" s="6">
        <v>1965.0</v>
      </c>
      <c r="D3574" s="9" t="str">
        <f>HYPERLINK("https://www.linkedin.com/ad-library/detail/861536176","Open Ad")</f>
        <v>Open Ad</v>
      </c>
      <c r="E3574" s="6" t="s">
        <v>91</v>
      </c>
      <c r="F3574" s="6" t="s">
        <v>53</v>
      </c>
      <c r="G3574" s="6" t="s">
        <v>7971</v>
      </c>
      <c r="H3574" s="6" t="s">
        <v>55</v>
      </c>
      <c r="I3574" s="6" t="s">
        <v>7566</v>
      </c>
      <c r="J3574" s="6" t="s">
        <v>91</v>
      </c>
      <c r="K3574" s="9" t="str">
        <f>HYPERLINK("https://media.licdn.com/dms/image/v2/D4E22AQGsxI6fMWHVtw/feedshare-shrink_1280/B4EZjIyNr0GUAw-/0/1755715263608?e=2147483647&amp;v=beta&amp;t=aYXR97LeIfrucp1eJzNjUcZIiq9aW1kCAQBbojwgL6o","Open Creative")</f>
        <v>Open Creative</v>
      </c>
      <c r="L3574" s="6" t="s">
        <v>131</v>
      </c>
      <c r="M3574" s="6" t="s">
        <v>7537</v>
      </c>
      <c r="N3574" s="6" t="s">
        <v>132</v>
      </c>
      <c r="O3574" s="36" t="s">
        <v>132</v>
      </c>
      <c r="P3574" s="36">
        <v>8.61536176E8</v>
      </c>
      <c r="Q3574" s="36" t="s">
        <v>7541</v>
      </c>
      <c r="R3574" s="6" t="s">
        <v>7542</v>
      </c>
    </row>
    <row r="3575">
      <c r="A3575" s="6" t="s">
        <v>7537</v>
      </c>
      <c r="B3575" s="6" t="s">
        <v>7537</v>
      </c>
      <c r="C3575" s="6">
        <v>1966.0</v>
      </c>
      <c r="D3575" s="9" t="str">
        <f>HYPERLINK("https://www.linkedin.com/ad-library/detail/872941296","Open Ad")</f>
        <v>Open Ad</v>
      </c>
      <c r="E3575" s="6" t="s">
        <v>91</v>
      </c>
      <c r="F3575" s="6" t="s">
        <v>53</v>
      </c>
      <c r="G3575" s="6" t="s">
        <v>7972</v>
      </c>
      <c r="H3575" s="6" t="s">
        <v>55</v>
      </c>
      <c r="I3575" s="6" t="s">
        <v>7566</v>
      </c>
      <c r="J3575" s="6" t="s">
        <v>91</v>
      </c>
      <c r="K3575" s="9" t="str">
        <f>HYPERLINK("https://static.licdn.com/aero-v1/sc/h/9l8dv1r8a09nem281grvopn9l","Open Creative")</f>
        <v>Open Creative</v>
      </c>
      <c r="L3575" s="6" t="s">
        <v>131</v>
      </c>
      <c r="M3575" s="6" t="s">
        <v>7537</v>
      </c>
      <c r="N3575" s="6" t="s">
        <v>132</v>
      </c>
      <c r="O3575" s="36" t="s">
        <v>132</v>
      </c>
      <c r="P3575" s="36">
        <v>8.72941296E8</v>
      </c>
      <c r="Q3575" s="36" t="s">
        <v>7541</v>
      </c>
      <c r="R3575" s="6" t="s">
        <v>7542</v>
      </c>
    </row>
    <row r="3576">
      <c r="A3576" s="6" t="s">
        <v>7537</v>
      </c>
      <c r="B3576" s="6" t="s">
        <v>7537</v>
      </c>
      <c r="C3576" s="6">
        <v>1967.0</v>
      </c>
      <c r="D3576" s="9" t="str">
        <f>HYPERLINK("https://www.linkedin.com/ad-library/detail/875686736","Open Ad")</f>
        <v>Open Ad</v>
      </c>
      <c r="E3576" s="6" t="s">
        <v>91</v>
      </c>
      <c r="F3576" s="6" t="s">
        <v>53</v>
      </c>
      <c r="G3576" s="6" t="s">
        <v>8006</v>
      </c>
      <c r="H3576" s="6" t="s">
        <v>55</v>
      </c>
      <c r="I3576" s="6" t="s">
        <v>7566</v>
      </c>
      <c r="J3576" s="6" t="s">
        <v>91</v>
      </c>
      <c r="K3576" s="9" t="str">
        <f>HYPERLINK("https://media.licdn.com/dms/image/v2/D4D10AQFraiiUaC67VQ/image-shrink_1280/B4DZlYMPHzIYAM-/0/1758121233654?e=2147483647&amp;v=beta&amp;t=ztH3J0NkSHcKpv952GkpkyWShoOohuZaTaqK86ldSvc","Open Creative")</f>
        <v>Open Creative</v>
      </c>
      <c r="L3576" s="6" t="s">
        <v>131</v>
      </c>
      <c r="M3576" s="6" t="s">
        <v>7537</v>
      </c>
      <c r="N3576" s="6" t="s">
        <v>132</v>
      </c>
      <c r="O3576" s="36" t="s">
        <v>132</v>
      </c>
      <c r="P3576" s="36">
        <v>8.75686736E8</v>
      </c>
      <c r="Q3576" s="36" t="s">
        <v>7541</v>
      </c>
      <c r="R3576" s="6" t="s">
        <v>7542</v>
      </c>
    </row>
    <row r="3577">
      <c r="A3577" s="6" t="s">
        <v>7537</v>
      </c>
      <c r="B3577" s="6" t="s">
        <v>7537</v>
      </c>
      <c r="C3577" s="6">
        <v>1968.0</v>
      </c>
      <c r="D3577" s="9" t="str">
        <f>HYPERLINK("https://www.linkedin.com/ad-library/detail/873915576","Open Ad")</f>
        <v>Open Ad</v>
      </c>
      <c r="E3577" s="6" t="s">
        <v>154</v>
      </c>
      <c r="F3577" s="6" t="s">
        <v>53</v>
      </c>
      <c r="G3577" s="6" t="s">
        <v>8007</v>
      </c>
      <c r="H3577" s="6" t="s">
        <v>55</v>
      </c>
      <c r="I3577" s="6" t="s">
        <v>7566</v>
      </c>
      <c r="J3577" s="6" t="s">
        <v>154</v>
      </c>
      <c r="K3577" s="9" t="str">
        <f>HYPERLINK("https://dms.licdn.com/playlist/vid/v2/D4E05AQE71L-ETeAjsw/mp4-720p-30fp-crf28/B4EZlYNcnMGYBk-/0/1758121621608?e=2147483647&amp;v=beta&amp;t=Bv8IISbhqN6OChpE-e3cj7qfVZDE7PJqUAd2unXYb7s","Open Creative")</f>
        <v>Open Creative</v>
      </c>
      <c r="L3577" s="6" t="s">
        <v>131</v>
      </c>
      <c r="M3577" s="6" t="s">
        <v>7537</v>
      </c>
      <c r="N3577" s="6" t="s">
        <v>132</v>
      </c>
      <c r="O3577" s="36" t="s">
        <v>132</v>
      </c>
      <c r="P3577" s="36">
        <v>8.73915576E8</v>
      </c>
      <c r="Q3577" s="36" t="s">
        <v>7541</v>
      </c>
      <c r="R3577" s="6" t="s">
        <v>7542</v>
      </c>
    </row>
    <row r="3578">
      <c r="A3578" s="6" t="s">
        <v>7537</v>
      </c>
      <c r="B3578" s="6" t="s">
        <v>7537</v>
      </c>
      <c r="C3578" s="6">
        <v>1969.0</v>
      </c>
      <c r="D3578" s="9" t="str">
        <f>HYPERLINK("https://www.linkedin.com/ad-library/detail/824502806","Open Ad")</f>
        <v>Open Ad</v>
      </c>
      <c r="E3578" s="6" t="s">
        <v>91</v>
      </c>
      <c r="F3578" s="6" t="s">
        <v>53</v>
      </c>
      <c r="G3578" s="6" t="s">
        <v>8008</v>
      </c>
      <c r="H3578" s="6" t="s">
        <v>55</v>
      </c>
      <c r="I3578" s="6" t="s">
        <v>7566</v>
      </c>
      <c r="J3578" s="6" t="s">
        <v>91</v>
      </c>
      <c r="K3578" s="9" t="str">
        <f>HYPERLINK("https://media.licdn.com/dms/image/v2/D4E22AQHhXWEaBTQdcA/feedshare-shrink_1280/B4EZiKkDzdGwAo-/0/1754671367639?e=2147483647&amp;v=beta&amp;t=ExtZp9291BDWAEp4bWfIjRYzbeDE1q7D0lZJGC88MOA","Open Creative")</f>
        <v>Open Creative</v>
      </c>
      <c r="L3578" s="6" t="s">
        <v>131</v>
      </c>
      <c r="M3578" s="6" t="s">
        <v>7537</v>
      </c>
      <c r="N3578" s="6" t="s">
        <v>132</v>
      </c>
      <c r="O3578" s="36" t="s">
        <v>132</v>
      </c>
      <c r="P3578" s="37">
        <v>8.24502806E8</v>
      </c>
      <c r="Q3578" s="36" t="s">
        <v>7541</v>
      </c>
      <c r="R3578" s="6" t="s">
        <v>7542</v>
      </c>
    </row>
    <row r="3579">
      <c r="A3579" s="6" t="s">
        <v>7537</v>
      </c>
      <c r="B3579" s="6" t="s">
        <v>7537</v>
      </c>
      <c r="C3579" s="6">
        <v>1970.0</v>
      </c>
      <c r="D3579" s="9" t="str">
        <f>HYPERLINK("https://www.linkedin.com/ad-library/detail/369128703","Open Ad")</f>
        <v>Open Ad</v>
      </c>
      <c r="E3579" s="6" t="s">
        <v>91</v>
      </c>
      <c r="F3579" s="6" t="s">
        <v>53</v>
      </c>
      <c r="G3579" s="6" t="s">
        <v>8009</v>
      </c>
      <c r="H3579" s="6" t="s">
        <v>55</v>
      </c>
      <c r="I3579" s="6" t="s">
        <v>7566</v>
      </c>
      <c r="J3579" s="6" t="s">
        <v>91</v>
      </c>
      <c r="K3579" s="6" t="s">
        <v>60</v>
      </c>
      <c r="L3579" s="6" t="s">
        <v>131</v>
      </c>
      <c r="M3579" s="6" t="s">
        <v>7537</v>
      </c>
      <c r="N3579" s="6" t="s">
        <v>132</v>
      </c>
      <c r="O3579" s="36" t="s">
        <v>132</v>
      </c>
      <c r="P3579" s="36">
        <v>3.69128703E8</v>
      </c>
      <c r="Q3579" s="36" t="s">
        <v>7541</v>
      </c>
      <c r="R3579" s="6" t="s">
        <v>7542</v>
      </c>
    </row>
    <row r="3580">
      <c r="A3580" s="6" t="s">
        <v>7537</v>
      </c>
      <c r="B3580" s="6" t="s">
        <v>7537</v>
      </c>
      <c r="C3580" s="6">
        <v>1971.0</v>
      </c>
      <c r="D3580" s="9" t="str">
        <f>HYPERLINK("https://www.linkedin.com/ad-library/detail/835347826","Open Ad")</f>
        <v>Open Ad</v>
      </c>
      <c r="E3580" s="6" t="s">
        <v>91</v>
      </c>
      <c r="F3580" s="6" t="s">
        <v>53</v>
      </c>
      <c r="G3580" s="6" t="s">
        <v>7971</v>
      </c>
      <c r="H3580" s="6" t="s">
        <v>55</v>
      </c>
      <c r="I3580" s="6" t="s">
        <v>7566</v>
      </c>
      <c r="J3580" s="6" t="s">
        <v>91</v>
      </c>
      <c r="K3580" s="9" t="str">
        <f>HYPERLINK("https://media.licdn.com/dms/image/v2/D4E22AQGsxI6fMWHVtw/feedshare-shrink_1280/B4EZjIyNr0GUAw-/0/1755715263608?e=2147483647&amp;v=beta&amp;t=aYXR97LeIfrucp1eJzNjUcZIiq9aW1kCAQBbojwgL6o","Open Creative")</f>
        <v>Open Creative</v>
      </c>
      <c r="L3580" s="6" t="s">
        <v>131</v>
      </c>
      <c r="M3580" s="6" t="s">
        <v>7537</v>
      </c>
      <c r="N3580" s="6" t="s">
        <v>132</v>
      </c>
      <c r="O3580" s="36" t="s">
        <v>132</v>
      </c>
      <c r="P3580" s="36">
        <v>8.35347826E8</v>
      </c>
      <c r="Q3580" s="36" t="s">
        <v>7541</v>
      </c>
      <c r="R3580" s="6" t="s">
        <v>7542</v>
      </c>
    </row>
    <row r="3581">
      <c r="A3581" s="6" t="s">
        <v>7537</v>
      </c>
      <c r="B3581" s="6" t="s">
        <v>7537</v>
      </c>
      <c r="C3581" s="6">
        <v>1972.0</v>
      </c>
      <c r="D3581" s="9" t="str">
        <f>HYPERLINK("https://www.linkedin.com/ad-library/detail/757388226","Open Ad")</f>
        <v>Open Ad</v>
      </c>
      <c r="E3581" s="6" t="s">
        <v>91</v>
      </c>
      <c r="F3581" s="6" t="s">
        <v>53</v>
      </c>
      <c r="G3581" s="6" t="s">
        <v>8010</v>
      </c>
      <c r="H3581" s="6" t="s">
        <v>55</v>
      </c>
      <c r="I3581" s="6" t="s">
        <v>7566</v>
      </c>
      <c r="J3581" s="6" t="s">
        <v>91</v>
      </c>
      <c r="K3581" s="9" t="str">
        <f>HYPERLINK("https://media.licdn.com/dms/image/v2/D4E22AQGROLwlJTXHYA/feedshare-shrink_1280/B4EZbVAA8bGkAo-/0/1747330273727?e=2147483647&amp;v=beta&amp;t=gRbY7QwkjM69MT0f5ErqalJjv1_Yq_ovis6z7hrWnXc","Open Creative")</f>
        <v>Open Creative</v>
      </c>
      <c r="L3581" s="6" t="s">
        <v>131</v>
      </c>
      <c r="M3581" s="6" t="s">
        <v>7537</v>
      </c>
      <c r="N3581" s="6" t="s">
        <v>132</v>
      </c>
      <c r="O3581" s="36" t="s">
        <v>132</v>
      </c>
      <c r="P3581" s="36">
        <v>7.57388226E8</v>
      </c>
      <c r="Q3581" s="36" t="s">
        <v>7541</v>
      </c>
      <c r="R3581" s="6" t="s">
        <v>7542</v>
      </c>
    </row>
    <row r="3582">
      <c r="A3582" s="6" t="s">
        <v>7537</v>
      </c>
      <c r="B3582" s="6" t="s">
        <v>7537</v>
      </c>
      <c r="C3582" s="6">
        <v>1973.0</v>
      </c>
      <c r="D3582" s="9" t="str">
        <f>HYPERLINK("https://www.linkedin.com/ad-library/detail/834781486","Open Ad")</f>
        <v>Open Ad</v>
      </c>
      <c r="E3582" s="6" t="s">
        <v>91</v>
      </c>
      <c r="F3582" s="6" t="s">
        <v>53</v>
      </c>
      <c r="G3582" s="6" t="s">
        <v>7996</v>
      </c>
      <c r="H3582" s="6" t="s">
        <v>55</v>
      </c>
      <c r="I3582" s="6" t="s">
        <v>7566</v>
      </c>
      <c r="J3582" s="6" t="s">
        <v>91</v>
      </c>
      <c r="K3582" s="9" t="str">
        <f>HYPERLINK("https://media.licdn.com/dms/image/v2/D4E22AQHfNsmKV4DSJw/feedshare-shrink_1280/B4EZjDm4F9GcA4-/0/1755628406011?e=2147483647&amp;v=beta&amp;t=-HyVgifHtXy2GY-UDC5Q7bykqGna7yt_JKAvnP7UN1g","Open Creative")</f>
        <v>Open Creative</v>
      </c>
      <c r="L3582" s="6" t="s">
        <v>131</v>
      </c>
      <c r="M3582" s="6" t="s">
        <v>7537</v>
      </c>
      <c r="N3582" s="6" t="s">
        <v>132</v>
      </c>
      <c r="O3582" s="36" t="s">
        <v>132</v>
      </c>
      <c r="P3582" s="36">
        <v>8.34781486E8</v>
      </c>
      <c r="Q3582" s="36" t="s">
        <v>7541</v>
      </c>
      <c r="R3582" s="6" t="s">
        <v>7542</v>
      </c>
    </row>
    <row r="3583">
      <c r="A3583" s="6" t="s">
        <v>7537</v>
      </c>
      <c r="B3583" s="6" t="s">
        <v>7537</v>
      </c>
      <c r="C3583" s="6">
        <v>1974.0</v>
      </c>
      <c r="D3583" s="9" t="str">
        <f>HYPERLINK("https://www.linkedin.com/ad-library/detail/796913696","Open Ad")</f>
        <v>Open Ad</v>
      </c>
      <c r="E3583" s="6" t="s">
        <v>91</v>
      </c>
      <c r="F3583" s="6" t="s">
        <v>53</v>
      </c>
      <c r="G3583" s="6" t="s">
        <v>8011</v>
      </c>
      <c r="H3583" s="6" t="s">
        <v>55</v>
      </c>
      <c r="I3583" s="6" t="s">
        <v>7566</v>
      </c>
      <c r="J3583" s="6" t="s">
        <v>91</v>
      </c>
      <c r="K3583" s="9" t="str">
        <f>HYPERLINK("https://media.licdn.com/dms/image/v2/D4E22AQGzPFbthzqk7Q/feedshare-shrink_1280/B4EZgPBfkaHoAk-/0/1752598707400?e=2147483647&amp;v=beta&amp;t=obGucs9mJbfP0uS6aXaVqfb9q-iDrpcMJOx3eJ4hRgE","Open Creative")</f>
        <v>Open Creative</v>
      </c>
      <c r="L3583" s="6" t="s">
        <v>131</v>
      </c>
      <c r="M3583" s="6" t="s">
        <v>7537</v>
      </c>
      <c r="N3583" s="6" t="s">
        <v>132</v>
      </c>
      <c r="O3583" s="36" t="s">
        <v>132</v>
      </c>
      <c r="P3583" s="36">
        <v>7.96913696E8</v>
      </c>
      <c r="Q3583" s="36" t="s">
        <v>7541</v>
      </c>
      <c r="R3583" s="6" t="s">
        <v>7542</v>
      </c>
    </row>
    <row r="3584">
      <c r="A3584" s="6" t="s">
        <v>7537</v>
      </c>
      <c r="B3584" s="6" t="s">
        <v>7537</v>
      </c>
      <c r="C3584" s="6">
        <v>1975.0</v>
      </c>
      <c r="D3584" s="9" t="str">
        <f>HYPERLINK("https://www.linkedin.com/ad-library/detail/775893753","Open Ad")</f>
        <v>Open Ad</v>
      </c>
      <c r="E3584" s="6" t="s">
        <v>91</v>
      </c>
      <c r="F3584" s="6" t="s">
        <v>53</v>
      </c>
      <c r="G3584" s="6" t="s">
        <v>8012</v>
      </c>
      <c r="H3584" s="6" t="s">
        <v>55</v>
      </c>
      <c r="I3584" s="6" t="s">
        <v>7566</v>
      </c>
      <c r="J3584" s="6" t="s">
        <v>91</v>
      </c>
      <c r="K3584" s="9" t="str">
        <f>HYPERLINK("https://media.licdn.com/dms/image/v2/D4D10AQEOhEny_YnRkw/image-shrink_1280/B4DZjg52reGsAM-/0/1756119920276/WhatsAppImage2025-08-25at121622PMjpeg?e=2147483647&amp;v=beta&amp;t=-i7nxvAQofNMBYbYa4B-oImbhnybppWCcBECmCLNMFo","Open Creative")</f>
        <v>Open Creative</v>
      </c>
      <c r="L3584" s="6" t="s">
        <v>131</v>
      </c>
      <c r="M3584" s="6" t="s">
        <v>7537</v>
      </c>
      <c r="N3584" s="6" t="s">
        <v>132</v>
      </c>
      <c r="O3584" s="36" t="s">
        <v>132</v>
      </c>
      <c r="P3584" s="36">
        <v>7.75893753E8</v>
      </c>
      <c r="Q3584" s="36" t="s">
        <v>7541</v>
      </c>
      <c r="R3584" s="6" t="s">
        <v>7542</v>
      </c>
    </row>
    <row r="3585">
      <c r="A3585" s="6" t="s">
        <v>7537</v>
      </c>
      <c r="B3585" s="6" t="s">
        <v>7537</v>
      </c>
      <c r="C3585" s="6">
        <v>1976.0</v>
      </c>
      <c r="D3585" s="9" t="str">
        <f>HYPERLINK("https://www.linkedin.com/ad-library/detail/796952116","Open Ad")</f>
        <v>Open Ad</v>
      </c>
      <c r="E3585" s="6" t="s">
        <v>91</v>
      </c>
      <c r="F3585" s="6" t="s">
        <v>53</v>
      </c>
      <c r="G3585" s="6" t="s">
        <v>8013</v>
      </c>
      <c r="H3585" s="6" t="s">
        <v>55</v>
      </c>
      <c r="I3585" s="6" t="s">
        <v>7566</v>
      </c>
      <c r="J3585" s="6" t="s">
        <v>91</v>
      </c>
      <c r="K3585" s="9" t="str">
        <f>HYPERLINK("https://media.licdn.com/dms/image/v2/D4E22AQGb69P7NNF3ng/feedshare-shrink_1280/B4EZgTiHJlGoAo-/0/1752674366763?e=2147483647&amp;v=beta&amp;t=Z5KgrD-_B5p0BcwzZ8NThEXcbzVraLjoGL2BwwcLUqM","Open Creative")</f>
        <v>Open Creative</v>
      </c>
      <c r="L3585" s="6" t="s">
        <v>131</v>
      </c>
      <c r="M3585" s="6" t="s">
        <v>7537</v>
      </c>
      <c r="N3585" s="6" t="s">
        <v>132</v>
      </c>
      <c r="O3585" s="36" t="s">
        <v>132</v>
      </c>
      <c r="P3585" s="36">
        <v>7.96952116E8</v>
      </c>
      <c r="Q3585" s="36" t="s">
        <v>7541</v>
      </c>
      <c r="R3585" s="6" t="s">
        <v>7542</v>
      </c>
    </row>
    <row r="3586">
      <c r="A3586" s="6" t="s">
        <v>7537</v>
      </c>
      <c r="B3586" s="6" t="s">
        <v>7537</v>
      </c>
      <c r="C3586" s="6">
        <v>1977.0</v>
      </c>
      <c r="D3586" s="9" t="str">
        <f>HYPERLINK("https://www.linkedin.com/ad-library/detail/805199636","Open Ad")</f>
        <v>Open Ad</v>
      </c>
      <c r="E3586" s="6" t="s">
        <v>91</v>
      </c>
      <c r="F3586" s="6" t="s">
        <v>53</v>
      </c>
      <c r="G3586" s="6" t="s">
        <v>8014</v>
      </c>
      <c r="H3586" s="6" t="s">
        <v>55</v>
      </c>
      <c r="I3586" s="6" t="s">
        <v>7566</v>
      </c>
      <c r="J3586" s="6" t="s">
        <v>91</v>
      </c>
      <c r="K3586" s="9" t="str">
        <f>HYPERLINK("https://media.licdn.com/dms/image/v2/D4E22AQEMxk4mFXmHAA/feedshare-shrink_1280/B4EZhXFxBbHgAk-/0/1753807786645?e=2147483647&amp;v=beta&amp;t=k3u03FVezGTGE6PoV4ppvX3lOpmvXhXwcMGerSBUuZs","Open Creative")</f>
        <v>Open Creative</v>
      </c>
      <c r="L3586" s="6" t="s">
        <v>131</v>
      </c>
      <c r="M3586" s="6" t="s">
        <v>7537</v>
      </c>
      <c r="N3586" s="6" t="s">
        <v>132</v>
      </c>
      <c r="O3586" s="36" t="s">
        <v>132</v>
      </c>
      <c r="P3586" s="36">
        <v>8.05199636E8</v>
      </c>
      <c r="Q3586" s="36" t="s">
        <v>7541</v>
      </c>
      <c r="R3586" s="6" t="s">
        <v>7542</v>
      </c>
    </row>
    <row r="3587">
      <c r="A3587" s="6" t="s">
        <v>7537</v>
      </c>
      <c r="B3587" s="6" t="s">
        <v>7537</v>
      </c>
      <c r="C3587" s="6">
        <v>1978.0</v>
      </c>
      <c r="D3587" s="9" t="str">
        <f>HYPERLINK("https://www.linkedin.com/ad-library/detail/799763036","Open Ad")</f>
        <v>Open Ad</v>
      </c>
      <c r="E3587" s="6" t="s">
        <v>91</v>
      </c>
      <c r="F3587" s="6" t="s">
        <v>53</v>
      </c>
      <c r="G3587" s="6" t="s">
        <v>8015</v>
      </c>
      <c r="H3587" s="6" t="s">
        <v>55</v>
      </c>
      <c r="I3587" s="6" t="s">
        <v>7566</v>
      </c>
      <c r="J3587" s="6" t="s">
        <v>91</v>
      </c>
      <c r="K3587" s="9" t="str">
        <f>HYPERLINK("https://media.licdn.com/dms/image/v2/D4E22AQEL0rr7aLFFjw/feedshare-shrink_800/B4EZg371Y5HEAg-/0/1753285089166?e=2147483647&amp;v=beta&amp;t=_rgBORNScF5eljMN6Gzqx86HDiE5oiGnKrDc5aN6IXY","Open Creative")</f>
        <v>Open Creative</v>
      </c>
      <c r="L3587" s="6" t="s">
        <v>131</v>
      </c>
      <c r="M3587" s="6" t="s">
        <v>7537</v>
      </c>
      <c r="N3587" s="6" t="s">
        <v>132</v>
      </c>
      <c r="O3587" s="36" t="s">
        <v>132</v>
      </c>
      <c r="P3587" s="36">
        <v>7.99763036E8</v>
      </c>
      <c r="Q3587" s="36" t="s">
        <v>7541</v>
      </c>
      <c r="R3587" s="6" t="s">
        <v>7542</v>
      </c>
    </row>
    <row r="3588">
      <c r="A3588" s="6" t="s">
        <v>7537</v>
      </c>
      <c r="B3588" s="6" t="s">
        <v>7537</v>
      </c>
      <c r="C3588" s="6">
        <v>1979.0</v>
      </c>
      <c r="D3588" s="9" t="str">
        <f>HYPERLINK("https://www.linkedin.com/ad-library/detail/838833286","Open Ad")</f>
        <v>Open Ad</v>
      </c>
      <c r="E3588" s="6" t="s">
        <v>91</v>
      </c>
      <c r="F3588" s="6" t="s">
        <v>53</v>
      </c>
      <c r="G3588" s="6" t="s">
        <v>8016</v>
      </c>
      <c r="H3588" s="6" t="s">
        <v>55</v>
      </c>
      <c r="I3588" s="6" t="s">
        <v>7566</v>
      </c>
      <c r="J3588" s="6" t="s">
        <v>91</v>
      </c>
      <c r="K3588" s="9" t="str">
        <f>HYPERLINK("https://media.licdn.com/dms/image/sync/v2/D4D27AQEXkDF2ssfJ6Q/articleshare-shrink_800/B4DZjmzfBDH4AI-/0/1756218913391?e=2147483647&amp;v=beta&amp;t=XpJ3r5rhbDnqSX8TDc15vNXdS_pvPN3k44tf7GQflIw","Open Creative")</f>
        <v>Open Creative</v>
      </c>
      <c r="L3588" s="6" t="s">
        <v>131</v>
      </c>
      <c r="M3588" s="6" t="s">
        <v>7537</v>
      </c>
      <c r="N3588" s="6" t="s">
        <v>132</v>
      </c>
      <c r="O3588" s="36" t="s">
        <v>132</v>
      </c>
      <c r="P3588" s="36">
        <v>8.38833286E8</v>
      </c>
      <c r="Q3588" s="36" t="s">
        <v>7541</v>
      </c>
      <c r="R3588" s="6" t="s">
        <v>7542</v>
      </c>
    </row>
    <row r="3589">
      <c r="A3589" s="6" t="s">
        <v>7537</v>
      </c>
      <c r="B3589" s="6" t="s">
        <v>7537</v>
      </c>
      <c r="C3589" s="6">
        <v>1980.0</v>
      </c>
      <c r="D3589" s="9" t="str">
        <f>HYPERLINK("https://www.linkedin.com/ad-library/detail/805228166","Open Ad")</f>
        <v>Open Ad</v>
      </c>
      <c r="E3589" s="6" t="s">
        <v>91</v>
      </c>
      <c r="F3589" s="6" t="s">
        <v>53</v>
      </c>
      <c r="G3589" s="6" t="s">
        <v>8014</v>
      </c>
      <c r="H3589" s="6" t="s">
        <v>55</v>
      </c>
      <c r="I3589" s="6" t="s">
        <v>7566</v>
      </c>
      <c r="J3589" s="6" t="s">
        <v>91</v>
      </c>
      <c r="K3589" s="9" t="str">
        <f>HYPERLINK("https://media.licdn.com/dms/image/v2/D4E22AQEMxk4mFXmHAA/feedshare-shrink_1280/B4EZhXFxBbHgAk-/0/1753807786645?e=2147483647&amp;v=beta&amp;t=k3u03FVezGTGE6PoV4ppvX3lOpmvXhXwcMGerSBUuZs","Open Creative")</f>
        <v>Open Creative</v>
      </c>
      <c r="L3589" s="6" t="s">
        <v>131</v>
      </c>
      <c r="M3589" s="6" t="s">
        <v>7537</v>
      </c>
      <c r="N3589" s="6" t="s">
        <v>132</v>
      </c>
      <c r="O3589" s="36" t="s">
        <v>132</v>
      </c>
      <c r="P3589" s="36">
        <v>8.05228166E8</v>
      </c>
      <c r="Q3589" s="36" t="s">
        <v>7541</v>
      </c>
      <c r="R3589" s="6" t="s">
        <v>7542</v>
      </c>
    </row>
    <row r="3590">
      <c r="A3590" s="6" t="s">
        <v>7537</v>
      </c>
      <c r="B3590" s="6" t="s">
        <v>7537</v>
      </c>
      <c r="C3590" s="6">
        <v>1981.0</v>
      </c>
      <c r="D3590" s="9" t="str">
        <f>HYPERLINK("https://www.linkedin.com/ad-library/detail/757430446","Open Ad")</f>
        <v>Open Ad</v>
      </c>
      <c r="E3590" s="6" t="s">
        <v>91</v>
      </c>
      <c r="F3590" s="6" t="s">
        <v>53</v>
      </c>
      <c r="G3590" s="6" t="s">
        <v>8017</v>
      </c>
      <c r="H3590" s="6" t="s">
        <v>55</v>
      </c>
      <c r="I3590" s="6" t="s">
        <v>7566</v>
      </c>
      <c r="J3590" s="6" t="s">
        <v>91</v>
      </c>
      <c r="K3590" s="9" t="str">
        <f>HYPERLINK("https://media.licdn.com/dms/image/v2/D5622AQHtDTWMwl6Xcg/feedshare-shrink_1280/B56Zc7pOREGoAk-/0/1749052352263?e=2147483647&amp;v=beta&amp;t=EEkMJr1NmDMDbLhSB5LF1cmMJFnY4wktm92p-CWGiyw","Open Creative")</f>
        <v>Open Creative</v>
      </c>
      <c r="L3590" s="6" t="s">
        <v>131</v>
      </c>
      <c r="M3590" s="6" t="s">
        <v>7537</v>
      </c>
      <c r="N3590" s="6" t="s">
        <v>132</v>
      </c>
      <c r="O3590" s="36" t="s">
        <v>132</v>
      </c>
      <c r="P3590" s="36">
        <v>7.57430446E8</v>
      </c>
      <c r="Q3590" s="36" t="s">
        <v>7541</v>
      </c>
      <c r="R3590" s="6" t="s">
        <v>7542</v>
      </c>
    </row>
    <row r="3591">
      <c r="A3591" s="6" t="s">
        <v>7537</v>
      </c>
      <c r="B3591" s="6" t="s">
        <v>7537</v>
      </c>
      <c r="C3591" s="6">
        <v>1982.0</v>
      </c>
      <c r="D3591" s="9" t="str">
        <f>HYPERLINK("https://www.linkedin.com/ad-library/detail/796970606","Open Ad")</f>
        <v>Open Ad</v>
      </c>
      <c r="E3591" s="6" t="s">
        <v>91</v>
      </c>
      <c r="F3591" s="6" t="s">
        <v>53</v>
      </c>
      <c r="G3591" s="6" t="s">
        <v>8018</v>
      </c>
      <c r="H3591" s="6" t="s">
        <v>55</v>
      </c>
      <c r="I3591" s="6" t="s">
        <v>7566</v>
      </c>
      <c r="J3591" s="6" t="s">
        <v>91</v>
      </c>
      <c r="K3591" s="9" t="str">
        <f>HYPERLINK("https://media.licdn.com/dms/image/v2/D4E22AQFBcBA_JMjTCA/feedshare-shrink_1280/B4EZfvuoU5HIAs-/0/1752073668799?e=2147483647&amp;v=beta&amp;t=ZW3J95Qk9edw9220E5eqDyLPf6FQVqkLON4KvqMw_X8","Open Creative")</f>
        <v>Open Creative</v>
      </c>
      <c r="L3591" s="6" t="s">
        <v>131</v>
      </c>
      <c r="M3591" s="6" t="s">
        <v>7537</v>
      </c>
      <c r="N3591" s="6" t="s">
        <v>132</v>
      </c>
      <c r="O3591" s="36" t="s">
        <v>132</v>
      </c>
      <c r="P3591" s="36">
        <v>7.96970606E8</v>
      </c>
      <c r="Q3591" s="36" t="s">
        <v>7541</v>
      </c>
      <c r="R3591" s="6" t="s">
        <v>7542</v>
      </c>
    </row>
    <row r="3592">
      <c r="A3592" s="6" t="s">
        <v>7537</v>
      </c>
      <c r="B3592" s="6" t="s">
        <v>7537</v>
      </c>
      <c r="C3592" s="6">
        <v>1983.0</v>
      </c>
      <c r="D3592" s="9" t="str">
        <f>HYPERLINK("https://www.linkedin.com/ad-library/detail/834806756","Open Ad")</f>
        <v>Open Ad</v>
      </c>
      <c r="E3592" s="6" t="s">
        <v>91</v>
      </c>
      <c r="F3592" s="6" t="s">
        <v>53</v>
      </c>
      <c r="G3592" s="6" t="s">
        <v>7971</v>
      </c>
      <c r="H3592" s="6" t="s">
        <v>55</v>
      </c>
      <c r="I3592" s="6" t="s">
        <v>7566</v>
      </c>
      <c r="J3592" s="6" t="s">
        <v>91</v>
      </c>
      <c r="K3592" s="9" t="str">
        <f>HYPERLINK("https://media.licdn.com/dms/image/v2/D4E22AQGsxI6fMWHVtw/feedshare-shrink_1280/B4EZjIyNr0GUAw-/0/1755715263608?e=2147483647&amp;v=beta&amp;t=aYXR97LeIfrucp1eJzNjUcZIiq9aW1kCAQBbojwgL6o","Open Creative")</f>
        <v>Open Creative</v>
      </c>
      <c r="L3592" s="6" t="s">
        <v>131</v>
      </c>
      <c r="M3592" s="6" t="s">
        <v>7537</v>
      </c>
      <c r="N3592" s="6" t="s">
        <v>132</v>
      </c>
      <c r="O3592" s="36" t="s">
        <v>132</v>
      </c>
      <c r="P3592" s="36">
        <v>8.34806756E8</v>
      </c>
      <c r="Q3592" s="36" t="s">
        <v>7541</v>
      </c>
      <c r="R3592" s="6" t="s">
        <v>7542</v>
      </c>
    </row>
    <row r="3593">
      <c r="A3593" s="6" t="s">
        <v>7537</v>
      </c>
      <c r="B3593" s="6" t="s">
        <v>7537</v>
      </c>
      <c r="C3593" s="6">
        <v>1984.0</v>
      </c>
      <c r="D3593" s="9" t="str">
        <f>HYPERLINK("https://www.linkedin.com/ad-library/detail/824503366","Open Ad")</f>
        <v>Open Ad</v>
      </c>
      <c r="E3593" s="6" t="s">
        <v>91</v>
      </c>
      <c r="F3593" s="6" t="s">
        <v>53</v>
      </c>
      <c r="G3593" s="6" t="s">
        <v>8008</v>
      </c>
      <c r="H3593" s="6" t="s">
        <v>55</v>
      </c>
      <c r="I3593" s="6" t="s">
        <v>7566</v>
      </c>
      <c r="J3593" s="6" t="s">
        <v>91</v>
      </c>
      <c r="K3593" s="9" t="str">
        <f>HYPERLINK("https://media.licdn.com/dms/image/v2/D4E22AQHhXWEaBTQdcA/feedshare-shrink_1280/B4EZiKkDzdGwAo-/0/1754671367639?e=2147483647&amp;v=beta&amp;t=ExtZp9291BDWAEp4bWfIjRYzbeDE1q7D0lZJGC88MOA","Open Creative")</f>
        <v>Open Creative</v>
      </c>
      <c r="L3593" s="6" t="s">
        <v>131</v>
      </c>
      <c r="M3593" s="6" t="s">
        <v>7537</v>
      </c>
      <c r="N3593" s="6" t="s">
        <v>132</v>
      </c>
      <c r="O3593" s="36" t="s">
        <v>132</v>
      </c>
      <c r="P3593" s="36">
        <v>8.24503366E8</v>
      </c>
      <c r="Q3593" s="36" t="s">
        <v>7541</v>
      </c>
      <c r="R3593" s="6" t="s">
        <v>7542</v>
      </c>
    </row>
    <row r="3594">
      <c r="A3594" s="6" t="s">
        <v>7537</v>
      </c>
      <c r="B3594" s="6" t="s">
        <v>7537</v>
      </c>
      <c r="C3594" s="6">
        <v>1985.0</v>
      </c>
      <c r="D3594" s="9" t="str">
        <f>HYPERLINK("https://www.linkedin.com/ad-library/detail/371181993","Open Ad")</f>
        <v>Open Ad</v>
      </c>
      <c r="E3594" s="6" t="s">
        <v>91</v>
      </c>
      <c r="F3594" s="6" t="s">
        <v>53</v>
      </c>
      <c r="G3594" s="6" t="s">
        <v>8009</v>
      </c>
      <c r="H3594" s="6" t="s">
        <v>55</v>
      </c>
      <c r="I3594" s="6" t="s">
        <v>7566</v>
      </c>
      <c r="J3594" s="6" t="s">
        <v>91</v>
      </c>
      <c r="K3594" s="6" t="s">
        <v>60</v>
      </c>
      <c r="L3594" s="6" t="s">
        <v>131</v>
      </c>
      <c r="M3594" s="6" t="s">
        <v>7537</v>
      </c>
      <c r="N3594" s="6" t="s">
        <v>132</v>
      </c>
      <c r="O3594" s="36" t="s">
        <v>132</v>
      </c>
      <c r="P3594" s="36">
        <v>3.71181993E8</v>
      </c>
      <c r="Q3594" s="36" t="s">
        <v>7541</v>
      </c>
      <c r="R3594" s="6" t="s">
        <v>7542</v>
      </c>
    </row>
    <row r="3595">
      <c r="A3595" s="6" t="s">
        <v>7537</v>
      </c>
      <c r="B3595" s="6" t="s">
        <v>7537</v>
      </c>
      <c r="C3595" s="6">
        <v>1986.0</v>
      </c>
      <c r="D3595" s="9" t="str">
        <f>HYPERLINK("https://www.linkedin.com/ad-library/detail/796923056","Open Ad")</f>
        <v>Open Ad</v>
      </c>
      <c r="E3595" s="6" t="s">
        <v>91</v>
      </c>
      <c r="F3595" s="6" t="s">
        <v>53</v>
      </c>
      <c r="G3595" s="6" t="s">
        <v>8019</v>
      </c>
      <c r="H3595" s="6" t="s">
        <v>55</v>
      </c>
      <c r="I3595" s="6" t="s">
        <v>7566</v>
      </c>
      <c r="J3595" s="6" t="s">
        <v>91</v>
      </c>
      <c r="K3595" s="9" t="str">
        <f>HYPERLINK("https://media.licdn.com/dms/image/v2/D4E22AQFPeTniTXImHg/feedshare-shrink_1280/B4EZflYv1SG4As-/0/1751900159766?e=2147483647&amp;v=beta&amp;t=ZjYrjU60NZBQwwOHU8PaFaLZRTvuzA8f8Hyr1YE5tjQ","Open Creative")</f>
        <v>Open Creative</v>
      </c>
      <c r="L3595" s="6" t="s">
        <v>131</v>
      </c>
      <c r="M3595" s="6" t="s">
        <v>7537</v>
      </c>
      <c r="N3595" s="6" t="s">
        <v>132</v>
      </c>
      <c r="O3595" s="36" t="s">
        <v>132</v>
      </c>
      <c r="P3595" s="36">
        <v>7.96923056E8</v>
      </c>
      <c r="Q3595" s="36" t="s">
        <v>7541</v>
      </c>
      <c r="R3595" s="6" t="s">
        <v>7542</v>
      </c>
    </row>
    <row r="3596">
      <c r="A3596" s="6" t="s">
        <v>7537</v>
      </c>
      <c r="B3596" s="6" t="s">
        <v>7537</v>
      </c>
      <c r="C3596" s="6">
        <v>1987.0</v>
      </c>
      <c r="D3596" s="9" t="str">
        <f>HYPERLINK("https://www.linkedin.com/ad-library/detail/834850916","Open Ad")</f>
        <v>Open Ad</v>
      </c>
      <c r="E3596" s="6" t="s">
        <v>91</v>
      </c>
      <c r="F3596" s="6" t="s">
        <v>53</v>
      </c>
      <c r="G3596" s="6" t="s">
        <v>7996</v>
      </c>
      <c r="H3596" s="6" t="s">
        <v>55</v>
      </c>
      <c r="I3596" s="6" t="s">
        <v>7566</v>
      </c>
      <c r="J3596" s="6" t="s">
        <v>91</v>
      </c>
      <c r="K3596" s="9" t="str">
        <f>HYPERLINK("https://media.licdn.com/dms/image/v2/D4E22AQHfNsmKV4DSJw/feedshare-shrink_1280/B4EZjDm4F9GcA4-/0/1755628406011?e=2147483647&amp;v=beta&amp;t=-HyVgifHtXy2GY-UDC5Q7bykqGna7yt_JKAvnP7UN1g","Open Creative")</f>
        <v>Open Creative</v>
      </c>
      <c r="L3596" s="6" t="s">
        <v>131</v>
      </c>
      <c r="M3596" s="6" t="s">
        <v>7537</v>
      </c>
      <c r="N3596" s="6" t="s">
        <v>132</v>
      </c>
      <c r="O3596" s="36" t="s">
        <v>132</v>
      </c>
      <c r="P3596" s="36">
        <v>8.34850916E8</v>
      </c>
      <c r="Q3596" s="36" t="s">
        <v>7541</v>
      </c>
      <c r="R3596" s="6" t="s">
        <v>7542</v>
      </c>
    </row>
    <row r="3597">
      <c r="O3597" s="36"/>
      <c r="P3597" s="36"/>
      <c r="Q3597" s="38"/>
    </row>
    <row r="3598">
      <c r="O3598" s="36"/>
      <c r="P3598" s="36"/>
      <c r="Q3598" s="38"/>
    </row>
    <row r="3599">
      <c r="A3599" s="6"/>
      <c r="B3599" s="6"/>
      <c r="C3599" s="6"/>
      <c r="E3599" s="6"/>
      <c r="F3599" s="6"/>
      <c r="G3599" s="6"/>
      <c r="H3599" s="6"/>
      <c r="I3599" s="6"/>
      <c r="J3599" s="6"/>
      <c r="L3599" s="6"/>
      <c r="M3599" s="6"/>
      <c r="O3599" s="36"/>
      <c r="P3599" s="36"/>
      <c r="Q3599" s="38"/>
    </row>
    <row r="3600">
      <c r="A3600" s="6" t="s">
        <v>8020</v>
      </c>
      <c r="B3600" s="6" t="s">
        <v>8021</v>
      </c>
      <c r="C3600" s="6">
        <v>1.0</v>
      </c>
      <c r="D3600" s="9" t="str">
        <f>HYPERLINK("https://www.linkedin.com/ad-library/detail/1201822993","Open Ad")</f>
        <v>Open Ad</v>
      </c>
      <c r="E3600" s="6" t="s">
        <v>91</v>
      </c>
      <c r="F3600" s="6" t="s">
        <v>8022</v>
      </c>
      <c r="G3600" s="6" t="s">
        <v>8023</v>
      </c>
      <c r="H3600" s="6" t="s">
        <v>8024</v>
      </c>
      <c r="I3600" s="6" t="s">
        <v>8025</v>
      </c>
      <c r="J3600" s="6" t="s">
        <v>91</v>
      </c>
      <c r="K3600" s="9" t="str">
        <f>HYPERLINK("https://media.licdn.com/dms/image/v2/D4E22AQHdGCLm6ZyfNA/feedshare-image-high-res/B4EZr9xAKdIQAo-/0/1765194073205?e=2147483647&amp;v=beta&amp;t=6sCbx3mRQ0_VG8EnY-nRZiNaZucGukDx5sKWF_xcOkI","View Creative")</f>
        <v>View Creative</v>
      </c>
      <c r="L3600" s="6" t="s">
        <v>62</v>
      </c>
      <c r="M3600" s="6" t="s">
        <v>8020</v>
      </c>
      <c r="N3600" s="6" t="s">
        <v>8026</v>
      </c>
      <c r="O3600" s="36" t="s">
        <v>7541</v>
      </c>
      <c r="P3600" s="36" t="s">
        <v>7542</v>
      </c>
      <c r="Q3600" s="38"/>
    </row>
    <row r="3601">
      <c r="A3601" s="6" t="s">
        <v>8020</v>
      </c>
      <c r="B3601" s="6" t="s">
        <v>8021</v>
      </c>
      <c r="C3601" s="6">
        <v>2.0</v>
      </c>
      <c r="D3601" s="9" t="str">
        <f>HYPERLINK("https://www.linkedin.com/ad-library/detail/1436162683","Open Ad")</f>
        <v>Open Ad</v>
      </c>
      <c r="E3601" s="6" t="s">
        <v>91</v>
      </c>
      <c r="F3601" s="6" t="s">
        <v>8022</v>
      </c>
      <c r="G3601" s="6" t="s">
        <v>8027</v>
      </c>
      <c r="H3601" s="6" t="s">
        <v>55</v>
      </c>
      <c r="I3601" s="6" t="s">
        <v>8025</v>
      </c>
      <c r="J3601" s="6" t="s">
        <v>91</v>
      </c>
      <c r="K3601" s="9" t="str">
        <f>HYPERLINK("https://media.licdn.com/dms/image/v2/D4D22AQFabZBvZGI45Q/feedshare-shrink_1280/B4DZ66vv6_H4AM-/0/1781249540048?e=2147483647&amp;v=beta&amp;t=AFgXLu_EObYC0ojRcZ04PK8vDmQwJ_tkL2ihVP1CjY0","View Creative")</f>
        <v>View Creative</v>
      </c>
      <c r="L3601" s="6" t="s">
        <v>62</v>
      </c>
      <c r="M3601" s="6" t="s">
        <v>8020</v>
      </c>
      <c r="N3601" s="6" t="s">
        <v>8028</v>
      </c>
      <c r="O3601" s="36" t="s">
        <v>7541</v>
      </c>
      <c r="P3601" s="36" t="s">
        <v>7542</v>
      </c>
      <c r="Q3601" s="38"/>
    </row>
    <row r="3602">
      <c r="A3602" s="6" t="s">
        <v>8020</v>
      </c>
      <c r="B3602" s="6" t="s">
        <v>8021</v>
      </c>
      <c r="C3602" s="6">
        <v>3.0</v>
      </c>
      <c r="D3602" s="9" t="str">
        <f>HYPERLINK("https://www.linkedin.com/ad-library/detail/990459863","Open Ad")</f>
        <v>Open Ad</v>
      </c>
      <c r="E3602" s="6" t="s">
        <v>91</v>
      </c>
      <c r="F3602" s="6" t="s">
        <v>8022</v>
      </c>
      <c r="G3602" s="6" t="s">
        <v>8023</v>
      </c>
      <c r="H3602" s="6" t="s">
        <v>8024</v>
      </c>
      <c r="I3602" s="6" t="s">
        <v>8025</v>
      </c>
      <c r="J3602" s="6" t="s">
        <v>91</v>
      </c>
      <c r="K3602" s="9" t="str">
        <f t="shared" ref="K3602:K3603" si="181">HYPERLINK("https://media.licdn.com/dms/image/v2/D4E22AQHdGCLm6ZyfNA/feedshare-image-high-res/B4EZr9xAKdIQAo-/0/1765194073205?e=2147483647&amp;v=beta&amp;t=6sCbx3mRQ0_VG8EnY-nRZiNaZucGukDx5sKWF_xcOkI","View Creative")</f>
        <v>View Creative</v>
      </c>
      <c r="L3602" s="6" t="s">
        <v>62</v>
      </c>
      <c r="M3602" s="6" t="s">
        <v>8020</v>
      </c>
      <c r="N3602" s="6" t="s">
        <v>8029</v>
      </c>
      <c r="O3602" s="36" t="s">
        <v>7541</v>
      </c>
      <c r="P3602" s="36" t="s">
        <v>7542</v>
      </c>
      <c r="Q3602" s="38"/>
    </row>
    <row r="3603">
      <c r="A3603" s="6" t="s">
        <v>8020</v>
      </c>
      <c r="B3603" s="6" t="s">
        <v>8021</v>
      </c>
      <c r="C3603" s="6">
        <v>4.0</v>
      </c>
      <c r="D3603" s="9" t="str">
        <f>HYPERLINK("https://www.linkedin.com/ad-library/detail/1201135213","Open Ad")</f>
        <v>Open Ad</v>
      </c>
      <c r="E3603" s="6" t="s">
        <v>91</v>
      </c>
      <c r="F3603" s="6" t="s">
        <v>8022</v>
      </c>
      <c r="G3603" s="6" t="s">
        <v>8023</v>
      </c>
      <c r="H3603" s="6" t="s">
        <v>8024</v>
      </c>
      <c r="I3603" s="6" t="s">
        <v>8025</v>
      </c>
      <c r="J3603" s="6" t="s">
        <v>91</v>
      </c>
      <c r="K3603" s="9" t="str">
        <f t="shared" si="181"/>
        <v>View Creative</v>
      </c>
      <c r="L3603" s="6" t="s">
        <v>62</v>
      </c>
      <c r="M3603" s="6" t="s">
        <v>8020</v>
      </c>
      <c r="N3603" s="6" t="s">
        <v>8030</v>
      </c>
      <c r="O3603" s="36" t="s">
        <v>7541</v>
      </c>
      <c r="P3603" s="36" t="s">
        <v>7542</v>
      </c>
      <c r="Q3603" s="38"/>
    </row>
    <row r="3604">
      <c r="A3604" s="6" t="s">
        <v>8020</v>
      </c>
      <c r="B3604" s="6" t="s">
        <v>8021</v>
      </c>
      <c r="C3604" s="6">
        <v>5.0</v>
      </c>
      <c r="D3604" s="9" t="str">
        <f>HYPERLINK("https://www.linkedin.com/ad-library/detail/1195680473","Open Ad")</f>
        <v>Open Ad</v>
      </c>
      <c r="E3604" s="6" t="s">
        <v>91</v>
      </c>
      <c r="F3604" s="6" t="s">
        <v>8022</v>
      </c>
      <c r="G3604" s="6" t="s">
        <v>8031</v>
      </c>
      <c r="H3604" s="6" t="s">
        <v>55</v>
      </c>
      <c r="I3604" s="6" t="s">
        <v>8025</v>
      </c>
      <c r="J3604" s="6" t="s">
        <v>91</v>
      </c>
      <c r="K3604" s="9" t="str">
        <f>HYPERLINK("https://media.licdn.com/dms/image/v2/D4D22AQGy5lxVyuHDJA/feedshare-shrink_1280/B4DZz3T3g6IoAM-/0/1773675708335?e=2147483647&amp;v=beta&amp;t=wCP7ZzCefJl8IrssG4WJoQZtt8SxC1jpAoNPPGqxQqs","View Creative")</f>
        <v>View Creative</v>
      </c>
      <c r="L3604" s="6" t="s">
        <v>62</v>
      </c>
      <c r="M3604" s="6" t="s">
        <v>8020</v>
      </c>
      <c r="N3604" s="6" t="s">
        <v>8032</v>
      </c>
      <c r="O3604" s="36" t="s">
        <v>7541</v>
      </c>
      <c r="P3604" s="36" t="s">
        <v>7542</v>
      </c>
      <c r="Q3604" s="38"/>
    </row>
    <row r="3605">
      <c r="A3605" s="6" t="s">
        <v>8020</v>
      </c>
      <c r="B3605" s="6" t="s">
        <v>8021</v>
      </c>
      <c r="C3605" s="6">
        <v>6.0</v>
      </c>
      <c r="D3605" s="9" t="str">
        <f>HYPERLINK("https://www.linkedin.com/ad-library/detail/1496581073","Open Ad")</f>
        <v>Open Ad</v>
      </c>
      <c r="E3605" s="6" t="s">
        <v>91</v>
      </c>
      <c r="F3605" s="6" t="s">
        <v>8022</v>
      </c>
      <c r="G3605" s="6" t="s">
        <v>8033</v>
      </c>
      <c r="H3605" s="6" t="s">
        <v>55</v>
      </c>
      <c r="I3605" s="6" t="s">
        <v>8025</v>
      </c>
      <c r="J3605" s="6" t="s">
        <v>91</v>
      </c>
      <c r="K3605" s="9" t="str">
        <f>HYPERLINK("https://media.licdn.com/dms/image/v2/D4E22AQHowjrQUXriTg/feedshare-shrink_1280/B4EaAlZYm5K8AM-/0/1787333806776?e=2147483647&amp;v=beta&amp;t=vUo1mh1qMrrMCwSy2sgBA_dkBsn3F75dO5bechOxk-g","View Creative")</f>
        <v>View Creative</v>
      </c>
      <c r="L3605" s="6" t="s">
        <v>62</v>
      </c>
      <c r="M3605" s="6" t="s">
        <v>8020</v>
      </c>
      <c r="N3605" s="6" t="s">
        <v>8034</v>
      </c>
      <c r="O3605" s="36" t="s">
        <v>7541</v>
      </c>
      <c r="P3605" s="36" t="s">
        <v>7542</v>
      </c>
      <c r="Q3605" s="38"/>
    </row>
    <row r="3606">
      <c r="A3606" s="6" t="s">
        <v>8020</v>
      </c>
      <c r="B3606" s="6" t="s">
        <v>8021</v>
      </c>
      <c r="C3606" s="6">
        <v>7.0</v>
      </c>
      <c r="D3606" s="9" t="str">
        <f>HYPERLINK("https://www.linkedin.com/ad-library/detail/1214685203","Open Ad")</f>
        <v>Open Ad</v>
      </c>
      <c r="E3606" s="6" t="s">
        <v>52</v>
      </c>
      <c r="F3606" s="6" t="s">
        <v>8022</v>
      </c>
      <c r="G3606" s="6" t="s">
        <v>8035</v>
      </c>
      <c r="H3606" s="6" t="s">
        <v>8036</v>
      </c>
      <c r="I3606" s="6" t="s">
        <v>8025</v>
      </c>
      <c r="J3606" s="6" t="s">
        <v>52</v>
      </c>
      <c r="K3606" s="6" t="s">
        <v>60</v>
      </c>
      <c r="L3606" s="6" t="s">
        <v>62</v>
      </c>
      <c r="M3606" s="6" t="s">
        <v>8020</v>
      </c>
      <c r="N3606" s="6" t="s">
        <v>8037</v>
      </c>
      <c r="O3606" s="36" t="s">
        <v>7541</v>
      </c>
      <c r="P3606" s="36" t="s">
        <v>7542</v>
      </c>
      <c r="Q3606" s="38"/>
    </row>
    <row r="3607">
      <c r="A3607" s="6" t="s">
        <v>8020</v>
      </c>
      <c r="B3607" s="6" t="s">
        <v>8021</v>
      </c>
      <c r="C3607" s="6">
        <v>8.0</v>
      </c>
      <c r="D3607" s="9" t="str">
        <f>HYPERLINK("https://www.linkedin.com/ad-library/detail/1203198013","Open Ad")</f>
        <v>Open Ad</v>
      </c>
      <c r="E3607" s="6" t="s">
        <v>91</v>
      </c>
      <c r="F3607" s="6" t="s">
        <v>8022</v>
      </c>
      <c r="G3607" s="6" t="s">
        <v>8023</v>
      </c>
      <c r="H3607" s="6" t="s">
        <v>8024</v>
      </c>
      <c r="I3607" s="6" t="s">
        <v>8025</v>
      </c>
      <c r="J3607" s="6" t="s">
        <v>91</v>
      </c>
      <c r="K3607" s="9" t="str">
        <f>HYPERLINK("https://media.licdn.com/dms/image/v2/D4E22AQHdGCLm6ZyfNA/feedshare-image-high-res/B4EZr9xAKdIQAo-/0/1765194073205?e=2147483647&amp;v=beta&amp;t=6sCbx3mRQ0_VG8EnY-nRZiNaZucGukDx5sKWF_xcOkI","View Creative")</f>
        <v>View Creative</v>
      </c>
      <c r="L3607" s="6" t="s">
        <v>62</v>
      </c>
      <c r="M3607" s="6" t="s">
        <v>8020</v>
      </c>
      <c r="N3607" s="6" t="s">
        <v>8038</v>
      </c>
      <c r="O3607" s="36" t="s">
        <v>7541</v>
      </c>
      <c r="P3607" s="36" t="s">
        <v>7542</v>
      </c>
      <c r="Q3607" s="38"/>
    </row>
    <row r="3608">
      <c r="A3608" s="6" t="s">
        <v>8020</v>
      </c>
      <c r="B3608" s="6" t="s">
        <v>8021</v>
      </c>
      <c r="C3608" s="6">
        <v>9.0</v>
      </c>
      <c r="D3608" s="9" t="str">
        <f>HYPERLINK("https://www.linkedin.com/ad-library/detail/1001382606","Open Ad")</f>
        <v>Open Ad</v>
      </c>
      <c r="E3608" s="6" t="s">
        <v>91</v>
      </c>
      <c r="F3608" s="6" t="s">
        <v>8022</v>
      </c>
      <c r="G3608" s="6" t="s">
        <v>8039</v>
      </c>
      <c r="H3608" s="6" t="s">
        <v>55</v>
      </c>
      <c r="I3608" s="6" t="s">
        <v>8025</v>
      </c>
      <c r="J3608" s="6" t="s">
        <v>91</v>
      </c>
      <c r="K3608" s="9" t="str">
        <f>HYPERLINK("https://media.licdn.com/dms/image/v2/D5610AQFjOdob4RUMxw/image-shrink_627_1200/B56ZsoOpoyIYAc-/0/1765906488495?e=1789480800&amp;v=beta&amp;t=upmC-epYaLtT09fIiQEQ-Rr1_DGUTRgBUKgxyMJ7Cu8","View Creative")</f>
        <v>View Creative</v>
      </c>
      <c r="L3608" s="6" t="s">
        <v>62</v>
      </c>
      <c r="M3608" s="6" t="s">
        <v>8020</v>
      </c>
      <c r="N3608" s="6" t="s">
        <v>8040</v>
      </c>
      <c r="O3608" s="36" t="s">
        <v>7541</v>
      </c>
      <c r="P3608" s="36" t="s">
        <v>7542</v>
      </c>
      <c r="Q3608" s="38"/>
    </row>
    <row r="3609">
      <c r="A3609" s="6" t="s">
        <v>8020</v>
      </c>
      <c r="B3609" s="6" t="s">
        <v>8021</v>
      </c>
      <c r="C3609" s="6">
        <v>10.0</v>
      </c>
      <c r="D3609" s="9" t="str">
        <f>HYPERLINK("https://www.linkedin.com/ad-library/detail/1201531633","Open Ad")</f>
        <v>Open Ad</v>
      </c>
      <c r="E3609" s="6" t="s">
        <v>91</v>
      </c>
      <c r="F3609" s="6" t="s">
        <v>8022</v>
      </c>
      <c r="G3609" s="6" t="s">
        <v>8023</v>
      </c>
      <c r="H3609" s="6" t="s">
        <v>8024</v>
      </c>
      <c r="I3609" s="6" t="s">
        <v>8025</v>
      </c>
      <c r="J3609" s="6" t="s">
        <v>91</v>
      </c>
      <c r="K3609" s="9" t="str">
        <f t="shared" ref="K3609:K3610" si="182">HYPERLINK("https://media.licdn.com/dms/image/v2/D4E22AQHdGCLm6ZyfNA/feedshare-image-high-res/B4EZr9xAKdIQAo-/0/1765194073205?e=2147483647&amp;v=beta&amp;t=6sCbx3mRQ0_VG8EnY-nRZiNaZucGukDx5sKWF_xcOkI","View Creative")</f>
        <v>View Creative</v>
      </c>
      <c r="L3609" s="6" t="s">
        <v>62</v>
      </c>
      <c r="M3609" s="6" t="s">
        <v>8020</v>
      </c>
      <c r="N3609" s="6" t="s">
        <v>8038</v>
      </c>
      <c r="O3609" s="36" t="s">
        <v>7541</v>
      </c>
      <c r="P3609" s="36" t="s">
        <v>7542</v>
      </c>
      <c r="Q3609" s="38"/>
    </row>
    <row r="3610">
      <c r="A3610" s="6" t="s">
        <v>8020</v>
      </c>
      <c r="B3610" s="6" t="s">
        <v>8021</v>
      </c>
      <c r="C3610" s="6">
        <v>11.0</v>
      </c>
      <c r="D3610" s="9" t="str">
        <f>HYPERLINK("https://www.linkedin.com/ad-library/detail/1201234223","Open Ad")</f>
        <v>Open Ad</v>
      </c>
      <c r="E3610" s="6" t="s">
        <v>91</v>
      </c>
      <c r="F3610" s="6" t="s">
        <v>8022</v>
      </c>
      <c r="G3610" s="6" t="s">
        <v>8023</v>
      </c>
      <c r="H3610" s="6" t="s">
        <v>8024</v>
      </c>
      <c r="I3610" s="6" t="s">
        <v>8025</v>
      </c>
      <c r="J3610" s="6" t="s">
        <v>91</v>
      </c>
      <c r="K3610" s="9" t="str">
        <f t="shared" si="182"/>
        <v>View Creative</v>
      </c>
      <c r="L3610" s="6" t="s">
        <v>62</v>
      </c>
      <c r="M3610" s="6" t="s">
        <v>8020</v>
      </c>
      <c r="N3610" s="6" t="s">
        <v>8041</v>
      </c>
      <c r="O3610" s="36" t="s">
        <v>7541</v>
      </c>
      <c r="P3610" s="36" t="s">
        <v>7542</v>
      </c>
      <c r="Q3610" s="38"/>
    </row>
    <row r="3611">
      <c r="A3611" s="6"/>
      <c r="B3611" s="6"/>
      <c r="C3611" s="6"/>
      <c r="E3611" s="6"/>
      <c r="F3611" s="6"/>
      <c r="G3611" s="6"/>
      <c r="H3611" s="6"/>
      <c r="I3611" s="6"/>
      <c r="J3611" s="6"/>
      <c r="L3611" s="6"/>
      <c r="M3611" s="6"/>
      <c r="O3611" s="36"/>
      <c r="P3611" s="36"/>
      <c r="Q3611" s="38"/>
    </row>
    <row r="3612">
      <c r="A3612" s="6" t="s">
        <v>8042</v>
      </c>
      <c r="B3612" s="6" t="s">
        <v>8043</v>
      </c>
      <c r="C3612" s="6">
        <v>1.0</v>
      </c>
      <c r="D3612" s="9" t="str">
        <f>HYPERLINK("https://www.linkedin.com/ad-library/detail/1427700153","Open Ad")</f>
        <v>Open Ad</v>
      </c>
      <c r="E3612" s="6" t="s">
        <v>91</v>
      </c>
      <c r="F3612" s="6" t="s">
        <v>8022</v>
      </c>
      <c r="G3612" s="6" t="s">
        <v>8044</v>
      </c>
      <c r="H3612" s="6" t="s">
        <v>55</v>
      </c>
      <c r="I3612" s="6" t="s">
        <v>8025</v>
      </c>
      <c r="J3612" s="6" t="s">
        <v>91</v>
      </c>
      <c r="K3612" s="9" t="str">
        <f>HYPERLINK("https://media.licdn.com/dms/image/v2/D4D10AQG1-tct_Zw-Wg/image-shrink_800/B4DZ6HWRStKIAo-/0/1780387222939/1780386902027jpg?e=2147483647&amp;v=beta&amp;t=hScMaeTVB6uKXrQLAXfwEuzkXLbsaGCsDLe7nAKb3i8","View Creative")</f>
        <v>View Creative</v>
      </c>
      <c r="L3612" s="6" t="s">
        <v>62</v>
      </c>
      <c r="M3612" s="6" t="s">
        <v>8042</v>
      </c>
      <c r="O3612" s="36" t="s">
        <v>7541</v>
      </c>
      <c r="P3612" s="36" t="s">
        <v>7542</v>
      </c>
      <c r="Q3612" s="38"/>
    </row>
    <row r="3613">
      <c r="A3613" s="6" t="s">
        <v>8042</v>
      </c>
      <c r="B3613" s="6" t="s">
        <v>8043</v>
      </c>
      <c r="C3613" s="6">
        <v>2.0</v>
      </c>
      <c r="D3613" s="9" t="str">
        <f>HYPERLINK("https://www.linkedin.com/ad-library/detail/1427583033","Open Ad")</f>
        <v>Open Ad</v>
      </c>
      <c r="E3613" s="6" t="s">
        <v>154</v>
      </c>
      <c r="F3613" s="6" t="s">
        <v>8022</v>
      </c>
      <c r="G3613" s="6" t="s">
        <v>8045</v>
      </c>
      <c r="H3613" s="6" t="s">
        <v>55</v>
      </c>
      <c r="I3613" s="6" t="s">
        <v>8025</v>
      </c>
      <c r="J3613" s="6" t="s">
        <v>154</v>
      </c>
      <c r="K3613" s="9" t="str">
        <f>HYPERLINK("https://dms.licdn.com/playlist/vid/v2/D4D10AQHUaJszPV1mZw/mp4-720p-30fp-crf28/B4DZ5jr7m0KUCM-/0/1779788925410/AccuRanker-MCP1mp4?e=2147483647&amp;v=beta&amp;t=MA75odbQRw3Lu9VEtXA3472GXVlAMilALv9N7I1UCNg","View Creative")</f>
        <v>View Creative</v>
      </c>
      <c r="L3613" s="6" t="s">
        <v>62</v>
      </c>
      <c r="M3613" s="6" t="s">
        <v>8042</v>
      </c>
      <c r="N3613" s="6" t="s">
        <v>8046</v>
      </c>
      <c r="O3613" s="36" t="s">
        <v>7541</v>
      </c>
      <c r="P3613" s="36" t="s">
        <v>7542</v>
      </c>
      <c r="Q3613" s="38"/>
    </row>
    <row r="3614">
      <c r="A3614" s="6" t="s">
        <v>8042</v>
      </c>
      <c r="B3614" s="6" t="s">
        <v>8043</v>
      </c>
      <c r="C3614" s="6">
        <v>3.0</v>
      </c>
      <c r="D3614" s="9" t="str">
        <f>HYPERLINK("https://www.linkedin.com/ad-library/detail/1269689933","Open Ad")</f>
        <v>Open Ad</v>
      </c>
      <c r="E3614" s="6" t="s">
        <v>91</v>
      </c>
      <c r="F3614" s="6" t="s">
        <v>8022</v>
      </c>
      <c r="G3614" s="6" t="s">
        <v>8047</v>
      </c>
      <c r="H3614" s="6" t="s">
        <v>769</v>
      </c>
      <c r="I3614" s="6" t="s">
        <v>8025</v>
      </c>
      <c r="J3614" s="6" t="s">
        <v>91</v>
      </c>
      <c r="K3614" s="9" t="str">
        <f>HYPERLINK("https://media.licdn.com/dms/image/v2/D4D10AQFEDBVehqhzgw/image-shrink_1280/B4DZ5FnZB8J4Ac-/0/1779284414887/1778678615326jpg?e=2147483647&amp;v=beta&amp;t=izp8hN3_UXYzU1ZY_kqJrfOD4ksiqZf1gbZ1rbeEoq0","View Creative")</f>
        <v>View Creative</v>
      </c>
      <c r="L3614" s="6" t="s">
        <v>62</v>
      </c>
      <c r="M3614" s="6" t="s">
        <v>8042</v>
      </c>
      <c r="O3614" s="36" t="s">
        <v>7541</v>
      </c>
      <c r="P3614" s="36" t="s">
        <v>7542</v>
      </c>
      <c r="Q3614" s="38"/>
    </row>
    <row r="3615">
      <c r="A3615" s="6" t="s">
        <v>8042</v>
      </c>
      <c r="B3615" s="6" t="s">
        <v>8043</v>
      </c>
      <c r="C3615" s="6">
        <v>4.0</v>
      </c>
      <c r="D3615" s="9" t="str">
        <f>HYPERLINK("https://www.linkedin.com/ad-library/detail/1427522953","Open Ad")</f>
        <v>Open Ad</v>
      </c>
      <c r="E3615" s="6" t="s">
        <v>154</v>
      </c>
      <c r="F3615" s="6" t="s">
        <v>8022</v>
      </c>
      <c r="G3615" s="6" t="s">
        <v>8048</v>
      </c>
      <c r="H3615" s="6" t="s">
        <v>55</v>
      </c>
      <c r="I3615" s="6" t="s">
        <v>8025</v>
      </c>
      <c r="J3615" s="6" t="s">
        <v>154</v>
      </c>
      <c r="K3615" s="9" t="str">
        <f>HYPERLINK("https://dms.licdn.com/playlist/vid/v2/D4D10AQFNreKiVC6BTg/mp4-360p-30fp-crf28/B4DZ6C9J8jJECM-/0/1780313534024/AccuRankerMCPAPPmp4?e=2147483647&amp;v=beta&amp;t=926wWWZiL64lzHluzaRFLlS_mwMpF3BPUrUwJrSklzI","View Creative")</f>
        <v>View Creative</v>
      </c>
      <c r="L3615" s="6" t="s">
        <v>62</v>
      </c>
      <c r="M3615" s="6" t="s">
        <v>8042</v>
      </c>
      <c r="O3615" s="36" t="s">
        <v>7541</v>
      </c>
      <c r="P3615" s="36" t="s">
        <v>7542</v>
      </c>
      <c r="Q3615" s="38"/>
    </row>
    <row r="3616">
      <c r="A3616" s="6" t="s">
        <v>8042</v>
      </c>
      <c r="B3616" s="6" t="s">
        <v>8043</v>
      </c>
      <c r="C3616" s="6">
        <v>5.0</v>
      </c>
      <c r="D3616" s="9" t="str">
        <f>HYPERLINK("https://www.linkedin.com/ad-library/detail/1412451166","Open Ad")</f>
        <v>Open Ad</v>
      </c>
      <c r="E3616" s="6" t="s">
        <v>91</v>
      </c>
      <c r="F3616" s="6" t="s">
        <v>8022</v>
      </c>
      <c r="G3616" s="6" t="s">
        <v>8049</v>
      </c>
      <c r="H3616" s="6" t="s">
        <v>55</v>
      </c>
      <c r="I3616" s="6" t="s">
        <v>8025</v>
      </c>
      <c r="J3616" s="6" t="s">
        <v>91</v>
      </c>
      <c r="K3616" s="9" t="str">
        <f>HYPERLINK("https://media.licdn.com/dms/image/v2/D4E22AQGqkTVV89ncPg/feedshare-image-high-res/B4EZ5FKIamJMAU-/0/1779276744718?e=2147483647&amp;v=beta&amp;t=k8AsS1o81mLtDOk4G0FzQ-tobMPpETs5Pd4OK8KTYl8","View Creative")</f>
        <v>View Creative</v>
      </c>
      <c r="L3616" s="6" t="s">
        <v>62</v>
      </c>
      <c r="M3616" s="6" t="s">
        <v>8042</v>
      </c>
      <c r="O3616" s="36" t="s">
        <v>7541</v>
      </c>
      <c r="P3616" s="36" t="s">
        <v>7542</v>
      </c>
      <c r="Q3616" s="38"/>
    </row>
    <row r="3617">
      <c r="A3617" s="6" t="s">
        <v>8042</v>
      </c>
      <c r="B3617" s="6" t="s">
        <v>8043</v>
      </c>
      <c r="C3617" s="6">
        <v>6.0</v>
      </c>
      <c r="D3617" s="9" t="str">
        <f>HYPERLINK("https://www.linkedin.com/ad-library/detail/1274182363","Open Ad")</f>
        <v>Open Ad</v>
      </c>
      <c r="E3617" s="6" t="s">
        <v>91</v>
      </c>
      <c r="F3617" s="6" t="s">
        <v>8022</v>
      </c>
      <c r="G3617" s="6" t="s">
        <v>8050</v>
      </c>
      <c r="H3617" s="6" t="s">
        <v>55</v>
      </c>
      <c r="I3617" s="6" t="s">
        <v>8025</v>
      </c>
      <c r="J3617" s="6" t="s">
        <v>91</v>
      </c>
      <c r="K3617" s="9" t="str">
        <f>HYPERLINK("https://media.licdn.com/dms/image/v2/D4E22AQGyzvhyn1TF5w/feedshare-shrink_1280/B4EZ5LjppiIIAM-/0/1779384098363?e=2147483647&amp;v=beta&amp;t=l5SIVXp5BVEw3TLeGX7-__xQCJdaYu31osA3enuF_Qk","View Creative")</f>
        <v>View Creative</v>
      </c>
      <c r="L3617" s="6" t="s">
        <v>62</v>
      </c>
      <c r="M3617" s="6" t="s">
        <v>8042</v>
      </c>
      <c r="N3617" s="6" t="s">
        <v>8051</v>
      </c>
      <c r="O3617" s="36" t="s">
        <v>7541</v>
      </c>
      <c r="P3617" s="36" t="s">
        <v>7542</v>
      </c>
      <c r="Q3617" s="38"/>
    </row>
    <row r="3618">
      <c r="A3618" s="6" t="s">
        <v>8042</v>
      </c>
      <c r="B3618" s="6" t="s">
        <v>8043</v>
      </c>
      <c r="C3618" s="6">
        <v>7.0</v>
      </c>
      <c r="D3618" s="9" t="str">
        <f>HYPERLINK("https://www.linkedin.com/ad-library/detail/1427499553","Open Ad")</f>
        <v>Open Ad</v>
      </c>
      <c r="E3618" s="6" t="s">
        <v>91</v>
      </c>
      <c r="F3618" s="6" t="s">
        <v>8022</v>
      </c>
      <c r="G3618" s="6" t="s">
        <v>8044</v>
      </c>
      <c r="H3618" s="6" t="s">
        <v>55</v>
      </c>
      <c r="I3618" s="6" t="s">
        <v>8025</v>
      </c>
      <c r="J3618" s="6" t="s">
        <v>91</v>
      </c>
      <c r="K3618" s="9" t="str">
        <f>HYPERLINK("https://media.licdn.com/dms/image/v2/D4D10AQG1-tct_Zw-Wg/image-shrink_800/B4DZ6HWRStKIAo-/0/1780387222939/1780386902027jpg?e=2147483647&amp;v=beta&amp;t=hScMaeTVB6uKXrQLAXfwEuzkXLbsaGCsDLe7nAKb3i8","View Creative")</f>
        <v>View Creative</v>
      </c>
      <c r="L3618" s="6" t="s">
        <v>62</v>
      </c>
      <c r="M3618" s="6" t="s">
        <v>8042</v>
      </c>
      <c r="N3618" s="6" t="s">
        <v>8052</v>
      </c>
      <c r="O3618" s="36" t="s">
        <v>7541</v>
      </c>
      <c r="P3618" s="36" t="s">
        <v>7542</v>
      </c>
      <c r="Q3618" s="38"/>
    </row>
    <row r="3619">
      <c r="A3619" s="6" t="s">
        <v>8042</v>
      </c>
      <c r="B3619" s="6" t="s">
        <v>8043</v>
      </c>
      <c r="C3619" s="6">
        <v>8.0</v>
      </c>
      <c r="D3619" s="9" t="str">
        <f>HYPERLINK("https://www.linkedin.com/ad-library/detail/1265183463","Open Ad")</f>
        <v>Open Ad</v>
      </c>
      <c r="E3619" s="6" t="s">
        <v>91</v>
      </c>
      <c r="F3619" s="6" t="s">
        <v>8022</v>
      </c>
      <c r="G3619" s="6" t="s">
        <v>8053</v>
      </c>
      <c r="H3619" s="6" t="s">
        <v>55</v>
      </c>
      <c r="I3619" s="6" t="s">
        <v>8025</v>
      </c>
      <c r="J3619" s="6" t="s">
        <v>91</v>
      </c>
      <c r="K3619" s="9" t="str">
        <f>HYPERLINK("https://media.licdn.com/dms/image/v2/D4D10AQHDSonil-CMOQ/image-shrink_1280/B4DZ4hKhcCG4Ac-/0/1778672867358/Frame427319755png?e=2147483647&amp;v=beta&amp;t=fHmCiyG9_ALIUJP9LRbKvPXgcZZNbpIw4-gEvkP8QrE","View Creative")</f>
        <v>View Creative</v>
      </c>
      <c r="L3619" s="6" t="s">
        <v>62</v>
      </c>
      <c r="M3619" s="6" t="s">
        <v>8042</v>
      </c>
      <c r="N3619" s="6" t="s">
        <v>8054</v>
      </c>
      <c r="O3619" s="36" t="s">
        <v>7541</v>
      </c>
      <c r="P3619" s="36" t="s">
        <v>7542</v>
      </c>
      <c r="Q3619" s="38"/>
    </row>
    <row r="3620">
      <c r="A3620" s="6" t="s">
        <v>8042</v>
      </c>
      <c r="B3620" s="6" t="s">
        <v>8043</v>
      </c>
      <c r="C3620" s="6">
        <v>9.0</v>
      </c>
      <c r="D3620" s="9" t="str">
        <f>HYPERLINK("https://www.linkedin.com/ad-library/detail/1427429763","Open Ad")</f>
        <v>Open Ad</v>
      </c>
      <c r="E3620" s="6" t="s">
        <v>91</v>
      </c>
      <c r="F3620" s="6" t="s">
        <v>8022</v>
      </c>
      <c r="G3620" s="6" t="s">
        <v>8044</v>
      </c>
      <c r="H3620" s="6" t="s">
        <v>55</v>
      </c>
      <c r="I3620" s="6" t="s">
        <v>8025</v>
      </c>
      <c r="J3620" s="6" t="s">
        <v>91</v>
      </c>
      <c r="K3620" s="9" t="str">
        <f>HYPERLINK("https://media.licdn.com/dms/image/v2/D4D10AQG1-tct_Zw-Wg/image-shrink_800/B4DZ6HWRStKIAo-/0/1780387222939/1780386902027jpg?e=2147483647&amp;v=beta&amp;t=hScMaeTVB6uKXrQLAXfwEuzkXLbsaGCsDLe7nAKb3i8","View Creative")</f>
        <v>View Creative</v>
      </c>
      <c r="L3620" s="6" t="s">
        <v>62</v>
      </c>
      <c r="M3620" s="6" t="s">
        <v>8042</v>
      </c>
      <c r="O3620" s="36" t="s">
        <v>7541</v>
      </c>
      <c r="P3620" s="36" t="s">
        <v>7542</v>
      </c>
      <c r="Q3620" s="38"/>
    </row>
    <row r="3621">
      <c r="A3621" s="6" t="s">
        <v>8042</v>
      </c>
      <c r="B3621" s="6" t="s">
        <v>8043</v>
      </c>
      <c r="C3621" s="6">
        <v>10.0</v>
      </c>
      <c r="D3621" s="9" t="str">
        <f>HYPERLINK("https://www.linkedin.com/ad-library/detail/1300283703","Open Ad")</f>
        <v>Open Ad</v>
      </c>
      <c r="E3621" s="6" t="s">
        <v>154</v>
      </c>
      <c r="F3621" s="6" t="s">
        <v>8022</v>
      </c>
      <c r="G3621" s="6" t="s">
        <v>8045</v>
      </c>
      <c r="H3621" s="6" t="s">
        <v>55</v>
      </c>
      <c r="I3621" s="6" t="s">
        <v>8025</v>
      </c>
      <c r="J3621" s="6" t="s">
        <v>154</v>
      </c>
      <c r="K3621" s="9" t="str">
        <f t="shared" ref="K3621:K3623" si="183">HYPERLINK("https://dms.licdn.com/playlist/vid/v2/D4D10AQHUaJszPV1mZw/mp4-720p-30fp-crf28/B4DZ5jr7m0KUCM-/0/1779788925410/AccuRanker-MCP1mp4?e=2147483647&amp;v=beta&amp;t=MA75odbQRw3Lu9VEtXA3472GXVlAMilALv9N7I1UCNg","View Creative")</f>
        <v>View Creative</v>
      </c>
      <c r="L3621" s="6" t="s">
        <v>62</v>
      </c>
      <c r="M3621" s="6" t="s">
        <v>8042</v>
      </c>
      <c r="N3621" s="6" t="s">
        <v>8055</v>
      </c>
      <c r="O3621" s="36" t="s">
        <v>7541</v>
      </c>
      <c r="P3621" s="36" t="s">
        <v>7542</v>
      </c>
      <c r="Q3621" s="38"/>
    </row>
    <row r="3622">
      <c r="A3622" s="6" t="s">
        <v>8042</v>
      </c>
      <c r="B3622" s="6" t="s">
        <v>8043</v>
      </c>
      <c r="C3622" s="6">
        <v>11.0</v>
      </c>
      <c r="D3622" s="9" t="str">
        <f>HYPERLINK("https://www.linkedin.com/ad-library/detail/1427592663","Open Ad")</f>
        <v>Open Ad</v>
      </c>
      <c r="E3622" s="6" t="s">
        <v>154</v>
      </c>
      <c r="F3622" s="6" t="s">
        <v>8022</v>
      </c>
      <c r="G3622" s="6" t="s">
        <v>8056</v>
      </c>
      <c r="H3622" s="6" t="s">
        <v>55</v>
      </c>
      <c r="I3622" s="6" t="s">
        <v>8025</v>
      </c>
      <c r="J3622" s="6" t="s">
        <v>154</v>
      </c>
      <c r="K3622" s="9" t="str">
        <f t="shared" si="183"/>
        <v>View Creative</v>
      </c>
      <c r="L3622" s="6" t="s">
        <v>62</v>
      </c>
      <c r="M3622" s="6" t="s">
        <v>8042</v>
      </c>
      <c r="N3622" s="6" t="s">
        <v>8057</v>
      </c>
      <c r="O3622" s="36" t="s">
        <v>7541</v>
      </c>
      <c r="P3622" s="36" t="s">
        <v>7542</v>
      </c>
      <c r="Q3622" s="38"/>
    </row>
    <row r="3623">
      <c r="A3623" s="6" t="s">
        <v>8042</v>
      </c>
      <c r="B3623" s="6" t="s">
        <v>8043</v>
      </c>
      <c r="C3623" s="6">
        <v>12.0</v>
      </c>
      <c r="D3623" s="9" t="str">
        <f>HYPERLINK("https://www.linkedin.com/ad-library/detail/1273385403","Open Ad")</f>
        <v>Open Ad</v>
      </c>
      <c r="E3623" s="6" t="s">
        <v>154</v>
      </c>
      <c r="F3623" s="6" t="s">
        <v>8022</v>
      </c>
      <c r="G3623" s="6" t="s">
        <v>8056</v>
      </c>
      <c r="H3623" s="6" t="s">
        <v>55</v>
      </c>
      <c r="I3623" s="6" t="s">
        <v>8025</v>
      </c>
      <c r="J3623" s="6" t="s">
        <v>154</v>
      </c>
      <c r="K3623" s="9" t="str">
        <f t="shared" si="183"/>
        <v>View Creative</v>
      </c>
      <c r="L3623" s="6" t="s">
        <v>62</v>
      </c>
      <c r="M3623" s="6" t="s">
        <v>8042</v>
      </c>
      <c r="O3623" s="36" t="s">
        <v>7541</v>
      </c>
      <c r="P3623" s="36" t="s">
        <v>7542</v>
      </c>
      <c r="Q3623" s="38"/>
    </row>
    <row r="3624">
      <c r="A3624" s="6" t="s">
        <v>8042</v>
      </c>
      <c r="B3624" s="6" t="s">
        <v>8043</v>
      </c>
      <c r="C3624" s="6">
        <v>13.0</v>
      </c>
      <c r="D3624" s="9" t="str">
        <f>HYPERLINK("https://www.linkedin.com/ad-library/detail/1264683563","Open Ad")</f>
        <v>Open Ad</v>
      </c>
      <c r="E3624" s="6" t="s">
        <v>91</v>
      </c>
      <c r="F3624" s="6" t="s">
        <v>8022</v>
      </c>
      <c r="G3624" s="6" t="s">
        <v>8053</v>
      </c>
      <c r="H3624" s="6" t="s">
        <v>55</v>
      </c>
      <c r="I3624" s="6" t="s">
        <v>8025</v>
      </c>
      <c r="J3624" s="6" t="s">
        <v>91</v>
      </c>
      <c r="K3624" s="9" t="str">
        <f>HYPERLINK("https://media.licdn.com/dms/image/v2/D4D10AQH4OVwnfBO8Ig/image-shrink_1280/B4DZ4hLPytJcAc-/0/1778673057227/Frame427319755png?e=2147483647&amp;v=beta&amp;t=1LHhb_C-uE4VqQ9Zt0dFRK61X5PqrQhMG4GWSLP6SFw","View Creative")</f>
        <v>View Creative</v>
      </c>
      <c r="L3624" s="6" t="s">
        <v>62</v>
      </c>
      <c r="M3624" s="6" t="s">
        <v>8042</v>
      </c>
      <c r="N3624" s="6" t="s">
        <v>8058</v>
      </c>
      <c r="O3624" s="36" t="s">
        <v>7541</v>
      </c>
      <c r="P3624" s="36" t="s">
        <v>7542</v>
      </c>
      <c r="Q3624" s="38"/>
    </row>
    <row r="3625">
      <c r="A3625" s="6" t="s">
        <v>8042</v>
      </c>
      <c r="B3625" s="6" t="s">
        <v>8043</v>
      </c>
      <c r="C3625" s="6">
        <v>14.0</v>
      </c>
      <c r="D3625" s="9" t="str">
        <f>HYPERLINK("https://www.linkedin.com/ad-library/detail/1412423756","Open Ad")</f>
        <v>Open Ad</v>
      </c>
      <c r="E3625" s="6" t="s">
        <v>91</v>
      </c>
      <c r="F3625" s="6" t="s">
        <v>8022</v>
      </c>
      <c r="G3625" s="6" t="s">
        <v>8049</v>
      </c>
      <c r="H3625" s="6" t="s">
        <v>55</v>
      </c>
      <c r="I3625" s="6" t="s">
        <v>8025</v>
      </c>
      <c r="J3625" s="6" t="s">
        <v>91</v>
      </c>
      <c r="K3625" s="9" t="str">
        <f>HYPERLINK("https://media.licdn.com/dms/image/v2/D4E22AQGqkTVV89ncPg/feedshare-image-high-res/B4EZ5FKIamJMAU-/0/1779276744718?e=2147483647&amp;v=beta&amp;t=k8AsS1o81mLtDOk4G0FzQ-tobMPpETs5Pd4OK8KTYl8","View Creative")</f>
        <v>View Creative</v>
      </c>
      <c r="L3625" s="6" t="s">
        <v>62</v>
      </c>
      <c r="M3625" s="6" t="s">
        <v>8042</v>
      </c>
      <c r="O3625" s="36" t="s">
        <v>7541</v>
      </c>
      <c r="P3625" s="36" t="s">
        <v>7542</v>
      </c>
      <c r="Q3625" s="38"/>
    </row>
    <row r="3626">
      <c r="A3626" s="6" t="s">
        <v>8042</v>
      </c>
      <c r="B3626" s="6" t="s">
        <v>8043</v>
      </c>
      <c r="C3626" s="6">
        <v>15.0</v>
      </c>
      <c r="D3626" s="9" t="str">
        <f>HYPERLINK("https://www.linkedin.com/ad-library/detail/1427492783","Open Ad")</f>
        <v>Open Ad</v>
      </c>
      <c r="E3626" s="6" t="s">
        <v>154</v>
      </c>
      <c r="F3626" s="6" t="s">
        <v>8022</v>
      </c>
      <c r="G3626" s="6" t="s">
        <v>8048</v>
      </c>
      <c r="H3626" s="6" t="s">
        <v>55</v>
      </c>
      <c r="I3626" s="6" t="s">
        <v>8025</v>
      </c>
      <c r="J3626" s="6" t="s">
        <v>154</v>
      </c>
      <c r="K3626" s="9" t="str">
        <f>HYPERLINK("https://dms.licdn.com/playlist/vid/v2/D4D10AQFNreKiVC6BTg/mp4-360p-30fp-crf28/B4DZ6C9J8jJECM-/0/1780313534024/AccuRankerMCPAPPmp4?e=2147483647&amp;v=beta&amp;t=926wWWZiL64lzHluzaRFLlS_mwMpF3BPUrUwJrSklzI","View Creative")</f>
        <v>View Creative</v>
      </c>
      <c r="L3626" s="6" t="s">
        <v>62</v>
      </c>
      <c r="M3626" s="6" t="s">
        <v>8042</v>
      </c>
      <c r="N3626" s="6" t="s">
        <v>8057</v>
      </c>
      <c r="O3626" s="36" t="s">
        <v>7541</v>
      </c>
      <c r="P3626" s="36" t="s">
        <v>7542</v>
      </c>
      <c r="Q3626" s="38"/>
    </row>
    <row r="3627">
      <c r="A3627" s="6" t="s">
        <v>8042</v>
      </c>
      <c r="B3627" s="6" t="s">
        <v>8043</v>
      </c>
      <c r="C3627" s="6">
        <v>16.0</v>
      </c>
      <c r="D3627" s="9" t="str">
        <f>HYPERLINK("https://www.linkedin.com/ad-library/detail/1427720123","Open Ad")</f>
        <v>Open Ad</v>
      </c>
      <c r="E3627" s="6" t="s">
        <v>91</v>
      </c>
      <c r="F3627" s="6" t="s">
        <v>8022</v>
      </c>
      <c r="G3627" s="6" t="s">
        <v>8044</v>
      </c>
      <c r="H3627" s="6" t="s">
        <v>55</v>
      </c>
      <c r="I3627" s="6" t="s">
        <v>8025</v>
      </c>
      <c r="J3627" s="6" t="s">
        <v>91</v>
      </c>
      <c r="K3627" s="9" t="str">
        <f>HYPERLINK("https://media.licdn.com/dms/image/v2/D4D10AQG1-tct_Zw-Wg/image-shrink_800/B4DZ6HWRStKIAo-/0/1780387222939/1780386902027jpg?e=2147483647&amp;v=beta&amp;t=hScMaeTVB6uKXrQLAXfwEuzkXLbsaGCsDLe7nAKb3i8","View Creative")</f>
        <v>View Creative</v>
      </c>
      <c r="L3627" s="6" t="s">
        <v>62</v>
      </c>
      <c r="M3627" s="6" t="s">
        <v>8042</v>
      </c>
      <c r="N3627" s="6" t="s">
        <v>8052</v>
      </c>
      <c r="O3627" s="36" t="s">
        <v>7541</v>
      </c>
      <c r="P3627" s="36" t="s">
        <v>7542</v>
      </c>
      <c r="Q3627" s="38"/>
    </row>
    <row r="3628">
      <c r="A3628" s="6" t="s">
        <v>8042</v>
      </c>
      <c r="B3628" s="6" t="s">
        <v>8043</v>
      </c>
      <c r="C3628" s="6">
        <v>17.0</v>
      </c>
      <c r="D3628" s="9" t="str">
        <f>HYPERLINK("https://www.linkedin.com/ad-library/detail/1427552853","Open Ad")</f>
        <v>Open Ad</v>
      </c>
      <c r="E3628" s="6" t="s">
        <v>154</v>
      </c>
      <c r="F3628" s="6" t="s">
        <v>8022</v>
      </c>
      <c r="G3628" s="6" t="s">
        <v>8056</v>
      </c>
      <c r="H3628" s="6" t="s">
        <v>55</v>
      </c>
      <c r="I3628" s="6" t="s">
        <v>8025</v>
      </c>
      <c r="J3628" s="6" t="s">
        <v>154</v>
      </c>
      <c r="K3628" s="9" t="str">
        <f>HYPERLINK("https://dms.licdn.com/playlist/vid/v2/D4D10AQHUaJszPV1mZw/mp4-720p-30fp-crf28/B4DZ5jr7m0KUCM-/0/1779788925410/AccuRanker-MCP1mp4?e=2147483647&amp;v=beta&amp;t=MA75odbQRw3Lu9VEtXA3472GXVlAMilALv9N7I1UCNg","View Creative")</f>
        <v>View Creative</v>
      </c>
      <c r="L3628" s="6" t="s">
        <v>62</v>
      </c>
      <c r="M3628" s="6" t="s">
        <v>8042</v>
      </c>
      <c r="O3628" s="36" t="s">
        <v>7541</v>
      </c>
      <c r="P3628" s="36" t="s">
        <v>7542</v>
      </c>
      <c r="Q3628" s="38"/>
    </row>
    <row r="3629">
      <c r="A3629" s="6" t="s">
        <v>8042</v>
      </c>
      <c r="B3629" s="6" t="s">
        <v>8043</v>
      </c>
      <c r="C3629" s="6">
        <v>18.0</v>
      </c>
      <c r="D3629" s="9" t="str">
        <f>HYPERLINK("https://www.linkedin.com/ad-library/detail/1267501333","Open Ad")</f>
        <v>Open Ad</v>
      </c>
      <c r="E3629" s="6" t="s">
        <v>91</v>
      </c>
      <c r="F3629" s="6" t="s">
        <v>8022</v>
      </c>
      <c r="G3629" s="6" t="s">
        <v>8047</v>
      </c>
      <c r="H3629" s="6" t="s">
        <v>769</v>
      </c>
      <c r="I3629" s="6" t="s">
        <v>8025</v>
      </c>
      <c r="J3629" s="6" t="s">
        <v>91</v>
      </c>
      <c r="K3629" s="9" t="str">
        <f>HYPERLINK("https://media.licdn.com/dms/image/v2/D4D10AQFEDBVehqhzgw/image-shrink_1280/B4DZ5FnZB8J4Ac-/0/1779284414887/1778678615326jpg?e=2147483647&amp;v=beta&amp;t=izp8hN3_UXYzU1ZY_kqJrfOD4ksiqZf1gbZ1rbeEoq0","View Creative")</f>
        <v>View Creative</v>
      </c>
      <c r="L3629" s="6" t="s">
        <v>62</v>
      </c>
      <c r="M3629" s="6" t="s">
        <v>8042</v>
      </c>
      <c r="N3629" s="6" t="s">
        <v>8059</v>
      </c>
      <c r="O3629" s="36" t="s">
        <v>7541</v>
      </c>
      <c r="P3629" s="36" t="s">
        <v>7542</v>
      </c>
      <c r="Q3629" s="38"/>
    </row>
    <row r="3630">
      <c r="A3630" s="6" t="s">
        <v>8042</v>
      </c>
      <c r="B3630" s="6" t="s">
        <v>8043</v>
      </c>
      <c r="C3630" s="6">
        <v>19.0</v>
      </c>
      <c r="D3630" s="9" t="str">
        <f>HYPERLINK("https://www.linkedin.com/ad-library/detail/1427552843","Open Ad")</f>
        <v>Open Ad</v>
      </c>
      <c r="E3630" s="6" t="s">
        <v>154</v>
      </c>
      <c r="F3630" s="6" t="s">
        <v>8022</v>
      </c>
      <c r="G3630" s="6" t="s">
        <v>8048</v>
      </c>
      <c r="H3630" s="6" t="s">
        <v>55</v>
      </c>
      <c r="I3630" s="6" t="s">
        <v>8025</v>
      </c>
      <c r="J3630" s="6" t="s">
        <v>154</v>
      </c>
      <c r="K3630" s="9" t="str">
        <f>HYPERLINK("https://dms.licdn.com/playlist/vid/v2/D4D10AQFNreKiVC6BTg/mp4-360p-30fp-crf28/B4DZ6C9J8jJECM-/0/1780313534024/AccuRankerMCPAPPmp4?e=2147483647&amp;v=beta&amp;t=926wWWZiL64lzHluzaRFLlS_mwMpF3BPUrUwJrSklzI","View Creative")</f>
        <v>View Creative</v>
      </c>
      <c r="L3630" s="6" t="s">
        <v>62</v>
      </c>
      <c r="M3630" s="6" t="s">
        <v>8042</v>
      </c>
      <c r="O3630" s="36" t="s">
        <v>7541</v>
      </c>
      <c r="P3630" s="36" t="s">
        <v>7542</v>
      </c>
      <c r="Q3630" s="38"/>
    </row>
    <row r="3631">
      <c r="A3631" s="6" t="s">
        <v>8042</v>
      </c>
      <c r="B3631" s="6" t="s">
        <v>8043</v>
      </c>
      <c r="C3631" s="6">
        <v>20.0</v>
      </c>
      <c r="D3631" s="9" t="str">
        <f>HYPERLINK("https://www.linkedin.com/ad-library/detail/1300183543","Open Ad")</f>
        <v>Open Ad</v>
      </c>
      <c r="E3631" s="6" t="s">
        <v>154</v>
      </c>
      <c r="F3631" s="6" t="s">
        <v>8022</v>
      </c>
      <c r="G3631" s="6" t="s">
        <v>8056</v>
      </c>
      <c r="H3631" s="6" t="s">
        <v>55</v>
      </c>
      <c r="I3631" s="6" t="s">
        <v>8025</v>
      </c>
      <c r="J3631" s="6" t="s">
        <v>154</v>
      </c>
      <c r="K3631" s="9" t="str">
        <f>HYPERLINK("https://dms.licdn.com/playlist/vid/v2/D4D10AQHUaJszPV1mZw/mp4-720p-30fp-crf28/B4DZ5jr7m0KUCM-/0/1779788925410/AccuRanker-MCP1mp4?e=2147483647&amp;v=beta&amp;t=MA75odbQRw3Lu9VEtXA3472GXVlAMilALv9N7I1UCNg","View Creative")</f>
        <v>View Creative</v>
      </c>
      <c r="L3631" s="6" t="s">
        <v>62</v>
      </c>
      <c r="M3631" s="6" t="s">
        <v>8042</v>
      </c>
      <c r="N3631" s="6" t="s">
        <v>8060</v>
      </c>
      <c r="O3631" s="36" t="s">
        <v>7541</v>
      </c>
      <c r="P3631" s="36" t="s">
        <v>7542</v>
      </c>
      <c r="Q3631" s="38"/>
    </row>
    <row r="3632">
      <c r="A3632" s="6" t="s">
        <v>8042</v>
      </c>
      <c r="B3632" s="6" t="s">
        <v>8043</v>
      </c>
      <c r="C3632" s="6">
        <v>21.0</v>
      </c>
      <c r="D3632" s="9" t="str">
        <f>HYPERLINK("https://www.linkedin.com/ad-library/detail/1273782583","Open Ad")</f>
        <v>Open Ad</v>
      </c>
      <c r="E3632" s="6" t="s">
        <v>91</v>
      </c>
      <c r="F3632" s="6" t="s">
        <v>8022</v>
      </c>
      <c r="G3632" s="6" t="s">
        <v>8050</v>
      </c>
      <c r="H3632" s="6" t="s">
        <v>55</v>
      </c>
      <c r="I3632" s="6" t="s">
        <v>8025</v>
      </c>
      <c r="J3632" s="6" t="s">
        <v>91</v>
      </c>
      <c r="K3632" s="9" t="str">
        <f>HYPERLINK("https://media.licdn.com/dms/image/v2/D4E22AQGyzvhyn1TF5w/feedshare-shrink_1280/B4EZ5LjppiIIAM-/0/1779384098363?e=2147483647&amp;v=beta&amp;t=l5SIVXp5BVEw3TLeGX7-__xQCJdaYu31osA3enuF_Qk","View Creative")</f>
        <v>View Creative</v>
      </c>
      <c r="L3632" s="6" t="s">
        <v>62</v>
      </c>
      <c r="M3632" s="6" t="s">
        <v>8042</v>
      </c>
      <c r="O3632" s="36" t="s">
        <v>7541</v>
      </c>
      <c r="P3632" s="36" t="s">
        <v>7542</v>
      </c>
      <c r="Q3632" s="38"/>
    </row>
    <row r="3633">
      <c r="A3633" s="6" t="s">
        <v>8042</v>
      </c>
      <c r="B3633" s="6" t="s">
        <v>8043</v>
      </c>
      <c r="C3633" s="6">
        <v>22.0</v>
      </c>
      <c r="D3633" s="9" t="str">
        <f>HYPERLINK("https://www.linkedin.com/ad-library/detail/1412345736","Open Ad")</f>
        <v>Open Ad</v>
      </c>
      <c r="E3633" s="6" t="s">
        <v>91</v>
      </c>
      <c r="F3633" s="6" t="s">
        <v>8022</v>
      </c>
      <c r="G3633" s="6" t="s">
        <v>8049</v>
      </c>
      <c r="H3633" s="6" t="s">
        <v>55</v>
      </c>
      <c r="I3633" s="6" t="s">
        <v>8025</v>
      </c>
      <c r="J3633" s="6" t="s">
        <v>91</v>
      </c>
      <c r="K3633" s="9" t="str">
        <f>HYPERLINK("https://media.licdn.com/dms/image/v2/D4E22AQGqkTVV89ncPg/feedshare-image-high-res/B4EZ5FKIamJMAU-/0/1779276744718?e=2147483647&amp;v=beta&amp;t=k8AsS1o81mLtDOk4G0FzQ-tobMPpETs5Pd4OK8KTYl8","View Creative")</f>
        <v>View Creative</v>
      </c>
      <c r="L3633" s="6" t="s">
        <v>62</v>
      </c>
      <c r="M3633" s="6" t="s">
        <v>8042</v>
      </c>
      <c r="N3633" s="6" t="s">
        <v>8061</v>
      </c>
      <c r="O3633" s="36" t="s">
        <v>7541</v>
      </c>
      <c r="P3633" s="36" t="s">
        <v>7542</v>
      </c>
      <c r="Q3633" s="38"/>
    </row>
    <row r="3634">
      <c r="A3634" s="6" t="s">
        <v>8042</v>
      </c>
      <c r="B3634" s="6" t="s">
        <v>8043</v>
      </c>
      <c r="C3634" s="6">
        <v>23.0</v>
      </c>
      <c r="D3634" s="9" t="str">
        <f>HYPERLINK("https://www.linkedin.com/ad-library/detail/1274085503","Open Ad")</f>
        <v>Open Ad</v>
      </c>
      <c r="E3634" s="6" t="s">
        <v>154</v>
      </c>
      <c r="F3634" s="6" t="s">
        <v>8022</v>
      </c>
      <c r="G3634" s="6" t="s">
        <v>8045</v>
      </c>
      <c r="H3634" s="6" t="s">
        <v>55</v>
      </c>
      <c r="I3634" s="6" t="s">
        <v>8025</v>
      </c>
      <c r="J3634" s="6" t="s">
        <v>154</v>
      </c>
      <c r="K3634" s="9" t="str">
        <f>HYPERLINK("https://dms.licdn.com/playlist/vid/v2/D4D10AQHUaJszPV1mZw/mp4-720p-30fp-crf28/B4DZ5jr7m0KUCM-/0/1779788925410/AccuRanker-MCP1mp4?e=2147483647&amp;v=beta&amp;t=MA75odbQRw3Lu9VEtXA3472GXVlAMilALv9N7I1UCNg","View Creative")</f>
        <v>View Creative</v>
      </c>
      <c r="L3634" s="6" t="s">
        <v>62</v>
      </c>
      <c r="M3634" s="6" t="s">
        <v>8042</v>
      </c>
      <c r="O3634" s="36" t="s">
        <v>7541</v>
      </c>
      <c r="P3634" s="36" t="s">
        <v>7542</v>
      </c>
      <c r="Q3634" s="38"/>
    </row>
    <row r="3635">
      <c r="A3635" s="6" t="s">
        <v>8042</v>
      </c>
      <c r="B3635" s="6" t="s">
        <v>8043</v>
      </c>
      <c r="C3635" s="6">
        <v>24.0</v>
      </c>
      <c r="D3635" s="9" t="str">
        <f>HYPERLINK("https://www.linkedin.com/ad-library/detail/1427562783","Open Ad")</f>
        <v>Open Ad</v>
      </c>
      <c r="E3635" s="6" t="s">
        <v>154</v>
      </c>
      <c r="F3635" s="6" t="s">
        <v>8022</v>
      </c>
      <c r="G3635" s="6" t="s">
        <v>8048</v>
      </c>
      <c r="H3635" s="6" t="s">
        <v>55</v>
      </c>
      <c r="I3635" s="6" t="s">
        <v>8025</v>
      </c>
      <c r="J3635" s="6" t="s">
        <v>154</v>
      </c>
      <c r="K3635" s="9" t="str">
        <f>HYPERLINK("https://dms.licdn.com/playlist/vid/v2/D4D10AQFNreKiVC6BTg/mp4-360p-30fp-crf28/B4DZ6C9J8jJECM-/0/1780313534024/AccuRankerMCPAPPmp4?e=2147483647&amp;v=beta&amp;t=926wWWZiL64lzHluzaRFLlS_mwMpF3BPUrUwJrSklzI","View Creative")</f>
        <v>View Creative</v>
      </c>
      <c r="L3635" s="6" t="s">
        <v>62</v>
      </c>
      <c r="M3635" s="6" t="s">
        <v>8042</v>
      </c>
      <c r="N3635" s="6" t="s">
        <v>8052</v>
      </c>
      <c r="O3635" s="36" t="s">
        <v>7541</v>
      </c>
      <c r="P3635" s="36" t="s">
        <v>7542</v>
      </c>
      <c r="Q3635" s="38"/>
    </row>
    <row r="3636">
      <c r="A3636" s="6" t="s">
        <v>8042</v>
      </c>
      <c r="B3636" s="6" t="s">
        <v>8043</v>
      </c>
      <c r="C3636" s="6">
        <v>25.0</v>
      </c>
      <c r="D3636" s="9" t="str">
        <f>HYPERLINK("https://www.linkedin.com/ad-library/detail/1263982373","Open Ad")</f>
        <v>Open Ad</v>
      </c>
      <c r="E3636" s="6" t="s">
        <v>91</v>
      </c>
      <c r="F3636" s="6" t="s">
        <v>8022</v>
      </c>
      <c r="G3636" s="6" t="s">
        <v>8062</v>
      </c>
      <c r="H3636" s="6" t="s">
        <v>55</v>
      </c>
      <c r="I3636" s="6" t="s">
        <v>8025</v>
      </c>
      <c r="J3636" s="6" t="s">
        <v>91</v>
      </c>
      <c r="K3636" s="9" t="str">
        <f>HYPERLINK("https://media.licdn.com/dms/image/v2/D4D10AQG5I77OVeGq6w/image-shrink_1280/B4DZ4gstRVHAAk-/0/1778665051505/Frame427319753png?e=2147483647&amp;v=beta&amp;t=fFJ_Cpq-NmaLNhXmOLCUwyUbG-gt1S3raR1I-BCqqso","View Creative")</f>
        <v>View Creative</v>
      </c>
      <c r="L3636" s="6" t="s">
        <v>62</v>
      </c>
      <c r="M3636" s="6" t="s">
        <v>8042</v>
      </c>
      <c r="O3636" s="36" t="s">
        <v>7541</v>
      </c>
      <c r="P3636" s="36" t="s">
        <v>7542</v>
      </c>
      <c r="Q3636" s="38"/>
    </row>
    <row r="3637">
      <c r="A3637" s="6" t="s">
        <v>8042</v>
      </c>
      <c r="B3637" s="6" t="s">
        <v>8043</v>
      </c>
      <c r="C3637" s="6">
        <v>26.0</v>
      </c>
      <c r="D3637" s="9" t="str">
        <f>HYPERLINK("https://www.linkedin.com/ad-library/detail/1264683553","Open Ad")</f>
        <v>Open Ad</v>
      </c>
      <c r="E3637" s="6" t="s">
        <v>91</v>
      </c>
      <c r="F3637" s="6" t="s">
        <v>8022</v>
      </c>
      <c r="G3637" s="6" t="s">
        <v>8053</v>
      </c>
      <c r="H3637" s="6" t="s">
        <v>55</v>
      </c>
      <c r="I3637" s="6" t="s">
        <v>8025</v>
      </c>
      <c r="J3637" s="6" t="s">
        <v>91</v>
      </c>
      <c r="K3637" s="9" t="str">
        <f>HYPERLINK("https://media.licdn.com/dms/image/v2/D4D10AQHDSonil-CMOQ/image-shrink_1280/B4DZ4hKhcCG4Ac-/0/1778672867358/Frame427319755png?e=2147483647&amp;v=beta&amp;t=fHmCiyG9_ALIUJP9LRbKvPXgcZZNbpIw4-gEvkP8QrE","View Creative")</f>
        <v>View Creative</v>
      </c>
      <c r="L3637" s="6" t="s">
        <v>62</v>
      </c>
      <c r="M3637" s="6" t="s">
        <v>8042</v>
      </c>
      <c r="O3637" s="36" t="s">
        <v>7541</v>
      </c>
      <c r="P3637" s="36" t="s">
        <v>7542</v>
      </c>
      <c r="Q3637" s="38"/>
    </row>
    <row r="3638">
      <c r="A3638" s="6" t="s">
        <v>8042</v>
      </c>
      <c r="B3638" s="6" t="s">
        <v>8043</v>
      </c>
      <c r="C3638" s="6">
        <v>27.0</v>
      </c>
      <c r="D3638" s="9" t="str">
        <f>HYPERLINK("https://www.linkedin.com/ad-library/detail/1265082743","Open Ad")</f>
        <v>Open Ad</v>
      </c>
      <c r="E3638" s="6" t="s">
        <v>91</v>
      </c>
      <c r="F3638" s="6" t="s">
        <v>8022</v>
      </c>
      <c r="G3638" s="6" t="s">
        <v>8062</v>
      </c>
      <c r="H3638" s="6" t="s">
        <v>55</v>
      </c>
      <c r="I3638" s="6" t="s">
        <v>8025</v>
      </c>
      <c r="J3638" s="6" t="s">
        <v>91</v>
      </c>
      <c r="K3638" s="9" t="str">
        <f t="shared" ref="K3638:K3639" si="184">HYPERLINK("https://media.licdn.com/dms/image/v2/D4D10AQH9dqO8PZT4CA/image-shrink_1280/B4DZ4g7JtCJYAg-/0/1778668838036/CTRad3png?e=2147483647&amp;v=beta&amp;t=OeEcchUkPJoGU9rWjGsnunztm5C6iONuHJwDaUp1Ng8","View Creative")</f>
        <v>View Creative</v>
      </c>
      <c r="L3638" s="6" t="s">
        <v>62</v>
      </c>
      <c r="M3638" s="6" t="s">
        <v>8042</v>
      </c>
      <c r="O3638" s="36" t="s">
        <v>7541</v>
      </c>
      <c r="P3638" s="36" t="s">
        <v>7542</v>
      </c>
      <c r="Q3638" s="38"/>
    </row>
    <row r="3639">
      <c r="A3639" s="6" t="s">
        <v>8042</v>
      </c>
      <c r="B3639" s="6" t="s">
        <v>8043</v>
      </c>
      <c r="C3639" s="6">
        <v>28.0</v>
      </c>
      <c r="D3639" s="9" t="str">
        <f>HYPERLINK("https://www.linkedin.com/ad-library/detail/1264082673","Open Ad")</f>
        <v>Open Ad</v>
      </c>
      <c r="E3639" s="6" t="s">
        <v>91</v>
      </c>
      <c r="F3639" s="6" t="s">
        <v>8022</v>
      </c>
      <c r="G3639" s="6" t="s">
        <v>8062</v>
      </c>
      <c r="H3639" s="6" t="s">
        <v>55</v>
      </c>
      <c r="I3639" s="6" t="s">
        <v>8025</v>
      </c>
      <c r="J3639" s="6" t="s">
        <v>91</v>
      </c>
      <c r="K3639" s="9" t="str">
        <f t="shared" si="184"/>
        <v>View Creative</v>
      </c>
      <c r="L3639" s="6" t="s">
        <v>62</v>
      </c>
      <c r="M3639" s="6" t="s">
        <v>8042</v>
      </c>
      <c r="N3639" s="6" t="s">
        <v>8063</v>
      </c>
      <c r="O3639" s="36" t="s">
        <v>7541</v>
      </c>
      <c r="P3639" s="36" t="s">
        <v>7542</v>
      </c>
      <c r="Q3639" s="38"/>
    </row>
    <row r="3640">
      <c r="A3640" s="6" t="s">
        <v>8042</v>
      </c>
      <c r="B3640" s="6" t="s">
        <v>8043</v>
      </c>
      <c r="C3640" s="6">
        <v>29.0</v>
      </c>
      <c r="D3640" s="9" t="str">
        <f>HYPERLINK("https://www.linkedin.com/ad-library/detail/1263983213","Open Ad")</f>
        <v>Open Ad</v>
      </c>
      <c r="E3640" s="6" t="s">
        <v>91</v>
      </c>
      <c r="F3640" s="6" t="s">
        <v>8022</v>
      </c>
      <c r="G3640" s="6" t="s">
        <v>8064</v>
      </c>
      <c r="H3640" s="6" t="s">
        <v>55</v>
      </c>
      <c r="I3640" s="6" t="s">
        <v>8025</v>
      </c>
      <c r="J3640" s="6" t="s">
        <v>91</v>
      </c>
      <c r="K3640" s="9" t="str">
        <f>HYPERLINK("https://media.licdn.com/dms/image/v2/D4D10AQHBlAx5mbeR5A/image-shrink_1280/B4DZ4g.febK4Ag-/0/1778669713668/Ctrad5png?e=2147483647&amp;v=beta&amp;t=ZgZiiZyLkSW4Ojfi9K6pYWnFWJwnZJGJVXus1vbQ7rc","View Creative")</f>
        <v>View Creative</v>
      </c>
      <c r="L3640" s="6" t="s">
        <v>62</v>
      </c>
      <c r="M3640" s="6" t="s">
        <v>8042</v>
      </c>
      <c r="N3640" s="6" t="s">
        <v>8065</v>
      </c>
      <c r="O3640" s="36" t="s">
        <v>7541</v>
      </c>
      <c r="P3640" s="36" t="s">
        <v>7542</v>
      </c>
      <c r="Q3640" s="38"/>
    </row>
    <row r="3641">
      <c r="A3641" s="6" t="s">
        <v>8042</v>
      </c>
      <c r="B3641" s="6" t="s">
        <v>8043</v>
      </c>
      <c r="C3641" s="6">
        <v>30.0</v>
      </c>
      <c r="D3641" s="9" t="str">
        <f>HYPERLINK("https://www.linkedin.com/ad-library/detail/1398527866","Open Ad")</f>
        <v>Open Ad</v>
      </c>
      <c r="E3641" s="6" t="s">
        <v>91</v>
      </c>
      <c r="F3641" s="6" t="s">
        <v>8022</v>
      </c>
      <c r="G3641" s="6" t="s">
        <v>8066</v>
      </c>
      <c r="H3641" s="6" t="s">
        <v>55</v>
      </c>
      <c r="I3641" s="6" t="s">
        <v>8025</v>
      </c>
      <c r="J3641" s="6" t="s">
        <v>91</v>
      </c>
      <c r="K3641" s="9" t="str">
        <f>HYPERLINK("https://media.licdn.com/dms/image/v2/D5610AQGslUh84e-5OA/image-shrink_1280/B56Z3TyrCkKkAc-/0/1777374769580/1776329137841jpg?e=2147483647&amp;v=beta&amp;t=2GtuuRCBsnno_MPDqc4TVJqXHUcZx-q32F8p_BCyKCI","View Creative")</f>
        <v>View Creative</v>
      </c>
      <c r="L3641" s="6" t="s">
        <v>62</v>
      </c>
      <c r="M3641" s="6" t="s">
        <v>8042</v>
      </c>
      <c r="O3641" s="36" t="s">
        <v>7541</v>
      </c>
      <c r="P3641" s="36" t="s">
        <v>7542</v>
      </c>
      <c r="Q3641" s="38"/>
    </row>
    <row r="3642">
      <c r="A3642" s="6" t="s">
        <v>8042</v>
      </c>
      <c r="B3642" s="6" t="s">
        <v>8043</v>
      </c>
      <c r="C3642" s="6">
        <v>31.0</v>
      </c>
      <c r="D3642" s="9" t="str">
        <f>HYPERLINK("https://www.linkedin.com/ad-library/detail/1265382913","Open Ad")</f>
        <v>Open Ad</v>
      </c>
      <c r="E3642" s="6" t="s">
        <v>91</v>
      </c>
      <c r="F3642" s="6" t="s">
        <v>8022</v>
      </c>
      <c r="G3642" s="6" t="s">
        <v>8062</v>
      </c>
      <c r="H3642" s="6" t="s">
        <v>55</v>
      </c>
      <c r="I3642" s="6" t="s">
        <v>8025</v>
      </c>
      <c r="J3642" s="6" t="s">
        <v>91</v>
      </c>
      <c r="K3642" s="9" t="str">
        <f>HYPERLINK("https://media.licdn.com/dms/image/v2/D4D10AQFmaIjWiLmeCQ/image-shrink_1280/B4DZ4g7JtvJQAc-/0/1778668838057/Ctrad2png?e=2147483647&amp;v=beta&amp;t=nSKgElGadA9_3T7wtf-XZLEOtWgpHAjOX6lb_sTWgAM","View Creative")</f>
        <v>View Creative</v>
      </c>
      <c r="L3642" s="6" t="s">
        <v>62</v>
      </c>
      <c r="M3642" s="6" t="s">
        <v>8042</v>
      </c>
      <c r="N3642" s="6" t="s">
        <v>8065</v>
      </c>
      <c r="O3642" s="36" t="s">
        <v>7541</v>
      </c>
      <c r="P3642" s="36" t="s">
        <v>7542</v>
      </c>
      <c r="Q3642" s="38"/>
    </row>
    <row r="3643">
      <c r="A3643" s="6" t="s">
        <v>8042</v>
      </c>
      <c r="B3643" s="6" t="s">
        <v>8043</v>
      </c>
      <c r="C3643" s="6">
        <v>32.0</v>
      </c>
      <c r="D3643" s="9" t="str">
        <f>HYPERLINK("https://www.linkedin.com/ad-library/detail/1263583003","Open Ad")</f>
        <v>Open Ad</v>
      </c>
      <c r="E3643" s="6" t="s">
        <v>91</v>
      </c>
      <c r="F3643" s="6" t="s">
        <v>8022</v>
      </c>
      <c r="G3643" s="6" t="s">
        <v>8062</v>
      </c>
      <c r="H3643" s="6" t="s">
        <v>55</v>
      </c>
      <c r="I3643" s="6" t="s">
        <v>8025</v>
      </c>
      <c r="J3643" s="6" t="s">
        <v>91</v>
      </c>
      <c r="K3643" s="9" t="str">
        <f>HYPERLINK("https://media.licdn.com/dms/image/v2/D4D10AQH9dqO8PZT4CA/image-shrink_1280/B4DZ4g7JtCJYAg-/0/1778668838036/CTRad3png?e=2147483647&amp;v=beta&amp;t=OeEcchUkPJoGU9rWjGsnunztm5C6iONuHJwDaUp1Ng8","View Creative")</f>
        <v>View Creative</v>
      </c>
      <c r="L3643" s="6" t="s">
        <v>62</v>
      </c>
      <c r="M3643" s="6" t="s">
        <v>8042</v>
      </c>
      <c r="N3643" s="6" t="s">
        <v>8067</v>
      </c>
      <c r="O3643" s="36" t="s">
        <v>7541</v>
      </c>
      <c r="P3643" s="36" t="s">
        <v>7542</v>
      </c>
      <c r="Q3643" s="38"/>
    </row>
    <row r="3644">
      <c r="A3644" s="6" t="s">
        <v>8042</v>
      </c>
      <c r="B3644" s="6" t="s">
        <v>8043</v>
      </c>
      <c r="C3644" s="6">
        <v>33.0</v>
      </c>
      <c r="D3644" s="9" t="str">
        <f>HYPERLINK("https://www.linkedin.com/ad-library/detail/1265781883","Open Ad")</f>
        <v>Open Ad</v>
      </c>
      <c r="E3644" s="6" t="s">
        <v>91</v>
      </c>
      <c r="F3644" s="6" t="s">
        <v>8022</v>
      </c>
      <c r="G3644" s="6" t="s">
        <v>8062</v>
      </c>
      <c r="H3644" s="6" t="s">
        <v>55</v>
      </c>
      <c r="I3644" s="6" t="s">
        <v>8025</v>
      </c>
      <c r="J3644" s="6" t="s">
        <v>91</v>
      </c>
      <c r="K3644" s="9" t="str">
        <f t="shared" ref="K3644:K3646" si="185">HYPERLINK("https://media.licdn.com/dms/image/v2/D4D10AQFejtehRJutzg/image-shrink_1280/B4DZ4g7JrgKYAc-/0/1778668837916/Ctrad4png?e=2147483647&amp;v=beta&amp;t=AREgDzLteqv0sK8EVJPS4lq8u7trOqUkv7AJY0RAZqU","View Creative")</f>
        <v>View Creative</v>
      </c>
      <c r="L3644" s="6" t="s">
        <v>62</v>
      </c>
      <c r="M3644" s="6" t="s">
        <v>8042</v>
      </c>
      <c r="N3644" s="6" t="s">
        <v>8063</v>
      </c>
      <c r="O3644" s="36" t="s">
        <v>7541</v>
      </c>
      <c r="P3644" s="36" t="s">
        <v>7542</v>
      </c>
      <c r="Q3644" s="38"/>
    </row>
    <row r="3645">
      <c r="A3645" s="6" t="s">
        <v>8042</v>
      </c>
      <c r="B3645" s="6" t="s">
        <v>8043</v>
      </c>
      <c r="C3645" s="6">
        <v>34.0</v>
      </c>
      <c r="D3645" s="9" t="str">
        <f>HYPERLINK("https://www.linkedin.com/ad-library/detail/1263583013","Open Ad")</f>
        <v>Open Ad</v>
      </c>
      <c r="E3645" s="6" t="s">
        <v>91</v>
      </c>
      <c r="F3645" s="6" t="s">
        <v>8022</v>
      </c>
      <c r="G3645" s="6" t="s">
        <v>8062</v>
      </c>
      <c r="H3645" s="6" t="s">
        <v>55</v>
      </c>
      <c r="I3645" s="6" t="s">
        <v>8025</v>
      </c>
      <c r="J3645" s="6" t="s">
        <v>91</v>
      </c>
      <c r="K3645" s="9" t="str">
        <f t="shared" si="185"/>
        <v>View Creative</v>
      </c>
      <c r="L3645" s="6" t="s">
        <v>62</v>
      </c>
      <c r="M3645" s="6" t="s">
        <v>8042</v>
      </c>
      <c r="N3645" s="6" t="s">
        <v>8068</v>
      </c>
      <c r="O3645" s="36" t="s">
        <v>7541</v>
      </c>
      <c r="P3645" s="36" t="s">
        <v>7542</v>
      </c>
      <c r="Q3645" s="38"/>
    </row>
    <row r="3646">
      <c r="A3646" s="6" t="s">
        <v>8042</v>
      </c>
      <c r="B3646" s="6" t="s">
        <v>8043</v>
      </c>
      <c r="C3646" s="6">
        <v>35.0</v>
      </c>
      <c r="D3646" s="9" t="str">
        <f>HYPERLINK("https://www.linkedin.com/ad-library/detail/1265582933","Open Ad")</f>
        <v>Open Ad</v>
      </c>
      <c r="E3646" s="6" t="s">
        <v>91</v>
      </c>
      <c r="F3646" s="6" t="s">
        <v>8022</v>
      </c>
      <c r="G3646" s="6" t="s">
        <v>8062</v>
      </c>
      <c r="H3646" s="6" t="s">
        <v>55</v>
      </c>
      <c r="I3646" s="6" t="s">
        <v>8025</v>
      </c>
      <c r="J3646" s="6" t="s">
        <v>91</v>
      </c>
      <c r="K3646" s="9" t="str">
        <f t="shared" si="185"/>
        <v>View Creative</v>
      </c>
      <c r="L3646" s="6" t="s">
        <v>62</v>
      </c>
      <c r="M3646" s="6" t="s">
        <v>8042</v>
      </c>
      <c r="O3646" s="36" t="s">
        <v>7541</v>
      </c>
      <c r="P3646" s="36" t="s">
        <v>7542</v>
      </c>
      <c r="Q3646" s="38"/>
    </row>
    <row r="3647">
      <c r="A3647" s="6" t="s">
        <v>8042</v>
      </c>
      <c r="B3647" s="6" t="s">
        <v>8043</v>
      </c>
      <c r="C3647" s="6">
        <v>36.0</v>
      </c>
      <c r="D3647" s="9" t="str">
        <f>HYPERLINK("https://www.linkedin.com/ad-library/detail/1265482643","Open Ad")</f>
        <v>Open Ad</v>
      </c>
      <c r="E3647" s="6" t="s">
        <v>91</v>
      </c>
      <c r="F3647" s="6" t="s">
        <v>8022</v>
      </c>
      <c r="G3647" s="6" t="s">
        <v>8062</v>
      </c>
      <c r="H3647" s="6" t="s">
        <v>55</v>
      </c>
      <c r="I3647" s="6" t="s">
        <v>8025</v>
      </c>
      <c r="J3647" s="6" t="s">
        <v>91</v>
      </c>
      <c r="K3647" s="9" t="str">
        <f>HYPERLINK("https://media.licdn.com/dms/image/v2/D4D10AQGCqrTmoqGlqw/image-shrink_1280/B4DZ4g7POAKcAg-/0/1778668860595/CTRad1png?e=2147483647&amp;v=beta&amp;t=KzltQ0Z2qsW94Bt8pRT6LlG9vrpjrZWycoRix5MQ4j4","View Creative")</f>
        <v>View Creative</v>
      </c>
      <c r="L3647" s="6" t="s">
        <v>62</v>
      </c>
      <c r="M3647" s="6" t="s">
        <v>8042</v>
      </c>
      <c r="N3647" s="6" t="s">
        <v>8067</v>
      </c>
      <c r="O3647" s="36" t="s">
        <v>7541</v>
      </c>
      <c r="P3647" s="36" t="s">
        <v>7542</v>
      </c>
      <c r="Q3647" s="38"/>
    </row>
    <row r="3648">
      <c r="A3648" s="6" t="s">
        <v>8042</v>
      </c>
      <c r="B3648" s="6" t="s">
        <v>8043</v>
      </c>
      <c r="C3648" s="6">
        <v>37.0</v>
      </c>
      <c r="D3648" s="9" t="str">
        <f>HYPERLINK("https://www.linkedin.com/ad-library/detail/1265282743","Open Ad")</f>
        <v>Open Ad</v>
      </c>
      <c r="E3648" s="6" t="s">
        <v>91</v>
      </c>
      <c r="F3648" s="6" t="s">
        <v>8022</v>
      </c>
      <c r="G3648" s="6" t="s">
        <v>8062</v>
      </c>
      <c r="H3648" s="6" t="s">
        <v>55</v>
      </c>
      <c r="I3648" s="6" t="s">
        <v>8025</v>
      </c>
      <c r="J3648" s="6" t="s">
        <v>91</v>
      </c>
      <c r="K3648" s="9" t="str">
        <f>HYPERLINK("https://media.licdn.com/dms/image/v2/D4D10AQFmaIjWiLmeCQ/image-shrink_1280/B4DZ4g7JtvJQAc-/0/1778668838057/Ctrad2png?e=2147483647&amp;v=beta&amp;t=nSKgElGadA9_3T7wtf-XZLEOtWgpHAjOX6lb_sTWgAM","View Creative")</f>
        <v>View Creative</v>
      </c>
      <c r="L3648" s="6" t="s">
        <v>62</v>
      </c>
      <c r="M3648" s="6" t="s">
        <v>8042</v>
      </c>
      <c r="O3648" s="36" t="s">
        <v>7541</v>
      </c>
      <c r="P3648" s="36" t="s">
        <v>7542</v>
      </c>
      <c r="Q3648" s="38"/>
    </row>
    <row r="3649">
      <c r="A3649" s="6" t="s">
        <v>8042</v>
      </c>
      <c r="B3649" s="6" t="s">
        <v>8043</v>
      </c>
      <c r="C3649" s="6">
        <v>38.0</v>
      </c>
      <c r="D3649" s="9" t="str">
        <f>HYPERLINK("https://www.linkedin.com/ad-library/detail/1265182053","Open Ad")</f>
        <v>Open Ad</v>
      </c>
      <c r="E3649" s="6" t="s">
        <v>91</v>
      </c>
      <c r="F3649" s="6" t="s">
        <v>8022</v>
      </c>
      <c r="G3649" s="6" t="s">
        <v>8062</v>
      </c>
      <c r="H3649" s="6" t="s">
        <v>55</v>
      </c>
      <c r="I3649" s="6" t="s">
        <v>8025</v>
      </c>
      <c r="J3649" s="6" t="s">
        <v>91</v>
      </c>
      <c r="K3649" s="9" t="str">
        <f t="shared" ref="K3649:K3650" si="186">HYPERLINK("https://media.licdn.com/dms/image/v2/D4D10AQG5I77OVeGq6w/image-shrink_1280/B4DZ4gstRVHAAk-/0/1778665051505/Frame427319753png?e=2147483647&amp;v=beta&amp;t=fFJ_Cpq-NmaLNhXmOLCUwyUbG-gt1S3raR1I-BCqqso","View Creative")</f>
        <v>View Creative</v>
      </c>
      <c r="L3649" s="6" t="s">
        <v>62</v>
      </c>
      <c r="M3649" s="6" t="s">
        <v>8042</v>
      </c>
      <c r="N3649" s="6" t="s">
        <v>8065</v>
      </c>
      <c r="O3649" s="36" t="s">
        <v>7541</v>
      </c>
      <c r="P3649" s="36" t="s">
        <v>7542</v>
      </c>
      <c r="Q3649" s="38"/>
    </row>
    <row r="3650">
      <c r="A3650" s="6" t="s">
        <v>8042</v>
      </c>
      <c r="B3650" s="6" t="s">
        <v>8043</v>
      </c>
      <c r="C3650" s="6">
        <v>39.0</v>
      </c>
      <c r="D3650" s="9" t="str">
        <f>HYPERLINK("https://www.linkedin.com/ad-library/detail/1264182333","Open Ad")</f>
        <v>Open Ad</v>
      </c>
      <c r="E3650" s="6" t="s">
        <v>91</v>
      </c>
      <c r="F3650" s="6" t="s">
        <v>8022</v>
      </c>
      <c r="G3650" s="6" t="s">
        <v>8062</v>
      </c>
      <c r="H3650" s="6" t="s">
        <v>55</v>
      </c>
      <c r="I3650" s="6" t="s">
        <v>8025</v>
      </c>
      <c r="J3650" s="6" t="s">
        <v>91</v>
      </c>
      <c r="K3650" s="9" t="str">
        <f t="shared" si="186"/>
        <v>View Creative</v>
      </c>
      <c r="L3650" s="6" t="s">
        <v>62</v>
      </c>
      <c r="M3650" s="6" t="s">
        <v>8042</v>
      </c>
      <c r="N3650" s="6" t="s">
        <v>8065</v>
      </c>
      <c r="O3650" s="36" t="s">
        <v>7541</v>
      </c>
      <c r="P3650" s="36" t="s">
        <v>7542</v>
      </c>
      <c r="Q3650" s="38"/>
    </row>
    <row r="3651">
      <c r="A3651" s="6" t="s">
        <v>8042</v>
      </c>
      <c r="B3651" s="6" t="s">
        <v>8043</v>
      </c>
      <c r="C3651" s="6">
        <v>40.0</v>
      </c>
      <c r="D3651" s="9" t="str">
        <f>HYPERLINK("https://www.linkedin.com/ad-library/detail/1210403043","Open Ad")</f>
        <v>Open Ad</v>
      </c>
      <c r="E3651" s="6" t="s">
        <v>91</v>
      </c>
      <c r="F3651" s="6" t="s">
        <v>8022</v>
      </c>
      <c r="G3651" s="19" t="s">
        <v>8069</v>
      </c>
      <c r="H3651" s="6" t="s">
        <v>55</v>
      </c>
      <c r="I3651" s="6" t="s">
        <v>8025</v>
      </c>
      <c r="J3651" s="6" t="s">
        <v>91</v>
      </c>
      <c r="K3651" s="9" t="str">
        <f>HYPERLINK("https://media.licdn.com/dms/image/v2/D4E22AQEnUDkgBQn6vA/feedshare-shrink_800/B4EZ12Q5XLJsAc-/0/1775805634557?e=2147483647&amp;v=beta&amp;t=h0gHabkr54R9QOQVg0QpODIK1wMi9jEuNhzgAnr-ZFA","View Creative")</f>
        <v>View Creative</v>
      </c>
      <c r="L3651" s="6" t="s">
        <v>62</v>
      </c>
      <c r="M3651" s="6" t="s">
        <v>8042</v>
      </c>
      <c r="N3651" s="6" t="s">
        <v>8070</v>
      </c>
      <c r="O3651" s="36" t="s">
        <v>7541</v>
      </c>
      <c r="P3651" s="36" t="s">
        <v>7542</v>
      </c>
      <c r="Q3651" s="38"/>
    </row>
    <row r="3652">
      <c r="A3652" s="6" t="s">
        <v>8042</v>
      </c>
      <c r="B3652" s="6" t="s">
        <v>8043</v>
      </c>
      <c r="C3652" s="6">
        <v>41.0</v>
      </c>
      <c r="D3652" s="9" t="str">
        <f>HYPERLINK("https://www.linkedin.com/ad-library/detail/1398518536","Open Ad")</f>
        <v>Open Ad</v>
      </c>
      <c r="E3652" s="6" t="s">
        <v>91</v>
      </c>
      <c r="F3652" s="6" t="s">
        <v>8022</v>
      </c>
      <c r="G3652" s="6" t="s">
        <v>8066</v>
      </c>
      <c r="H3652" s="6" t="s">
        <v>55</v>
      </c>
      <c r="I3652" s="6" t="s">
        <v>8025</v>
      </c>
      <c r="J3652" s="6" t="s">
        <v>91</v>
      </c>
      <c r="K3652" s="9" t="str">
        <f>HYPERLINK("https://media.licdn.com/dms/image/v2/D5610AQGslUh84e-5OA/image-shrink_1280/B56Z3TyrCkKkAc-/0/1777374769580/1776329137841jpg?e=2147483647&amp;v=beta&amp;t=2GtuuRCBsnno_MPDqc4TVJqXHUcZx-q32F8p_BCyKCI","View Creative")</f>
        <v>View Creative</v>
      </c>
      <c r="L3652" s="6" t="s">
        <v>62</v>
      </c>
      <c r="M3652" s="6" t="s">
        <v>8042</v>
      </c>
      <c r="N3652" s="6" t="s">
        <v>8071</v>
      </c>
      <c r="O3652" s="36" t="s">
        <v>7541</v>
      </c>
      <c r="P3652" s="36" t="s">
        <v>7542</v>
      </c>
      <c r="Q3652" s="38"/>
    </row>
    <row r="3653">
      <c r="A3653" s="6" t="s">
        <v>8042</v>
      </c>
      <c r="B3653" s="6" t="s">
        <v>8043</v>
      </c>
      <c r="C3653" s="6">
        <v>42.0</v>
      </c>
      <c r="D3653" s="9" t="str">
        <f>HYPERLINK("https://www.linkedin.com/ad-library/detail/1264583083","Open Ad")</f>
        <v>Open Ad</v>
      </c>
      <c r="E3653" s="6" t="s">
        <v>91</v>
      </c>
      <c r="F3653" s="6" t="s">
        <v>8022</v>
      </c>
      <c r="G3653" s="6" t="s">
        <v>8062</v>
      </c>
      <c r="H3653" s="6" t="s">
        <v>55</v>
      </c>
      <c r="I3653" s="6" t="s">
        <v>8025</v>
      </c>
      <c r="J3653" s="6" t="s">
        <v>91</v>
      </c>
      <c r="K3653" s="9" t="str">
        <f>HYPERLINK("https://media.licdn.com/dms/image/v2/D4D10AQFmaIjWiLmeCQ/image-shrink_1280/B4DZ4g7JtvJQAc-/0/1778668838057/Ctrad2png?e=2147483647&amp;v=beta&amp;t=nSKgElGadA9_3T7wtf-XZLEOtWgpHAjOX6lb_sTWgAM","View Creative")</f>
        <v>View Creative</v>
      </c>
      <c r="L3653" s="6" t="s">
        <v>62</v>
      </c>
      <c r="M3653" s="6" t="s">
        <v>8042</v>
      </c>
      <c r="N3653" s="6" t="s">
        <v>8067</v>
      </c>
      <c r="O3653" s="36" t="s">
        <v>7541</v>
      </c>
      <c r="P3653" s="36" t="s">
        <v>7542</v>
      </c>
      <c r="Q3653" s="38"/>
    </row>
    <row r="3654">
      <c r="A3654" s="6" t="s">
        <v>8042</v>
      </c>
      <c r="B3654" s="6" t="s">
        <v>8043</v>
      </c>
      <c r="C3654" s="6">
        <v>43.0</v>
      </c>
      <c r="D3654" s="9" t="str">
        <f>HYPERLINK("https://www.linkedin.com/ad-library/detail/1211998823","Open Ad")</f>
        <v>Open Ad</v>
      </c>
      <c r="E3654" s="6" t="s">
        <v>91</v>
      </c>
      <c r="F3654" s="6" t="s">
        <v>8022</v>
      </c>
      <c r="G3654" s="19" t="s">
        <v>8069</v>
      </c>
      <c r="H3654" s="6" t="s">
        <v>55</v>
      </c>
      <c r="I3654" s="6" t="s">
        <v>8025</v>
      </c>
      <c r="J3654" s="6" t="s">
        <v>91</v>
      </c>
      <c r="K3654" s="9" t="str">
        <f>HYPERLINK("https://media.licdn.com/dms/image/v2/D4E22AQEnUDkgBQn6vA/feedshare-shrink_800/B4EZ12Q5XLJsAc-/0/1775805634557?e=2147483647&amp;v=beta&amp;t=h0gHabkr54R9QOQVg0QpODIK1wMi9jEuNhzgAnr-ZFA","View Creative")</f>
        <v>View Creative</v>
      </c>
      <c r="L3654" s="6" t="s">
        <v>62</v>
      </c>
      <c r="M3654" s="6" t="s">
        <v>8042</v>
      </c>
      <c r="O3654" s="36" t="s">
        <v>7541</v>
      </c>
      <c r="P3654" s="36" t="s">
        <v>7542</v>
      </c>
      <c r="Q3654" s="38"/>
    </row>
    <row r="3655">
      <c r="A3655" s="6" t="s">
        <v>8042</v>
      </c>
      <c r="B3655" s="6" t="s">
        <v>8043</v>
      </c>
      <c r="C3655" s="6">
        <v>44.0</v>
      </c>
      <c r="D3655" s="9" t="str">
        <f>HYPERLINK("https://www.linkedin.com/ad-library/detail/1264783023","Open Ad")</f>
        <v>Open Ad</v>
      </c>
      <c r="E3655" s="6" t="s">
        <v>91</v>
      </c>
      <c r="F3655" s="6" t="s">
        <v>8022</v>
      </c>
      <c r="G3655" s="6" t="s">
        <v>8062</v>
      </c>
      <c r="H3655" s="6" t="s">
        <v>55</v>
      </c>
      <c r="I3655" s="6" t="s">
        <v>8025</v>
      </c>
      <c r="J3655" s="6" t="s">
        <v>91</v>
      </c>
      <c r="K3655" s="9" t="str">
        <f>HYPERLINK("https://media.licdn.com/dms/image/v2/D4D10AQGCqrTmoqGlqw/image-shrink_1280/B4DZ4g7POAKcAg-/0/1778668860595/CTRad1png?e=2147483647&amp;v=beta&amp;t=KzltQ0Z2qsW94Bt8pRT6LlG9vrpjrZWycoRix5MQ4j4","View Creative")</f>
        <v>View Creative</v>
      </c>
      <c r="L3655" s="6" t="s">
        <v>62</v>
      </c>
      <c r="M3655" s="6" t="s">
        <v>8042</v>
      </c>
      <c r="O3655" s="36" t="s">
        <v>7541</v>
      </c>
      <c r="P3655" s="36" t="s">
        <v>7542</v>
      </c>
      <c r="Q3655" s="38"/>
    </row>
    <row r="3656">
      <c r="A3656" s="6" t="s">
        <v>8042</v>
      </c>
      <c r="B3656" s="6" t="s">
        <v>8043</v>
      </c>
      <c r="C3656" s="6">
        <v>45.0</v>
      </c>
      <c r="D3656" s="9" t="str">
        <f>HYPERLINK("https://www.linkedin.com/ad-library/detail/1211882193","Open Ad")</f>
        <v>Open Ad</v>
      </c>
      <c r="E3656" s="6" t="s">
        <v>91</v>
      </c>
      <c r="F3656" s="6" t="s">
        <v>8022</v>
      </c>
      <c r="G3656" s="6" t="s">
        <v>8072</v>
      </c>
      <c r="H3656" s="6" t="s">
        <v>8073</v>
      </c>
      <c r="I3656" s="6" t="s">
        <v>8025</v>
      </c>
      <c r="J3656" s="6" t="s">
        <v>91</v>
      </c>
      <c r="K3656" s="9" t="str">
        <f>HYPERLINK("https://media.licdn.com/dms/image/v2/D4E22AQFiLIjb5D7yMQ/feedshare-shrink_800/B4EZ1NpOuCJIAc-/0/1775124147313?e=2147483647&amp;v=beta&amp;t=pr5CvUxSN9tJeRb2ymXFx3GcpegvNoT0L4uCrasdGzw","View Creative")</f>
        <v>View Creative</v>
      </c>
      <c r="L3656" s="6" t="s">
        <v>62</v>
      </c>
      <c r="M3656" s="6" t="s">
        <v>8042</v>
      </c>
      <c r="O3656" s="36" t="s">
        <v>7541</v>
      </c>
      <c r="P3656" s="36" t="s">
        <v>7542</v>
      </c>
      <c r="Q3656" s="38"/>
    </row>
    <row r="3657">
      <c r="A3657" s="6" t="s">
        <v>8042</v>
      </c>
      <c r="B3657" s="6" t="s">
        <v>8043</v>
      </c>
      <c r="C3657" s="6">
        <v>46.0</v>
      </c>
      <c r="D3657" s="9" t="str">
        <f>HYPERLINK("https://www.linkedin.com/ad-library/detail/1263683083","Open Ad")</f>
        <v>Open Ad</v>
      </c>
      <c r="E3657" s="6" t="s">
        <v>91</v>
      </c>
      <c r="F3657" s="6" t="s">
        <v>8022</v>
      </c>
      <c r="G3657" s="6" t="s">
        <v>8062</v>
      </c>
      <c r="H3657" s="6" t="s">
        <v>55</v>
      </c>
      <c r="I3657" s="6" t="s">
        <v>8025</v>
      </c>
      <c r="J3657" s="6" t="s">
        <v>91</v>
      </c>
      <c r="K3657" s="9" t="str">
        <f>HYPERLINK("https://media.licdn.com/dms/image/v2/D4D10AQGCqrTmoqGlqw/image-shrink_1280/B4DZ4g7POAKcAg-/0/1778668860595/CTRad1png?e=2147483647&amp;v=beta&amp;t=KzltQ0Z2qsW94Bt8pRT6LlG9vrpjrZWycoRix5MQ4j4","View Creative")</f>
        <v>View Creative</v>
      </c>
      <c r="L3657" s="6" t="s">
        <v>62</v>
      </c>
      <c r="M3657" s="6" t="s">
        <v>8042</v>
      </c>
      <c r="N3657" s="6" t="s">
        <v>8065</v>
      </c>
      <c r="O3657" s="36" t="s">
        <v>7541</v>
      </c>
      <c r="P3657" s="36" t="s">
        <v>7542</v>
      </c>
      <c r="Q3657" s="38"/>
    </row>
    <row r="3658">
      <c r="A3658" s="6" t="s">
        <v>8042</v>
      </c>
      <c r="B3658" s="6" t="s">
        <v>8043</v>
      </c>
      <c r="C3658" s="6">
        <v>47.0</v>
      </c>
      <c r="D3658" s="9" t="str">
        <f>HYPERLINK("https://www.linkedin.com/ad-library/detail/1264283123","Open Ad")</f>
        <v>Open Ad</v>
      </c>
      <c r="E3658" s="6" t="s">
        <v>91</v>
      </c>
      <c r="F3658" s="6" t="s">
        <v>8022</v>
      </c>
      <c r="G3658" s="6" t="s">
        <v>8064</v>
      </c>
      <c r="H3658" s="6" t="s">
        <v>55</v>
      </c>
      <c r="I3658" s="6" t="s">
        <v>8025</v>
      </c>
      <c r="J3658" s="6" t="s">
        <v>91</v>
      </c>
      <c r="K3658" s="9" t="str">
        <f t="shared" ref="K3658:K3659" si="187">HYPERLINK("https://media.licdn.com/dms/image/v2/D4D10AQHBlAx5mbeR5A/image-shrink_1280/B4DZ4g.febK4Ag-/0/1778669713668/Ctrad5png?e=2147483647&amp;v=beta&amp;t=ZgZiiZyLkSW4Ojfi9K6pYWnFWJwnZJGJVXus1vbQ7rc","View Creative")</f>
        <v>View Creative</v>
      </c>
      <c r="L3658" s="6" t="s">
        <v>62</v>
      </c>
      <c r="M3658" s="6" t="s">
        <v>8042</v>
      </c>
      <c r="O3658" s="36" t="s">
        <v>7541</v>
      </c>
      <c r="P3658" s="36" t="s">
        <v>7542</v>
      </c>
      <c r="Q3658" s="38"/>
    </row>
    <row r="3659">
      <c r="A3659" s="6" t="s">
        <v>8042</v>
      </c>
      <c r="B3659" s="6" t="s">
        <v>8043</v>
      </c>
      <c r="C3659" s="6">
        <v>48.0</v>
      </c>
      <c r="D3659" s="9" t="str">
        <f>HYPERLINK("https://www.linkedin.com/ad-library/detail/1265182903","Open Ad")</f>
        <v>Open Ad</v>
      </c>
      <c r="E3659" s="6" t="s">
        <v>91</v>
      </c>
      <c r="F3659" s="6" t="s">
        <v>8022</v>
      </c>
      <c r="G3659" s="6" t="s">
        <v>8064</v>
      </c>
      <c r="H3659" s="6" t="s">
        <v>55</v>
      </c>
      <c r="I3659" s="6" t="s">
        <v>8025</v>
      </c>
      <c r="J3659" s="6" t="s">
        <v>91</v>
      </c>
      <c r="K3659" s="9" t="str">
        <f t="shared" si="187"/>
        <v>View Creative</v>
      </c>
      <c r="L3659" s="6" t="s">
        <v>62</v>
      </c>
      <c r="M3659" s="6" t="s">
        <v>8042</v>
      </c>
      <c r="N3659" s="6" t="s">
        <v>8065</v>
      </c>
      <c r="O3659" s="36" t="s">
        <v>7541</v>
      </c>
      <c r="P3659" s="36" t="s">
        <v>7542</v>
      </c>
      <c r="Q3659" s="38"/>
    </row>
    <row r="3660">
      <c r="A3660" s="6" t="s">
        <v>8042</v>
      </c>
      <c r="B3660" s="6" t="s">
        <v>8043</v>
      </c>
      <c r="C3660" s="6">
        <v>49.0</v>
      </c>
      <c r="D3660" s="9" t="str">
        <f>HYPERLINK("https://www.linkedin.com/ad-library/detail/1200607033","Open Ad")</f>
        <v>Open Ad</v>
      </c>
      <c r="E3660" s="6" t="s">
        <v>91</v>
      </c>
      <c r="F3660" s="6" t="s">
        <v>8022</v>
      </c>
      <c r="G3660" s="6" t="s">
        <v>8074</v>
      </c>
      <c r="H3660" s="6" t="s">
        <v>55</v>
      </c>
      <c r="I3660" s="6" t="s">
        <v>8025</v>
      </c>
      <c r="J3660" s="6" t="s">
        <v>91</v>
      </c>
      <c r="K3660" s="9" t="str">
        <f>HYPERLINK("https://media.licdn.com/dms/image/v2/D4E22AQGljfdWmEq1bA/feedshare-image-high-res/B4EZ09qDo3HYAY-/0/1774855928689?e=2147483647&amp;v=beta&amp;t=_ZU5SeLUZQaEr7D4MCztUiy-Ox6ON_SDJmk3uHLQjv0","View Creative")</f>
        <v>View Creative</v>
      </c>
      <c r="L3660" s="6" t="s">
        <v>62</v>
      </c>
      <c r="M3660" s="6" t="s">
        <v>8042</v>
      </c>
      <c r="O3660" s="36" t="s">
        <v>7541</v>
      </c>
      <c r="P3660" s="36" t="s">
        <v>7542</v>
      </c>
      <c r="Q3660" s="38"/>
    </row>
    <row r="3661">
      <c r="A3661" s="6" t="s">
        <v>8042</v>
      </c>
      <c r="B3661" s="6" t="s">
        <v>8043</v>
      </c>
      <c r="C3661" s="6">
        <v>50.0</v>
      </c>
      <c r="D3661" s="9" t="str">
        <f>HYPERLINK("https://www.linkedin.com/ad-library/detail/1194057893","Open Ad")</f>
        <v>Open Ad</v>
      </c>
      <c r="E3661" s="6" t="s">
        <v>91</v>
      </c>
      <c r="F3661" s="6" t="s">
        <v>8022</v>
      </c>
      <c r="G3661" s="6" t="s">
        <v>8075</v>
      </c>
      <c r="H3661" s="6" t="s">
        <v>55</v>
      </c>
      <c r="I3661" s="6" t="s">
        <v>8025</v>
      </c>
      <c r="J3661" s="6" t="s">
        <v>91</v>
      </c>
      <c r="K3661" s="9" t="str">
        <f>HYPERLINK("https://media.licdn.com/dms/image/v2/D4D10AQEoMHovoqZWNw/image-shrink_1280/B4DZ0Kt_CbIoAc-/0/1774001320485/LinkedinPaid-EagleEyedDigitalQuote2jpg?e=2147483647&amp;v=beta&amp;t=STH62i-dXalIcSqmP4DvpB3IstBlqxRY7F6ecgbPZsU","View Creative")</f>
        <v>View Creative</v>
      </c>
      <c r="L3661" s="6" t="s">
        <v>62</v>
      </c>
      <c r="M3661" s="6" t="s">
        <v>8042</v>
      </c>
      <c r="N3661" s="6" t="s">
        <v>8076</v>
      </c>
      <c r="O3661" s="36" t="s">
        <v>7541</v>
      </c>
      <c r="P3661" s="36" t="s">
        <v>7542</v>
      </c>
      <c r="Q3661" s="38"/>
    </row>
    <row r="3662">
      <c r="A3662" s="6" t="s">
        <v>8042</v>
      </c>
      <c r="B3662" s="6" t="s">
        <v>8043</v>
      </c>
      <c r="C3662" s="6">
        <v>51.0</v>
      </c>
      <c r="D3662" s="9" t="str">
        <f>HYPERLINK("https://www.linkedin.com/ad-library/detail/1193805313","Open Ad")</f>
        <v>Open Ad</v>
      </c>
      <c r="E3662" s="6" t="s">
        <v>91</v>
      </c>
      <c r="F3662" s="6" t="s">
        <v>8022</v>
      </c>
      <c r="G3662" s="6" t="s">
        <v>8077</v>
      </c>
      <c r="H3662" s="6" t="s">
        <v>55</v>
      </c>
      <c r="I3662" s="6" t="s">
        <v>8025</v>
      </c>
      <c r="J3662" s="6" t="s">
        <v>91</v>
      </c>
      <c r="K3662" s="9" t="str">
        <f>HYPERLINK("https://media.licdn.com/dms/image/v2/D4D10AQGha_u6oYcMjQ/image-shrink_800/B4DZzmOEC1IMAk-/0/1773388972488/1773308733266jpg?e=2147483647&amp;v=beta&amp;t=AqN5T1IyW__1o1ra_gpu2HaOISOWcpu_NS17P-hxn7A","View Creative")</f>
        <v>View Creative</v>
      </c>
      <c r="L3662" s="6" t="s">
        <v>62</v>
      </c>
      <c r="M3662" s="6" t="s">
        <v>8042</v>
      </c>
      <c r="N3662" s="6" t="s">
        <v>8078</v>
      </c>
      <c r="O3662" s="36" t="s">
        <v>7541</v>
      </c>
      <c r="P3662" s="36" t="s">
        <v>7542</v>
      </c>
      <c r="Q3662" s="38"/>
    </row>
    <row r="3663">
      <c r="A3663" s="6" t="s">
        <v>8042</v>
      </c>
      <c r="B3663" s="6" t="s">
        <v>8043</v>
      </c>
      <c r="C3663" s="6">
        <v>52.0</v>
      </c>
      <c r="D3663" s="9" t="str">
        <f>HYPERLINK("https://www.linkedin.com/ad-library/detail/1196691053","Open Ad")</f>
        <v>Open Ad</v>
      </c>
      <c r="E3663" s="6" t="s">
        <v>91</v>
      </c>
      <c r="F3663" s="6" t="s">
        <v>8022</v>
      </c>
      <c r="G3663" s="6" t="s">
        <v>8075</v>
      </c>
      <c r="H3663" s="6" t="s">
        <v>55</v>
      </c>
      <c r="I3663" s="6" t="s">
        <v>8025</v>
      </c>
      <c r="J3663" s="6" t="s">
        <v>91</v>
      </c>
      <c r="K3663" s="9" t="str">
        <f>HYPERLINK("https://media.licdn.com/dms/image/v2/D4D10AQEsDN4wUJfOeA/image-shrink_1280/B4DZ0KtyzBIIAc-/0/1774001270348/LinkedinPaid-OuterboxCaseQuote-11png?e=2147483647&amp;v=beta&amp;t=tH1spcjEH0o_0HDhqrW16xglBGK_p5Xb-X6hjiA5LYw","View Creative")</f>
        <v>View Creative</v>
      </c>
      <c r="L3663" s="6" t="s">
        <v>62</v>
      </c>
      <c r="M3663" s="6" t="s">
        <v>8042</v>
      </c>
      <c r="N3663" s="6" t="s">
        <v>8079</v>
      </c>
      <c r="O3663" s="36" t="s">
        <v>7541</v>
      </c>
      <c r="P3663" s="36" t="s">
        <v>7542</v>
      </c>
      <c r="Q3663" s="38"/>
    </row>
    <row r="3664">
      <c r="A3664" s="6" t="s">
        <v>8042</v>
      </c>
      <c r="B3664" s="6" t="s">
        <v>8043</v>
      </c>
      <c r="C3664" s="6">
        <v>53.0</v>
      </c>
      <c r="D3664" s="9" t="str">
        <f>HYPERLINK("https://www.linkedin.com/ad-library/detail/1196397053","Open Ad")</f>
        <v>Open Ad</v>
      </c>
      <c r="E3664" s="6" t="s">
        <v>91</v>
      </c>
      <c r="F3664" s="6" t="s">
        <v>8022</v>
      </c>
      <c r="G3664" s="6" t="s">
        <v>8075</v>
      </c>
      <c r="H3664" s="6" t="s">
        <v>55</v>
      </c>
      <c r="I3664" s="6" t="s">
        <v>8025</v>
      </c>
      <c r="J3664" s="6" t="s">
        <v>91</v>
      </c>
      <c r="K3664" s="9" t="str">
        <f>HYPERLINK("https://media.licdn.com/dms/image/v2/D4D10AQHXgnHy9cTNcA/image-shrink_1280/B4DZ0Kt_DiGsAg-/0/1774001320486/LinkedinPaid-TransactCaseQuotepng?e=2147483647&amp;v=beta&amp;t=_lwt6mxoHLmRi3AF_OmmDs_RY59GVyukydrIUwTV1Ck","View Creative")</f>
        <v>View Creative</v>
      </c>
      <c r="L3664" s="6" t="s">
        <v>62</v>
      </c>
      <c r="M3664" s="6" t="s">
        <v>8042</v>
      </c>
      <c r="N3664" s="6" t="s">
        <v>8080</v>
      </c>
      <c r="O3664" s="36" t="s">
        <v>7541</v>
      </c>
      <c r="P3664" s="36" t="s">
        <v>7542</v>
      </c>
      <c r="Q3664" s="38"/>
    </row>
    <row r="3665">
      <c r="A3665" s="6" t="s">
        <v>8042</v>
      </c>
      <c r="B3665" s="6" t="s">
        <v>8043</v>
      </c>
      <c r="C3665" s="6">
        <v>54.0</v>
      </c>
      <c r="D3665" s="9" t="str">
        <f>HYPERLINK("https://www.linkedin.com/ad-library/detail/1197882713","Open Ad")</f>
        <v>Open Ad</v>
      </c>
      <c r="E3665" s="6" t="s">
        <v>91</v>
      </c>
      <c r="F3665" s="6" t="s">
        <v>8022</v>
      </c>
      <c r="G3665" s="6" t="s">
        <v>8081</v>
      </c>
      <c r="H3665" s="6" t="s">
        <v>8082</v>
      </c>
      <c r="I3665" s="6" t="s">
        <v>8025</v>
      </c>
      <c r="J3665" s="6" t="s">
        <v>91</v>
      </c>
      <c r="K3665" s="9" t="str">
        <f>HYPERLINK("https://media.licdn.com/dms/image/v2/D4E22AQG5N3ycvPtOGQ/feedshare-image-high-res/B4EZ0fc5y7IQAY-/0/1774349164000?e=2147483647&amp;v=beta&amp;t=-D5woGhDozfE6QZRZ2xd8eYulppOisXvBHcD0BnoB2Y","View Creative")</f>
        <v>View Creative</v>
      </c>
      <c r="L3665" s="6" t="s">
        <v>62</v>
      </c>
      <c r="M3665" s="6" t="s">
        <v>8042</v>
      </c>
      <c r="O3665" s="36" t="s">
        <v>7541</v>
      </c>
      <c r="P3665" s="36" t="s">
        <v>7542</v>
      </c>
      <c r="Q3665" s="38"/>
    </row>
    <row r="3666">
      <c r="A3666" s="6" t="s">
        <v>8042</v>
      </c>
      <c r="B3666" s="6" t="s">
        <v>8043</v>
      </c>
      <c r="C3666" s="6">
        <v>55.0</v>
      </c>
      <c r="D3666" s="9" t="str">
        <f>HYPERLINK("https://www.linkedin.com/ad-library/detail/1188211073","Open Ad")</f>
        <v>Open Ad</v>
      </c>
      <c r="E3666" s="6" t="s">
        <v>91</v>
      </c>
      <c r="F3666" s="6" t="s">
        <v>8022</v>
      </c>
      <c r="G3666" s="6" t="s">
        <v>8083</v>
      </c>
      <c r="H3666" s="6" t="s">
        <v>55</v>
      </c>
      <c r="I3666" s="6" t="s">
        <v>8025</v>
      </c>
      <c r="J3666" s="6" t="s">
        <v>91</v>
      </c>
      <c r="K3666" s="9" t="str">
        <f>HYPERLINK("https://media.licdn.com/dms/image/v2/D4D10AQGvrA2UACNHEQ/image-shrink_1280/B4DZzDd1x3IwAg-/0/1772805905896/TagCloudforLLM-paidpng?e=2147483647&amp;v=beta&amp;t=pCBDvWC7LIQU4231Ah0fAF5iuqdVNWwdOuYLWGynqLE","View Creative")</f>
        <v>View Creative</v>
      </c>
      <c r="L3666" s="6" t="s">
        <v>62</v>
      </c>
      <c r="M3666" s="6" t="s">
        <v>8042</v>
      </c>
      <c r="O3666" s="36" t="s">
        <v>7541</v>
      </c>
      <c r="P3666" s="36" t="s">
        <v>7542</v>
      </c>
      <c r="Q3666" s="38"/>
    </row>
    <row r="3667">
      <c r="A3667" s="6" t="s">
        <v>8042</v>
      </c>
      <c r="B3667" s="6" t="s">
        <v>8043</v>
      </c>
      <c r="C3667" s="6">
        <v>56.0</v>
      </c>
      <c r="D3667" s="9" t="str">
        <f>HYPERLINK("https://www.linkedin.com/ad-library/detail/1192918033","Open Ad")</f>
        <v>Open Ad</v>
      </c>
      <c r="E3667" s="6" t="s">
        <v>91</v>
      </c>
      <c r="F3667" s="6" t="s">
        <v>8022</v>
      </c>
      <c r="G3667" s="6" t="s">
        <v>8084</v>
      </c>
      <c r="H3667" s="6" t="s">
        <v>769</v>
      </c>
      <c r="I3667" s="6" t="s">
        <v>8025</v>
      </c>
      <c r="J3667" s="6" t="s">
        <v>91</v>
      </c>
      <c r="K3667" s="9" t="str">
        <f>HYPERLINK("https://media.licdn.com/dms/image/v2/D4E22AQHFEm31w9vBMw/feedshare-shrink_1280/B4EZzhh9QiJcAM-/0/1773310301543?e=2147483647&amp;v=beta&amp;t=8UJD7ULm3t7aac4zDv0i-kSsW0mQd3pKa82ryQl-YKA","View Creative")</f>
        <v>View Creative</v>
      </c>
      <c r="L3667" s="6" t="s">
        <v>62</v>
      </c>
      <c r="M3667" s="6" t="s">
        <v>8042</v>
      </c>
      <c r="O3667" s="36" t="s">
        <v>7541</v>
      </c>
      <c r="P3667" s="36" t="s">
        <v>7542</v>
      </c>
      <c r="Q3667" s="38"/>
    </row>
    <row r="3668">
      <c r="A3668" s="6" t="s">
        <v>8042</v>
      </c>
      <c r="B3668" s="6" t="s">
        <v>8043</v>
      </c>
      <c r="C3668" s="6">
        <v>57.0</v>
      </c>
      <c r="D3668" s="9" t="str">
        <f>HYPERLINK("https://www.linkedin.com/ad-library/detail/1196006973","Open Ad")</f>
        <v>Open Ad</v>
      </c>
      <c r="E3668" s="6" t="s">
        <v>91</v>
      </c>
      <c r="F3668" s="6" t="s">
        <v>8022</v>
      </c>
      <c r="G3668" s="6" t="s">
        <v>8085</v>
      </c>
      <c r="H3668" s="6" t="s">
        <v>55</v>
      </c>
      <c r="I3668" s="6" t="s">
        <v>8025</v>
      </c>
      <c r="J3668" s="6" t="s">
        <v>91</v>
      </c>
      <c r="K3668" s="9" t="str">
        <f>HYPERLINK("https://media.licdn.com/dms/image/v2/D4D10AQFQ6O3-aVcBMw/image-shrink_1280/B4DZewx.4RG8AU-/0/1751017582728/LinkedinPaid-OverdoseCaseQuotejpg?e=2147483647&amp;v=beta&amp;t=RPfXGokK6GgyMHeJ_sh0QBwPmeG9rlQDKJZIMGksVR0","View Creative")</f>
        <v>View Creative</v>
      </c>
      <c r="L3668" s="6" t="s">
        <v>62</v>
      </c>
      <c r="M3668" s="6" t="s">
        <v>8042</v>
      </c>
      <c r="N3668" s="6" t="s">
        <v>8076</v>
      </c>
      <c r="O3668" s="36" t="s">
        <v>7541</v>
      </c>
      <c r="P3668" s="36" t="s">
        <v>7542</v>
      </c>
      <c r="Q3668" s="38"/>
    </row>
    <row r="3669">
      <c r="A3669" s="6" t="s">
        <v>8042</v>
      </c>
      <c r="B3669" s="6" t="s">
        <v>8043</v>
      </c>
      <c r="C3669" s="6">
        <v>58.0</v>
      </c>
      <c r="D3669" s="9" t="str">
        <f>HYPERLINK("https://www.linkedin.com/ad-library/detail/1195811493","Open Ad")</f>
        <v>Open Ad</v>
      </c>
      <c r="E3669" s="6" t="s">
        <v>91</v>
      </c>
      <c r="F3669" s="6" t="s">
        <v>8022</v>
      </c>
      <c r="G3669" s="6" t="s">
        <v>8075</v>
      </c>
      <c r="H3669" s="6" t="s">
        <v>55</v>
      </c>
      <c r="I3669" s="6" t="s">
        <v>8025</v>
      </c>
      <c r="J3669" s="6" t="s">
        <v>91</v>
      </c>
      <c r="K3669" s="9" t="str">
        <f>HYPERLINK("https://media.licdn.com/dms/image/v2/D4D10AQEiwEKjKFKMIw/image-shrink_1280/B4DZ0KtyxnGUAc-/0/1774001270271/LinkedinPaid-OuterboxCaseQuote1png?e=2147483647&amp;v=beta&amp;t=HSBj_yhYkSdi6uNGMktAY43aB_Bo3x8sStvCmfZjqR4","View Creative")</f>
        <v>View Creative</v>
      </c>
      <c r="L3669" s="6" t="s">
        <v>62</v>
      </c>
      <c r="M3669" s="6" t="s">
        <v>8042</v>
      </c>
      <c r="N3669" s="6" t="s">
        <v>8076</v>
      </c>
      <c r="O3669" s="36" t="s">
        <v>7541</v>
      </c>
      <c r="P3669" s="36" t="s">
        <v>7542</v>
      </c>
      <c r="Q3669" s="38"/>
    </row>
    <row r="3670">
      <c r="A3670" s="6" t="s">
        <v>8042</v>
      </c>
      <c r="B3670" s="6" t="s">
        <v>8043</v>
      </c>
      <c r="C3670" s="6">
        <v>59.0</v>
      </c>
      <c r="D3670" s="9" t="str">
        <f>HYPERLINK("https://www.linkedin.com/ad-library/detail/1195315843","Open Ad")</f>
        <v>Open Ad</v>
      </c>
      <c r="E3670" s="6" t="s">
        <v>91</v>
      </c>
      <c r="F3670" s="6" t="s">
        <v>8022</v>
      </c>
      <c r="G3670" s="6" t="s">
        <v>8085</v>
      </c>
      <c r="H3670" s="6" t="s">
        <v>55</v>
      </c>
      <c r="I3670" s="6" t="s">
        <v>8025</v>
      </c>
      <c r="J3670" s="6" t="s">
        <v>91</v>
      </c>
      <c r="K3670" s="9" t="str">
        <f>HYPERLINK("https://media.licdn.com/dms/image/v2/D4D10AQF_cAk-7d-OHg/image-shrink_1280/image-shrink_1280/0/1729171000285/AccuRanker_Qoute_Saxojpg?e=2147483647&amp;v=beta&amp;t=kBm9Fl-ISIgvF5tOTvaH_y9YaOYT6iUBWLJr7_BsPYw","View Creative")</f>
        <v>View Creative</v>
      </c>
      <c r="L3670" s="6" t="s">
        <v>62</v>
      </c>
      <c r="M3670" s="6" t="s">
        <v>8042</v>
      </c>
      <c r="N3670" s="6" t="s">
        <v>8076</v>
      </c>
      <c r="O3670" s="36" t="s">
        <v>7541</v>
      </c>
      <c r="P3670" s="36" t="s">
        <v>7542</v>
      </c>
      <c r="Q3670" s="38"/>
    </row>
    <row r="3671">
      <c r="A3671" s="6" t="s">
        <v>8042</v>
      </c>
      <c r="B3671" s="6" t="s">
        <v>8043</v>
      </c>
      <c r="C3671" s="6">
        <v>60.0</v>
      </c>
      <c r="D3671" s="9" t="str">
        <f>HYPERLINK("https://www.linkedin.com/ad-library/detail/1195811483","Open Ad")</f>
        <v>Open Ad</v>
      </c>
      <c r="E3671" s="6" t="s">
        <v>91</v>
      </c>
      <c r="F3671" s="6" t="s">
        <v>8022</v>
      </c>
      <c r="G3671" s="6" t="s">
        <v>8075</v>
      </c>
      <c r="H3671" s="6" t="s">
        <v>55</v>
      </c>
      <c r="I3671" s="6" t="s">
        <v>8025</v>
      </c>
      <c r="J3671" s="6" t="s">
        <v>91</v>
      </c>
      <c r="K3671" s="9" t="str">
        <f>HYPERLINK("https://media.licdn.com/dms/image/v2/D4D10AQG_YigHOpfhJA/image-shrink_1280/B4DZ0KtyzNKUAg-/0/1774001270319/LinkedinPaid-GlassAtlasQuotepng?e=2147483647&amp;v=beta&amp;t=MJivPxTjCDaTSUOeeYJK4FksEGlNA3bejsaGnVuOPlQ","View Creative")</f>
        <v>View Creative</v>
      </c>
      <c r="L3671" s="6" t="s">
        <v>62</v>
      </c>
      <c r="M3671" s="6" t="s">
        <v>8042</v>
      </c>
      <c r="N3671" s="6" t="s">
        <v>8076</v>
      </c>
      <c r="O3671" s="36" t="s">
        <v>7541</v>
      </c>
      <c r="P3671" s="36" t="s">
        <v>7542</v>
      </c>
      <c r="Q3671" s="38"/>
    </row>
    <row r="3672">
      <c r="A3672" s="6" t="s">
        <v>8042</v>
      </c>
      <c r="B3672" s="6" t="s">
        <v>8043</v>
      </c>
      <c r="C3672" s="6">
        <v>61.0</v>
      </c>
      <c r="D3672" s="9" t="str">
        <f>HYPERLINK("https://www.linkedin.com/ad-library/detail/1189517993","Open Ad")</f>
        <v>Open Ad</v>
      </c>
      <c r="E3672" s="6" t="s">
        <v>91</v>
      </c>
      <c r="F3672" s="6" t="s">
        <v>8022</v>
      </c>
      <c r="G3672" s="6" t="s">
        <v>8086</v>
      </c>
      <c r="H3672" s="6" t="s">
        <v>55</v>
      </c>
      <c r="I3672" s="6" t="s">
        <v>8025</v>
      </c>
      <c r="J3672" s="6" t="s">
        <v>91</v>
      </c>
      <c r="K3672" s="9" t="str">
        <f t="shared" ref="K3672:K3673" si="188">HYPERLINK("https://media.licdn.com/dms/image/v2/D4D10AQFcTRlPgYQPsg/image-shrink_1280/B4DZzR4j_zJ4Ac-/0/1773047791949/s360jpg?e=2147483647&amp;v=beta&amp;t=FrEKzGXP3KGdwrtetTRHB6eNhP41TbBA952ZNiXIElI","View Creative")</f>
        <v>View Creative</v>
      </c>
      <c r="L3672" s="6" t="s">
        <v>62</v>
      </c>
      <c r="M3672" s="6" t="s">
        <v>8042</v>
      </c>
      <c r="N3672" s="6" t="s">
        <v>8087</v>
      </c>
      <c r="O3672" s="36" t="s">
        <v>7541</v>
      </c>
      <c r="P3672" s="36" t="s">
        <v>7542</v>
      </c>
      <c r="Q3672" s="38"/>
    </row>
    <row r="3673">
      <c r="A3673" s="6" t="s">
        <v>8042</v>
      </c>
      <c r="B3673" s="6" t="s">
        <v>8043</v>
      </c>
      <c r="C3673" s="6">
        <v>62.0</v>
      </c>
      <c r="D3673" s="9" t="str">
        <f>HYPERLINK("https://www.linkedin.com/ad-library/detail/1189917173","Open Ad")</f>
        <v>Open Ad</v>
      </c>
      <c r="E3673" s="6" t="s">
        <v>91</v>
      </c>
      <c r="F3673" s="6" t="s">
        <v>8022</v>
      </c>
      <c r="G3673" s="6" t="s">
        <v>8086</v>
      </c>
      <c r="H3673" s="6" t="s">
        <v>55</v>
      </c>
      <c r="I3673" s="6" t="s">
        <v>8025</v>
      </c>
      <c r="J3673" s="6" t="s">
        <v>91</v>
      </c>
      <c r="K3673" s="9" t="str">
        <f t="shared" si="188"/>
        <v>View Creative</v>
      </c>
      <c r="L3673" s="6" t="s">
        <v>62</v>
      </c>
      <c r="M3673" s="6" t="s">
        <v>8042</v>
      </c>
      <c r="O3673" s="36" t="s">
        <v>7541</v>
      </c>
      <c r="P3673" s="36" t="s">
        <v>7542</v>
      </c>
      <c r="Q3673" s="38"/>
    </row>
    <row r="3674">
      <c r="A3674" s="6" t="s">
        <v>8042</v>
      </c>
      <c r="B3674" s="6" t="s">
        <v>8043</v>
      </c>
      <c r="C3674" s="6">
        <v>63.0</v>
      </c>
      <c r="D3674" s="9" t="str">
        <f>HYPERLINK("https://www.linkedin.com/ad-library/detail/1196790293","Open Ad")</f>
        <v>Open Ad</v>
      </c>
      <c r="E3674" s="6" t="s">
        <v>91</v>
      </c>
      <c r="F3674" s="6" t="s">
        <v>8022</v>
      </c>
      <c r="G3674" s="6" t="s">
        <v>8075</v>
      </c>
      <c r="H3674" s="6" t="s">
        <v>55</v>
      </c>
      <c r="I3674" s="6" t="s">
        <v>8025</v>
      </c>
      <c r="J3674" s="6" t="s">
        <v>91</v>
      </c>
      <c r="K3674" s="9" t="str">
        <f>HYPERLINK("https://media.licdn.com/dms/image/v2/D4D10AQGZv3qv-7dS2A/image-shrink_1280/B4DZ0Kt_DGIoAg-/0/1774001320379/LinkedinPaid-EagleEyedDigitalQuote1jpg?e=2147483647&amp;v=beta&amp;t=78PaKBATRE7dEg4X-fO7jwKp3tF7sMAWiHb9Dz3GplI","View Creative")</f>
        <v>View Creative</v>
      </c>
      <c r="L3674" s="6" t="s">
        <v>62</v>
      </c>
      <c r="M3674" s="6" t="s">
        <v>8042</v>
      </c>
      <c r="N3674" s="6" t="s">
        <v>8076</v>
      </c>
      <c r="O3674" s="36" t="s">
        <v>7541</v>
      </c>
      <c r="P3674" s="36" t="s">
        <v>7542</v>
      </c>
      <c r="Q3674" s="38"/>
    </row>
    <row r="3675">
      <c r="A3675" s="6" t="s">
        <v>8042</v>
      </c>
      <c r="B3675" s="6" t="s">
        <v>8043</v>
      </c>
      <c r="C3675" s="6">
        <v>64.0</v>
      </c>
      <c r="D3675" s="9" t="str">
        <f>HYPERLINK("https://www.linkedin.com/ad-library/detail/1194348743","Open Ad")</f>
        <v>Open Ad</v>
      </c>
      <c r="E3675" s="6" t="s">
        <v>91</v>
      </c>
      <c r="F3675" s="6" t="s">
        <v>8022</v>
      </c>
      <c r="G3675" s="6" t="s">
        <v>8075</v>
      </c>
      <c r="H3675" s="6" t="s">
        <v>55</v>
      </c>
      <c r="I3675" s="6" t="s">
        <v>8025</v>
      </c>
      <c r="J3675" s="6" t="s">
        <v>91</v>
      </c>
      <c r="K3675" s="9" t="str">
        <f>HYPERLINK("https://media.licdn.com/dms/image/v2/D4D10AQH9YXfAVWDuPw/image-shrink_1280/B4DZ0KtyyuIAAc-/0/1774001270254/LinkedinPaid-SEOSherpaCaseQuotepng?e=2147483647&amp;v=beta&amp;t=XK1pTpij9NW2_OcbwoqcBwyPwqA--N7f3zOfknslxJA","View Creative")</f>
        <v>View Creative</v>
      </c>
      <c r="L3675" s="6" t="s">
        <v>62</v>
      </c>
      <c r="M3675" s="6" t="s">
        <v>8042</v>
      </c>
      <c r="N3675" s="6" t="s">
        <v>8076</v>
      </c>
      <c r="O3675" s="36" t="s">
        <v>7541</v>
      </c>
      <c r="P3675" s="36" t="s">
        <v>7542</v>
      </c>
      <c r="Q3675" s="38"/>
    </row>
    <row r="3676">
      <c r="A3676" s="6" t="s">
        <v>8042</v>
      </c>
      <c r="B3676" s="6" t="s">
        <v>8043</v>
      </c>
      <c r="C3676" s="6">
        <v>65.0</v>
      </c>
      <c r="D3676" s="9" t="str">
        <f>HYPERLINK("https://www.linkedin.com/ad-library/detail/1196298573","Open Ad")</f>
        <v>Open Ad</v>
      </c>
      <c r="E3676" s="6" t="s">
        <v>91</v>
      </c>
      <c r="F3676" s="6" t="s">
        <v>8022</v>
      </c>
      <c r="G3676" s="6" t="s">
        <v>8088</v>
      </c>
      <c r="H3676" s="6" t="s">
        <v>55</v>
      </c>
      <c r="I3676" s="6" t="s">
        <v>8025</v>
      </c>
      <c r="J3676" s="6" t="s">
        <v>91</v>
      </c>
      <c r="K3676" s="9" t="str">
        <f>HYPERLINK("https://media.licdn.com/dms/image/v2/D5610AQEpV6JehSeI3A/image-shrink_1280/B56Zh5afxxHUAU-/0/1754383646967/GrumpEscobarImagepng?e=2147483647&amp;v=beta&amp;t=1yljMY63DBOT5XAHyHLZuLJeG68yLEbMvtqgVmA3zh8","View Creative")</f>
        <v>View Creative</v>
      </c>
      <c r="L3676" s="6" t="s">
        <v>62</v>
      </c>
      <c r="M3676" s="6" t="s">
        <v>8042</v>
      </c>
      <c r="N3676" s="6" t="s">
        <v>8076</v>
      </c>
      <c r="O3676" s="36" t="s">
        <v>7541</v>
      </c>
      <c r="P3676" s="36" t="s">
        <v>7542</v>
      </c>
      <c r="Q3676" s="38"/>
    </row>
    <row r="3677">
      <c r="A3677" s="6" t="s">
        <v>8042</v>
      </c>
      <c r="B3677" s="6" t="s">
        <v>8043</v>
      </c>
      <c r="C3677" s="6">
        <v>66.0</v>
      </c>
      <c r="D3677" s="9" t="str">
        <f>HYPERLINK("https://www.linkedin.com/ad-library/detail/1193216683","Open Ad")</f>
        <v>Open Ad</v>
      </c>
      <c r="E3677" s="6" t="s">
        <v>91</v>
      </c>
      <c r="F3677" s="6" t="s">
        <v>8022</v>
      </c>
      <c r="G3677" s="6" t="s">
        <v>8084</v>
      </c>
      <c r="H3677" s="6" t="s">
        <v>769</v>
      </c>
      <c r="I3677" s="6" t="s">
        <v>8025</v>
      </c>
      <c r="J3677" s="6" t="s">
        <v>91</v>
      </c>
      <c r="K3677" s="9" t="str">
        <f>HYPERLINK("https://media.licdn.com/dms/image/v2/D4E22AQHFEm31w9vBMw/feedshare-shrink_1280/B4EZzhh9QiJcAM-/0/1773310301543?e=2147483647&amp;v=beta&amp;t=8UJD7ULm3t7aac4zDv0i-kSsW0mQd3pKa82ryQl-YKA","View Creative")</f>
        <v>View Creative</v>
      </c>
      <c r="L3677" s="6" t="s">
        <v>62</v>
      </c>
      <c r="M3677" s="6" t="s">
        <v>8042</v>
      </c>
      <c r="N3677" s="6" t="s">
        <v>8089</v>
      </c>
      <c r="O3677" s="36" t="s">
        <v>7541</v>
      </c>
      <c r="P3677" s="36" t="s">
        <v>7542</v>
      </c>
      <c r="Q3677" s="38"/>
    </row>
    <row r="3678">
      <c r="A3678" s="6" t="s">
        <v>8042</v>
      </c>
      <c r="B3678" s="6" t="s">
        <v>8043</v>
      </c>
      <c r="C3678" s="6">
        <v>67.0</v>
      </c>
      <c r="D3678" s="9" t="str">
        <f>HYPERLINK("https://www.linkedin.com/ad-library/detail/1196298563","Open Ad")</f>
        <v>Open Ad</v>
      </c>
      <c r="E3678" s="6" t="s">
        <v>91</v>
      </c>
      <c r="F3678" s="6" t="s">
        <v>8022</v>
      </c>
      <c r="G3678" s="6" t="s">
        <v>8090</v>
      </c>
      <c r="H3678" s="6" t="s">
        <v>55</v>
      </c>
      <c r="I3678" s="6" t="s">
        <v>8025</v>
      </c>
      <c r="J3678" s="6" t="s">
        <v>91</v>
      </c>
      <c r="K3678" s="9" t="str">
        <f>HYPERLINK("https://media.licdn.com/dms/image/v2/D4D10AQEN1xXAAmII0w/image-shrink_1280/B4DZjmN70VIEAM-/0/1756209070122/Old-Magnusjpg?e=2147483647&amp;v=beta&amp;t=uGsrcGjae2D5ILKsyDAbdYGQ0Aw9KyOZoaKcYMU4ins","View Creative")</f>
        <v>View Creative</v>
      </c>
      <c r="L3678" s="6" t="s">
        <v>62</v>
      </c>
      <c r="M3678" s="6" t="s">
        <v>8042</v>
      </c>
      <c r="N3678" s="6" t="s">
        <v>8076</v>
      </c>
      <c r="O3678" s="36" t="s">
        <v>7541</v>
      </c>
      <c r="P3678" s="36" t="s">
        <v>7542</v>
      </c>
      <c r="Q3678" s="38"/>
    </row>
    <row r="3679">
      <c r="A3679" s="6" t="s">
        <v>8042</v>
      </c>
      <c r="B3679" s="6" t="s">
        <v>8043</v>
      </c>
      <c r="C3679" s="6">
        <v>68.0</v>
      </c>
      <c r="D3679" s="9" t="str">
        <f>HYPERLINK("https://www.linkedin.com/ad-library/detail/1196298843","Open Ad")</f>
        <v>Open Ad</v>
      </c>
      <c r="E3679" s="6" t="s">
        <v>91</v>
      </c>
      <c r="F3679" s="6" t="s">
        <v>8022</v>
      </c>
      <c r="G3679" s="6" t="s">
        <v>8075</v>
      </c>
      <c r="H3679" s="6" t="s">
        <v>55</v>
      </c>
      <c r="I3679" s="6" t="s">
        <v>8025</v>
      </c>
      <c r="J3679" s="6" t="s">
        <v>91</v>
      </c>
      <c r="K3679" s="9" t="str">
        <f>HYPERLINK("https://media.licdn.com/dms/image/v2/D4D10AQG15CDDecIdsw/image-shrink_1280/B4DZ0Kt_DQIAAc-/0/1774001320516/LinkedinPaid-MarwickMarketingCaseQuotepng?e=2147483647&amp;v=beta&amp;t=Y0MlDukbISBpNlQp4iFYOyfZwuU0kj3naWBH4O1wGUM","View Creative")</f>
        <v>View Creative</v>
      </c>
      <c r="L3679" s="6" t="s">
        <v>62</v>
      </c>
      <c r="M3679" s="6" t="s">
        <v>8042</v>
      </c>
      <c r="N3679" s="6" t="s">
        <v>8080</v>
      </c>
      <c r="O3679" s="36" t="s">
        <v>7541</v>
      </c>
      <c r="P3679" s="36" t="s">
        <v>7542</v>
      </c>
      <c r="Q3679" s="38"/>
    </row>
    <row r="3680">
      <c r="A3680" s="6" t="s">
        <v>8042</v>
      </c>
      <c r="B3680" s="6" t="s">
        <v>8043</v>
      </c>
      <c r="C3680" s="6">
        <v>69.0</v>
      </c>
      <c r="D3680" s="9" t="str">
        <f>HYPERLINK("https://www.linkedin.com/ad-library/detail/1199083643","Open Ad")</f>
        <v>Open Ad</v>
      </c>
      <c r="E3680" s="6" t="s">
        <v>91</v>
      </c>
      <c r="F3680" s="6" t="s">
        <v>8022</v>
      </c>
      <c r="G3680" s="6" t="s">
        <v>8091</v>
      </c>
      <c r="H3680" s="6" t="s">
        <v>55</v>
      </c>
      <c r="I3680" s="6" t="s">
        <v>8025</v>
      </c>
      <c r="J3680" s="6" t="s">
        <v>91</v>
      </c>
      <c r="K3680" s="9" t="str">
        <f>HYPERLINK("https://media.licdn.com/dms/image/v2/D4D10AQGmnGhpymXraQ/image-shrink_1280/B4DZ0qCnrjIAAc-/0/1774526823411/1774342564269jpg?e=2147483647&amp;v=beta&amp;t=oJdPB_xNTBxEkcDb7JzTWh_aF_fr1i3SNj--CaoEjHQ","View Creative")</f>
        <v>View Creative</v>
      </c>
      <c r="L3680" s="6" t="s">
        <v>62</v>
      </c>
      <c r="M3680" s="6" t="s">
        <v>8042</v>
      </c>
      <c r="O3680" s="36" t="s">
        <v>7541</v>
      </c>
      <c r="P3680" s="36" t="s">
        <v>7542</v>
      </c>
      <c r="Q3680" s="38"/>
    </row>
    <row r="3681">
      <c r="A3681" s="6" t="s">
        <v>8042</v>
      </c>
      <c r="B3681" s="6" t="s">
        <v>8043</v>
      </c>
      <c r="C3681" s="6">
        <v>70.0</v>
      </c>
      <c r="D3681" s="9" t="str">
        <f>HYPERLINK("https://www.linkedin.com/ad-library/detail/1194480473","Open Ad")</f>
        <v>Open Ad</v>
      </c>
      <c r="E3681" s="6" t="s">
        <v>91</v>
      </c>
      <c r="F3681" s="6" t="s">
        <v>8022</v>
      </c>
      <c r="G3681" s="6" t="s">
        <v>8077</v>
      </c>
      <c r="H3681" s="6" t="s">
        <v>55</v>
      </c>
      <c r="I3681" s="6" t="s">
        <v>8025</v>
      </c>
      <c r="J3681" s="6" t="s">
        <v>91</v>
      </c>
      <c r="K3681" s="9" t="str">
        <f>HYPERLINK("https://media.licdn.com/dms/image/v2/D4D10AQGha_u6oYcMjQ/image-shrink_800/B4DZzmOEC1IMAk-/0/1773388972488/1773308733266jpg?e=2147483647&amp;v=beta&amp;t=AqN5T1IyW__1o1ra_gpu2HaOISOWcpu_NS17P-hxn7A","View Creative")</f>
        <v>View Creative</v>
      </c>
      <c r="L3681" s="6" t="s">
        <v>62</v>
      </c>
      <c r="M3681" s="6" t="s">
        <v>8042</v>
      </c>
      <c r="O3681" s="36" t="s">
        <v>7541</v>
      </c>
      <c r="P3681" s="36" t="s">
        <v>7542</v>
      </c>
      <c r="Q3681" s="38"/>
    </row>
    <row r="3682">
      <c r="A3682" s="6" t="s">
        <v>8042</v>
      </c>
      <c r="B3682" s="6" t="s">
        <v>8043</v>
      </c>
      <c r="C3682" s="6">
        <v>71.0</v>
      </c>
      <c r="D3682" s="9" t="str">
        <f>HYPERLINK("https://www.linkedin.com/ad-library/detail/1199583503","Open Ad")</f>
        <v>Open Ad</v>
      </c>
      <c r="E3682" s="6" t="s">
        <v>91</v>
      </c>
      <c r="F3682" s="6" t="s">
        <v>8022</v>
      </c>
      <c r="G3682" s="6" t="s">
        <v>8091</v>
      </c>
      <c r="H3682" s="6" t="s">
        <v>55</v>
      </c>
      <c r="I3682" s="6" t="s">
        <v>8025</v>
      </c>
      <c r="J3682" s="6" t="s">
        <v>91</v>
      </c>
      <c r="K3682" s="9" t="str">
        <f>HYPERLINK("https://media.licdn.com/dms/image/v2/D4D10AQGmnGhpymXraQ/image-shrink_1280/B4DZ0qCnrjIAAc-/0/1774526823411/1774342564269jpg?e=2147483647&amp;v=beta&amp;t=oJdPB_xNTBxEkcDb7JzTWh_aF_fr1i3SNj--CaoEjHQ","View Creative")</f>
        <v>View Creative</v>
      </c>
      <c r="L3682" s="6" t="s">
        <v>62</v>
      </c>
      <c r="M3682" s="6" t="s">
        <v>8042</v>
      </c>
      <c r="N3682" s="6" t="s">
        <v>8092</v>
      </c>
      <c r="O3682" s="36" t="s">
        <v>7541</v>
      </c>
      <c r="P3682" s="36" t="s">
        <v>7542</v>
      </c>
      <c r="Q3682" s="38"/>
    </row>
    <row r="3683">
      <c r="A3683" s="6" t="s">
        <v>8042</v>
      </c>
      <c r="B3683" s="6" t="s">
        <v>8043</v>
      </c>
      <c r="C3683" s="6">
        <v>72.0</v>
      </c>
      <c r="D3683" s="9" t="str">
        <f>HYPERLINK("https://www.linkedin.com/ad-library/detail/1199522383","Open Ad")</f>
        <v>Open Ad</v>
      </c>
      <c r="E3683" s="6" t="s">
        <v>91</v>
      </c>
      <c r="F3683" s="6" t="s">
        <v>8022</v>
      </c>
      <c r="G3683" s="6" t="s">
        <v>8074</v>
      </c>
      <c r="H3683" s="6" t="s">
        <v>55</v>
      </c>
      <c r="I3683" s="6" t="s">
        <v>8025</v>
      </c>
      <c r="J3683" s="6" t="s">
        <v>91</v>
      </c>
      <c r="K3683" s="9" t="str">
        <f>HYPERLINK("https://media.licdn.com/dms/image/v2/D4E22AQGljfdWmEq1bA/feedshare-image-high-res/B4EZ09qDo3HYAY-/0/1774855928689?e=2147483647&amp;v=beta&amp;t=_ZU5SeLUZQaEr7D4MCztUiy-Ox6ON_SDJmk3uHLQjv0","View Creative")</f>
        <v>View Creative</v>
      </c>
      <c r="L3683" s="6" t="s">
        <v>62</v>
      </c>
      <c r="M3683" s="6" t="s">
        <v>8042</v>
      </c>
      <c r="N3683" s="6" t="s">
        <v>8093</v>
      </c>
      <c r="O3683" s="36" t="s">
        <v>7541</v>
      </c>
      <c r="P3683" s="36" t="s">
        <v>7542</v>
      </c>
      <c r="Q3683" s="38"/>
    </row>
    <row r="3684">
      <c r="A3684" s="6" t="s">
        <v>8042</v>
      </c>
      <c r="B3684" s="6" t="s">
        <v>8043</v>
      </c>
      <c r="C3684" s="6">
        <v>73.0</v>
      </c>
      <c r="D3684" s="9" t="str">
        <f>HYPERLINK("https://www.linkedin.com/ad-library/detail/1162590603","Open Ad")</f>
        <v>Open Ad</v>
      </c>
      <c r="E3684" s="6" t="s">
        <v>91</v>
      </c>
      <c r="F3684" s="6" t="s">
        <v>8022</v>
      </c>
      <c r="G3684" s="19" t="s">
        <v>8094</v>
      </c>
      <c r="H3684" s="6" t="s">
        <v>55</v>
      </c>
      <c r="I3684" s="6" t="s">
        <v>8025</v>
      </c>
      <c r="J3684" s="6" t="s">
        <v>91</v>
      </c>
      <c r="K3684" s="9" t="str">
        <f>HYPERLINK("https://media.licdn.com/dms/image/v2/D4E22AQEt_Q8WxBO1cw/feedshare-shrink_1280/B4EZv.gsY4G0Ac-/0/1769501542243?e=2147483647&amp;v=beta&amp;t=SWfB_kwis4qL-PKgq8oEpQkUPN7ek5agSfcNlixh-5s","View Creative")</f>
        <v>View Creative</v>
      </c>
      <c r="L3684" s="6" t="s">
        <v>62</v>
      </c>
      <c r="M3684" s="6" t="s">
        <v>8042</v>
      </c>
      <c r="N3684" s="6" t="s">
        <v>8095</v>
      </c>
      <c r="O3684" s="36" t="s">
        <v>7541</v>
      </c>
      <c r="P3684" s="36" t="s">
        <v>7542</v>
      </c>
      <c r="Q3684" s="38"/>
    </row>
    <row r="3685">
      <c r="A3685" s="6" t="s">
        <v>8042</v>
      </c>
      <c r="B3685" s="6" t="s">
        <v>8043</v>
      </c>
      <c r="C3685" s="6">
        <v>74.0</v>
      </c>
      <c r="D3685" s="9" t="str">
        <f>HYPERLINK("https://www.linkedin.com/ad-library/detail/1189909593","Open Ad")</f>
        <v>Open Ad</v>
      </c>
      <c r="E3685" s="6" t="s">
        <v>91</v>
      </c>
      <c r="F3685" s="6" t="s">
        <v>8022</v>
      </c>
      <c r="G3685" s="6" t="s">
        <v>8096</v>
      </c>
      <c r="H3685" s="6" t="s">
        <v>55</v>
      </c>
      <c r="I3685" s="6" t="s">
        <v>8025</v>
      </c>
      <c r="J3685" s="6" t="s">
        <v>91</v>
      </c>
      <c r="K3685" s="9" t="str">
        <f t="shared" ref="K3685:K3686" si="189">HYPERLINK("https://media.licdn.com/dms/image/v2/D4D10AQF0l7dKezZSTg/image-shrink_800/B4DZzDbDr4GkAg-/0/1772805176334/fromsetuptoinsightsllmjpg?e=2147483647&amp;v=beta&amp;t=NZs9CKccr6aTnluXe2Y2gU628nwcY3g5cKDNkdXUbGI","View Creative")</f>
        <v>View Creative</v>
      </c>
      <c r="L3685" s="6" t="s">
        <v>62</v>
      </c>
      <c r="M3685" s="6" t="s">
        <v>8042</v>
      </c>
      <c r="O3685" s="36" t="s">
        <v>7541</v>
      </c>
      <c r="P3685" s="36" t="s">
        <v>7542</v>
      </c>
      <c r="Q3685" s="38"/>
    </row>
    <row r="3686">
      <c r="A3686" s="6" t="s">
        <v>8042</v>
      </c>
      <c r="B3686" s="6" t="s">
        <v>8043</v>
      </c>
      <c r="C3686" s="6">
        <v>75.0</v>
      </c>
      <c r="D3686" s="9" t="str">
        <f>HYPERLINK("https://www.linkedin.com/ad-library/detail/1188210953","Open Ad")</f>
        <v>Open Ad</v>
      </c>
      <c r="E3686" s="6" t="s">
        <v>91</v>
      </c>
      <c r="F3686" s="6" t="s">
        <v>8022</v>
      </c>
      <c r="G3686" s="6" t="s">
        <v>8096</v>
      </c>
      <c r="H3686" s="6" t="s">
        <v>55</v>
      </c>
      <c r="I3686" s="6" t="s">
        <v>8025</v>
      </c>
      <c r="J3686" s="6" t="s">
        <v>91</v>
      </c>
      <c r="K3686" s="9" t="str">
        <f t="shared" si="189"/>
        <v>View Creative</v>
      </c>
      <c r="L3686" s="6" t="s">
        <v>62</v>
      </c>
      <c r="M3686" s="6" t="s">
        <v>8042</v>
      </c>
      <c r="N3686" s="6" t="s">
        <v>8097</v>
      </c>
      <c r="O3686" s="36" t="s">
        <v>7541</v>
      </c>
      <c r="P3686" s="36" t="s">
        <v>7542</v>
      </c>
      <c r="Q3686" s="38"/>
    </row>
    <row r="3687">
      <c r="A3687" s="6" t="s">
        <v>8042</v>
      </c>
      <c r="B3687" s="6" t="s">
        <v>8043</v>
      </c>
      <c r="C3687" s="6">
        <v>76.0</v>
      </c>
      <c r="D3687" s="9" t="str">
        <f>HYPERLINK("https://www.linkedin.com/ad-library/detail/1190797093","Open Ad")</f>
        <v>Open Ad</v>
      </c>
      <c r="E3687" s="6" t="s">
        <v>91</v>
      </c>
      <c r="F3687" s="6" t="s">
        <v>8022</v>
      </c>
      <c r="G3687" s="6" t="s">
        <v>8098</v>
      </c>
      <c r="H3687" s="6" t="s">
        <v>8099</v>
      </c>
      <c r="I3687" s="6" t="s">
        <v>8025</v>
      </c>
      <c r="J3687" s="6" t="s">
        <v>91</v>
      </c>
      <c r="K3687" s="9" t="str">
        <f t="shared" ref="K3687:K3688" si="190">HYPERLINK("https://media.licdn.com/dms/image/v2/D4E22AQHpOFxRSXrT_w/feedshare-image-high-res/B4EZy9NAPAH0AU-/0/1772700828911?e=2147483647&amp;v=beta&amp;t=gIUEfVsspEeGgspCF-b0eT-R0F_-e3JHI_e81OS4tp0","View Creative")</f>
        <v>View Creative</v>
      </c>
      <c r="L3687" s="6" t="s">
        <v>62</v>
      </c>
      <c r="M3687" s="6" t="s">
        <v>8042</v>
      </c>
      <c r="N3687" s="6" t="s">
        <v>8100</v>
      </c>
      <c r="O3687" s="36" t="s">
        <v>7541</v>
      </c>
      <c r="P3687" s="36" t="s">
        <v>7542</v>
      </c>
      <c r="Q3687" s="38"/>
    </row>
    <row r="3688">
      <c r="A3688" s="6" t="s">
        <v>8042</v>
      </c>
      <c r="B3688" s="6" t="s">
        <v>8043</v>
      </c>
      <c r="C3688" s="6">
        <v>77.0</v>
      </c>
      <c r="D3688" s="9" t="str">
        <f>HYPERLINK("https://www.linkedin.com/ad-library/detail/1190405713","Open Ad")</f>
        <v>Open Ad</v>
      </c>
      <c r="E3688" s="6" t="s">
        <v>91</v>
      </c>
      <c r="F3688" s="6" t="s">
        <v>8022</v>
      </c>
      <c r="G3688" s="6" t="s">
        <v>8098</v>
      </c>
      <c r="H3688" s="6" t="s">
        <v>8099</v>
      </c>
      <c r="I3688" s="6" t="s">
        <v>8025</v>
      </c>
      <c r="J3688" s="6" t="s">
        <v>91</v>
      </c>
      <c r="K3688" s="9" t="str">
        <f t="shared" si="190"/>
        <v>View Creative</v>
      </c>
      <c r="L3688" s="6" t="s">
        <v>62</v>
      </c>
      <c r="M3688" s="6" t="s">
        <v>8042</v>
      </c>
      <c r="O3688" s="36" t="s">
        <v>7541</v>
      </c>
      <c r="P3688" s="36" t="s">
        <v>7542</v>
      </c>
      <c r="Q3688" s="38"/>
    </row>
    <row r="3689">
      <c r="A3689" s="6" t="s">
        <v>8042</v>
      </c>
      <c r="B3689" s="6" t="s">
        <v>8043</v>
      </c>
      <c r="C3689" s="6">
        <v>78.0</v>
      </c>
      <c r="D3689" s="9" t="str">
        <f>HYPERLINK("https://www.linkedin.com/ad-library/detail/1189909723","Open Ad")</f>
        <v>Open Ad</v>
      </c>
      <c r="E3689" s="6" t="s">
        <v>91</v>
      </c>
      <c r="F3689" s="6" t="s">
        <v>8022</v>
      </c>
      <c r="G3689" s="6" t="s">
        <v>8083</v>
      </c>
      <c r="H3689" s="6" t="s">
        <v>55</v>
      </c>
      <c r="I3689" s="6" t="s">
        <v>8025</v>
      </c>
      <c r="J3689" s="6" t="s">
        <v>91</v>
      </c>
      <c r="K3689" s="9" t="str">
        <f>HYPERLINK("https://media.licdn.com/dms/image/v2/D4D10AQGvrA2UACNHEQ/image-shrink_1280/B4DZzDd1x3IwAg-/0/1772805905896/TagCloudforLLM-paidpng?e=2147483647&amp;v=beta&amp;t=pCBDvWC7LIQU4231Ah0fAF5iuqdVNWwdOuYLWGynqLE","View Creative")</f>
        <v>View Creative</v>
      </c>
      <c r="L3689" s="6" t="s">
        <v>62</v>
      </c>
      <c r="M3689" s="6" t="s">
        <v>8042</v>
      </c>
      <c r="N3689" s="6" t="s">
        <v>8097</v>
      </c>
      <c r="O3689" s="36" t="s">
        <v>7541</v>
      </c>
      <c r="P3689" s="36" t="s">
        <v>7542</v>
      </c>
      <c r="Q3689" s="38"/>
    </row>
    <row r="3690">
      <c r="A3690" s="6" t="s">
        <v>8042</v>
      </c>
      <c r="B3690" s="6" t="s">
        <v>8043</v>
      </c>
      <c r="C3690" s="6">
        <v>79.0</v>
      </c>
      <c r="D3690" s="9" t="str">
        <f>HYPERLINK("https://www.linkedin.com/ad-library/detail/1190899813","Open Ad")</f>
        <v>Open Ad</v>
      </c>
      <c r="E3690" s="6" t="s">
        <v>91</v>
      </c>
      <c r="F3690" s="6" t="s">
        <v>8022</v>
      </c>
      <c r="G3690" s="6" t="s">
        <v>8101</v>
      </c>
      <c r="H3690" s="6" t="s">
        <v>55</v>
      </c>
      <c r="I3690" s="6" t="s">
        <v>8025</v>
      </c>
      <c r="J3690" s="6" t="s">
        <v>91</v>
      </c>
      <c r="K3690" s="9" t="str">
        <f>HYPERLINK("https://media.licdn.com/dms/image/v2/D4D10AQE92TvWjxvc2w/image-shrink_1280/B4DZzDYPUwGkAc-/0/1772804437589/LLMlookerbigqueryjpg?e=2147483647&amp;v=beta&amp;t=OMrgK-SCMtzIxg-pKPXWzq1fNc5M6Nj-X7h3SaMRzgk","View Creative")</f>
        <v>View Creative</v>
      </c>
      <c r="L3690" s="6" t="s">
        <v>62</v>
      </c>
      <c r="M3690" s="6" t="s">
        <v>8042</v>
      </c>
      <c r="O3690" s="36" t="s">
        <v>7541</v>
      </c>
      <c r="P3690" s="36" t="s">
        <v>7542</v>
      </c>
      <c r="Q3690" s="38"/>
    </row>
    <row r="3691">
      <c r="A3691" s="6" t="s">
        <v>8042</v>
      </c>
      <c r="B3691" s="6" t="s">
        <v>8043</v>
      </c>
      <c r="C3691" s="6">
        <v>80.0</v>
      </c>
      <c r="D3691" s="9" t="str">
        <f>HYPERLINK("https://www.linkedin.com/ad-library/detail/1183691163","Open Ad")</f>
        <v>Open Ad</v>
      </c>
      <c r="E3691" s="6" t="s">
        <v>91</v>
      </c>
      <c r="F3691" s="6" t="s">
        <v>8022</v>
      </c>
      <c r="G3691" s="6" t="s">
        <v>8102</v>
      </c>
      <c r="H3691" s="6" t="s">
        <v>55</v>
      </c>
      <c r="I3691" s="6" t="s">
        <v>8025</v>
      </c>
      <c r="J3691" s="6" t="s">
        <v>91</v>
      </c>
      <c r="K3691" s="9" t="str">
        <f>HYPERLINK("https://media.licdn.com/dms/image/v2/D4D22AQFjEesqWmWuNw/feedshare-shrink_1280/B4DZyakWpRG0Ag-/0/1772119747537?e=2147483647&amp;v=beta&amp;t=C5SlqXNE-mHu4aLx09KBd3uTwoIH2w13qoenzqf6grs","View Creative")</f>
        <v>View Creative</v>
      </c>
      <c r="L3691" s="6" t="s">
        <v>62</v>
      </c>
      <c r="M3691" s="6" t="s">
        <v>8042</v>
      </c>
      <c r="O3691" s="36" t="s">
        <v>7541</v>
      </c>
      <c r="P3691" s="36" t="s">
        <v>7542</v>
      </c>
      <c r="Q3691" s="38"/>
    </row>
    <row r="3692">
      <c r="A3692" s="6" t="s">
        <v>8042</v>
      </c>
      <c r="B3692" s="6" t="s">
        <v>8043</v>
      </c>
      <c r="C3692" s="6">
        <v>81.0</v>
      </c>
      <c r="D3692" s="9" t="str">
        <f>HYPERLINK("https://www.linkedin.com/ad-library/detail/1177081403","Open Ad")</f>
        <v>Open Ad</v>
      </c>
      <c r="E3692" s="6" t="s">
        <v>91</v>
      </c>
      <c r="F3692" s="6" t="s">
        <v>8022</v>
      </c>
      <c r="G3692" s="6" t="s">
        <v>8103</v>
      </c>
      <c r="H3692" s="6" t="s">
        <v>55</v>
      </c>
      <c r="I3692" s="6" t="s">
        <v>8025</v>
      </c>
      <c r="J3692" s="6" t="s">
        <v>91</v>
      </c>
      <c r="K3692" s="9" t="str">
        <f>HYPERLINK("https://media.licdn.com/dms/image/v2/D4D10AQG93KuStnaVRA/image-pad_1200_1200/B4DZsM8cHHIgAM-/0/1765448729449?e=1789480800&amp;v=beta&amp;t=aczPTqM6DaHBlWhr9SRzsJqefVukKdEFIzB7JJYV48k","View Creative")</f>
        <v>View Creative</v>
      </c>
      <c r="L3692" s="6" t="s">
        <v>62</v>
      </c>
      <c r="M3692" s="6" t="s">
        <v>8042</v>
      </c>
      <c r="O3692" s="36" t="s">
        <v>7541</v>
      </c>
      <c r="P3692" s="36" t="s">
        <v>7542</v>
      </c>
      <c r="Q3692" s="38"/>
    </row>
    <row r="3693">
      <c r="A3693" s="6" t="s">
        <v>8042</v>
      </c>
      <c r="B3693" s="6" t="s">
        <v>8043</v>
      </c>
      <c r="C3693" s="6">
        <v>82.0</v>
      </c>
      <c r="D3693" s="9" t="str">
        <f>HYPERLINK("https://www.linkedin.com/ad-library/detail/1176547703","Open Ad")</f>
        <v>Open Ad</v>
      </c>
      <c r="E3693" s="6" t="s">
        <v>91</v>
      </c>
      <c r="F3693" s="6" t="s">
        <v>8022</v>
      </c>
      <c r="G3693" s="6" t="s">
        <v>8104</v>
      </c>
      <c r="H3693" s="6" t="s">
        <v>55</v>
      </c>
      <c r="I3693" s="6" t="s">
        <v>8025</v>
      </c>
      <c r="J3693" s="6" t="s">
        <v>91</v>
      </c>
      <c r="K3693" s="9" t="str">
        <f>HYPERLINK("https://media.licdn.com/dms/image/v2/D4E22AQHFXi0RDIfrkA/feedshare-shrink_1280/B4EZxRFTGtJYAg-/0/1770886869703?e=2147483647&amp;v=beta&amp;t=UhoWeYRnOmCoTDjsuAWrCx0MGWIY3UwRaXoocVp4SAo","View Creative")</f>
        <v>View Creative</v>
      </c>
      <c r="L3693" s="6" t="s">
        <v>62</v>
      </c>
      <c r="M3693" s="6" t="s">
        <v>8042</v>
      </c>
      <c r="N3693" s="6" t="s">
        <v>8105</v>
      </c>
      <c r="O3693" s="36" t="s">
        <v>7541</v>
      </c>
      <c r="P3693" s="36" t="s">
        <v>7542</v>
      </c>
      <c r="Q3693" s="38"/>
    </row>
    <row r="3694">
      <c r="A3694" s="6" t="s">
        <v>8042</v>
      </c>
      <c r="B3694" s="6" t="s">
        <v>8043</v>
      </c>
      <c r="C3694" s="6">
        <v>83.0</v>
      </c>
      <c r="D3694" s="9" t="str">
        <f>HYPERLINK("https://www.linkedin.com/ad-library/detail/1185585303","Open Ad")</f>
        <v>Open Ad</v>
      </c>
      <c r="E3694" s="6" t="s">
        <v>91</v>
      </c>
      <c r="F3694" s="6" t="s">
        <v>8022</v>
      </c>
      <c r="G3694" s="6" t="s">
        <v>8106</v>
      </c>
      <c r="H3694" s="6" t="s">
        <v>55</v>
      </c>
      <c r="I3694" s="6" t="s">
        <v>8025</v>
      </c>
      <c r="J3694" s="6" t="s">
        <v>91</v>
      </c>
      <c r="K3694" s="9" t="str">
        <f>HYPERLINK("https://media.licdn.com/dms/image/v2/D4D10AQGta_PrRamZnA/image-shrink_1280/B4DZyusGBNIUAc-/0/1772457320998/Linkedinpost-OuterboxCase1png?e=2147483647&amp;v=beta&amp;t=1mckf_n--Lny3wV62VpEd8ea60i5oHYh5qIbb0Celvk","View Creative")</f>
        <v>View Creative</v>
      </c>
      <c r="L3694" s="6" t="s">
        <v>62</v>
      </c>
      <c r="M3694" s="6" t="s">
        <v>8042</v>
      </c>
      <c r="O3694" s="36" t="s">
        <v>7541</v>
      </c>
      <c r="P3694" s="36" t="s">
        <v>7542</v>
      </c>
      <c r="Q3694" s="38"/>
    </row>
    <row r="3695">
      <c r="A3695" s="6" t="s">
        <v>8042</v>
      </c>
      <c r="B3695" s="6" t="s">
        <v>8043</v>
      </c>
      <c r="C3695" s="6">
        <v>84.0</v>
      </c>
      <c r="D3695" s="9" t="str">
        <f>HYPERLINK("https://www.linkedin.com/ad-library/detail/1185285433","Open Ad")</f>
        <v>Open Ad</v>
      </c>
      <c r="E3695" s="6" t="s">
        <v>91</v>
      </c>
      <c r="F3695" s="6" t="s">
        <v>8022</v>
      </c>
      <c r="G3695" s="6" t="s">
        <v>8107</v>
      </c>
      <c r="H3695" s="6" t="s">
        <v>55</v>
      </c>
      <c r="I3695" s="6" t="s">
        <v>8025</v>
      </c>
      <c r="J3695" s="6" t="s">
        <v>91</v>
      </c>
      <c r="K3695" s="9" t="str">
        <f>HYPERLINK("https://media.licdn.com/dms/image/v2/D4D10AQHgEStLXZofiw/image-shrink_800/B4DZyuw_T0JUAg-/0/1772458603991/Transactcasejpg?e=2147483647&amp;v=beta&amp;t=LrfHL6Di2Jdy-Rs0FdIeZ61s18qxMRDjytwx9tE_e3o","View Creative")</f>
        <v>View Creative</v>
      </c>
      <c r="L3695" s="6" t="s">
        <v>62</v>
      </c>
      <c r="M3695" s="6" t="s">
        <v>8042</v>
      </c>
      <c r="N3695" s="6" t="s">
        <v>8108</v>
      </c>
      <c r="O3695" s="36" t="s">
        <v>7541</v>
      </c>
      <c r="P3695" s="36" t="s">
        <v>7542</v>
      </c>
      <c r="Q3695" s="38"/>
    </row>
    <row r="3696">
      <c r="A3696" s="6" t="s">
        <v>8042</v>
      </c>
      <c r="B3696" s="6" t="s">
        <v>8043</v>
      </c>
      <c r="C3696" s="6">
        <v>85.0</v>
      </c>
      <c r="D3696" s="9" t="str">
        <f>HYPERLINK("https://www.linkedin.com/ad-library/detail/1160690933","Open Ad")</f>
        <v>Open Ad</v>
      </c>
      <c r="E3696" s="6" t="s">
        <v>91</v>
      </c>
      <c r="F3696" s="6" t="s">
        <v>8022</v>
      </c>
      <c r="G3696" s="19" t="s">
        <v>8094</v>
      </c>
      <c r="H3696" s="6" t="s">
        <v>55</v>
      </c>
      <c r="I3696" s="6" t="s">
        <v>8025</v>
      </c>
      <c r="J3696" s="6" t="s">
        <v>91</v>
      </c>
      <c r="K3696" s="9" t="str">
        <f>HYPERLINK("https://media.licdn.com/dms/image/v2/D4E22AQEt_Q8WxBO1cw/feedshare-shrink_1280/B4EZv.gsY4G0Ac-/0/1769501542243?e=2147483647&amp;v=beta&amp;t=SWfB_kwis4qL-PKgq8oEpQkUPN7ek5agSfcNlixh-5s","View Creative")</f>
        <v>View Creative</v>
      </c>
      <c r="L3696" s="6" t="s">
        <v>62</v>
      </c>
      <c r="M3696" s="6" t="s">
        <v>8042</v>
      </c>
      <c r="O3696" s="36" t="s">
        <v>7541</v>
      </c>
      <c r="P3696" s="36" t="s">
        <v>7542</v>
      </c>
      <c r="Q3696" s="38"/>
    </row>
    <row r="3697">
      <c r="A3697" s="6" t="s">
        <v>8042</v>
      </c>
      <c r="B3697" s="6" t="s">
        <v>8043</v>
      </c>
      <c r="C3697" s="6">
        <v>86.0</v>
      </c>
      <c r="D3697" s="9" t="str">
        <f>HYPERLINK("https://www.linkedin.com/ad-library/detail/1182791823","Open Ad")</f>
        <v>Open Ad</v>
      </c>
      <c r="E3697" s="6" t="s">
        <v>91</v>
      </c>
      <c r="F3697" s="6" t="s">
        <v>8022</v>
      </c>
      <c r="G3697" s="6" t="s">
        <v>8102</v>
      </c>
      <c r="H3697" s="6" t="s">
        <v>55</v>
      </c>
      <c r="I3697" s="6" t="s">
        <v>8025</v>
      </c>
      <c r="J3697" s="6" t="s">
        <v>91</v>
      </c>
      <c r="K3697" s="9" t="str">
        <f>HYPERLINK("https://media.licdn.com/dms/image/v2/D4D22AQFjEesqWmWuNw/feedshare-shrink_1280/B4DZyakWpRG0Ag-/0/1772119747537?e=2147483647&amp;v=beta&amp;t=C5SlqXNE-mHu4aLx09KBd3uTwoIH2w13qoenzqf6grs","View Creative")</f>
        <v>View Creative</v>
      </c>
      <c r="L3697" s="6" t="s">
        <v>62</v>
      </c>
      <c r="M3697" s="6" t="s">
        <v>8042</v>
      </c>
      <c r="N3697" s="6" t="s">
        <v>8109</v>
      </c>
      <c r="O3697" s="36" t="s">
        <v>7541</v>
      </c>
      <c r="P3697" s="36" t="s">
        <v>7542</v>
      </c>
      <c r="Q3697" s="38"/>
    </row>
    <row r="3698">
      <c r="A3698" s="6" t="s">
        <v>8042</v>
      </c>
      <c r="B3698" s="6" t="s">
        <v>8043</v>
      </c>
      <c r="C3698" s="6">
        <v>87.0</v>
      </c>
      <c r="D3698" s="9" t="str">
        <f>HYPERLINK("https://www.linkedin.com/ad-library/detail/1162490753","Open Ad")</f>
        <v>Open Ad</v>
      </c>
      <c r="E3698" s="6" t="s">
        <v>91</v>
      </c>
      <c r="F3698" s="6" t="s">
        <v>8022</v>
      </c>
      <c r="G3698" s="19" t="s">
        <v>8094</v>
      </c>
      <c r="H3698" s="6" t="s">
        <v>55</v>
      </c>
      <c r="I3698" s="6" t="s">
        <v>8025</v>
      </c>
      <c r="J3698" s="6" t="s">
        <v>91</v>
      </c>
      <c r="K3698" s="9" t="str">
        <f>HYPERLINK("https://media.licdn.com/dms/image/v2/D4E22AQEt_Q8WxBO1cw/feedshare-shrink_1280/B4EZv.gsY4G0Ac-/0/1769501542243?e=2147483647&amp;v=beta&amp;t=SWfB_kwis4qL-PKgq8oEpQkUPN7ek5agSfcNlixh-5s","View Creative")</f>
        <v>View Creative</v>
      </c>
      <c r="L3698" s="6" t="s">
        <v>62</v>
      </c>
      <c r="M3698" s="6" t="s">
        <v>8042</v>
      </c>
      <c r="N3698" s="6" t="s">
        <v>8095</v>
      </c>
      <c r="O3698" s="36" t="s">
        <v>7541</v>
      </c>
      <c r="P3698" s="36" t="s">
        <v>7542</v>
      </c>
      <c r="Q3698" s="38"/>
    </row>
    <row r="3699">
      <c r="A3699" s="6" t="s">
        <v>8042</v>
      </c>
      <c r="B3699" s="6" t="s">
        <v>8043</v>
      </c>
      <c r="C3699" s="6">
        <v>88.0</v>
      </c>
      <c r="D3699" s="9" t="str">
        <f>HYPERLINK("https://www.linkedin.com/ad-library/detail/1191191963","Open Ad")</f>
        <v>Open Ad</v>
      </c>
      <c r="E3699" s="6" t="s">
        <v>91</v>
      </c>
      <c r="F3699" s="6" t="s">
        <v>8022</v>
      </c>
      <c r="G3699" s="6" t="s">
        <v>8101</v>
      </c>
      <c r="H3699" s="6" t="s">
        <v>55</v>
      </c>
      <c r="I3699" s="6" t="s">
        <v>8025</v>
      </c>
      <c r="J3699" s="6" t="s">
        <v>91</v>
      </c>
      <c r="K3699" s="9" t="str">
        <f>HYPERLINK("https://media.licdn.com/dms/image/v2/D4D10AQE92TvWjxvc2w/image-shrink_1280/B4DZzDYPUwGkAc-/0/1772804437589/LLMlookerbigqueryjpg?e=2147483647&amp;v=beta&amp;t=OMrgK-SCMtzIxg-pKPXWzq1fNc5M6Nj-X7h3SaMRzgk","View Creative")</f>
        <v>View Creative</v>
      </c>
      <c r="L3699" s="6" t="s">
        <v>62</v>
      </c>
      <c r="M3699" s="6" t="s">
        <v>8042</v>
      </c>
      <c r="N3699" s="6" t="s">
        <v>8097</v>
      </c>
      <c r="O3699" s="36" t="s">
        <v>7541</v>
      </c>
      <c r="P3699" s="36" t="s">
        <v>7542</v>
      </c>
      <c r="Q3699" s="38"/>
    </row>
    <row r="3700">
      <c r="A3700" s="6" t="s">
        <v>8042</v>
      </c>
      <c r="B3700" s="6" t="s">
        <v>8043</v>
      </c>
      <c r="C3700" s="6">
        <v>89.0</v>
      </c>
      <c r="D3700" s="9" t="str">
        <f>HYPERLINK("https://www.linkedin.com/ad-library/detail/1185585483","Open Ad")</f>
        <v>Open Ad</v>
      </c>
      <c r="E3700" s="6" t="s">
        <v>91</v>
      </c>
      <c r="F3700" s="6" t="s">
        <v>8022</v>
      </c>
      <c r="G3700" s="6" t="s">
        <v>8110</v>
      </c>
      <c r="H3700" s="6" t="s">
        <v>55</v>
      </c>
      <c r="I3700" s="6" t="s">
        <v>8025</v>
      </c>
      <c r="J3700" s="6" t="s">
        <v>91</v>
      </c>
      <c r="K3700" s="9" t="str">
        <f>HYPERLINK("https://media.licdn.com/dms/image/v2/D4D10AQEg57bVUJS6sQ/image-shrink_800/B4DZyuu70bHIAg-/0/1772458065607/SEOsherpajpg?e=2147483647&amp;v=beta&amp;t=PRyb_DW7HZ8EW1rp1VUIHxxQ7HT0p9taXFvTucRqzWE","View Creative")</f>
        <v>View Creative</v>
      </c>
      <c r="L3700" s="6" t="s">
        <v>62</v>
      </c>
      <c r="M3700" s="6" t="s">
        <v>8042</v>
      </c>
      <c r="N3700" s="6" t="s">
        <v>8108</v>
      </c>
      <c r="O3700" s="36" t="s">
        <v>7541</v>
      </c>
      <c r="P3700" s="36" t="s">
        <v>7542</v>
      </c>
      <c r="Q3700" s="38"/>
    </row>
    <row r="3701">
      <c r="A3701" s="6" t="s">
        <v>8042</v>
      </c>
      <c r="B3701" s="6" t="s">
        <v>8043</v>
      </c>
      <c r="C3701" s="6">
        <v>90.0</v>
      </c>
      <c r="D3701" s="9" t="str">
        <f>HYPERLINK("https://www.linkedin.com/ad-library/detail/1178221513","Open Ad")</f>
        <v>Open Ad</v>
      </c>
      <c r="E3701" s="6" t="s">
        <v>91</v>
      </c>
      <c r="F3701" s="6" t="s">
        <v>8022</v>
      </c>
      <c r="G3701" s="6" t="s">
        <v>8104</v>
      </c>
      <c r="H3701" s="6" t="s">
        <v>55</v>
      </c>
      <c r="I3701" s="6" t="s">
        <v>8025</v>
      </c>
      <c r="J3701" s="6" t="s">
        <v>91</v>
      </c>
      <c r="K3701" s="9" t="str">
        <f>HYPERLINK("https://media.licdn.com/dms/image/v2/D4E22AQHFXi0RDIfrkA/feedshare-shrink_1280/B4EZxRFTGtJYAg-/0/1770886869703?e=2147483647&amp;v=beta&amp;t=UhoWeYRnOmCoTDjsuAWrCx0MGWIY3UwRaXoocVp4SAo","View Creative")</f>
        <v>View Creative</v>
      </c>
      <c r="L3701" s="6" t="s">
        <v>62</v>
      </c>
      <c r="M3701" s="6" t="s">
        <v>8042</v>
      </c>
      <c r="O3701" s="36" t="s">
        <v>7541</v>
      </c>
      <c r="P3701" s="36" t="s">
        <v>7542</v>
      </c>
      <c r="Q3701" s="38"/>
    </row>
    <row r="3702">
      <c r="A3702" s="6" t="s">
        <v>8042</v>
      </c>
      <c r="B3702" s="6" t="s">
        <v>8043</v>
      </c>
      <c r="C3702" s="6">
        <v>91.0</v>
      </c>
      <c r="D3702" s="9" t="str">
        <f>HYPERLINK("https://www.linkedin.com/ad-library/detail/1161491403","Open Ad")</f>
        <v>Open Ad</v>
      </c>
      <c r="E3702" s="6" t="s">
        <v>91</v>
      </c>
      <c r="F3702" s="6" t="s">
        <v>8022</v>
      </c>
      <c r="G3702" s="19" t="s">
        <v>8094</v>
      </c>
      <c r="H3702" s="6" t="s">
        <v>55</v>
      </c>
      <c r="I3702" s="6" t="s">
        <v>8025</v>
      </c>
      <c r="J3702" s="6" t="s">
        <v>91</v>
      </c>
      <c r="K3702" s="9" t="str">
        <f>HYPERLINK("https://media.licdn.com/dms/image/v2/D4E22AQEt_Q8WxBO1cw/feedshare-shrink_1280/B4EZv.gsY4G0Ac-/0/1769501542243?e=2147483647&amp;v=beta&amp;t=SWfB_kwis4qL-PKgq8oEpQkUPN7ek5agSfcNlixh-5s","View Creative")</f>
        <v>View Creative</v>
      </c>
      <c r="L3702" s="6" t="s">
        <v>62</v>
      </c>
      <c r="M3702" s="6" t="s">
        <v>8042</v>
      </c>
      <c r="O3702" s="36" t="s">
        <v>7541</v>
      </c>
      <c r="P3702" s="36" t="s">
        <v>7542</v>
      </c>
      <c r="Q3702" s="38"/>
    </row>
    <row r="3703">
      <c r="A3703" s="6" t="s">
        <v>8042</v>
      </c>
      <c r="B3703" s="6" t="s">
        <v>8043</v>
      </c>
      <c r="C3703" s="6">
        <v>92.0</v>
      </c>
      <c r="D3703" s="9" t="str">
        <f>HYPERLINK("https://www.linkedin.com/ad-library/detail/1185885563","Open Ad")</f>
        <v>Open Ad</v>
      </c>
      <c r="E3703" s="6" t="s">
        <v>91</v>
      </c>
      <c r="F3703" s="6" t="s">
        <v>8022</v>
      </c>
      <c r="G3703" s="6" t="s">
        <v>8110</v>
      </c>
      <c r="H3703" s="6" t="s">
        <v>55</v>
      </c>
      <c r="I3703" s="6" t="s">
        <v>8025</v>
      </c>
      <c r="J3703" s="6" t="s">
        <v>91</v>
      </c>
      <c r="K3703" s="9" t="str">
        <f>HYPERLINK("https://media.licdn.com/dms/image/v2/D4D10AQEg57bVUJS6sQ/image-shrink_800/B4DZyuu70bHIAg-/0/1772458065607/SEOsherpajpg?e=2147483647&amp;v=beta&amp;t=PRyb_DW7HZ8EW1rp1VUIHxxQ7HT0p9taXFvTucRqzWE","View Creative")</f>
        <v>View Creative</v>
      </c>
      <c r="L3703" s="6" t="s">
        <v>62</v>
      </c>
      <c r="M3703" s="6" t="s">
        <v>8042</v>
      </c>
      <c r="O3703" s="36" t="s">
        <v>7541</v>
      </c>
      <c r="P3703" s="36" t="s">
        <v>7542</v>
      </c>
      <c r="Q3703" s="38"/>
    </row>
    <row r="3704">
      <c r="A3704" s="6" t="s">
        <v>8042</v>
      </c>
      <c r="B3704" s="6" t="s">
        <v>8043</v>
      </c>
      <c r="C3704" s="6">
        <v>93.0</v>
      </c>
      <c r="D3704" s="9" t="str">
        <f>HYPERLINK("https://www.linkedin.com/ad-library/detail/1184486333","Open Ad")</f>
        <v>Open Ad</v>
      </c>
      <c r="E3704" s="6" t="s">
        <v>91</v>
      </c>
      <c r="F3704" s="6" t="s">
        <v>8022</v>
      </c>
      <c r="G3704" s="6" t="s">
        <v>8107</v>
      </c>
      <c r="H3704" s="6" t="s">
        <v>55</v>
      </c>
      <c r="I3704" s="6" t="s">
        <v>8025</v>
      </c>
      <c r="J3704" s="6" t="s">
        <v>91</v>
      </c>
      <c r="K3704" s="9" t="str">
        <f>HYPERLINK("https://media.licdn.com/dms/image/v2/D4D10AQHgEStLXZofiw/image-shrink_800/B4DZyuw_T0JUAg-/0/1772458603991/Transactcasejpg?e=2147483647&amp;v=beta&amp;t=LrfHL6Di2Jdy-Rs0FdIeZ61s18qxMRDjytwx9tE_e3o","View Creative")</f>
        <v>View Creative</v>
      </c>
      <c r="L3704" s="6" t="s">
        <v>62</v>
      </c>
      <c r="M3704" s="6" t="s">
        <v>8042</v>
      </c>
      <c r="O3704" s="36" t="s">
        <v>7541</v>
      </c>
      <c r="P3704" s="36" t="s">
        <v>7542</v>
      </c>
      <c r="Q3704" s="38"/>
    </row>
    <row r="3705">
      <c r="A3705" s="6" t="s">
        <v>8042</v>
      </c>
      <c r="B3705" s="6" t="s">
        <v>8043</v>
      </c>
      <c r="C3705" s="6">
        <v>94.0</v>
      </c>
      <c r="D3705" s="9" t="str">
        <f>HYPERLINK("https://www.linkedin.com/ad-library/detail/1190507313","Open Ad")</f>
        <v>Open Ad</v>
      </c>
      <c r="E3705" s="6" t="s">
        <v>91</v>
      </c>
      <c r="F3705" s="6" t="s">
        <v>8022</v>
      </c>
      <c r="G3705" s="6" t="s">
        <v>8111</v>
      </c>
      <c r="H3705" s="6" t="s">
        <v>55</v>
      </c>
      <c r="I3705" s="6" t="s">
        <v>8025</v>
      </c>
      <c r="J3705" s="6" t="s">
        <v>91</v>
      </c>
      <c r="K3705" s="9" t="str">
        <f>HYPERLINK("https://media.licdn.com/dms/image/v2/D4D10AQEAuLFYDuJKRg/image-shrink_1280/B4DZzDaVgDKoAc-/0/1772804987199/Choosetherightllmtrackerjpg?e=2147483647&amp;v=beta&amp;t=tVtre8mc_Dw2fZ5ZBZ6mUyML9HAqvTHw6RTMOrJ7Agg","View Creative")</f>
        <v>View Creative</v>
      </c>
      <c r="L3705" s="6" t="s">
        <v>62</v>
      </c>
      <c r="M3705" s="6" t="s">
        <v>8042</v>
      </c>
      <c r="N3705" s="6" t="s">
        <v>8112</v>
      </c>
      <c r="O3705" s="36" t="s">
        <v>7541</v>
      </c>
      <c r="P3705" s="36" t="s">
        <v>7542</v>
      </c>
      <c r="Q3705" s="38"/>
    </row>
    <row r="3706">
      <c r="A3706" s="6" t="s">
        <v>8042</v>
      </c>
      <c r="B3706" s="6" t="s">
        <v>8043</v>
      </c>
      <c r="C3706" s="6">
        <v>95.0</v>
      </c>
      <c r="D3706" s="9" t="str">
        <f>HYPERLINK("https://www.linkedin.com/ad-library/detail/1185585343","Open Ad")</f>
        <v>Open Ad</v>
      </c>
      <c r="E3706" s="6" t="s">
        <v>91</v>
      </c>
      <c r="F3706" s="6" t="s">
        <v>8022</v>
      </c>
      <c r="G3706" s="6" t="s">
        <v>8106</v>
      </c>
      <c r="H3706" s="6" t="s">
        <v>55</v>
      </c>
      <c r="I3706" s="6" t="s">
        <v>8025</v>
      </c>
      <c r="J3706" s="6" t="s">
        <v>91</v>
      </c>
      <c r="K3706" s="9" t="str">
        <f>HYPERLINK("https://media.licdn.com/dms/image/v2/D4D10AQGta_PrRamZnA/image-shrink_1280/B4DZyusGBNIUAc-/0/1772457320998/Linkedinpost-OuterboxCase1png?e=2147483647&amp;v=beta&amp;t=1mckf_n--Lny3wV62VpEd8ea60i5oHYh5qIbb0Celvk","View Creative")</f>
        <v>View Creative</v>
      </c>
      <c r="L3706" s="6" t="s">
        <v>62</v>
      </c>
      <c r="M3706" s="6" t="s">
        <v>8042</v>
      </c>
      <c r="N3706" s="6" t="s">
        <v>8108</v>
      </c>
      <c r="O3706" s="36" t="s">
        <v>7541</v>
      </c>
      <c r="P3706" s="36" t="s">
        <v>7542</v>
      </c>
      <c r="Q3706" s="38"/>
    </row>
    <row r="3707">
      <c r="A3707" s="6" t="s">
        <v>8042</v>
      </c>
      <c r="B3707" s="6" t="s">
        <v>8043</v>
      </c>
      <c r="C3707" s="6">
        <v>96.0</v>
      </c>
      <c r="D3707" s="9" t="str">
        <f>HYPERLINK("https://www.linkedin.com/ad-library/detail/1189410573","Open Ad")</f>
        <v>Open Ad</v>
      </c>
      <c r="E3707" s="6" t="s">
        <v>91</v>
      </c>
      <c r="F3707" s="6" t="s">
        <v>8022</v>
      </c>
      <c r="G3707" s="6" t="s">
        <v>8111</v>
      </c>
      <c r="H3707" s="6" t="s">
        <v>55</v>
      </c>
      <c r="I3707" s="6" t="s">
        <v>8025</v>
      </c>
      <c r="J3707" s="6" t="s">
        <v>91</v>
      </c>
      <c r="K3707" s="9" t="str">
        <f>HYPERLINK("https://media.licdn.com/dms/image/v2/D4D10AQEAuLFYDuJKRg/image-shrink_1280/B4DZzDaVgDKoAc-/0/1772804987199/Choosetherightllmtrackerjpg?e=2147483647&amp;v=beta&amp;t=tVtre8mc_Dw2fZ5ZBZ6mUyML9HAqvTHw6RTMOrJ7Agg","View Creative")</f>
        <v>View Creative</v>
      </c>
      <c r="L3707" s="6" t="s">
        <v>62</v>
      </c>
      <c r="M3707" s="6" t="s">
        <v>8042</v>
      </c>
      <c r="O3707" s="36" t="s">
        <v>7541</v>
      </c>
      <c r="P3707" s="36" t="s">
        <v>7542</v>
      </c>
      <c r="Q3707" s="38"/>
    </row>
    <row r="3708">
      <c r="A3708" s="6" t="s">
        <v>8042</v>
      </c>
      <c r="B3708" s="6" t="s">
        <v>8043</v>
      </c>
      <c r="C3708" s="6">
        <v>97.0</v>
      </c>
      <c r="D3708" s="9" t="str">
        <f>HYPERLINK("https://www.linkedin.com/ad-library/detail/1115721473","Open Ad")</f>
        <v>Open Ad</v>
      </c>
      <c r="E3708" s="6" t="s">
        <v>91</v>
      </c>
      <c r="F3708" s="6" t="s">
        <v>8022</v>
      </c>
      <c r="G3708" s="6" t="s">
        <v>8113</v>
      </c>
      <c r="H3708" s="6" t="s">
        <v>769</v>
      </c>
      <c r="I3708" s="6" t="s">
        <v>8025</v>
      </c>
      <c r="J3708" s="6" t="s">
        <v>91</v>
      </c>
      <c r="K3708" s="9" t="str">
        <f>HYPERLINK("https://media.licdn.com/dms/image/v2/D4E22AQHn7Sl0XAKeig/feedshare-shrink_1280/B4EZvlTF4xKgAg-/0/1769078546259?e=2147483647&amp;v=beta&amp;t=93ElieixhCQ6trxCnUji4wV1epTxK5_Onu0n8KIkk9E","View Creative")</f>
        <v>View Creative</v>
      </c>
      <c r="L3708" s="6" t="s">
        <v>62</v>
      </c>
      <c r="M3708" s="6" t="s">
        <v>8042</v>
      </c>
      <c r="N3708" s="6" t="s">
        <v>8114</v>
      </c>
      <c r="O3708" s="36" t="s">
        <v>7541</v>
      </c>
      <c r="P3708" s="36" t="s">
        <v>7542</v>
      </c>
      <c r="Q3708" s="38"/>
    </row>
    <row r="3709">
      <c r="A3709" s="6" t="s">
        <v>8042</v>
      </c>
      <c r="B3709" s="6" t="s">
        <v>8043</v>
      </c>
      <c r="C3709" s="6">
        <v>98.0</v>
      </c>
      <c r="D3709" s="9" t="str">
        <f>HYPERLINK("https://www.linkedin.com/ad-library/detail/1104106023","Open Ad")</f>
        <v>Open Ad</v>
      </c>
      <c r="E3709" s="6" t="s">
        <v>91</v>
      </c>
      <c r="F3709" s="6" t="s">
        <v>8022</v>
      </c>
      <c r="G3709" s="6" t="s">
        <v>8115</v>
      </c>
      <c r="H3709" s="6" t="s">
        <v>55</v>
      </c>
      <c r="I3709" s="6" t="s">
        <v>8025</v>
      </c>
      <c r="J3709" s="6" t="s">
        <v>91</v>
      </c>
      <c r="K3709" s="9" t="str">
        <f>HYPERLINK("https://media.licdn.com/dms/image/v2/D4D10AQGirLZDmDGLlQ/image-shrink_1280/B4DZuirUz0I4Ac-/0/1767960825412/Grumpgraphicfreetooljpg?e=2147483647&amp;v=beta&amp;t=RvQxwG9VvZIiPAEcRpZoAziU7UJen3Xj_rM5r7Up71c","View Creative")</f>
        <v>View Creative</v>
      </c>
      <c r="L3709" s="6" t="s">
        <v>62</v>
      </c>
      <c r="M3709" s="6" t="s">
        <v>8042</v>
      </c>
      <c r="N3709" s="6" t="s">
        <v>8116</v>
      </c>
      <c r="O3709" s="36" t="s">
        <v>7541</v>
      </c>
      <c r="P3709" s="36" t="s">
        <v>7542</v>
      </c>
      <c r="Q3709" s="38"/>
    </row>
    <row r="3710">
      <c r="A3710" s="6" t="s">
        <v>8042</v>
      </c>
      <c r="B3710" s="6" t="s">
        <v>8043</v>
      </c>
      <c r="C3710" s="6">
        <v>99.0</v>
      </c>
      <c r="D3710" s="9" t="str">
        <f>HYPERLINK("https://www.linkedin.com/ad-library/detail/1122380763","Open Ad")</f>
        <v>Open Ad</v>
      </c>
      <c r="E3710" s="6" t="s">
        <v>91</v>
      </c>
      <c r="F3710" s="6" t="s">
        <v>8022</v>
      </c>
      <c r="G3710" s="6" t="s">
        <v>8117</v>
      </c>
      <c r="H3710" s="6" t="s">
        <v>55</v>
      </c>
      <c r="I3710" s="6" t="s">
        <v>8025</v>
      </c>
      <c r="J3710" s="6" t="s">
        <v>91</v>
      </c>
      <c r="K3710" s="9" t="str">
        <f>HYPERLINK("https://media.licdn.com/dms/image/v2/D4E22AQFlds7gdSLksw/feedshare-image-high-res/B4EZvk3HEsIkAU-/0/1769071211075?e=2147483647&amp;v=beta&amp;t=X07Skjv7Owrrli8NcDFOIq-FpxMf_9D56vxTqGAFOr0","View Creative")</f>
        <v>View Creative</v>
      </c>
      <c r="L3710" s="6" t="s">
        <v>62</v>
      </c>
      <c r="M3710" s="6" t="s">
        <v>8042</v>
      </c>
      <c r="O3710" s="36" t="s">
        <v>7541</v>
      </c>
      <c r="P3710" s="36" t="s">
        <v>7542</v>
      </c>
      <c r="Q3710" s="38"/>
    </row>
    <row r="3711">
      <c r="A3711" s="6" t="s">
        <v>8042</v>
      </c>
      <c r="B3711" s="6" t="s">
        <v>8043</v>
      </c>
      <c r="C3711" s="6">
        <v>100.0</v>
      </c>
      <c r="D3711" s="9" t="str">
        <f>HYPERLINK("https://www.linkedin.com/ad-library/detail/1122183023","Open Ad")</f>
        <v>Open Ad</v>
      </c>
      <c r="E3711" s="6" t="s">
        <v>91</v>
      </c>
      <c r="F3711" s="6" t="s">
        <v>8022</v>
      </c>
      <c r="G3711" s="6" t="s">
        <v>8113</v>
      </c>
      <c r="H3711" s="6" t="s">
        <v>769</v>
      </c>
      <c r="I3711" s="6" t="s">
        <v>8025</v>
      </c>
      <c r="J3711" s="6" t="s">
        <v>91</v>
      </c>
      <c r="K3711" s="9" t="str">
        <f t="shared" ref="K3711:K3712" si="191">HYPERLINK("https://media.licdn.com/dms/image/v2/D4E22AQHn7Sl0XAKeig/feedshare-shrink_1280/B4EZvlTF4xKgAg-/0/1769078546259?e=2147483647&amp;v=beta&amp;t=93ElieixhCQ6trxCnUji4wV1epTxK5_Onu0n8KIkk9E","View Creative")</f>
        <v>View Creative</v>
      </c>
      <c r="L3711" s="6" t="s">
        <v>62</v>
      </c>
      <c r="M3711" s="6" t="s">
        <v>8042</v>
      </c>
      <c r="O3711" s="36" t="s">
        <v>7541</v>
      </c>
      <c r="P3711" s="36" t="s">
        <v>7542</v>
      </c>
      <c r="Q3711" s="38"/>
    </row>
    <row r="3712">
      <c r="A3712" s="6" t="s">
        <v>8042</v>
      </c>
      <c r="B3712" s="6" t="s">
        <v>8043</v>
      </c>
      <c r="C3712" s="6">
        <v>101.0</v>
      </c>
      <c r="D3712" s="9" t="str">
        <f>HYPERLINK("https://www.linkedin.com/ad-library/detail/1115920453","Open Ad")</f>
        <v>Open Ad</v>
      </c>
      <c r="E3712" s="6" t="s">
        <v>91</v>
      </c>
      <c r="F3712" s="6" t="s">
        <v>8022</v>
      </c>
      <c r="G3712" s="6" t="s">
        <v>8113</v>
      </c>
      <c r="H3712" s="6" t="s">
        <v>769</v>
      </c>
      <c r="I3712" s="6" t="s">
        <v>8025</v>
      </c>
      <c r="J3712" s="6" t="s">
        <v>91</v>
      </c>
      <c r="K3712" s="9" t="str">
        <f t="shared" si="191"/>
        <v>View Creative</v>
      </c>
      <c r="L3712" s="6" t="s">
        <v>62</v>
      </c>
      <c r="M3712" s="6" t="s">
        <v>8042</v>
      </c>
      <c r="O3712" s="36" t="s">
        <v>7541</v>
      </c>
      <c r="P3712" s="36" t="s">
        <v>7542</v>
      </c>
      <c r="Q3712" s="38"/>
    </row>
    <row r="3713">
      <c r="A3713" s="6" t="s">
        <v>8042</v>
      </c>
      <c r="B3713" s="6" t="s">
        <v>8043</v>
      </c>
      <c r="C3713" s="6">
        <v>102.0</v>
      </c>
      <c r="D3713" s="9" t="str">
        <f>HYPERLINK("https://www.linkedin.com/ad-library/detail/1097580783","Open Ad")</f>
        <v>Open Ad</v>
      </c>
      <c r="E3713" s="6" t="s">
        <v>52</v>
      </c>
      <c r="F3713" s="6" t="s">
        <v>8022</v>
      </c>
      <c r="G3713" s="6" t="s">
        <v>8118</v>
      </c>
      <c r="H3713" s="6" t="s">
        <v>55</v>
      </c>
      <c r="I3713" s="6" t="s">
        <v>8025</v>
      </c>
      <c r="J3713" s="6" t="s">
        <v>52</v>
      </c>
      <c r="K3713" s="6" t="s">
        <v>60</v>
      </c>
      <c r="L3713" s="6" t="s">
        <v>62</v>
      </c>
      <c r="M3713" s="6" t="s">
        <v>8042</v>
      </c>
      <c r="O3713" s="36" t="s">
        <v>7541</v>
      </c>
      <c r="P3713" s="36" t="s">
        <v>7542</v>
      </c>
      <c r="Q3713" s="38"/>
    </row>
    <row r="3714">
      <c r="A3714" s="6" t="s">
        <v>8042</v>
      </c>
      <c r="B3714" s="6" t="s">
        <v>8043</v>
      </c>
      <c r="C3714" s="6">
        <v>103.0</v>
      </c>
      <c r="D3714" s="9" t="str">
        <f>HYPERLINK("https://www.linkedin.com/ad-library/detail/1116520873","Open Ad")</f>
        <v>Open Ad</v>
      </c>
      <c r="E3714" s="6" t="s">
        <v>91</v>
      </c>
      <c r="F3714" s="6" t="s">
        <v>8022</v>
      </c>
      <c r="G3714" s="6" t="s">
        <v>8113</v>
      </c>
      <c r="H3714" s="6" t="s">
        <v>769</v>
      </c>
      <c r="I3714" s="6" t="s">
        <v>8025</v>
      </c>
      <c r="J3714" s="6" t="s">
        <v>91</v>
      </c>
      <c r="K3714" s="9" t="str">
        <f>HYPERLINK("https://media.licdn.com/dms/image/v2/D4E22AQHn7Sl0XAKeig/feedshare-shrink_1280/B4EZvlTF4xKgAg-/0/1769078546259?e=2147483647&amp;v=beta&amp;t=93ElieixhCQ6trxCnUji4wV1epTxK5_Onu0n8KIkk9E","View Creative")</f>
        <v>View Creative</v>
      </c>
      <c r="L3714" s="6" t="s">
        <v>62</v>
      </c>
      <c r="M3714" s="6" t="s">
        <v>8042</v>
      </c>
      <c r="O3714" s="36" t="s">
        <v>7541</v>
      </c>
      <c r="P3714" s="36" t="s">
        <v>7542</v>
      </c>
      <c r="Q3714" s="38"/>
    </row>
    <row r="3715">
      <c r="A3715" s="6" t="s">
        <v>8042</v>
      </c>
      <c r="B3715" s="6" t="s">
        <v>8043</v>
      </c>
      <c r="C3715" s="6">
        <v>104.0</v>
      </c>
      <c r="D3715" s="9" t="str">
        <f>HYPERLINK("https://www.linkedin.com/ad-library/detail/1117320423","Open Ad")</f>
        <v>Open Ad</v>
      </c>
      <c r="E3715" s="6" t="s">
        <v>91</v>
      </c>
      <c r="F3715" s="6" t="s">
        <v>8022</v>
      </c>
      <c r="G3715" s="6" t="s">
        <v>8117</v>
      </c>
      <c r="H3715" s="6" t="s">
        <v>55</v>
      </c>
      <c r="I3715" s="6" t="s">
        <v>8025</v>
      </c>
      <c r="J3715" s="6" t="s">
        <v>91</v>
      </c>
      <c r="K3715" s="9" t="str">
        <f>HYPERLINK("https://media.licdn.com/dms/image/v2/D4E22AQFlds7gdSLksw/feedshare-image-high-res/B4EZvk3HEsIkAU-/0/1769071211075?e=2147483647&amp;v=beta&amp;t=X07Skjv7Owrrli8NcDFOIq-FpxMf_9D56vxTqGAFOr0","View Creative")</f>
        <v>View Creative</v>
      </c>
      <c r="L3715" s="6" t="s">
        <v>62</v>
      </c>
      <c r="M3715" s="6" t="s">
        <v>8042</v>
      </c>
      <c r="N3715" s="6" t="s">
        <v>8119</v>
      </c>
      <c r="O3715" s="36" t="s">
        <v>7541</v>
      </c>
      <c r="P3715" s="36" t="s">
        <v>7542</v>
      </c>
      <c r="Q3715" s="38"/>
    </row>
    <row r="3716">
      <c r="A3716" s="6" t="s">
        <v>8042</v>
      </c>
      <c r="B3716" s="6" t="s">
        <v>8043</v>
      </c>
      <c r="C3716" s="6">
        <v>105.0</v>
      </c>
      <c r="D3716" s="9" t="str">
        <f>HYPERLINK("https://www.linkedin.com/ad-library/detail/1098490663","Open Ad")</f>
        <v>Open Ad</v>
      </c>
      <c r="E3716" s="6" t="s">
        <v>52</v>
      </c>
      <c r="F3716" s="6" t="s">
        <v>8022</v>
      </c>
      <c r="G3716" s="6" t="s">
        <v>8120</v>
      </c>
      <c r="H3716" s="6" t="s">
        <v>55</v>
      </c>
      <c r="I3716" s="6" t="s">
        <v>8025</v>
      </c>
      <c r="J3716" s="6" t="s">
        <v>52</v>
      </c>
      <c r="K3716" s="6" t="s">
        <v>60</v>
      </c>
      <c r="L3716" s="6" t="s">
        <v>62</v>
      </c>
      <c r="M3716" s="6" t="s">
        <v>8042</v>
      </c>
      <c r="N3716" s="6" t="s">
        <v>8121</v>
      </c>
      <c r="O3716" s="36" t="s">
        <v>7541</v>
      </c>
      <c r="P3716" s="36" t="s">
        <v>7542</v>
      </c>
      <c r="Q3716" s="38"/>
    </row>
    <row r="3717">
      <c r="A3717" s="6" t="s">
        <v>8042</v>
      </c>
      <c r="B3717" s="6" t="s">
        <v>8043</v>
      </c>
      <c r="C3717" s="6">
        <v>106.0</v>
      </c>
      <c r="D3717" s="9" t="str">
        <f>HYPERLINK("https://www.linkedin.com/ad-library/detail/1116520863","Open Ad")</f>
        <v>Open Ad</v>
      </c>
      <c r="E3717" s="6" t="s">
        <v>91</v>
      </c>
      <c r="F3717" s="6" t="s">
        <v>8022</v>
      </c>
      <c r="G3717" s="6" t="s">
        <v>8117</v>
      </c>
      <c r="H3717" s="6" t="s">
        <v>55</v>
      </c>
      <c r="I3717" s="6" t="s">
        <v>8025</v>
      </c>
      <c r="J3717" s="6" t="s">
        <v>91</v>
      </c>
      <c r="K3717" s="9" t="str">
        <f>HYPERLINK("https://media.licdn.com/dms/image/v2/D4E22AQFlds7gdSLksw/feedshare-image-high-res/B4EZvk3HEsIkAU-/0/1769071211075?e=2147483647&amp;v=beta&amp;t=X07Skjv7Owrrli8NcDFOIq-FpxMf_9D56vxTqGAFOr0","View Creative")</f>
        <v>View Creative</v>
      </c>
      <c r="L3717" s="6" t="s">
        <v>62</v>
      </c>
      <c r="M3717" s="6" t="s">
        <v>8042</v>
      </c>
      <c r="N3717" s="6" t="s">
        <v>8122</v>
      </c>
      <c r="O3717" s="36" t="s">
        <v>7541</v>
      </c>
      <c r="P3717" s="36" t="s">
        <v>7542</v>
      </c>
      <c r="Q3717" s="38"/>
    </row>
    <row r="3718">
      <c r="A3718" s="6" t="s">
        <v>8042</v>
      </c>
      <c r="B3718" s="6" t="s">
        <v>8043</v>
      </c>
      <c r="C3718" s="6">
        <v>107.0</v>
      </c>
      <c r="D3718" s="9" t="str">
        <f>HYPERLINK("https://www.linkedin.com/ad-library/detail/1104305283","Open Ad")</f>
        <v>Open Ad</v>
      </c>
      <c r="E3718" s="6" t="s">
        <v>91</v>
      </c>
      <c r="F3718" s="6" t="s">
        <v>8022</v>
      </c>
      <c r="G3718" s="6" t="s">
        <v>8115</v>
      </c>
      <c r="H3718" s="6" t="s">
        <v>55</v>
      </c>
      <c r="I3718" s="6" t="s">
        <v>8025</v>
      </c>
      <c r="J3718" s="6" t="s">
        <v>91</v>
      </c>
      <c r="K3718" s="9" t="str">
        <f>HYPERLINK("https://media.licdn.com/dms/image/v2/D4D10AQGirLZDmDGLlQ/image-shrink_1280/B4DZuirUz0I4Ac-/0/1767960825412/Grumpgraphicfreetooljpg?e=2147483647&amp;v=beta&amp;t=RvQxwG9VvZIiPAEcRpZoAziU7UJen3Xj_rM5r7Up71c","View Creative")</f>
        <v>View Creative</v>
      </c>
      <c r="L3718" s="6" t="s">
        <v>62</v>
      </c>
      <c r="M3718" s="6" t="s">
        <v>8042</v>
      </c>
      <c r="O3718" s="36" t="s">
        <v>7541</v>
      </c>
      <c r="P3718" s="36" t="s">
        <v>7542</v>
      </c>
      <c r="Q3718" s="38"/>
    </row>
    <row r="3719">
      <c r="A3719" s="6" t="s">
        <v>8042</v>
      </c>
      <c r="B3719" s="6" t="s">
        <v>8043</v>
      </c>
      <c r="C3719" s="6">
        <v>108.0</v>
      </c>
      <c r="D3719" s="9" t="str">
        <f>HYPERLINK("https://www.linkedin.com/ad-library/detail/1098081213","Open Ad")</f>
        <v>Open Ad</v>
      </c>
      <c r="E3719" s="6" t="s">
        <v>52</v>
      </c>
      <c r="F3719" s="6" t="s">
        <v>8022</v>
      </c>
      <c r="G3719" s="6" t="s">
        <v>8118</v>
      </c>
      <c r="H3719" s="6" t="s">
        <v>55</v>
      </c>
      <c r="I3719" s="6" t="s">
        <v>8025</v>
      </c>
      <c r="J3719" s="6" t="s">
        <v>52</v>
      </c>
      <c r="K3719" s="6" t="s">
        <v>60</v>
      </c>
      <c r="L3719" s="6" t="s">
        <v>62</v>
      </c>
      <c r="M3719" s="6" t="s">
        <v>8042</v>
      </c>
      <c r="N3719" s="6" t="s">
        <v>8123</v>
      </c>
      <c r="O3719" s="36" t="s">
        <v>7541</v>
      </c>
      <c r="P3719" s="36" t="s">
        <v>7542</v>
      </c>
      <c r="Q3719" s="38"/>
    </row>
    <row r="3720">
      <c r="A3720" s="6" t="s">
        <v>8042</v>
      </c>
      <c r="B3720" s="6" t="s">
        <v>8043</v>
      </c>
      <c r="C3720" s="6">
        <v>109.0</v>
      </c>
      <c r="D3720" s="9" t="str">
        <f>HYPERLINK("https://www.linkedin.com/ad-library/detail/1115311803","Open Ad")</f>
        <v>Open Ad</v>
      </c>
      <c r="E3720" s="6" t="s">
        <v>91</v>
      </c>
      <c r="F3720" s="6" t="s">
        <v>8022</v>
      </c>
      <c r="G3720" s="6" t="s">
        <v>8124</v>
      </c>
      <c r="H3720" s="6" t="s">
        <v>55</v>
      </c>
      <c r="I3720" s="6" t="s">
        <v>8025</v>
      </c>
      <c r="J3720" s="6" t="s">
        <v>91</v>
      </c>
      <c r="K3720" s="9" t="str">
        <f>HYPERLINK("https://media.licdn.com/dms/image/v2/D4E22AQGAxwshnWuxgg/feedshare-image-high-res/B4EZu2qyv7KcAU-/0/1768296230200?e=2147483647&amp;v=beta&amp;t=LEp2kjgI0a6G2LPgDjsxeMKv-FRHKZRtkLKVdgyqj94","View Creative")</f>
        <v>View Creative</v>
      </c>
      <c r="L3720" s="6" t="s">
        <v>62</v>
      </c>
      <c r="M3720" s="6" t="s">
        <v>8042</v>
      </c>
      <c r="N3720" s="6" t="s">
        <v>8125</v>
      </c>
      <c r="O3720" s="36" t="s">
        <v>7541</v>
      </c>
      <c r="P3720" s="36" t="s">
        <v>7542</v>
      </c>
      <c r="Q3720" s="38"/>
    </row>
    <row r="3721">
      <c r="A3721" s="6" t="s">
        <v>8042</v>
      </c>
      <c r="B3721" s="6" t="s">
        <v>8043</v>
      </c>
      <c r="C3721" s="6">
        <v>110.0</v>
      </c>
      <c r="D3721" s="9" t="str">
        <f>HYPERLINK("https://www.linkedin.com/ad-library/detail/1117320473","Open Ad")</f>
        <v>Open Ad</v>
      </c>
      <c r="E3721" s="6" t="s">
        <v>91</v>
      </c>
      <c r="F3721" s="6" t="s">
        <v>8022</v>
      </c>
      <c r="G3721" s="6" t="s">
        <v>8117</v>
      </c>
      <c r="H3721" s="6" t="s">
        <v>55</v>
      </c>
      <c r="I3721" s="6" t="s">
        <v>8025</v>
      </c>
      <c r="J3721" s="6" t="s">
        <v>91</v>
      </c>
      <c r="K3721" s="9" t="str">
        <f>HYPERLINK("https://media.licdn.com/dms/image/v2/D4E22AQFlds7gdSLksw/feedshare-image-high-res/B4EZvk3HEsIkAU-/0/1769071211075?e=2147483647&amp;v=beta&amp;t=X07Skjv7Owrrli8NcDFOIq-FpxMf_9D56vxTqGAFOr0","View Creative")</f>
        <v>View Creative</v>
      </c>
      <c r="L3721" s="6" t="s">
        <v>62</v>
      </c>
      <c r="M3721" s="6" t="s">
        <v>8042</v>
      </c>
      <c r="O3721" s="36" t="s">
        <v>7541</v>
      </c>
      <c r="P3721" s="36" t="s">
        <v>7542</v>
      </c>
      <c r="Q3721" s="38"/>
    </row>
    <row r="3722">
      <c r="A3722" s="6" t="s">
        <v>8042</v>
      </c>
      <c r="B3722" s="6" t="s">
        <v>8043</v>
      </c>
      <c r="C3722" s="6">
        <v>111.0</v>
      </c>
      <c r="D3722" s="9" t="str">
        <f>HYPERLINK("https://www.linkedin.com/ad-library/detail/1105593153","Open Ad")</f>
        <v>Open Ad</v>
      </c>
      <c r="E3722" s="6" t="s">
        <v>91</v>
      </c>
      <c r="F3722" s="6" t="s">
        <v>8022</v>
      </c>
      <c r="G3722" s="6" t="s">
        <v>8115</v>
      </c>
      <c r="H3722" s="6" t="s">
        <v>55</v>
      </c>
      <c r="I3722" s="6" t="s">
        <v>8025</v>
      </c>
      <c r="J3722" s="6" t="s">
        <v>91</v>
      </c>
      <c r="K3722" s="9" t="str">
        <f>HYPERLINK("https://media.licdn.com/dms/image/v2/D4D10AQGirLZDmDGLlQ/image-shrink_1280/B4DZuirUz0I4Ac-/0/1767960825412/Grumpgraphicfreetooljpg?e=2147483647&amp;v=beta&amp;t=RvQxwG9VvZIiPAEcRpZoAziU7UJen3Xj_rM5r7Up71c","View Creative")</f>
        <v>View Creative</v>
      </c>
      <c r="L3722" s="6" t="s">
        <v>62</v>
      </c>
      <c r="M3722" s="6" t="s">
        <v>8042</v>
      </c>
      <c r="O3722" s="36" t="s">
        <v>7541</v>
      </c>
      <c r="P3722" s="36" t="s">
        <v>7542</v>
      </c>
      <c r="Q3722" s="38"/>
    </row>
    <row r="3723">
      <c r="A3723" s="6" t="s">
        <v>8042</v>
      </c>
      <c r="B3723" s="6" t="s">
        <v>8043</v>
      </c>
      <c r="C3723" s="6">
        <v>112.0</v>
      </c>
      <c r="D3723" s="9" t="str">
        <f>HYPERLINK("https://www.linkedin.com/ad-library/detail/1103792353","Open Ad")</f>
        <v>Open Ad</v>
      </c>
      <c r="E3723" s="6" t="s">
        <v>91</v>
      </c>
      <c r="F3723" s="6" t="s">
        <v>8022</v>
      </c>
      <c r="G3723" s="6" t="s">
        <v>8126</v>
      </c>
      <c r="H3723" s="6" t="s">
        <v>8127</v>
      </c>
      <c r="I3723" s="6" t="s">
        <v>8025</v>
      </c>
      <c r="J3723" s="6" t="s">
        <v>91</v>
      </c>
      <c r="K3723" s="9" t="str">
        <f t="shared" ref="K3723:K3724" si="192">HYPERLINK("https://media.licdn.com/dms/image/v2/D4E22AQGM2MEPuhLAaw/feedshare-shrink_1280/B4EZuXxEI_HUAw-/0/1767777781370?e=2147483647&amp;v=beta&amp;t=wDt18aV88Hl0v6XkposusnBv_8hAuLIeK9otb6pBJ3M","View Creative")</f>
        <v>View Creative</v>
      </c>
      <c r="L3723" s="6" t="s">
        <v>62</v>
      </c>
      <c r="M3723" s="6" t="s">
        <v>8042</v>
      </c>
      <c r="O3723" s="36" t="s">
        <v>7541</v>
      </c>
      <c r="P3723" s="36" t="s">
        <v>7542</v>
      </c>
      <c r="Q3723" s="38"/>
    </row>
    <row r="3724">
      <c r="A3724" s="6" t="s">
        <v>8042</v>
      </c>
      <c r="B3724" s="6" t="s">
        <v>8043</v>
      </c>
      <c r="C3724" s="6">
        <v>113.0</v>
      </c>
      <c r="D3724" s="9" t="str">
        <f>HYPERLINK("https://www.linkedin.com/ad-library/detail/1102693213","Open Ad")</f>
        <v>Open Ad</v>
      </c>
      <c r="E3724" s="6" t="s">
        <v>91</v>
      </c>
      <c r="F3724" s="6" t="s">
        <v>8022</v>
      </c>
      <c r="G3724" s="6" t="s">
        <v>8126</v>
      </c>
      <c r="H3724" s="6" t="s">
        <v>8127</v>
      </c>
      <c r="I3724" s="6" t="s">
        <v>8025</v>
      </c>
      <c r="J3724" s="6" t="s">
        <v>91</v>
      </c>
      <c r="K3724" s="9" t="str">
        <f t="shared" si="192"/>
        <v>View Creative</v>
      </c>
      <c r="L3724" s="6" t="s">
        <v>62</v>
      </c>
      <c r="M3724" s="6" t="s">
        <v>8042</v>
      </c>
      <c r="N3724" s="6" t="s">
        <v>8128</v>
      </c>
      <c r="O3724" s="36" t="s">
        <v>7541</v>
      </c>
      <c r="P3724" s="36" t="s">
        <v>7542</v>
      </c>
      <c r="Q3724" s="38"/>
    </row>
    <row r="3725">
      <c r="A3725" s="6" t="s">
        <v>8042</v>
      </c>
      <c r="B3725" s="6" t="s">
        <v>8043</v>
      </c>
      <c r="C3725" s="6">
        <v>114.0</v>
      </c>
      <c r="D3725" s="9" t="str">
        <f>HYPERLINK("https://www.linkedin.com/ad-library/detail/1116511493","Open Ad")</f>
        <v>Open Ad</v>
      </c>
      <c r="E3725" s="6" t="s">
        <v>91</v>
      </c>
      <c r="F3725" s="6" t="s">
        <v>8022</v>
      </c>
      <c r="G3725" s="6" t="s">
        <v>8124</v>
      </c>
      <c r="H3725" s="6" t="s">
        <v>55</v>
      </c>
      <c r="I3725" s="6" t="s">
        <v>8025</v>
      </c>
      <c r="J3725" s="6" t="s">
        <v>91</v>
      </c>
      <c r="K3725" s="9" t="str">
        <f>HYPERLINK("https://media.licdn.com/dms/image/v2/D4E22AQGAxwshnWuxgg/feedshare-image-high-res/B4EZu2qyv7KcAU-/0/1768296230200?e=2147483647&amp;v=beta&amp;t=LEp2kjgI0a6G2LPgDjsxeMKv-FRHKZRtkLKVdgyqj94","View Creative")</f>
        <v>View Creative</v>
      </c>
      <c r="L3725" s="6" t="s">
        <v>62</v>
      </c>
      <c r="M3725" s="6" t="s">
        <v>8042</v>
      </c>
      <c r="O3725" s="36" t="s">
        <v>7541</v>
      </c>
      <c r="P3725" s="36" t="s">
        <v>7542</v>
      </c>
      <c r="Q3725" s="38"/>
    </row>
    <row r="3726">
      <c r="A3726" s="6" t="s">
        <v>8042</v>
      </c>
      <c r="B3726" s="6" t="s">
        <v>8043</v>
      </c>
      <c r="C3726" s="6">
        <v>115.0</v>
      </c>
      <c r="D3726" s="9" t="str">
        <f>HYPERLINK("https://www.linkedin.com/ad-library/detail/1103792343","Open Ad")</f>
        <v>Open Ad</v>
      </c>
      <c r="E3726" s="6" t="s">
        <v>91</v>
      </c>
      <c r="F3726" s="6" t="s">
        <v>8022</v>
      </c>
      <c r="G3726" s="6" t="s">
        <v>8126</v>
      </c>
      <c r="H3726" s="6" t="s">
        <v>8127</v>
      </c>
      <c r="I3726" s="6" t="s">
        <v>8025</v>
      </c>
      <c r="J3726" s="6" t="s">
        <v>91</v>
      </c>
      <c r="K3726" s="9" t="str">
        <f>HYPERLINK("https://media.licdn.com/dms/image/v2/D4E22AQGM2MEPuhLAaw/feedshare-shrink_1280/B4EZuXxEI_HUAw-/0/1767777781370?e=2147483647&amp;v=beta&amp;t=wDt18aV88Hl0v6XkposusnBv_8hAuLIeK9otb6pBJ3M","View Creative")</f>
        <v>View Creative</v>
      </c>
      <c r="L3726" s="6" t="s">
        <v>62</v>
      </c>
      <c r="M3726" s="6" t="s">
        <v>8042</v>
      </c>
      <c r="O3726" s="36" t="s">
        <v>7541</v>
      </c>
      <c r="P3726" s="36" t="s">
        <v>7542</v>
      </c>
      <c r="Q3726" s="38"/>
    </row>
    <row r="3727">
      <c r="A3727" s="6" t="s">
        <v>8042</v>
      </c>
      <c r="B3727" s="6" t="s">
        <v>8043</v>
      </c>
      <c r="C3727" s="6">
        <v>116.0</v>
      </c>
      <c r="D3727" s="9" t="str">
        <f>HYPERLINK("https://www.linkedin.com/ad-library/detail/1117986143","Open Ad")</f>
        <v>Open Ad</v>
      </c>
      <c r="E3727" s="6" t="s">
        <v>91</v>
      </c>
      <c r="F3727" s="6" t="s">
        <v>8022</v>
      </c>
      <c r="G3727" s="6" t="s">
        <v>8113</v>
      </c>
      <c r="H3727" s="6" t="s">
        <v>769</v>
      </c>
      <c r="I3727" s="6" t="s">
        <v>8025</v>
      </c>
      <c r="J3727" s="6" t="s">
        <v>91</v>
      </c>
      <c r="K3727" s="9" t="str">
        <f>HYPERLINK("https://media.licdn.com/dms/image/v2/D4E22AQHn7Sl0XAKeig/feedshare-shrink_1280/B4EZvlTF4xKgAg-/0/1769078546259?e=2147483647&amp;v=beta&amp;t=93ElieixhCQ6trxCnUji4wV1epTxK5_Onu0n8KIkk9E","View Creative")</f>
        <v>View Creative</v>
      </c>
      <c r="L3727" s="6" t="s">
        <v>62</v>
      </c>
      <c r="M3727" s="6" t="s">
        <v>8042</v>
      </c>
      <c r="N3727" s="6" t="s">
        <v>8129</v>
      </c>
      <c r="O3727" s="36" t="s">
        <v>7541</v>
      </c>
      <c r="P3727" s="36" t="s">
        <v>7542</v>
      </c>
      <c r="Q3727" s="38"/>
    </row>
    <row r="3728">
      <c r="A3728" s="6" t="s">
        <v>8042</v>
      </c>
      <c r="B3728" s="6" t="s">
        <v>8043</v>
      </c>
      <c r="C3728" s="6">
        <v>117.0</v>
      </c>
      <c r="D3728" s="9" t="str">
        <f>HYPERLINK("https://www.linkedin.com/ad-library/detail/1102592623","Open Ad")</f>
        <v>Open Ad</v>
      </c>
      <c r="E3728" s="6" t="s">
        <v>91</v>
      </c>
      <c r="F3728" s="6" t="s">
        <v>8022</v>
      </c>
      <c r="G3728" s="6" t="s">
        <v>8126</v>
      </c>
      <c r="H3728" s="6" t="s">
        <v>8127</v>
      </c>
      <c r="I3728" s="6" t="s">
        <v>8025</v>
      </c>
      <c r="J3728" s="6" t="s">
        <v>91</v>
      </c>
      <c r="K3728" s="9" t="str">
        <f>HYPERLINK("https://media.licdn.com/dms/image/v2/D4E22AQGM2MEPuhLAaw/feedshare-shrink_1280/B4EZuXxEI_HUAw-/0/1767777781370?e=2147483647&amp;v=beta&amp;t=wDt18aV88Hl0v6XkposusnBv_8hAuLIeK9otb6pBJ3M","View Creative")</f>
        <v>View Creative</v>
      </c>
      <c r="L3728" s="6" t="s">
        <v>62</v>
      </c>
      <c r="M3728" s="6" t="s">
        <v>8042</v>
      </c>
      <c r="N3728" s="6" t="s">
        <v>8130</v>
      </c>
      <c r="O3728" s="36" t="s">
        <v>7541</v>
      </c>
      <c r="P3728" s="36" t="s">
        <v>7542</v>
      </c>
      <c r="Q3728" s="38"/>
    </row>
    <row r="3729">
      <c r="A3729" s="6" t="s">
        <v>8042</v>
      </c>
      <c r="B3729" s="6" t="s">
        <v>8043</v>
      </c>
      <c r="C3729" s="6">
        <v>118.0</v>
      </c>
      <c r="D3729" s="9" t="str">
        <f>HYPERLINK("https://www.linkedin.com/ad-library/detail/1115321483","Open Ad")</f>
        <v>Open Ad</v>
      </c>
      <c r="E3729" s="6" t="s">
        <v>91</v>
      </c>
      <c r="F3729" s="6" t="s">
        <v>8022</v>
      </c>
      <c r="G3729" s="6" t="s">
        <v>8117</v>
      </c>
      <c r="H3729" s="6" t="s">
        <v>55</v>
      </c>
      <c r="I3729" s="6" t="s">
        <v>8025</v>
      </c>
      <c r="J3729" s="6" t="s">
        <v>91</v>
      </c>
      <c r="K3729" s="9" t="str">
        <f>HYPERLINK("https://media.licdn.com/dms/image/v2/D4E22AQFlds7gdSLksw/feedshare-image-high-res/B4EZvk3HEsIkAU-/0/1769071211075?e=2147483647&amp;v=beta&amp;t=X07Skjv7Owrrli8NcDFOIq-FpxMf_9D56vxTqGAFOr0","View Creative")</f>
        <v>View Creative</v>
      </c>
      <c r="L3729" s="6" t="s">
        <v>62</v>
      </c>
      <c r="M3729" s="6" t="s">
        <v>8042</v>
      </c>
      <c r="O3729" s="36" t="s">
        <v>7541</v>
      </c>
      <c r="P3729" s="36" t="s">
        <v>7542</v>
      </c>
      <c r="Q3729" s="38"/>
    </row>
    <row r="3730">
      <c r="A3730" s="6" t="s">
        <v>8042</v>
      </c>
      <c r="B3730" s="6" t="s">
        <v>8043</v>
      </c>
      <c r="C3730" s="6">
        <v>119.0</v>
      </c>
      <c r="D3730" s="9" t="str">
        <f>HYPERLINK("https://www.linkedin.com/ad-library/detail/1104505853","Open Ad")</f>
        <v>Open Ad</v>
      </c>
      <c r="E3730" s="6" t="s">
        <v>91</v>
      </c>
      <c r="F3730" s="6" t="s">
        <v>8022</v>
      </c>
      <c r="G3730" s="6" t="s">
        <v>8115</v>
      </c>
      <c r="H3730" s="6" t="s">
        <v>55</v>
      </c>
      <c r="I3730" s="6" t="s">
        <v>8025</v>
      </c>
      <c r="J3730" s="6" t="s">
        <v>91</v>
      </c>
      <c r="K3730" s="9" t="str">
        <f>HYPERLINK("https://media.licdn.com/dms/image/v2/D4D10AQGirLZDmDGLlQ/image-shrink_1280/B4DZuirUz0I4Ac-/0/1767960825412/Grumpgraphicfreetooljpg?e=2147483647&amp;v=beta&amp;t=RvQxwG9VvZIiPAEcRpZoAziU7UJen3Xj_rM5r7Up71c","View Creative")</f>
        <v>View Creative</v>
      </c>
      <c r="L3730" s="6" t="s">
        <v>62</v>
      </c>
      <c r="M3730" s="6" t="s">
        <v>8042</v>
      </c>
      <c r="N3730" s="6" t="s">
        <v>8131</v>
      </c>
      <c r="O3730" s="36" t="s">
        <v>7541</v>
      </c>
      <c r="P3730" s="36" t="s">
        <v>7542</v>
      </c>
      <c r="Q3730" s="38"/>
    </row>
    <row r="3731">
      <c r="A3731" s="6" t="s">
        <v>8042</v>
      </c>
      <c r="B3731" s="6" t="s">
        <v>8043</v>
      </c>
      <c r="C3731" s="6">
        <v>120.0</v>
      </c>
      <c r="D3731" s="9" t="str">
        <f>HYPERLINK("https://www.linkedin.com/ad-library/detail/1096790953","Open Ad")</f>
        <v>Open Ad</v>
      </c>
      <c r="E3731" s="6" t="s">
        <v>52</v>
      </c>
      <c r="F3731" s="6" t="s">
        <v>8022</v>
      </c>
      <c r="G3731" s="6" t="s">
        <v>8120</v>
      </c>
      <c r="H3731" s="6" t="s">
        <v>55</v>
      </c>
      <c r="I3731" s="6" t="s">
        <v>8025</v>
      </c>
      <c r="J3731" s="6" t="s">
        <v>52</v>
      </c>
      <c r="K3731" s="6" t="s">
        <v>60</v>
      </c>
      <c r="L3731" s="6" t="s">
        <v>62</v>
      </c>
      <c r="M3731" s="6" t="s">
        <v>8042</v>
      </c>
      <c r="O3731" s="36" t="s">
        <v>7541</v>
      </c>
      <c r="P3731" s="36" t="s">
        <v>7542</v>
      </c>
      <c r="Q3731" s="38"/>
    </row>
    <row r="3732">
      <c r="A3732" s="6" t="s">
        <v>8042</v>
      </c>
      <c r="B3732" s="6" t="s">
        <v>8043</v>
      </c>
      <c r="C3732" s="6">
        <v>121.0</v>
      </c>
      <c r="D3732" s="9" t="str">
        <f>HYPERLINK("https://www.linkedin.com/ad-library/detail/1072401194","Open Ad")</f>
        <v>Open Ad</v>
      </c>
      <c r="E3732" s="6" t="s">
        <v>91</v>
      </c>
      <c r="F3732" s="6" t="s">
        <v>8022</v>
      </c>
      <c r="G3732" s="6" t="s">
        <v>8103</v>
      </c>
      <c r="H3732" s="6" t="s">
        <v>55</v>
      </c>
      <c r="I3732" s="6" t="s">
        <v>8025</v>
      </c>
      <c r="J3732" s="6" t="s">
        <v>91</v>
      </c>
      <c r="K3732" s="9" t="str">
        <f>HYPERLINK("https://media.licdn.com/dms/image/v2/D4D10AQG93KuStnaVRA/image-pad_1200_1200/B4DZsM8cHHIgAM-/0/1765448729449?e=1789484400&amp;v=beta&amp;t=IZoRBR1vSae6uzkIfoXjh73nlkZ6fXUKrIMn1Xr6xGg","View Creative")</f>
        <v>View Creative</v>
      </c>
      <c r="L3732" s="6" t="s">
        <v>62</v>
      </c>
      <c r="M3732" s="6" t="s">
        <v>8042</v>
      </c>
      <c r="O3732" s="36" t="s">
        <v>7541</v>
      </c>
      <c r="P3732" s="36" t="s">
        <v>7542</v>
      </c>
      <c r="Q3732" s="38"/>
    </row>
    <row r="3733">
      <c r="A3733" s="6" t="s">
        <v>8042</v>
      </c>
      <c r="B3733" s="6" t="s">
        <v>8043</v>
      </c>
      <c r="C3733" s="6">
        <v>122.0</v>
      </c>
      <c r="D3733" s="9" t="str">
        <f>HYPERLINK("https://www.linkedin.com/ad-library/detail/971378853","Open Ad")</f>
        <v>Open Ad</v>
      </c>
      <c r="E3733" s="6" t="s">
        <v>91</v>
      </c>
      <c r="F3733" s="6" t="s">
        <v>8022</v>
      </c>
      <c r="G3733" s="6" t="s">
        <v>8132</v>
      </c>
      <c r="H3733" s="6" t="s">
        <v>55</v>
      </c>
      <c r="I3733" s="6" t="s">
        <v>8025</v>
      </c>
      <c r="J3733" s="6" t="s">
        <v>91</v>
      </c>
      <c r="K3733" s="9" t="str">
        <f t="shared" ref="K3733:K3734" si="193">HYPERLINK("https://media.licdn.com/dms/image/v2/D4D10AQHokCAPhHac8g/image-shrink_1280/B4DZrjqFJIHsAM-/0/1764756051047/1764234133829jpg?e=2147483647&amp;v=beta&amp;t=4oMgKF5CEuQFDtjiW8lVQSZore__jBsrGQYJRzOVyNo","View Creative")</f>
        <v>View Creative</v>
      </c>
      <c r="L3733" s="6" t="s">
        <v>62</v>
      </c>
      <c r="M3733" s="6" t="s">
        <v>8042</v>
      </c>
      <c r="N3733" s="6" t="s">
        <v>8133</v>
      </c>
      <c r="O3733" s="36" t="s">
        <v>7541</v>
      </c>
      <c r="P3733" s="36" t="s">
        <v>7542</v>
      </c>
      <c r="Q3733" s="38"/>
    </row>
    <row r="3734">
      <c r="A3734" s="6" t="s">
        <v>8042</v>
      </c>
      <c r="B3734" s="6" t="s">
        <v>8043</v>
      </c>
      <c r="C3734" s="6">
        <v>123.0</v>
      </c>
      <c r="D3734" s="9" t="str">
        <f>HYPERLINK("https://www.linkedin.com/ad-library/detail/971540103","Open Ad")</f>
        <v>Open Ad</v>
      </c>
      <c r="E3734" s="6" t="s">
        <v>91</v>
      </c>
      <c r="F3734" s="6" t="s">
        <v>8022</v>
      </c>
      <c r="G3734" s="6" t="s">
        <v>8132</v>
      </c>
      <c r="H3734" s="6" t="s">
        <v>55</v>
      </c>
      <c r="I3734" s="6" t="s">
        <v>8025</v>
      </c>
      <c r="J3734" s="6" t="s">
        <v>91</v>
      </c>
      <c r="K3734" s="9" t="str">
        <f t="shared" si="193"/>
        <v>View Creative</v>
      </c>
      <c r="L3734" s="6" t="s">
        <v>62</v>
      </c>
      <c r="M3734" s="6" t="s">
        <v>8042</v>
      </c>
      <c r="O3734" s="36" t="s">
        <v>7541</v>
      </c>
      <c r="P3734" s="36" t="s">
        <v>7542</v>
      </c>
      <c r="Q3734" s="38"/>
    </row>
    <row r="3735">
      <c r="A3735" s="6" t="s">
        <v>8042</v>
      </c>
      <c r="B3735" s="6" t="s">
        <v>8043</v>
      </c>
      <c r="C3735" s="6">
        <v>124.0</v>
      </c>
      <c r="D3735" s="9" t="str">
        <f>HYPERLINK("https://www.linkedin.com/ad-library/detail/971142953","Open Ad")</f>
        <v>Open Ad</v>
      </c>
      <c r="E3735" s="6" t="s">
        <v>91</v>
      </c>
      <c r="F3735" s="6" t="s">
        <v>8022</v>
      </c>
      <c r="G3735" s="6" t="s">
        <v>8134</v>
      </c>
      <c r="H3735" s="6" t="s">
        <v>55</v>
      </c>
      <c r="I3735" s="6" t="s">
        <v>8025</v>
      </c>
      <c r="J3735" s="6" t="s">
        <v>91</v>
      </c>
      <c r="K3735" s="9" t="str">
        <f>HYPERLINK("https://media.licdn.com/dms/image/v2/D4D10AQHAarsof41LMA/image-shrink_1280/B4DZrZxvA3IgAM-/0/1764590285843/IwillnotignoreLLMVisibility2png?e=2147483647&amp;v=beta&amp;t=-nvu79p8DeY7A1GFEOQIdhLYmqTNt69gro0xGMYcpew","View Creative")</f>
        <v>View Creative</v>
      </c>
      <c r="L3735" s="6" t="s">
        <v>62</v>
      </c>
      <c r="M3735" s="6" t="s">
        <v>8042</v>
      </c>
      <c r="N3735" s="6" t="s">
        <v>8135</v>
      </c>
      <c r="O3735" s="36" t="s">
        <v>7541</v>
      </c>
      <c r="P3735" s="36" t="s">
        <v>7542</v>
      </c>
      <c r="Q3735" s="38"/>
    </row>
    <row r="3736">
      <c r="A3736" s="6" t="s">
        <v>8042</v>
      </c>
      <c r="B3736" s="6" t="s">
        <v>8043</v>
      </c>
      <c r="C3736" s="6">
        <v>125.0</v>
      </c>
      <c r="D3736" s="9" t="str">
        <f>HYPERLINK("https://www.linkedin.com/ad-library/detail/971163413","Open Ad")</f>
        <v>Open Ad</v>
      </c>
      <c r="E3736" s="6" t="s">
        <v>91</v>
      </c>
      <c r="F3736" s="6" t="s">
        <v>8022</v>
      </c>
      <c r="G3736" s="6" t="s">
        <v>8103</v>
      </c>
      <c r="H3736" s="6" t="s">
        <v>55</v>
      </c>
      <c r="I3736" s="6" t="s">
        <v>8025</v>
      </c>
      <c r="J3736" s="6" t="s">
        <v>91</v>
      </c>
      <c r="K3736" s="9" t="str">
        <f>HYPERLINK("https://media.licdn.com/dms/image/v2/D4D10AQHUOi3o8ukwBA/image-shrink_1280/B4DZrZ0SbUIAAQ-/0/1764590955224/Dailydoseofinsightpng?e=2147483647&amp;v=beta&amp;t=_InIR1trEibpJ0GAOhhvW7gL_23GB7_l1MK7Wm5BOT8","View Creative")</f>
        <v>View Creative</v>
      </c>
      <c r="L3736" s="6" t="s">
        <v>62</v>
      </c>
      <c r="M3736" s="6" t="s">
        <v>8042</v>
      </c>
      <c r="N3736" s="6" t="s">
        <v>8135</v>
      </c>
      <c r="O3736" s="36" t="s">
        <v>7541</v>
      </c>
      <c r="P3736" s="36" t="s">
        <v>7542</v>
      </c>
      <c r="Q3736" s="38"/>
    </row>
    <row r="3737">
      <c r="A3737" s="6" t="s">
        <v>8042</v>
      </c>
      <c r="B3737" s="6" t="s">
        <v>8043</v>
      </c>
      <c r="C3737" s="6">
        <v>126.0</v>
      </c>
      <c r="D3737" s="9" t="str">
        <f>HYPERLINK("https://www.linkedin.com/ad-library/detail/971074283","Open Ad")</f>
        <v>Open Ad</v>
      </c>
      <c r="E3737" s="6" t="s">
        <v>91</v>
      </c>
      <c r="F3737" s="6" t="s">
        <v>8022</v>
      </c>
      <c r="G3737" s="6" t="s">
        <v>8136</v>
      </c>
      <c r="H3737" s="6" t="s">
        <v>55</v>
      </c>
      <c r="I3737" s="6" t="s">
        <v>8025</v>
      </c>
      <c r="J3737" s="6" t="s">
        <v>91</v>
      </c>
      <c r="K3737" s="9" t="str">
        <f>HYPERLINK("https://media.licdn.com/dms/image/v2/D4D10AQF0NlFu35JMnw/image-shrink_1280/B4DZrZgG_GJAAM-/0/1764585666131/Frame42png?e=2147483647&amp;v=beta&amp;t=IgsEBnSJ6tONTZr6fx-1dkSjF7gGD78qKcjutfGTYHE","View Creative")</f>
        <v>View Creative</v>
      </c>
      <c r="L3737" s="6" t="s">
        <v>62</v>
      </c>
      <c r="M3737" s="6" t="s">
        <v>8042</v>
      </c>
      <c r="N3737" s="6" t="s">
        <v>8137</v>
      </c>
      <c r="O3737" s="36" t="s">
        <v>7541</v>
      </c>
      <c r="P3737" s="36" t="s">
        <v>7542</v>
      </c>
      <c r="Q3737" s="38"/>
    </row>
    <row r="3738">
      <c r="A3738" s="6" t="s">
        <v>8042</v>
      </c>
      <c r="B3738" s="6" t="s">
        <v>8043</v>
      </c>
      <c r="C3738" s="6">
        <v>127.0</v>
      </c>
      <c r="D3738" s="9" t="str">
        <f>HYPERLINK("https://www.linkedin.com/ad-library/detail/971133423","Open Ad")</f>
        <v>Open Ad</v>
      </c>
      <c r="E3738" s="6" t="s">
        <v>91</v>
      </c>
      <c r="F3738" s="6" t="s">
        <v>8022</v>
      </c>
      <c r="G3738" s="6" t="s">
        <v>8138</v>
      </c>
      <c r="H3738" s="6" t="s">
        <v>55</v>
      </c>
      <c r="I3738" s="6" t="s">
        <v>8025</v>
      </c>
      <c r="J3738" s="6" t="s">
        <v>91</v>
      </c>
      <c r="K3738" s="9" t="str">
        <f>HYPERLINK("https://media.licdn.com/dms/image/v2/D4D10AQGOaIiqipHBaQ/image-shrink_1280/B4DZrZ2OQ7H0AM-/0/1764591462614/Frame427319788png?e=2147483647&amp;v=beta&amp;t=VDztv98m0brKBOcwE6Ca6t14GpbWmY5ii1qMlucV8zE","View Creative")</f>
        <v>View Creative</v>
      </c>
      <c r="L3738" s="6" t="s">
        <v>62</v>
      </c>
      <c r="M3738" s="6" t="s">
        <v>8042</v>
      </c>
      <c r="N3738" s="6" t="s">
        <v>8137</v>
      </c>
      <c r="O3738" s="36" t="s">
        <v>7541</v>
      </c>
      <c r="P3738" s="36" t="s">
        <v>7542</v>
      </c>
      <c r="Q3738" s="38"/>
    </row>
    <row r="3739">
      <c r="A3739" s="6" t="s">
        <v>8042</v>
      </c>
      <c r="B3739" s="6" t="s">
        <v>8043</v>
      </c>
      <c r="C3739" s="6">
        <v>128.0</v>
      </c>
      <c r="D3739" s="9" t="str">
        <f>HYPERLINK("https://www.linkedin.com/ad-library/detail/971163403","Open Ad")</f>
        <v>Open Ad</v>
      </c>
      <c r="E3739" s="6" t="s">
        <v>91</v>
      </c>
      <c r="F3739" s="6" t="s">
        <v>8022</v>
      </c>
      <c r="G3739" s="6" t="s">
        <v>8138</v>
      </c>
      <c r="H3739" s="6" t="s">
        <v>55</v>
      </c>
      <c r="I3739" s="6" t="s">
        <v>8025</v>
      </c>
      <c r="J3739" s="6" t="s">
        <v>91</v>
      </c>
      <c r="K3739" s="9" t="str">
        <f>HYPERLINK("https://media.licdn.com/dms/image/v2/D4D10AQH0r_ICyIgAWQ/image-shrink_1280/B4DZrZ2OQLKEAQ-/0/1764591462357/Reddit-thread21png?e=2147483647&amp;v=beta&amp;t=sdQ6M-0yLni5U7Q7kOicwSchXS5mUVi51N4M4zipad8","View Creative")</f>
        <v>View Creative</v>
      </c>
      <c r="L3739" s="6" t="s">
        <v>62</v>
      </c>
      <c r="M3739" s="6" t="s">
        <v>8042</v>
      </c>
      <c r="N3739" s="6" t="s">
        <v>8135</v>
      </c>
      <c r="O3739" s="36" t="s">
        <v>7541</v>
      </c>
      <c r="P3739" s="36" t="s">
        <v>7542</v>
      </c>
      <c r="Q3739" s="38"/>
    </row>
    <row r="3740">
      <c r="A3740" s="6" t="s">
        <v>8042</v>
      </c>
      <c r="B3740" s="6" t="s">
        <v>8043</v>
      </c>
      <c r="C3740" s="6">
        <v>129.0</v>
      </c>
      <c r="D3740" s="9" t="str">
        <f>HYPERLINK("https://www.linkedin.com/ad-library/detail/971880043","Open Ad")</f>
        <v>Open Ad</v>
      </c>
      <c r="E3740" s="6" t="s">
        <v>91</v>
      </c>
      <c r="F3740" s="6" t="s">
        <v>8022</v>
      </c>
      <c r="G3740" s="6" t="s">
        <v>8139</v>
      </c>
      <c r="H3740" s="6" t="s">
        <v>8140</v>
      </c>
      <c r="I3740" s="6" t="s">
        <v>8025</v>
      </c>
      <c r="J3740" s="6" t="s">
        <v>91</v>
      </c>
      <c r="K3740" s="9" t="str">
        <f>HYPERLINK("https://media.licdn.com/dms/image/v2/D4E22AQEUgNZsBe0P0Q/feedshare-shrink_1280/B4EZrkE822J0As-/0/1764763096311?e=2147483647&amp;v=beta&amp;t=6SRRcmmEVSqgL3C8VOHSfSi53m9hLV0J6_wU_nLPhrE","View Creative")</f>
        <v>View Creative</v>
      </c>
      <c r="L3740" s="6" t="s">
        <v>62</v>
      </c>
      <c r="M3740" s="6" t="s">
        <v>8042</v>
      </c>
      <c r="N3740" s="6" t="s">
        <v>8141</v>
      </c>
      <c r="O3740" s="36" t="s">
        <v>7541</v>
      </c>
      <c r="P3740" s="36" t="s">
        <v>7542</v>
      </c>
      <c r="Q3740" s="38"/>
    </row>
    <row r="3741">
      <c r="A3741" s="6" t="s">
        <v>8042</v>
      </c>
      <c r="B3741" s="6" t="s">
        <v>8043</v>
      </c>
      <c r="C3741" s="6">
        <v>130.0</v>
      </c>
      <c r="D3741" s="9" t="str">
        <f>HYPERLINK("https://www.linkedin.com/ad-library/detail/1070210394","Open Ad")</f>
        <v>Open Ad</v>
      </c>
      <c r="E3741" s="6" t="s">
        <v>91</v>
      </c>
      <c r="F3741" s="6" t="s">
        <v>8022</v>
      </c>
      <c r="G3741" s="6" t="s">
        <v>8103</v>
      </c>
      <c r="H3741" s="6" t="s">
        <v>55</v>
      </c>
      <c r="I3741" s="6" t="s">
        <v>8025</v>
      </c>
      <c r="J3741" s="6" t="s">
        <v>91</v>
      </c>
      <c r="K3741" s="9" t="str">
        <f>HYPERLINK("https://media.licdn.com/dms/image/v2/D4D10AQG93KuStnaVRA/image-pad_1200_1200/B4DZsM8cHHIgAM-/0/1765448729449?e=1789484400&amp;v=beta&amp;t=IZoRBR1vSae6uzkIfoXjh73nlkZ6fXUKrIMn1Xr6xGg","View Creative")</f>
        <v>View Creative</v>
      </c>
      <c r="L3741" s="6" t="s">
        <v>62</v>
      </c>
      <c r="M3741" s="6" t="s">
        <v>8042</v>
      </c>
      <c r="N3741" s="6" t="s">
        <v>8142</v>
      </c>
      <c r="O3741" s="36" t="s">
        <v>7541</v>
      </c>
      <c r="P3741" s="36" t="s">
        <v>7542</v>
      </c>
      <c r="Q3741" s="38"/>
    </row>
    <row r="3742">
      <c r="A3742" s="6" t="s">
        <v>8042</v>
      </c>
      <c r="B3742" s="6" t="s">
        <v>8043</v>
      </c>
      <c r="C3742" s="6">
        <v>131.0</v>
      </c>
      <c r="D3742" s="9" t="str">
        <f>HYPERLINK("https://www.linkedin.com/ad-library/detail/971829653","Open Ad")</f>
        <v>Open Ad</v>
      </c>
      <c r="E3742" s="6" t="s">
        <v>91</v>
      </c>
      <c r="F3742" s="6" t="s">
        <v>8022</v>
      </c>
      <c r="G3742" s="6" t="s">
        <v>8143</v>
      </c>
      <c r="H3742" s="6" t="s">
        <v>55</v>
      </c>
      <c r="I3742" s="6" t="s">
        <v>8025</v>
      </c>
      <c r="J3742" s="6" t="s">
        <v>91</v>
      </c>
      <c r="K3742" s="9" t="str">
        <f>HYPERLINK("https://media.licdn.com/dms/image/v2/D4D22AQHPWcFImK2LFA/feedshare-image-high-res/B4DZron.PfIkAU-/0/1764839384240?e=2147483647&amp;v=beta&amp;t=ZNX5I15SMOTMAC7DRNJS1DVcEGx5dsV1SX_wPeLcGq4","View Creative")</f>
        <v>View Creative</v>
      </c>
      <c r="L3742" s="6" t="s">
        <v>62</v>
      </c>
      <c r="M3742" s="6" t="s">
        <v>8042</v>
      </c>
      <c r="N3742" s="6" t="s">
        <v>8144</v>
      </c>
      <c r="O3742" s="36" t="s">
        <v>7541</v>
      </c>
      <c r="P3742" s="36" t="s">
        <v>7542</v>
      </c>
      <c r="Q3742" s="38"/>
    </row>
    <row r="3743">
      <c r="A3743" s="6" t="s">
        <v>8042</v>
      </c>
      <c r="B3743" s="6" t="s">
        <v>8043</v>
      </c>
      <c r="C3743" s="6">
        <v>132.0</v>
      </c>
      <c r="D3743" s="9" t="str">
        <f>HYPERLINK("https://www.linkedin.com/ad-library/detail/971830423","Open Ad")</f>
        <v>Open Ad</v>
      </c>
      <c r="E3743" s="6" t="s">
        <v>91</v>
      </c>
      <c r="F3743" s="6" t="s">
        <v>8022</v>
      </c>
      <c r="G3743" s="6" t="s">
        <v>8139</v>
      </c>
      <c r="H3743" s="6" t="s">
        <v>8140</v>
      </c>
      <c r="I3743" s="6" t="s">
        <v>8025</v>
      </c>
      <c r="J3743" s="6" t="s">
        <v>91</v>
      </c>
      <c r="K3743" s="9" t="str">
        <f>HYPERLINK("https://media.licdn.com/dms/image/v2/D4E22AQEUgNZsBe0P0Q/feedshare-shrink_1280/B4EZrkE822J0As-/0/1764763096311?e=2147483647&amp;v=beta&amp;t=6SRRcmmEVSqgL3C8VOHSfSi53m9hLV0J6_wU_nLPhrE","View Creative")</f>
        <v>View Creative</v>
      </c>
      <c r="L3743" s="6" t="s">
        <v>62</v>
      </c>
      <c r="M3743" s="6" t="s">
        <v>8042</v>
      </c>
      <c r="O3743" s="36" t="s">
        <v>7541</v>
      </c>
      <c r="P3743" s="36" t="s">
        <v>7542</v>
      </c>
      <c r="Q3743" s="38"/>
    </row>
    <row r="3744">
      <c r="A3744" s="6" t="s">
        <v>8042</v>
      </c>
      <c r="B3744" s="6" t="s">
        <v>8043</v>
      </c>
      <c r="C3744" s="6">
        <v>133.0</v>
      </c>
      <c r="D3744" s="9" t="str">
        <f>HYPERLINK("https://www.linkedin.com/ad-library/detail/971084063","Open Ad")</f>
        <v>Open Ad</v>
      </c>
      <c r="E3744" s="6" t="s">
        <v>91</v>
      </c>
      <c r="F3744" s="6" t="s">
        <v>8022</v>
      </c>
      <c r="G3744" s="6" t="s">
        <v>8103</v>
      </c>
      <c r="H3744" s="6" t="s">
        <v>55</v>
      </c>
      <c r="I3744" s="6" t="s">
        <v>8025</v>
      </c>
      <c r="J3744" s="6" t="s">
        <v>91</v>
      </c>
      <c r="K3744" s="9" t="str">
        <f>HYPERLINK("https://media.licdn.com/dms/image/v2/D4D10AQE-d9Np62apow/image-shrink_1280/B4DZrZ1dZbIEAM-/0/1764591263048/WhoareyoucompetingwithinAIanswers4png?e=2147483647&amp;v=beta&amp;t=Bshp2TaM_9n5kqeuHcZ15P6IYQ9gQepG-5grQFUhAa8","View Creative")</f>
        <v>View Creative</v>
      </c>
      <c r="L3744" s="6" t="s">
        <v>62</v>
      </c>
      <c r="M3744" s="6" t="s">
        <v>8042</v>
      </c>
      <c r="N3744" s="6" t="s">
        <v>8135</v>
      </c>
      <c r="O3744" s="36" t="s">
        <v>7541</v>
      </c>
      <c r="P3744" s="36" t="s">
        <v>7542</v>
      </c>
      <c r="Q3744" s="38"/>
    </row>
    <row r="3745">
      <c r="A3745" s="6" t="s">
        <v>8042</v>
      </c>
      <c r="B3745" s="6" t="s">
        <v>8043</v>
      </c>
      <c r="C3745" s="6">
        <v>134.0</v>
      </c>
      <c r="D3745" s="9" t="str">
        <f>HYPERLINK("https://www.linkedin.com/ad-library/detail/971084073","Open Ad")</f>
        <v>Open Ad</v>
      </c>
      <c r="E3745" s="6" t="s">
        <v>91</v>
      </c>
      <c r="F3745" s="6" t="s">
        <v>8022</v>
      </c>
      <c r="G3745" s="6" t="s">
        <v>8103</v>
      </c>
      <c r="H3745" s="6" t="s">
        <v>55</v>
      </c>
      <c r="I3745" s="6" t="s">
        <v>8025</v>
      </c>
      <c r="J3745" s="6" t="s">
        <v>91</v>
      </c>
      <c r="K3745" s="9" t="str">
        <f>HYPERLINK("https://media.licdn.com/dms/image/v2/D4D10AQHPa-ScNyttLw/image-shrink_1280/B4DZrZ1grAJ4AM-/0/1764591276444/WhoareyoucompetingwithinAIanswerspng?e=2147483647&amp;v=beta&amp;t=IPTqKzWWAc5bQ5-6SxabU08QhBvDhdvS8cIY-0jU-LQ","View Creative")</f>
        <v>View Creative</v>
      </c>
      <c r="L3745" s="6" t="s">
        <v>62</v>
      </c>
      <c r="M3745" s="6" t="s">
        <v>8042</v>
      </c>
      <c r="N3745" s="6" t="s">
        <v>8135</v>
      </c>
      <c r="O3745" s="36" t="s">
        <v>7541</v>
      </c>
      <c r="P3745" s="36" t="s">
        <v>7542</v>
      </c>
      <c r="Q3745" s="38"/>
    </row>
    <row r="3746">
      <c r="A3746" s="6" t="s">
        <v>8042</v>
      </c>
      <c r="B3746" s="6" t="s">
        <v>8043</v>
      </c>
      <c r="C3746" s="6">
        <v>135.0</v>
      </c>
      <c r="D3746" s="9" t="str">
        <f>HYPERLINK("https://www.linkedin.com/ad-library/detail/971686753","Open Ad")</f>
        <v>Open Ad</v>
      </c>
      <c r="E3746" s="6" t="s">
        <v>91</v>
      </c>
      <c r="F3746" s="6" t="s">
        <v>8022</v>
      </c>
      <c r="G3746" s="19" t="s">
        <v>8145</v>
      </c>
      <c r="H3746" s="6" t="s">
        <v>55</v>
      </c>
      <c r="I3746" s="6" t="s">
        <v>8025</v>
      </c>
      <c r="J3746" s="6" t="s">
        <v>91</v>
      </c>
      <c r="K3746" s="9" t="str">
        <f>HYPERLINK("https://media.licdn.com/dms/image/v2/D4D10AQHqCi6sAqnXnA/image-shrink_800/B4DZrj2JWWJIAc-/0/1764759214045/Marwickimgjpg?e=2147483647&amp;v=beta&amp;t=bF96vM4hi5loUKDn5-w3VRUa5mW-FSiW3qhideabCFs","View Creative")</f>
        <v>View Creative</v>
      </c>
      <c r="L3746" s="6" t="s">
        <v>62</v>
      </c>
      <c r="M3746" s="6" t="s">
        <v>8042</v>
      </c>
      <c r="O3746" s="36" t="s">
        <v>7541</v>
      </c>
      <c r="P3746" s="36" t="s">
        <v>7542</v>
      </c>
      <c r="Q3746" s="38"/>
    </row>
    <row r="3747">
      <c r="A3747" s="6" t="s">
        <v>8042</v>
      </c>
      <c r="B3747" s="6" t="s">
        <v>8043</v>
      </c>
      <c r="C3747" s="6">
        <v>136.0</v>
      </c>
      <c r="D3747" s="9" t="str">
        <f>HYPERLINK("https://www.linkedin.com/ad-library/detail/971084083","Open Ad")</f>
        <v>Open Ad</v>
      </c>
      <c r="E3747" s="6" t="s">
        <v>91</v>
      </c>
      <c r="F3747" s="6" t="s">
        <v>8022</v>
      </c>
      <c r="G3747" s="6" t="s">
        <v>8146</v>
      </c>
      <c r="H3747" s="6" t="s">
        <v>55</v>
      </c>
      <c r="I3747" s="6" t="s">
        <v>8025</v>
      </c>
      <c r="J3747" s="6" t="s">
        <v>91</v>
      </c>
      <c r="K3747" s="9" t="str">
        <f>HYPERLINK("https://media.licdn.com/dms/image/v2/D4D10AQHO3sdl2cRohg/image-shrink_1280/B4DZrZ0regIgAQ-/0/1764591057666/Frame427319791png?e=2147483647&amp;v=beta&amp;t=6Wlg1P1OWb5rIqxHozCeqoT3a5s4qVFR0kDizMTft9s","View Creative")</f>
        <v>View Creative</v>
      </c>
      <c r="L3747" s="6" t="s">
        <v>62</v>
      </c>
      <c r="M3747" s="6" t="s">
        <v>8042</v>
      </c>
      <c r="N3747" s="6" t="s">
        <v>8147</v>
      </c>
      <c r="O3747" s="36" t="s">
        <v>7541</v>
      </c>
      <c r="P3747" s="36" t="s">
        <v>7542</v>
      </c>
      <c r="Q3747" s="38"/>
    </row>
    <row r="3748">
      <c r="A3748" s="6" t="s">
        <v>8042</v>
      </c>
      <c r="B3748" s="6" t="s">
        <v>8043</v>
      </c>
      <c r="C3748" s="6">
        <v>137.0</v>
      </c>
      <c r="D3748" s="9" t="str">
        <f>HYPERLINK("https://www.linkedin.com/ad-library/detail/970985153","Open Ad")</f>
        <v>Open Ad</v>
      </c>
      <c r="E3748" s="6" t="s">
        <v>91</v>
      </c>
      <c r="F3748" s="6" t="s">
        <v>8022</v>
      </c>
      <c r="G3748" s="6" t="s">
        <v>8103</v>
      </c>
      <c r="H3748" s="6" t="s">
        <v>55</v>
      </c>
      <c r="I3748" s="6" t="s">
        <v>8025</v>
      </c>
      <c r="J3748" s="6" t="s">
        <v>91</v>
      </c>
      <c r="K3748" s="9" t="str">
        <f>HYPERLINK("https://media.licdn.com/dms/image/v2/D4D10AQH12eqm4kFAFA/image-shrink_1280/B4DZrZvnuRHsAQ-/0/1764589731504/WhatareLLMssayingaboutyourbrand_3png?e=2147483647&amp;v=beta&amp;t=yAoDj8oFdbmX5ex9cYnQlSaVyLmSBRt0s2D1hPnlkis","View Creative")</f>
        <v>View Creative</v>
      </c>
      <c r="L3748" s="6" t="s">
        <v>62</v>
      </c>
      <c r="M3748" s="6" t="s">
        <v>8042</v>
      </c>
      <c r="N3748" s="6" t="s">
        <v>8148</v>
      </c>
      <c r="O3748" s="36" t="s">
        <v>7541</v>
      </c>
      <c r="P3748" s="36" t="s">
        <v>7542</v>
      </c>
      <c r="Q3748" s="38"/>
    </row>
    <row r="3749">
      <c r="A3749" s="6" t="s">
        <v>8042</v>
      </c>
      <c r="B3749" s="6" t="s">
        <v>8043</v>
      </c>
      <c r="C3749" s="6">
        <v>138.0</v>
      </c>
      <c r="D3749" s="9" t="str">
        <f>HYPERLINK("https://www.linkedin.com/ad-library/detail/972030383","Open Ad")</f>
        <v>Open Ad</v>
      </c>
      <c r="E3749" s="6" t="s">
        <v>91</v>
      </c>
      <c r="F3749" s="6" t="s">
        <v>8022</v>
      </c>
      <c r="G3749" s="6" t="s">
        <v>8143</v>
      </c>
      <c r="H3749" s="6" t="s">
        <v>55</v>
      </c>
      <c r="I3749" s="6" t="s">
        <v>8025</v>
      </c>
      <c r="J3749" s="6" t="s">
        <v>91</v>
      </c>
      <c r="K3749" s="9" t="str">
        <f>HYPERLINK("https://media.licdn.com/dms/image/v2/D4D22AQHPWcFImK2LFA/feedshare-image-high-res/B4DZron.PfIkAU-/0/1764839384240?e=2147483647&amp;v=beta&amp;t=ZNX5I15SMOTMAC7DRNJS1DVcEGx5dsV1SX_wPeLcGq4","View Creative")</f>
        <v>View Creative</v>
      </c>
      <c r="L3749" s="6" t="s">
        <v>62</v>
      </c>
      <c r="M3749" s="6" t="s">
        <v>8042</v>
      </c>
      <c r="O3749" s="36" t="s">
        <v>7541</v>
      </c>
      <c r="P3749" s="36" t="s">
        <v>7542</v>
      </c>
      <c r="Q3749" s="38"/>
    </row>
    <row r="3750">
      <c r="A3750" s="6" t="s">
        <v>8042</v>
      </c>
      <c r="B3750" s="6" t="s">
        <v>8043</v>
      </c>
      <c r="C3750" s="6">
        <v>139.0</v>
      </c>
      <c r="D3750" s="9" t="str">
        <f>HYPERLINK("https://www.linkedin.com/ad-library/detail/971123323","Open Ad")</f>
        <v>Open Ad</v>
      </c>
      <c r="E3750" s="6" t="s">
        <v>91</v>
      </c>
      <c r="F3750" s="6" t="s">
        <v>8022</v>
      </c>
      <c r="G3750" s="6" t="s">
        <v>8138</v>
      </c>
      <c r="H3750" s="6" t="s">
        <v>55</v>
      </c>
      <c r="I3750" s="6" t="s">
        <v>8025</v>
      </c>
      <c r="J3750" s="6" t="s">
        <v>91</v>
      </c>
      <c r="K3750" s="9" t="str">
        <f>HYPERLINK("https://media.licdn.com/dms/image/v2/D4D10AQH0r_ICyIgAWQ/image-shrink_1280/B4DZrZ2OQLKEAQ-/0/1764591462357/Reddit-thread21png?e=2147483647&amp;v=beta&amp;t=sdQ6M-0yLni5U7Q7kOicwSchXS5mUVi51N4M4zipad8","View Creative")</f>
        <v>View Creative</v>
      </c>
      <c r="L3750" s="6" t="s">
        <v>62</v>
      </c>
      <c r="M3750" s="6" t="s">
        <v>8042</v>
      </c>
      <c r="O3750" s="36" t="s">
        <v>7541</v>
      </c>
      <c r="P3750" s="36" t="s">
        <v>7542</v>
      </c>
      <c r="Q3750" s="38"/>
    </row>
    <row r="3751">
      <c r="A3751" s="6" t="s">
        <v>8042</v>
      </c>
      <c r="B3751" s="6" t="s">
        <v>8043</v>
      </c>
      <c r="C3751" s="6">
        <v>140.0</v>
      </c>
      <c r="D3751" s="9" t="str">
        <f>HYPERLINK("https://www.linkedin.com/ad-library/detail/971528923","Open Ad")</f>
        <v>Open Ad</v>
      </c>
      <c r="E3751" s="6" t="s">
        <v>91</v>
      </c>
      <c r="F3751" s="6" t="s">
        <v>8022</v>
      </c>
      <c r="G3751" s="19" t="s">
        <v>8145</v>
      </c>
      <c r="H3751" s="6" t="s">
        <v>55</v>
      </c>
      <c r="I3751" s="6" t="s">
        <v>8025</v>
      </c>
      <c r="J3751" s="6" t="s">
        <v>91</v>
      </c>
      <c r="K3751" s="9" t="str">
        <f>HYPERLINK("https://media.licdn.com/dms/image/v2/D4D10AQHqCi6sAqnXnA/image-shrink_800/B4DZrj2JWWJIAc-/0/1764759214045/Marwickimgjpg?e=2147483647&amp;v=beta&amp;t=bF96vM4hi5loUKDn5-w3VRUa5mW-FSiW3qhideabCFs","View Creative")</f>
        <v>View Creative</v>
      </c>
      <c r="L3751" s="6" t="s">
        <v>62</v>
      </c>
      <c r="M3751" s="6" t="s">
        <v>8042</v>
      </c>
      <c r="N3751" s="6" t="s">
        <v>8149</v>
      </c>
      <c r="O3751" s="36" t="s">
        <v>7541</v>
      </c>
      <c r="P3751" s="36" t="s">
        <v>7542</v>
      </c>
      <c r="Q3751" s="38"/>
    </row>
    <row r="3752">
      <c r="A3752" s="6" t="s">
        <v>8042</v>
      </c>
      <c r="B3752" s="6" t="s">
        <v>8043</v>
      </c>
      <c r="C3752" s="6">
        <v>141.0</v>
      </c>
      <c r="D3752" s="9" t="str">
        <f>HYPERLINK("https://www.linkedin.com/ad-library/detail/970946233","Open Ad")</f>
        <v>Open Ad</v>
      </c>
      <c r="E3752" s="6" t="s">
        <v>91</v>
      </c>
      <c r="F3752" s="6" t="s">
        <v>8022</v>
      </c>
      <c r="G3752" s="6" t="s">
        <v>8103</v>
      </c>
      <c r="H3752" s="6" t="s">
        <v>55</v>
      </c>
      <c r="I3752" s="6" t="s">
        <v>8025</v>
      </c>
      <c r="J3752" s="6" t="s">
        <v>91</v>
      </c>
      <c r="K3752" s="9" t="str">
        <f>HYPERLINK("https://media.licdn.com/dms/image/v2/D4D10AQG_xuSCoSOWOw/image-shrink_1280/B4DZrZybMvJ4AQ-/0/1764590466738/Frame42png?e=2147483647&amp;v=beta&amp;t=7G2g-uOF8os8k6xbs5ydkjB0K4GocRUTGPom83hTGPc","View Creative")</f>
        <v>View Creative</v>
      </c>
      <c r="L3752" s="6" t="s">
        <v>62</v>
      </c>
      <c r="M3752" s="6" t="s">
        <v>8042</v>
      </c>
      <c r="N3752" s="6" t="s">
        <v>8150</v>
      </c>
      <c r="O3752" s="36" t="s">
        <v>7541</v>
      </c>
      <c r="P3752" s="36" t="s">
        <v>7542</v>
      </c>
      <c r="Q3752" s="38"/>
    </row>
    <row r="3753">
      <c r="A3753" s="6" t="s">
        <v>8042</v>
      </c>
      <c r="B3753" s="6" t="s">
        <v>8043</v>
      </c>
      <c r="C3753" s="6">
        <v>142.0</v>
      </c>
      <c r="D3753" s="9" t="str">
        <f>HYPERLINK("https://www.linkedin.com/ad-library/detail/971103493","Open Ad")</f>
        <v>Open Ad</v>
      </c>
      <c r="E3753" s="6" t="s">
        <v>91</v>
      </c>
      <c r="F3753" s="6" t="s">
        <v>8022</v>
      </c>
      <c r="G3753" s="6" t="s">
        <v>8138</v>
      </c>
      <c r="H3753" s="6" t="s">
        <v>55</v>
      </c>
      <c r="I3753" s="6" t="s">
        <v>8025</v>
      </c>
      <c r="J3753" s="6" t="s">
        <v>91</v>
      </c>
      <c r="K3753" s="9" t="str">
        <f>HYPERLINK("https://media.licdn.com/dms/image/v2/D4D10AQFRgJFPW6JsFQ/image-shrink_1280/B4DZrZ2OQ2JMAM-/0/1764591463093/Reddit-threadpng?e=2147483647&amp;v=beta&amp;t=L4zArDElnswTq9e6slFm2Ubxrz2LG86dTI8El1iQ7sM","View Creative")</f>
        <v>View Creative</v>
      </c>
      <c r="L3753" s="6" t="s">
        <v>62</v>
      </c>
      <c r="M3753" s="6" t="s">
        <v>8042</v>
      </c>
      <c r="N3753" s="6" t="s">
        <v>8135</v>
      </c>
      <c r="O3753" s="36" t="s">
        <v>7541</v>
      </c>
      <c r="P3753" s="36" t="s">
        <v>7542</v>
      </c>
      <c r="Q3753" s="38"/>
    </row>
    <row r="3754">
      <c r="A3754" s="6" t="s">
        <v>8042</v>
      </c>
      <c r="B3754" s="6" t="s">
        <v>8043</v>
      </c>
      <c r="C3754" s="6">
        <v>143.0</v>
      </c>
      <c r="D3754" s="9" t="str">
        <f>HYPERLINK("https://www.linkedin.com/ad-library/detail/971054233","Open Ad")</f>
        <v>Open Ad</v>
      </c>
      <c r="E3754" s="6" t="s">
        <v>91</v>
      </c>
      <c r="F3754" s="6" t="s">
        <v>8022</v>
      </c>
      <c r="G3754" s="6" t="s">
        <v>8103</v>
      </c>
      <c r="H3754" s="6" t="s">
        <v>55</v>
      </c>
      <c r="I3754" s="6" t="s">
        <v>8025</v>
      </c>
      <c r="J3754" s="6" t="s">
        <v>91</v>
      </c>
      <c r="K3754" s="9" t="str">
        <f>HYPERLINK("https://media.licdn.com/dms/image/v2/D4D10AQHAq7_fkak41Q/image-shrink_1280/B4DZrZxJhRJIAM-/0/1764590132062/IlluminateyourLLMPerformance4png?e=2147483647&amp;v=beta&amp;t=mDbJmwLdb1y3_1G6McnK2Dt70SYJW5YhySG9rC_MYzs","View Creative")</f>
        <v>View Creative</v>
      </c>
      <c r="L3754" s="6" t="s">
        <v>62</v>
      </c>
      <c r="M3754" s="6" t="s">
        <v>8042</v>
      </c>
      <c r="N3754" s="6" t="s">
        <v>8151</v>
      </c>
      <c r="O3754" s="36" t="s">
        <v>7541</v>
      </c>
      <c r="P3754" s="36" t="s">
        <v>7542</v>
      </c>
      <c r="Q3754" s="38"/>
    </row>
    <row r="3755">
      <c r="A3755" s="6" t="s">
        <v>8042</v>
      </c>
      <c r="B3755" s="6" t="s">
        <v>8043</v>
      </c>
      <c r="C3755" s="6">
        <v>144.0</v>
      </c>
      <c r="D3755" s="9" t="str">
        <f>HYPERLINK("https://www.linkedin.com/ad-library/detail/971093543","Open Ad")</f>
        <v>Open Ad</v>
      </c>
      <c r="E3755" s="6" t="s">
        <v>91</v>
      </c>
      <c r="F3755" s="6" t="s">
        <v>8022</v>
      </c>
      <c r="G3755" s="6" t="s">
        <v>8146</v>
      </c>
      <c r="H3755" s="6" t="s">
        <v>55</v>
      </c>
      <c r="I3755" s="6" t="s">
        <v>8025</v>
      </c>
      <c r="J3755" s="6" t="s">
        <v>91</v>
      </c>
      <c r="K3755" s="9" t="str">
        <f>HYPERLINK("https://media.licdn.com/dms/image/v2/D4D10AQE-S9fHTD8Fjw/image-shrink_1280/B4DZrZwBwVJIAM-/0/1764589838330/Birdbox-Grumppng?e=2147483647&amp;v=beta&amp;t=TFzFj9WnA8hTesxWE-VJKXZUBhCDPKrW1F9PVXcU5-Q","View Creative")</f>
        <v>View Creative</v>
      </c>
      <c r="L3755" s="6" t="s">
        <v>62</v>
      </c>
      <c r="M3755" s="6" t="s">
        <v>8042</v>
      </c>
      <c r="N3755" s="6" t="s">
        <v>8135</v>
      </c>
      <c r="O3755" s="36" t="s">
        <v>7541</v>
      </c>
      <c r="P3755" s="36" t="s">
        <v>7542</v>
      </c>
      <c r="Q3755" s="38"/>
    </row>
    <row r="3756">
      <c r="A3756" s="6" t="s">
        <v>8042</v>
      </c>
      <c r="B3756" s="6" t="s">
        <v>8043</v>
      </c>
      <c r="C3756" s="6">
        <v>145.0</v>
      </c>
      <c r="D3756" s="9" t="str">
        <f>HYPERLINK("https://www.linkedin.com/ad-library/detail/971083903","Open Ad")</f>
        <v>Open Ad</v>
      </c>
      <c r="E3756" s="6" t="s">
        <v>91</v>
      </c>
      <c r="F3756" s="6" t="s">
        <v>8022</v>
      </c>
      <c r="G3756" s="6" t="s">
        <v>8146</v>
      </c>
      <c r="H3756" s="6" t="s">
        <v>55</v>
      </c>
      <c r="I3756" s="6" t="s">
        <v>8025</v>
      </c>
      <c r="J3756" s="6" t="s">
        <v>91</v>
      </c>
      <c r="K3756" s="9" t="str">
        <f>HYPERLINK("https://media.licdn.com/dms/image/v2/D4D10AQHO3sdl2cRohg/image-shrink_1280/B4DZrZ0regIgAQ-/0/1764591057666/Frame427319791png?e=2147483647&amp;v=beta&amp;t=6Wlg1P1OWb5rIqxHozCeqoT3a5s4qVFR0kDizMTft9s","View Creative")</f>
        <v>View Creative</v>
      </c>
      <c r="L3756" s="6" t="s">
        <v>62</v>
      </c>
      <c r="M3756" s="6" t="s">
        <v>8042</v>
      </c>
      <c r="O3756" s="36" t="s">
        <v>7541</v>
      </c>
      <c r="P3756" s="36" t="s">
        <v>7542</v>
      </c>
      <c r="Q3756" s="38"/>
    </row>
    <row r="3757">
      <c r="A3757" s="6" t="s">
        <v>8042</v>
      </c>
      <c r="B3757" s="6" t="s">
        <v>8043</v>
      </c>
      <c r="C3757" s="6">
        <v>146.0</v>
      </c>
      <c r="D3757" s="9" t="str">
        <f>HYPERLINK("https://www.linkedin.com/ad-library/detail/970358943","Open Ad")</f>
        <v>Open Ad</v>
      </c>
      <c r="E3757" s="6" t="s">
        <v>91</v>
      </c>
      <c r="F3757" s="6" t="s">
        <v>8022</v>
      </c>
      <c r="G3757" s="6" t="s">
        <v>8152</v>
      </c>
      <c r="H3757" s="6" t="s">
        <v>8153</v>
      </c>
      <c r="I3757" s="6" t="s">
        <v>8025</v>
      </c>
      <c r="J3757" s="6" t="s">
        <v>91</v>
      </c>
      <c r="K3757" s="9" t="str">
        <f>HYPERLINK("https://media.licdn.com/dms/image/v2/D4D22AQEW8Kj3j9mZXA/feedshare-image-high-res/B4DZq6oZATJMAo-/0/1764067742505?e=2147483647&amp;v=beta&amp;t=nxxuIx957U-ElKXFDCZOpxVyCAZHoYZ0mvJMQGnyD00","View Creative")</f>
        <v>View Creative</v>
      </c>
      <c r="L3757" s="6" t="s">
        <v>62</v>
      </c>
      <c r="M3757" s="6" t="s">
        <v>8042</v>
      </c>
      <c r="N3757" s="6" t="s">
        <v>8154</v>
      </c>
      <c r="O3757" s="36" t="s">
        <v>7541</v>
      </c>
      <c r="P3757" s="36" t="s">
        <v>7542</v>
      </c>
      <c r="Q3757" s="38"/>
    </row>
    <row r="3758">
      <c r="A3758" s="6" t="s">
        <v>8042</v>
      </c>
      <c r="B3758" s="6" t="s">
        <v>8043</v>
      </c>
      <c r="C3758" s="6">
        <v>147.0</v>
      </c>
      <c r="D3758" s="9" t="str">
        <f>HYPERLINK("https://www.linkedin.com/ad-library/detail/942135453","Open Ad")</f>
        <v>Open Ad</v>
      </c>
      <c r="E3758" s="6" t="s">
        <v>91</v>
      </c>
      <c r="F3758" s="6" t="s">
        <v>8022</v>
      </c>
      <c r="G3758" s="6" t="s">
        <v>8155</v>
      </c>
      <c r="H3758" s="6" t="s">
        <v>55</v>
      </c>
      <c r="I3758" s="6" t="s">
        <v>8025</v>
      </c>
      <c r="J3758" s="6" t="s">
        <v>91</v>
      </c>
      <c r="K3758" s="9" t="str">
        <f>HYPERLINK("https://media.licdn.com/dms/image/v2/D4D10AQFkOo5Wnzve4Q/image-shrink_1280/B4DZqhIyc.H4AQ-/0/1763640027701/Eagledeyedcasegraphicjpg?e=2147483647&amp;v=beta&amp;t=r7OPDYmzpMTRLAQ8pjJj4e4GrgL0VgNmZKR9QXuCLSI","View Creative")</f>
        <v>View Creative</v>
      </c>
      <c r="L3758" s="6" t="s">
        <v>62</v>
      </c>
      <c r="M3758" s="6" t="s">
        <v>8042</v>
      </c>
      <c r="O3758" s="36" t="s">
        <v>7541</v>
      </c>
      <c r="P3758" s="36" t="s">
        <v>7542</v>
      </c>
      <c r="Q3758" s="38"/>
    </row>
    <row r="3759">
      <c r="A3759" s="6" t="s">
        <v>8042</v>
      </c>
      <c r="B3759" s="6" t="s">
        <v>8043</v>
      </c>
      <c r="C3759" s="6">
        <v>148.0</v>
      </c>
      <c r="D3759" s="9" t="str">
        <f>HYPERLINK("https://www.linkedin.com/ad-library/detail/970458263","Open Ad")</f>
        <v>Open Ad</v>
      </c>
      <c r="E3759" s="6" t="s">
        <v>91</v>
      </c>
      <c r="F3759" s="6" t="s">
        <v>8022</v>
      </c>
      <c r="G3759" s="6" t="s">
        <v>8152</v>
      </c>
      <c r="H3759" s="6" t="s">
        <v>8153</v>
      </c>
      <c r="I3759" s="6" t="s">
        <v>8025</v>
      </c>
      <c r="J3759" s="6" t="s">
        <v>91</v>
      </c>
      <c r="K3759" s="9" t="str">
        <f>HYPERLINK("https://media.licdn.com/dms/image/v2/D4D22AQEW8Kj3j9mZXA/feedshare-image-high-res/B4DZq6oZATJMAo-/0/1764067742505?e=2147483647&amp;v=beta&amp;t=nxxuIx957U-ElKXFDCZOpxVyCAZHoYZ0mvJMQGnyD00","View Creative")</f>
        <v>View Creative</v>
      </c>
      <c r="L3759" s="6" t="s">
        <v>62</v>
      </c>
      <c r="M3759" s="6" t="s">
        <v>8042</v>
      </c>
      <c r="N3759" s="6" t="s">
        <v>8156</v>
      </c>
      <c r="O3759" s="36" t="s">
        <v>7541</v>
      </c>
      <c r="P3759" s="36" t="s">
        <v>7542</v>
      </c>
      <c r="Q3759" s="38"/>
    </row>
    <row r="3760">
      <c r="A3760" s="6" t="s">
        <v>8042</v>
      </c>
      <c r="B3760" s="6" t="s">
        <v>8043</v>
      </c>
      <c r="C3760" s="6">
        <v>149.0</v>
      </c>
      <c r="D3760" s="9" t="str">
        <f>HYPERLINK("https://www.linkedin.com/ad-library/detail/971033853","Open Ad")</f>
        <v>Open Ad</v>
      </c>
      <c r="E3760" s="6" t="s">
        <v>91</v>
      </c>
      <c r="F3760" s="6" t="s">
        <v>8022</v>
      </c>
      <c r="G3760" s="6" t="s">
        <v>8103</v>
      </c>
      <c r="H3760" s="6" t="s">
        <v>55</v>
      </c>
      <c r="I3760" s="6" t="s">
        <v>8025</v>
      </c>
      <c r="J3760" s="6" t="s">
        <v>91</v>
      </c>
      <c r="K3760" s="9" t="str">
        <f>HYPERLINK("https://media.licdn.com/dms/image/v2/D4D10AQG_xuSCoSOWOw/image-shrink_1280/B4DZrZybMvJ4AQ-/0/1764590466738/Frame42png?e=2147483647&amp;v=beta&amp;t=7G2g-uOF8os8k6xbs5ydkjB0K4GocRUTGPom83hTGPc","View Creative")</f>
        <v>View Creative</v>
      </c>
      <c r="L3760" s="6" t="s">
        <v>62</v>
      </c>
      <c r="M3760" s="6" t="s">
        <v>8042</v>
      </c>
      <c r="O3760" s="36" t="s">
        <v>7541</v>
      </c>
      <c r="P3760" s="36" t="s">
        <v>7542</v>
      </c>
      <c r="Q3760" s="38"/>
    </row>
    <row r="3761">
      <c r="A3761" s="6" t="s">
        <v>8042</v>
      </c>
      <c r="B3761" s="6" t="s">
        <v>8043</v>
      </c>
      <c r="C3761" s="6">
        <v>150.0</v>
      </c>
      <c r="D3761" s="9" t="str">
        <f>HYPERLINK("https://www.linkedin.com/ad-library/detail/969213403","Open Ad")</f>
        <v>Open Ad</v>
      </c>
      <c r="E3761" s="6" t="s">
        <v>52</v>
      </c>
      <c r="F3761" s="6" t="s">
        <v>8022</v>
      </c>
      <c r="G3761" s="6" t="s">
        <v>8157</v>
      </c>
      <c r="H3761" s="6" t="s">
        <v>55</v>
      </c>
      <c r="I3761" s="6" t="s">
        <v>8025</v>
      </c>
      <c r="J3761" s="6" t="s">
        <v>52</v>
      </c>
      <c r="K3761" s="6" t="s">
        <v>60</v>
      </c>
      <c r="L3761" s="6" t="s">
        <v>62</v>
      </c>
      <c r="M3761" s="6" t="s">
        <v>8042</v>
      </c>
      <c r="O3761" s="36" t="s">
        <v>7541</v>
      </c>
      <c r="P3761" s="36" t="s">
        <v>7542</v>
      </c>
      <c r="Q3761" s="38"/>
    </row>
    <row r="3762">
      <c r="A3762" s="6" t="s">
        <v>8042</v>
      </c>
      <c r="B3762" s="6" t="s">
        <v>8043</v>
      </c>
      <c r="C3762" s="6">
        <v>151.0</v>
      </c>
      <c r="D3762" s="9" t="str">
        <f>HYPERLINK("https://www.linkedin.com/ad-library/detail/971093273","Open Ad")</f>
        <v>Open Ad</v>
      </c>
      <c r="E3762" s="6" t="s">
        <v>91</v>
      </c>
      <c r="F3762" s="6" t="s">
        <v>8022</v>
      </c>
      <c r="G3762" s="6" t="s">
        <v>8146</v>
      </c>
      <c r="H3762" s="6" t="s">
        <v>55</v>
      </c>
      <c r="I3762" s="6" t="s">
        <v>8025</v>
      </c>
      <c r="J3762" s="6" t="s">
        <v>91</v>
      </c>
      <c r="K3762" s="12" t="str">
        <f>HYPERLINK("https://media.licdn.com/dms/image/v2/D4D10AQE-S9fHTD8Fjw/image-shrink_1280/B4DZrZwBwVJIAM-/0/1764589838330/Birdbox-Grumppng?e=2147483647&amp;v=beta&amp;t=TFzFj9WnA8hTesxWE-VJKXZUBhCDPKrW1F9PVXcU5-Q","View Creative")</f>
        <v>View Creative</v>
      </c>
      <c r="L3762" s="6" t="s">
        <v>62</v>
      </c>
      <c r="M3762" s="6" t="s">
        <v>8042</v>
      </c>
      <c r="O3762" s="36" t="s">
        <v>7541</v>
      </c>
      <c r="P3762" s="36" t="s">
        <v>7542</v>
      </c>
      <c r="Q3762" s="38"/>
    </row>
    <row r="3763">
      <c r="A3763" s="6" t="s">
        <v>8042</v>
      </c>
      <c r="B3763" s="6" t="s">
        <v>8043</v>
      </c>
      <c r="C3763" s="6">
        <v>152.0</v>
      </c>
      <c r="D3763" s="9" t="str">
        <f>HYPERLINK("https://www.linkedin.com/ad-library/detail/971153223","Open Ad")</f>
        <v>Open Ad</v>
      </c>
      <c r="E3763" s="6" t="s">
        <v>91</v>
      </c>
      <c r="F3763" s="6" t="s">
        <v>8022</v>
      </c>
      <c r="G3763" s="6" t="s">
        <v>8103</v>
      </c>
      <c r="H3763" s="6" t="s">
        <v>55</v>
      </c>
      <c r="I3763" s="6" t="s">
        <v>8025</v>
      </c>
      <c r="J3763" s="6" t="s">
        <v>91</v>
      </c>
      <c r="K3763" s="12" t="str">
        <f>HYPERLINK("https://media.licdn.com/dms/image/v2/D4D10AQHAq7_fkak41Q/image-shrink_1280/B4DZrZxJhRJIAM-/0/1764590132062/IlluminateyourLLMPerformance4png?e=2147483647&amp;v=beta&amp;t=mDbJmwLdb1y3_1G6McnK2Dt70SYJW5YhySG9rC_MYzs","View Creative")</f>
        <v>View Creative</v>
      </c>
      <c r="L3763" s="6" t="s">
        <v>62</v>
      </c>
      <c r="M3763" s="6" t="s">
        <v>8042</v>
      </c>
      <c r="O3763" s="36" t="s">
        <v>7541</v>
      </c>
      <c r="P3763" s="36" t="s">
        <v>7542</v>
      </c>
      <c r="Q3763" s="38"/>
    </row>
    <row r="3764">
      <c r="A3764" s="6" t="s">
        <v>8042</v>
      </c>
      <c r="B3764" s="6" t="s">
        <v>8043</v>
      </c>
      <c r="C3764" s="6">
        <v>153.0</v>
      </c>
      <c r="D3764" s="9" t="str">
        <f>HYPERLINK("https://www.linkedin.com/ad-library/detail/942085773","Open Ad")</f>
        <v>Open Ad</v>
      </c>
      <c r="E3764" s="6" t="s">
        <v>91</v>
      </c>
      <c r="F3764" s="6" t="s">
        <v>8022</v>
      </c>
      <c r="G3764" s="6" t="s">
        <v>8155</v>
      </c>
      <c r="H3764" s="6" t="s">
        <v>55</v>
      </c>
      <c r="I3764" s="6" t="s">
        <v>8025</v>
      </c>
      <c r="J3764" s="6" t="s">
        <v>91</v>
      </c>
      <c r="K3764" s="12" t="str">
        <f>HYPERLINK("https://media.licdn.com/dms/image/v2/D4D10AQFkOo5Wnzve4Q/image-shrink_1280/B4DZqhIyc.H4AQ-/0/1763640027701/Eagledeyedcasegraphicjpg?e=2147483647&amp;v=beta&amp;t=r7OPDYmzpMTRLAQ8pjJj4e4GrgL0VgNmZKR9QXuCLSI","View Creative")</f>
        <v>View Creative</v>
      </c>
      <c r="L3764" s="6" t="s">
        <v>62</v>
      </c>
      <c r="M3764" s="6" t="s">
        <v>8042</v>
      </c>
      <c r="N3764" s="6" t="s">
        <v>8158</v>
      </c>
      <c r="O3764" s="36" t="s">
        <v>7541</v>
      </c>
      <c r="P3764" s="36" t="s">
        <v>7542</v>
      </c>
      <c r="Q3764" s="38"/>
    </row>
    <row r="3765">
      <c r="A3765" s="6" t="s">
        <v>8042</v>
      </c>
      <c r="B3765" s="6" t="s">
        <v>8043</v>
      </c>
      <c r="C3765" s="6">
        <v>154.0</v>
      </c>
      <c r="D3765" s="9" t="str">
        <f>HYPERLINK("https://www.linkedin.com/ad-library/detail/970249343","Open Ad")</f>
        <v>Open Ad</v>
      </c>
      <c r="E3765" s="6" t="s">
        <v>91</v>
      </c>
      <c r="F3765" s="6" t="s">
        <v>8022</v>
      </c>
      <c r="G3765" s="6" t="s">
        <v>8159</v>
      </c>
      <c r="H3765" s="6" t="s">
        <v>8160</v>
      </c>
      <c r="I3765" s="6" t="s">
        <v>8025</v>
      </c>
      <c r="J3765" s="6" t="s">
        <v>91</v>
      </c>
      <c r="K3765" s="12" t="str">
        <f>HYPERLINK("https://media.licdn.com/dms/image/v2/D4E22AQE-PiXlKWNi7w/feedshare-shrink_1280/B4EZq7PIljJgAs-/0/1764077911358?e=2147483647&amp;v=beta&amp;t=g0sOtCpSALvQJ6MsxuNOkrbXcV8nzhbl5pgmt80WayU","View Creative")</f>
        <v>View Creative</v>
      </c>
      <c r="L3765" s="6" t="s">
        <v>62</v>
      </c>
      <c r="M3765" s="6" t="s">
        <v>8042</v>
      </c>
      <c r="N3765" s="6" t="s">
        <v>8161</v>
      </c>
      <c r="O3765" s="36" t="s">
        <v>7541</v>
      </c>
      <c r="P3765" s="36" t="s">
        <v>7542</v>
      </c>
      <c r="Q3765" s="38"/>
    </row>
    <row r="3766">
      <c r="A3766" s="6" t="s">
        <v>8042</v>
      </c>
      <c r="B3766" s="6" t="s">
        <v>8043</v>
      </c>
      <c r="C3766" s="6">
        <v>155.0</v>
      </c>
      <c r="D3766" s="9" t="str">
        <f>HYPERLINK("https://www.linkedin.com/ad-library/detail/969246323","Open Ad")</f>
        <v>Open Ad</v>
      </c>
      <c r="E3766" s="6" t="s">
        <v>91</v>
      </c>
      <c r="F3766" s="6" t="s">
        <v>8022</v>
      </c>
      <c r="G3766" s="6" t="s">
        <v>8162</v>
      </c>
      <c r="H3766" s="6" t="s">
        <v>55</v>
      </c>
      <c r="I3766" s="6" t="s">
        <v>8025</v>
      </c>
      <c r="J3766" s="6" t="s">
        <v>91</v>
      </c>
      <c r="K3766" s="12" t="str">
        <f>HYPERLINK("https://media.licdn.com/dms/image/v2/D4D10AQGaCfxHI4pWqA/image-shrink_1280/B4DZqhlZN4GkAM-/0/1763647526594/HowtoFindtheBestPrompts4png?e=2147483647&amp;v=beta&amp;t=DzM1YuolD6I6v4YmyPKEbVWL2QCDk32PR--ecnqNGb4","View Creative")</f>
        <v>View Creative</v>
      </c>
      <c r="L3766" s="6" t="s">
        <v>62</v>
      </c>
      <c r="M3766" s="6" t="s">
        <v>8042</v>
      </c>
      <c r="N3766" s="6" t="s">
        <v>8163</v>
      </c>
      <c r="O3766" s="36" t="s">
        <v>7541</v>
      </c>
      <c r="P3766" s="36" t="s">
        <v>7542</v>
      </c>
      <c r="Q3766" s="38"/>
    </row>
    <row r="3767">
      <c r="A3767" s="6" t="s">
        <v>8042</v>
      </c>
      <c r="B3767" s="6" t="s">
        <v>8043</v>
      </c>
      <c r="C3767" s="6">
        <v>156.0</v>
      </c>
      <c r="D3767" s="9" t="str">
        <f>HYPERLINK("https://www.linkedin.com/ad-library/detail/971044673","Open Ad")</f>
        <v>Open Ad</v>
      </c>
      <c r="E3767" s="6" t="s">
        <v>91</v>
      </c>
      <c r="F3767" s="6" t="s">
        <v>8022</v>
      </c>
      <c r="G3767" s="6" t="s">
        <v>8103</v>
      </c>
      <c r="H3767" s="6" t="s">
        <v>55</v>
      </c>
      <c r="I3767" s="6" t="s">
        <v>8025</v>
      </c>
      <c r="J3767" s="6" t="s">
        <v>91</v>
      </c>
      <c r="K3767" s="12" t="str">
        <f>HYPERLINK("https://media.licdn.com/dms/image/v2/D4D10AQE-d9Np62apow/image-shrink_1280/B4DZrZ1dZbIEAM-/0/1764591263048/WhoareyoucompetingwithinAIanswers4png?e=2147483647&amp;v=beta&amp;t=Bshp2TaM_9n5kqeuHcZ15P6IYQ9gQepG-5grQFUhAa8","View Creative")</f>
        <v>View Creative</v>
      </c>
      <c r="L3767" s="6" t="s">
        <v>62</v>
      </c>
      <c r="M3767" s="6" t="s">
        <v>8042</v>
      </c>
      <c r="O3767" s="36" t="s">
        <v>7541</v>
      </c>
      <c r="P3767" s="36" t="s">
        <v>7542</v>
      </c>
      <c r="Q3767" s="38"/>
    </row>
    <row r="3768">
      <c r="A3768" s="6" t="s">
        <v>8042</v>
      </c>
      <c r="B3768" s="6" t="s">
        <v>8043</v>
      </c>
      <c r="C3768" s="6">
        <v>157.0</v>
      </c>
      <c r="D3768" s="9" t="str">
        <f>HYPERLINK("https://www.linkedin.com/ad-library/detail/970289613","Open Ad")</f>
        <v>Open Ad</v>
      </c>
      <c r="E3768" s="6" t="s">
        <v>91</v>
      </c>
      <c r="F3768" s="6" t="s">
        <v>8022</v>
      </c>
      <c r="G3768" s="6" t="s">
        <v>8159</v>
      </c>
      <c r="H3768" s="6" t="s">
        <v>8160</v>
      </c>
      <c r="I3768" s="6" t="s">
        <v>8025</v>
      </c>
      <c r="J3768" s="6" t="s">
        <v>91</v>
      </c>
      <c r="K3768" s="12" t="str">
        <f>HYPERLINK("https://media.licdn.com/dms/image/v2/D4E22AQE-PiXlKWNi7w/feedshare-shrink_1280/B4EZq7PIljJgAs-/0/1764077911358?e=2147483647&amp;v=beta&amp;t=g0sOtCpSALvQJ6MsxuNOkrbXcV8nzhbl5pgmt80WayU","View Creative")</f>
        <v>View Creative</v>
      </c>
      <c r="L3768" s="6" t="s">
        <v>62</v>
      </c>
      <c r="M3768" s="6" t="s">
        <v>8042</v>
      </c>
      <c r="N3768" s="6" t="s">
        <v>8164</v>
      </c>
      <c r="O3768" s="36" t="s">
        <v>7541</v>
      </c>
      <c r="P3768" s="36" t="s">
        <v>7542</v>
      </c>
      <c r="Q3768" s="38"/>
    </row>
    <row r="3769">
      <c r="A3769" s="6" t="s">
        <v>8042</v>
      </c>
      <c r="B3769" s="6" t="s">
        <v>8043</v>
      </c>
      <c r="C3769" s="6">
        <v>158.0</v>
      </c>
      <c r="D3769" s="9" t="str">
        <f>HYPERLINK("https://www.linkedin.com/ad-library/detail/970994703","Open Ad")</f>
        <v>Open Ad</v>
      </c>
      <c r="E3769" s="6" t="s">
        <v>91</v>
      </c>
      <c r="F3769" s="6" t="s">
        <v>8022</v>
      </c>
      <c r="G3769" s="6" t="s">
        <v>8138</v>
      </c>
      <c r="H3769" s="6" t="s">
        <v>55</v>
      </c>
      <c r="I3769" s="6" t="s">
        <v>8025</v>
      </c>
      <c r="J3769" s="6" t="s">
        <v>91</v>
      </c>
      <c r="K3769" s="12" t="str">
        <f>HYPERLINK("https://media.licdn.com/dms/image/v2/D4D10AQGOaIiqipHBaQ/image-shrink_1280/B4DZrZ2OQ7H0AM-/0/1764591462614/Frame427319788png?e=2147483647&amp;v=beta&amp;t=VDztv98m0brKBOcwE6Ca6t14GpbWmY5ii1qMlucV8zE","View Creative")</f>
        <v>View Creative</v>
      </c>
      <c r="L3769" s="6" t="s">
        <v>62</v>
      </c>
      <c r="M3769" s="6" t="s">
        <v>8042</v>
      </c>
      <c r="O3769" s="36" t="s">
        <v>7541</v>
      </c>
      <c r="P3769" s="36" t="s">
        <v>7542</v>
      </c>
      <c r="Q3769" s="38"/>
    </row>
    <row r="3770">
      <c r="A3770" s="6" t="s">
        <v>8042</v>
      </c>
      <c r="B3770" s="6" t="s">
        <v>8043</v>
      </c>
      <c r="C3770" s="6">
        <v>159.0</v>
      </c>
      <c r="D3770" s="9" t="str">
        <f>HYPERLINK("https://www.linkedin.com/ad-library/detail/971064223","Open Ad")</f>
        <v>Open Ad</v>
      </c>
      <c r="E3770" s="6" t="s">
        <v>91</v>
      </c>
      <c r="F3770" s="6" t="s">
        <v>8022</v>
      </c>
      <c r="G3770" s="6" t="s">
        <v>8134</v>
      </c>
      <c r="H3770" s="6" t="s">
        <v>55</v>
      </c>
      <c r="I3770" s="6" t="s">
        <v>8025</v>
      </c>
      <c r="J3770" s="6" t="s">
        <v>91</v>
      </c>
      <c r="K3770" s="12" t="str">
        <f>HYPERLINK("https://media.licdn.com/dms/image/v2/D4D10AQHAarsof41LMA/image-shrink_1280/B4DZrZxvA3IgAM-/0/1764590285843/IwillnotignoreLLMVisibility2png?e=2147483647&amp;v=beta&amp;t=-nvu79p8DeY7A1GFEOQIdhLYmqTNt69gro0xGMYcpew","View Creative")</f>
        <v>View Creative</v>
      </c>
      <c r="L3770" s="6" t="s">
        <v>62</v>
      </c>
      <c r="M3770" s="6" t="s">
        <v>8042</v>
      </c>
      <c r="O3770" s="36" t="s">
        <v>7541</v>
      </c>
      <c r="P3770" s="36" t="s">
        <v>7542</v>
      </c>
      <c r="Q3770" s="38"/>
    </row>
    <row r="3771">
      <c r="A3771" s="6" t="s">
        <v>8042</v>
      </c>
      <c r="B3771" s="6" t="s">
        <v>8043</v>
      </c>
      <c r="C3771" s="6">
        <v>160.0</v>
      </c>
      <c r="D3771" s="9" t="str">
        <f>HYPERLINK("https://www.linkedin.com/ad-library/detail/971123253","Open Ad")</f>
        <v>Open Ad</v>
      </c>
      <c r="E3771" s="6" t="s">
        <v>91</v>
      </c>
      <c r="F3771" s="6" t="s">
        <v>8022</v>
      </c>
      <c r="G3771" s="6" t="s">
        <v>8103</v>
      </c>
      <c r="H3771" s="6" t="s">
        <v>55</v>
      </c>
      <c r="I3771" s="6" t="s">
        <v>8025</v>
      </c>
      <c r="J3771" s="6" t="s">
        <v>91</v>
      </c>
      <c r="K3771" s="12" t="str">
        <f>HYPERLINK("https://media.licdn.com/dms/image/v2/D4D10AQHUOi3o8ukwBA/image-shrink_1280/B4DZrZ0SbUIAAQ-/0/1764590955224/Dailydoseofinsightpng?e=2147483647&amp;v=beta&amp;t=_InIR1trEibpJ0GAOhhvW7gL_23GB7_l1MK7Wm5BOT8","View Creative")</f>
        <v>View Creative</v>
      </c>
      <c r="L3771" s="6" t="s">
        <v>62</v>
      </c>
      <c r="M3771" s="6" t="s">
        <v>8042</v>
      </c>
      <c r="O3771" s="36" t="s">
        <v>7541</v>
      </c>
      <c r="P3771" s="36" t="s">
        <v>7542</v>
      </c>
      <c r="Q3771" s="38"/>
    </row>
    <row r="3772">
      <c r="A3772" s="6" t="s">
        <v>8042</v>
      </c>
      <c r="B3772" s="6" t="s">
        <v>8043</v>
      </c>
      <c r="C3772" s="6">
        <v>161.0</v>
      </c>
      <c r="D3772" s="9" t="str">
        <f>HYPERLINK("https://www.linkedin.com/ad-library/detail/970339293","Open Ad")</f>
        <v>Open Ad</v>
      </c>
      <c r="E3772" s="6" t="s">
        <v>91</v>
      </c>
      <c r="F3772" s="6" t="s">
        <v>8022</v>
      </c>
      <c r="G3772" s="6" t="s">
        <v>8159</v>
      </c>
      <c r="H3772" s="6" t="s">
        <v>8160</v>
      </c>
      <c r="I3772" s="6" t="s">
        <v>8025</v>
      </c>
      <c r="J3772" s="6" t="s">
        <v>91</v>
      </c>
      <c r="K3772" s="12" t="str">
        <f>HYPERLINK("https://media.licdn.com/dms/image/v2/D4E22AQE-PiXlKWNi7w/feedshare-shrink_1280/B4EZq7PIljJgAs-/0/1764077911358?e=2147483647&amp;v=beta&amp;t=g0sOtCpSALvQJ6MsxuNOkrbXcV8nzhbl5pgmt80WayU","View Creative")</f>
        <v>View Creative</v>
      </c>
      <c r="L3772" s="6" t="s">
        <v>62</v>
      </c>
      <c r="M3772" s="6" t="s">
        <v>8042</v>
      </c>
      <c r="O3772" s="36" t="s">
        <v>7541</v>
      </c>
      <c r="P3772" s="36" t="s">
        <v>7542</v>
      </c>
      <c r="Q3772" s="38"/>
    </row>
    <row r="3773">
      <c r="A3773" s="6" t="s">
        <v>8042</v>
      </c>
      <c r="B3773" s="6" t="s">
        <v>8043</v>
      </c>
      <c r="C3773" s="6">
        <v>162.0</v>
      </c>
      <c r="D3773" s="9" t="str">
        <f>HYPERLINK("https://www.linkedin.com/ad-library/detail/970985133","Open Ad")</f>
        <v>Open Ad</v>
      </c>
      <c r="E3773" s="6" t="s">
        <v>91</v>
      </c>
      <c r="F3773" s="6" t="s">
        <v>8022</v>
      </c>
      <c r="G3773" s="6" t="s">
        <v>8138</v>
      </c>
      <c r="H3773" s="6" t="s">
        <v>55</v>
      </c>
      <c r="I3773" s="6" t="s">
        <v>8025</v>
      </c>
      <c r="J3773" s="6" t="s">
        <v>91</v>
      </c>
      <c r="K3773" s="12" t="str">
        <f>HYPERLINK("https://media.licdn.com/dms/image/v2/D4D10AQFRgJFPW6JsFQ/image-shrink_1280/B4DZrZ2OQ2JMAM-/0/1764591463093/Reddit-threadpng?e=2147483647&amp;v=beta&amp;t=L4zArDElnswTq9e6slFm2Ubxrz2LG86dTI8El1iQ7sM","View Creative")</f>
        <v>View Creative</v>
      </c>
      <c r="L3773" s="6" t="s">
        <v>62</v>
      </c>
      <c r="M3773" s="6" t="s">
        <v>8042</v>
      </c>
      <c r="O3773" s="36" t="s">
        <v>7541</v>
      </c>
      <c r="P3773" s="36" t="s">
        <v>7542</v>
      </c>
      <c r="Q3773" s="38"/>
    </row>
    <row r="3774">
      <c r="A3774" s="6" t="s">
        <v>8042</v>
      </c>
      <c r="B3774" s="6" t="s">
        <v>8043</v>
      </c>
      <c r="C3774" s="6">
        <v>163.0</v>
      </c>
      <c r="D3774" s="9" t="str">
        <f>HYPERLINK("https://www.linkedin.com/ad-library/detail/971103433","Open Ad")</f>
        <v>Open Ad</v>
      </c>
      <c r="E3774" s="6" t="s">
        <v>91</v>
      </c>
      <c r="F3774" s="6" t="s">
        <v>8022</v>
      </c>
      <c r="G3774" s="6" t="s">
        <v>8103</v>
      </c>
      <c r="H3774" s="6" t="s">
        <v>55</v>
      </c>
      <c r="I3774" s="6" t="s">
        <v>8025</v>
      </c>
      <c r="J3774" s="6" t="s">
        <v>91</v>
      </c>
      <c r="K3774" s="12" t="str">
        <f>HYPERLINK("https://media.licdn.com/dms/image/v2/D4D10AQHPa-ScNyttLw/image-shrink_1280/B4DZrZ1grAJ4AM-/0/1764591276444/WhoareyoucompetingwithinAIanswerspng?e=2147483647&amp;v=beta&amp;t=IPTqKzWWAc5bQ5-6SxabU08QhBvDhdvS8cIY-0jU-LQ","View Creative")</f>
        <v>View Creative</v>
      </c>
      <c r="L3774" s="6" t="s">
        <v>62</v>
      </c>
      <c r="M3774" s="6" t="s">
        <v>8042</v>
      </c>
      <c r="O3774" s="36" t="s">
        <v>7541</v>
      </c>
      <c r="P3774" s="36" t="s">
        <v>7542</v>
      </c>
      <c r="Q3774" s="38"/>
    </row>
    <row r="3775">
      <c r="A3775" s="6" t="s">
        <v>8042</v>
      </c>
      <c r="B3775" s="6" t="s">
        <v>8043</v>
      </c>
      <c r="C3775" s="6">
        <v>164.0</v>
      </c>
      <c r="D3775" s="9" t="str">
        <f>HYPERLINK("https://www.linkedin.com/ad-library/detail/971083263","Open Ad")</f>
        <v>Open Ad</v>
      </c>
      <c r="E3775" s="6" t="s">
        <v>91</v>
      </c>
      <c r="F3775" s="6" t="s">
        <v>8022</v>
      </c>
      <c r="G3775" s="6" t="s">
        <v>8136</v>
      </c>
      <c r="H3775" s="6" t="s">
        <v>55</v>
      </c>
      <c r="I3775" s="6" t="s">
        <v>8025</v>
      </c>
      <c r="J3775" s="6" t="s">
        <v>91</v>
      </c>
      <c r="K3775" s="12" t="str">
        <f>HYPERLINK("https://media.licdn.com/dms/image/v2/D4D10AQF0NlFu35JMnw/image-shrink_1280/B4DZrZgG_GJAAM-/0/1764585666131/Frame42png?e=2147483647&amp;v=beta&amp;t=IgsEBnSJ6tONTZr6fx-1dkSjF7gGD78qKcjutfGTYHE","View Creative")</f>
        <v>View Creative</v>
      </c>
      <c r="L3775" s="6" t="s">
        <v>62</v>
      </c>
      <c r="M3775" s="6" t="s">
        <v>8042</v>
      </c>
      <c r="O3775" s="36" t="s">
        <v>7541</v>
      </c>
      <c r="P3775" s="36" t="s">
        <v>7542</v>
      </c>
      <c r="Q3775" s="38"/>
    </row>
    <row r="3776">
      <c r="A3776" s="6" t="s">
        <v>8042</v>
      </c>
      <c r="B3776" s="6" t="s">
        <v>8043</v>
      </c>
      <c r="C3776" s="6">
        <v>165.0</v>
      </c>
      <c r="D3776" s="9" t="str">
        <f>HYPERLINK("https://www.linkedin.com/ad-library/detail/970964583","Open Ad")</f>
        <v>Open Ad</v>
      </c>
      <c r="E3776" s="6" t="s">
        <v>91</v>
      </c>
      <c r="F3776" s="6" t="s">
        <v>8022</v>
      </c>
      <c r="G3776" s="6" t="s">
        <v>8103</v>
      </c>
      <c r="H3776" s="6" t="s">
        <v>55</v>
      </c>
      <c r="I3776" s="6" t="s">
        <v>8025</v>
      </c>
      <c r="J3776" s="6" t="s">
        <v>91</v>
      </c>
      <c r="K3776" s="12" t="str">
        <f>HYPERLINK("https://media.licdn.com/dms/image/v2/D4D10AQH12eqm4kFAFA/image-shrink_1280/B4DZrZvnuRHsAQ-/0/1764589731504/WhatareLLMssayingaboutyourbrand_3png?e=2147483647&amp;v=beta&amp;t=yAoDj8oFdbmX5ex9cYnQlSaVyLmSBRt0s2D1hPnlkis","View Creative")</f>
        <v>View Creative</v>
      </c>
      <c r="L3776" s="6" t="s">
        <v>62</v>
      </c>
      <c r="M3776" s="6" t="s">
        <v>8042</v>
      </c>
      <c r="O3776" s="36" t="s">
        <v>7541</v>
      </c>
      <c r="P3776" s="36" t="s">
        <v>7542</v>
      </c>
      <c r="Q3776" s="38"/>
    </row>
    <row r="3777">
      <c r="A3777" s="6" t="s">
        <v>8042</v>
      </c>
      <c r="B3777" s="6" t="s">
        <v>8043</v>
      </c>
      <c r="C3777" s="6">
        <v>166.0</v>
      </c>
      <c r="D3777" s="9" t="str">
        <f>HYPERLINK("https://www.linkedin.com/ad-library/detail/970480003","Open Ad")</f>
        <v>Open Ad</v>
      </c>
      <c r="E3777" s="6" t="s">
        <v>91</v>
      </c>
      <c r="F3777" s="6" t="s">
        <v>8022</v>
      </c>
      <c r="G3777" s="6" t="s">
        <v>8152</v>
      </c>
      <c r="H3777" s="6" t="s">
        <v>8153</v>
      </c>
      <c r="I3777" s="6" t="s">
        <v>8025</v>
      </c>
      <c r="J3777" s="6" t="s">
        <v>91</v>
      </c>
      <c r="K3777" s="12" t="str">
        <f>HYPERLINK("https://media.licdn.com/dms/image/v2/D4D22AQEW8Kj3j9mZXA/feedshare-image-high-res/B4DZq6oZATJMAo-/0/1764067742505?e=2147483647&amp;v=beta&amp;t=nxxuIx957U-ElKXFDCZOpxVyCAZHoYZ0mvJMQGnyD00","View Creative")</f>
        <v>View Creative</v>
      </c>
      <c r="L3777" s="6" t="s">
        <v>62</v>
      </c>
      <c r="M3777" s="6" t="s">
        <v>8042</v>
      </c>
      <c r="O3777" s="36" t="s">
        <v>7541</v>
      </c>
      <c r="P3777" s="36" t="s">
        <v>7542</v>
      </c>
      <c r="Q3777" s="38"/>
    </row>
    <row r="3778">
      <c r="A3778" s="6" t="s">
        <v>8042</v>
      </c>
      <c r="B3778" s="6" t="s">
        <v>8043</v>
      </c>
      <c r="C3778" s="6">
        <v>167.0</v>
      </c>
      <c r="D3778" s="9" t="str">
        <f>HYPERLINK("https://www.linkedin.com/ad-library/detail/969216283","Open Ad")</f>
        <v>Open Ad</v>
      </c>
      <c r="E3778" s="6" t="s">
        <v>91</v>
      </c>
      <c r="F3778" s="6" t="s">
        <v>8022</v>
      </c>
      <c r="G3778" s="6" t="s">
        <v>8162</v>
      </c>
      <c r="H3778" s="6" t="s">
        <v>55</v>
      </c>
      <c r="I3778" s="6" t="s">
        <v>8025</v>
      </c>
      <c r="J3778" s="6" t="s">
        <v>91</v>
      </c>
      <c r="K3778" s="12" t="str">
        <f t="shared" ref="K3778:K3779" si="194">HYPERLINK("https://media.licdn.com/dms/image/v2/D4D10AQGaCfxHI4pWqA/image-shrink_1280/B4DZqhlZN4GkAM-/0/1763647526594/HowtoFindtheBestPrompts4png?e=2147483647&amp;v=beta&amp;t=DzM1YuolD6I6v4YmyPKEbVWL2QCDk32PR--ecnqNGb4","View Creative")</f>
        <v>View Creative</v>
      </c>
      <c r="L3778" s="6" t="s">
        <v>62</v>
      </c>
      <c r="M3778" s="6" t="s">
        <v>8042</v>
      </c>
      <c r="N3778" s="6" t="s">
        <v>8158</v>
      </c>
      <c r="O3778" s="36" t="s">
        <v>7541</v>
      </c>
      <c r="P3778" s="36" t="s">
        <v>7542</v>
      </c>
      <c r="Q3778" s="38"/>
    </row>
    <row r="3779">
      <c r="A3779" s="6" t="s">
        <v>8042</v>
      </c>
      <c r="B3779" s="6" t="s">
        <v>8043</v>
      </c>
      <c r="C3779" s="6">
        <v>168.0</v>
      </c>
      <c r="D3779" s="9" t="str">
        <f>HYPERLINK("https://www.linkedin.com/ad-library/detail/942097033","Open Ad")</f>
        <v>Open Ad</v>
      </c>
      <c r="E3779" s="6" t="s">
        <v>91</v>
      </c>
      <c r="F3779" s="6" t="s">
        <v>8022</v>
      </c>
      <c r="G3779" s="6" t="s">
        <v>8162</v>
      </c>
      <c r="H3779" s="6" t="s">
        <v>55</v>
      </c>
      <c r="I3779" s="6" t="s">
        <v>8025</v>
      </c>
      <c r="J3779" s="6" t="s">
        <v>91</v>
      </c>
      <c r="K3779" s="12" t="str">
        <f t="shared" si="194"/>
        <v>View Creative</v>
      </c>
      <c r="L3779" s="6" t="s">
        <v>62</v>
      </c>
      <c r="M3779" s="6" t="s">
        <v>8042</v>
      </c>
      <c r="O3779" s="36" t="s">
        <v>7541</v>
      </c>
      <c r="P3779" s="36" t="s">
        <v>7542</v>
      </c>
      <c r="Q3779" s="38"/>
    </row>
    <row r="3780">
      <c r="A3780" s="6" t="s">
        <v>8042</v>
      </c>
      <c r="B3780" s="6" t="s">
        <v>8043</v>
      </c>
      <c r="C3780" s="6">
        <v>169.0</v>
      </c>
      <c r="D3780" s="9" t="str">
        <f>HYPERLINK("https://www.linkedin.com/ad-library/detail/941611813","Open Ad")</f>
        <v>Open Ad</v>
      </c>
      <c r="E3780" s="6" t="s">
        <v>154</v>
      </c>
      <c r="F3780" s="6" t="s">
        <v>8022</v>
      </c>
      <c r="G3780" s="6" t="s">
        <v>8165</v>
      </c>
      <c r="H3780" s="6" t="s">
        <v>55</v>
      </c>
      <c r="I3780" s="6" t="s">
        <v>8025</v>
      </c>
      <c r="J3780" s="6" t="s">
        <v>154</v>
      </c>
      <c r="K3780" s="12" t="str">
        <f>HYPERLINK("https://dms.licdn.com/playlist/vid/v2/D4D10AQHd6dWxK5AGnA/mp4-360p-30fp-crf28/B4DZqR2ntzH4CY-/0/1763383608906/AccuRanker_Short_Versionmp4?e=2147483647&amp;v=beta&amp;t=cCtNo4vu6ukgHxBMCY3rj1f3ILDuAgqSxqZcihGUi2w","View Creative")</f>
        <v>View Creative</v>
      </c>
      <c r="L3780" s="6" t="s">
        <v>62</v>
      </c>
      <c r="M3780" s="6" t="s">
        <v>8042</v>
      </c>
      <c r="N3780" s="6" t="s">
        <v>5911</v>
      </c>
      <c r="O3780" s="36" t="s">
        <v>7541</v>
      </c>
      <c r="P3780" s="36" t="s">
        <v>7542</v>
      </c>
      <c r="Q3780" s="38"/>
    </row>
    <row r="3781">
      <c r="A3781" s="6" t="s">
        <v>8042</v>
      </c>
      <c r="B3781" s="6" t="s">
        <v>8043</v>
      </c>
      <c r="C3781" s="6">
        <v>170.0</v>
      </c>
      <c r="D3781" s="9" t="str">
        <f>HYPERLINK("https://www.linkedin.com/ad-library/detail/918949493","Open Ad")</f>
        <v>Open Ad</v>
      </c>
      <c r="E3781" s="6" t="s">
        <v>91</v>
      </c>
      <c r="F3781" s="6" t="s">
        <v>8022</v>
      </c>
      <c r="G3781" s="6" t="s">
        <v>8085</v>
      </c>
      <c r="H3781" s="6" t="s">
        <v>55</v>
      </c>
      <c r="I3781" s="6" t="s">
        <v>8025</v>
      </c>
      <c r="J3781" s="6" t="s">
        <v>91</v>
      </c>
      <c r="K3781" s="12" t="str">
        <f>HYPERLINK("https://media.licdn.com/dms/image/v2/D4D10AQHsS1ywow7FRQ/image-shrink_1280/B4DZpyTYBMGkAM-/0/1762854274004/LinkedinPaid-FunnelBoostCaseQuote4jpg?e=2147483647&amp;v=beta&amp;t=OmQf5RqsfkozMVCHQ6aL3_WCeiJtuGhvAIMuCSYeDhE","View Creative")</f>
        <v>View Creative</v>
      </c>
      <c r="L3781" s="6" t="s">
        <v>62</v>
      </c>
      <c r="M3781" s="6" t="s">
        <v>8042</v>
      </c>
      <c r="N3781" s="6" t="s">
        <v>8166</v>
      </c>
      <c r="O3781" s="36" t="s">
        <v>7541</v>
      </c>
      <c r="P3781" s="36" t="s">
        <v>7542</v>
      </c>
      <c r="Q3781" s="38"/>
    </row>
    <row r="3782">
      <c r="A3782" s="6" t="s">
        <v>8042</v>
      </c>
      <c r="B3782" s="6" t="s">
        <v>8043</v>
      </c>
      <c r="C3782" s="6">
        <v>171.0</v>
      </c>
      <c r="D3782" s="9" t="str">
        <f>HYPERLINK("https://www.linkedin.com/ad-library/detail/933843713","Open Ad")</f>
        <v>Open Ad</v>
      </c>
      <c r="E3782" s="6" t="s">
        <v>154</v>
      </c>
      <c r="F3782" s="6" t="s">
        <v>8022</v>
      </c>
      <c r="G3782" s="6" t="s">
        <v>8167</v>
      </c>
      <c r="H3782" s="6" t="s">
        <v>55</v>
      </c>
      <c r="I3782" s="6" t="s">
        <v>8025</v>
      </c>
      <c r="J3782" s="6" t="s">
        <v>154</v>
      </c>
      <c r="K3782" s="12" t="str">
        <f>HYPERLINK("https://dms.licdn.com/playlist/vid/v2/D4D10AQFkKXhASeLfxA/mp4-640p-30fp-crf28/B4DZoQkIZjIAB0-/0/1761214503190/AccuRankerSquareCEdited1mp4?e=2147483647&amp;v=beta&amp;t=Uj-UfZaH5Xy98XkFPoWAvBLIJrXhoGPTcbRmd2SeYu8","View Creative")</f>
        <v>View Creative</v>
      </c>
      <c r="L3782" s="6" t="s">
        <v>62</v>
      </c>
      <c r="M3782" s="6" t="s">
        <v>8042</v>
      </c>
      <c r="N3782" s="6" t="s">
        <v>8168</v>
      </c>
      <c r="O3782" s="36" t="s">
        <v>7541</v>
      </c>
      <c r="P3782" s="36" t="s">
        <v>7542</v>
      </c>
      <c r="Q3782" s="38"/>
    </row>
    <row r="3783">
      <c r="A3783" s="6" t="s">
        <v>8042</v>
      </c>
      <c r="B3783" s="6" t="s">
        <v>8043</v>
      </c>
      <c r="C3783" s="6">
        <v>172.0</v>
      </c>
      <c r="D3783" s="9" t="str">
        <f>HYPERLINK("https://www.linkedin.com/ad-library/detail/918316813","Open Ad")</f>
        <v>Open Ad</v>
      </c>
      <c r="E3783" s="6" t="s">
        <v>91</v>
      </c>
      <c r="F3783" s="6" t="s">
        <v>8022</v>
      </c>
      <c r="G3783" s="19" t="s">
        <v>8169</v>
      </c>
      <c r="H3783" s="6" t="s">
        <v>55</v>
      </c>
      <c r="I3783" s="6" t="s">
        <v>8025</v>
      </c>
      <c r="J3783" s="6" t="s">
        <v>91</v>
      </c>
      <c r="K3783" s="12" t="str">
        <f>HYPERLINK("https://media.licdn.com/dms/image/v2/D4D10AQHDGO9DQBPFLA/image-shrink_1280/B4DZpeRI_eHsAM-/0/1762518143794/LLMblogtrackllmvisjpg?e=2147483647&amp;v=beta&amp;t=v2OAoqkgwzkgWaYcwpVUn-W73aJyGPmdzyehrWFSeXs","View Creative")</f>
        <v>View Creative</v>
      </c>
      <c r="L3783" s="6" t="s">
        <v>62</v>
      </c>
      <c r="M3783" s="6" t="s">
        <v>8042</v>
      </c>
      <c r="N3783" s="6" t="s">
        <v>8170</v>
      </c>
      <c r="O3783" s="36" t="s">
        <v>7541</v>
      </c>
      <c r="P3783" s="36" t="s">
        <v>7542</v>
      </c>
      <c r="Q3783" s="38"/>
    </row>
    <row r="3784">
      <c r="A3784" s="6" t="s">
        <v>8042</v>
      </c>
      <c r="B3784" s="6" t="s">
        <v>8043</v>
      </c>
      <c r="C3784" s="6">
        <v>173.0</v>
      </c>
      <c r="D3784" s="9" t="str">
        <f>HYPERLINK("https://www.linkedin.com/ad-library/detail/924817623","Open Ad")</f>
        <v>Open Ad</v>
      </c>
      <c r="E3784" s="6" t="s">
        <v>91</v>
      </c>
      <c r="F3784" s="6" t="s">
        <v>8022</v>
      </c>
      <c r="G3784" s="6" t="s">
        <v>8171</v>
      </c>
      <c r="H3784" s="6" t="s">
        <v>55</v>
      </c>
      <c r="I3784" s="6" t="s">
        <v>8025</v>
      </c>
      <c r="J3784" s="6" t="s">
        <v>91</v>
      </c>
      <c r="K3784" s="12" t="str">
        <f>HYPERLINK("https://media.licdn.com/dms/image/v2/D4D22AQFaMKzvfDu2mQ/feedshare-image-high-res/B4DZpylacSGgAo-/0/1762859002701?e=2147483647&amp;v=beta&amp;t=sqBmoSG-2Upsd9eNvBEujXQsSRUTlYdN96TvsXe8vfI","View Creative")</f>
        <v>View Creative</v>
      </c>
      <c r="L3784" s="6" t="s">
        <v>62</v>
      </c>
      <c r="M3784" s="6" t="s">
        <v>8042</v>
      </c>
      <c r="N3784" s="6" t="s">
        <v>8172</v>
      </c>
      <c r="O3784" s="36" t="s">
        <v>7541</v>
      </c>
      <c r="P3784" s="36" t="s">
        <v>7542</v>
      </c>
      <c r="Q3784" s="38"/>
    </row>
    <row r="3785">
      <c r="A3785" s="6" t="s">
        <v>8042</v>
      </c>
      <c r="B3785" s="6" t="s">
        <v>8043</v>
      </c>
      <c r="C3785" s="6">
        <v>174.0</v>
      </c>
      <c r="D3785" s="9" t="str">
        <f>HYPERLINK("https://www.linkedin.com/ad-library/detail/933883343","Open Ad")</f>
        <v>Open Ad</v>
      </c>
      <c r="E3785" s="6" t="s">
        <v>52</v>
      </c>
      <c r="F3785" s="6" t="s">
        <v>8022</v>
      </c>
      <c r="G3785" s="6" t="s">
        <v>8173</v>
      </c>
      <c r="H3785" s="6" t="s">
        <v>55</v>
      </c>
      <c r="I3785" s="6" t="s">
        <v>8025</v>
      </c>
      <c r="J3785" s="6" t="s">
        <v>52</v>
      </c>
      <c r="K3785" s="6" t="s">
        <v>60</v>
      </c>
      <c r="L3785" s="6" t="s">
        <v>62</v>
      </c>
      <c r="M3785" s="6" t="s">
        <v>8042</v>
      </c>
      <c r="O3785" s="36" t="s">
        <v>7541</v>
      </c>
      <c r="P3785" s="36" t="s">
        <v>7542</v>
      </c>
      <c r="Q3785" s="38"/>
    </row>
    <row r="3786">
      <c r="A3786" s="6" t="s">
        <v>8042</v>
      </c>
      <c r="B3786" s="6" t="s">
        <v>8043</v>
      </c>
      <c r="C3786" s="6">
        <v>175.0</v>
      </c>
      <c r="D3786" s="9" t="str">
        <f>HYPERLINK("https://www.linkedin.com/ad-library/detail/918229013","Open Ad")</f>
        <v>Open Ad</v>
      </c>
      <c r="E3786" s="6" t="s">
        <v>91</v>
      </c>
      <c r="F3786" s="6" t="s">
        <v>8022</v>
      </c>
      <c r="G3786" s="6" t="s">
        <v>8174</v>
      </c>
      <c r="H3786" s="6" t="s">
        <v>55</v>
      </c>
      <c r="I3786" s="6" t="s">
        <v>8025</v>
      </c>
      <c r="J3786" s="6" t="s">
        <v>91</v>
      </c>
      <c r="K3786" s="12" t="str">
        <f>HYPERLINK("https://media.licdn.com/dms/image/v2/D4D10AQFk0yboYK59gg/image-shrink_1280/B4DZpejz5vIAAM-/0/1762523038125/LinkedinPaid-OverdoseCaseQuote-paidjpg?e=2147483647&amp;v=beta&amp;t=elmCcr5FyMFFwI9LG6X1CdAr9xtFgr6XKXJyHlqZn9M","View Creative")</f>
        <v>View Creative</v>
      </c>
      <c r="L3786" s="6" t="s">
        <v>62</v>
      </c>
      <c r="M3786" s="6" t="s">
        <v>8042</v>
      </c>
      <c r="O3786" s="36" t="s">
        <v>7541</v>
      </c>
      <c r="P3786" s="36" t="s">
        <v>7542</v>
      </c>
      <c r="Q3786" s="38"/>
    </row>
    <row r="3787">
      <c r="A3787" s="6" t="s">
        <v>8042</v>
      </c>
      <c r="B3787" s="6" t="s">
        <v>8043</v>
      </c>
      <c r="C3787" s="6">
        <v>176.0</v>
      </c>
      <c r="D3787" s="9" t="str">
        <f>HYPERLINK("https://www.linkedin.com/ad-library/detail/941840413","Open Ad")</f>
        <v>Open Ad</v>
      </c>
      <c r="E3787" s="6" t="s">
        <v>154</v>
      </c>
      <c r="F3787" s="6" t="s">
        <v>8022</v>
      </c>
      <c r="G3787" s="6" t="s">
        <v>8165</v>
      </c>
      <c r="H3787" s="6" t="s">
        <v>55</v>
      </c>
      <c r="I3787" s="6" t="s">
        <v>8025</v>
      </c>
      <c r="J3787" s="6" t="s">
        <v>154</v>
      </c>
      <c r="K3787" s="12" t="str">
        <f t="shared" ref="K3787:K3788" si="195">HYPERLINK("https://dms.licdn.com/playlist/vid/v2/D4D10AQHd6dWxK5AGnA/mp4-360p-30fp-crf28/B4DZqR2ntzH4CY-/0/1763383608906/AccuRanker_Short_Versionmp4?e=2147483647&amp;v=beta&amp;t=cCtNo4vu6ukgHxBMCY3rj1f3ILDuAgqSxqZcihGUi2w","View Creative")</f>
        <v>View Creative</v>
      </c>
      <c r="L3787" s="6" t="s">
        <v>62</v>
      </c>
      <c r="M3787" s="6" t="s">
        <v>8042</v>
      </c>
      <c r="O3787" s="36" t="s">
        <v>7541</v>
      </c>
      <c r="P3787" s="36" t="s">
        <v>7542</v>
      </c>
      <c r="Q3787" s="38"/>
    </row>
    <row r="3788">
      <c r="A3788" s="6" t="s">
        <v>8042</v>
      </c>
      <c r="B3788" s="6" t="s">
        <v>8043</v>
      </c>
      <c r="C3788" s="6">
        <v>177.0</v>
      </c>
      <c r="D3788" s="9" t="str">
        <f>HYPERLINK("https://www.linkedin.com/ad-library/detail/941860153","Open Ad")</f>
        <v>Open Ad</v>
      </c>
      <c r="E3788" s="6" t="s">
        <v>154</v>
      </c>
      <c r="F3788" s="6" t="s">
        <v>8022</v>
      </c>
      <c r="G3788" s="6" t="s">
        <v>8165</v>
      </c>
      <c r="H3788" s="6" t="s">
        <v>55</v>
      </c>
      <c r="I3788" s="6" t="s">
        <v>8025</v>
      </c>
      <c r="J3788" s="6" t="s">
        <v>154</v>
      </c>
      <c r="K3788" s="12" t="str">
        <f t="shared" si="195"/>
        <v>View Creative</v>
      </c>
      <c r="L3788" s="6" t="s">
        <v>62</v>
      </c>
      <c r="M3788" s="6" t="s">
        <v>8042</v>
      </c>
      <c r="N3788" s="6" t="s">
        <v>8175</v>
      </c>
      <c r="O3788" s="36" t="s">
        <v>7541</v>
      </c>
      <c r="P3788" s="36" t="s">
        <v>7542</v>
      </c>
      <c r="Q3788" s="38"/>
    </row>
    <row r="3789">
      <c r="A3789" s="6" t="s">
        <v>8042</v>
      </c>
      <c r="B3789" s="6" t="s">
        <v>8043</v>
      </c>
      <c r="C3789" s="6">
        <v>178.0</v>
      </c>
      <c r="D3789" s="9" t="str">
        <f>HYPERLINK("https://www.linkedin.com/ad-library/detail/918929163","Open Ad")</f>
        <v>Open Ad</v>
      </c>
      <c r="E3789" s="6" t="s">
        <v>91</v>
      </c>
      <c r="F3789" s="6" t="s">
        <v>8022</v>
      </c>
      <c r="G3789" s="6" t="s">
        <v>8085</v>
      </c>
      <c r="H3789" s="6" t="s">
        <v>55</v>
      </c>
      <c r="I3789" s="6" t="s">
        <v>8025</v>
      </c>
      <c r="J3789" s="6" t="s">
        <v>91</v>
      </c>
      <c r="K3789" s="12" t="str">
        <f>HYPERLINK("https://media.licdn.com/dms/image/v2/D4D10AQFQ6O3-aVcBMw/image-shrink_1280/B4DZewx.4RG8AU-/0/1751017582728/LinkedinPaid-OverdoseCaseQuotejpg?e=2147483647&amp;v=beta&amp;t=RPfXGokK6GgyMHeJ_sh0QBwPmeG9rlQDKJZIMGksVR0","View Creative")</f>
        <v>View Creative</v>
      </c>
      <c r="L3789" s="6" t="s">
        <v>62</v>
      </c>
      <c r="M3789" s="6" t="s">
        <v>8042</v>
      </c>
      <c r="N3789" s="6" t="s">
        <v>8176</v>
      </c>
      <c r="O3789" s="36" t="s">
        <v>7541</v>
      </c>
      <c r="P3789" s="36" t="s">
        <v>7542</v>
      </c>
      <c r="Q3789" s="38"/>
    </row>
    <row r="3790">
      <c r="A3790" s="6" t="s">
        <v>8042</v>
      </c>
      <c r="B3790" s="6" t="s">
        <v>8043</v>
      </c>
      <c r="C3790" s="6">
        <v>179.0</v>
      </c>
      <c r="D3790" s="9" t="str">
        <f>HYPERLINK("https://www.linkedin.com/ad-library/detail/918989223","Open Ad")</f>
        <v>Open Ad</v>
      </c>
      <c r="E3790" s="6" t="s">
        <v>91</v>
      </c>
      <c r="F3790" s="6" t="s">
        <v>8022</v>
      </c>
      <c r="G3790" s="6" t="s">
        <v>8085</v>
      </c>
      <c r="H3790" s="6" t="s">
        <v>55</v>
      </c>
      <c r="I3790" s="6" t="s">
        <v>8025</v>
      </c>
      <c r="J3790" s="6" t="s">
        <v>91</v>
      </c>
      <c r="K3790" s="12" t="str">
        <f>HYPERLINK("https://media.licdn.com/dms/image/v2/D4D10AQGHLbwD7SIo1A/image-shrink_1280/B4DZpyTYBhIkAM-/0/1762854273912/LinkedinPaid-FunnelBoostCaseQuote3jpg?e=2147483647&amp;v=beta&amp;t=gByfzfWJEXEb2psAcJ9248MhLH2EyeXtQDlx9mo2ii4","View Creative")</f>
        <v>View Creative</v>
      </c>
      <c r="L3790" s="6" t="s">
        <v>62</v>
      </c>
      <c r="M3790" s="6" t="s">
        <v>8042</v>
      </c>
      <c r="N3790" s="6" t="s">
        <v>8177</v>
      </c>
      <c r="O3790" s="36" t="s">
        <v>7541</v>
      </c>
      <c r="P3790" s="36" t="s">
        <v>7542</v>
      </c>
      <c r="Q3790" s="38"/>
    </row>
    <row r="3791">
      <c r="A3791" s="6" t="s">
        <v>8042</v>
      </c>
      <c r="B3791" s="6" t="s">
        <v>8043</v>
      </c>
      <c r="C3791" s="6">
        <v>180.0</v>
      </c>
      <c r="D3791" s="9" t="str">
        <f>HYPERLINK("https://www.linkedin.com/ad-library/detail/919114783","Open Ad")</f>
        <v>Open Ad</v>
      </c>
      <c r="E3791" s="6" t="s">
        <v>91</v>
      </c>
      <c r="F3791" s="6" t="s">
        <v>8022</v>
      </c>
      <c r="G3791" s="6" t="s">
        <v>8085</v>
      </c>
      <c r="H3791" s="6" t="s">
        <v>55</v>
      </c>
      <c r="I3791" s="6" t="s">
        <v>8025</v>
      </c>
      <c r="J3791" s="6" t="s">
        <v>91</v>
      </c>
      <c r="K3791" s="12" t="str">
        <f>HYPERLINK("https://media.licdn.com/dms/image/v2/D4D10AQF_cAk-7d-OHg/image-shrink_1280/image-shrink_1280/0/1729171000285/AccuRanker_Qoute_Saxojpg?e=2147483647&amp;v=beta&amp;t=kBm9Fl-ISIgvF5tOTvaH_y9YaOYT6iUBWLJr7_BsPYw","View Creative")</f>
        <v>View Creative</v>
      </c>
      <c r="L3791" s="6" t="s">
        <v>62</v>
      </c>
      <c r="M3791" s="6" t="s">
        <v>8042</v>
      </c>
      <c r="N3791" s="6" t="s">
        <v>8176</v>
      </c>
      <c r="O3791" s="36" t="s">
        <v>7541</v>
      </c>
      <c r="P3791" s="36" t="s">
        <v>7542</v>
      </c>
      <c r="Q3791" s="38"/>
    </row>
    <row r="3792">
      <c r="A3792" s="6" t="s">
        <v>8042</v>
      </c>
      <c r="B3792" s="6" t="s">
        <v>8043</v>
      </c>
      <c r="C3792" s="6">
        <v>181.0</v>
      </c>
      <c r="D3792" s="9" t="str">
        <f>HYPERLINK("https://www.linkedin.com/ad-library/detail/941749093","Open Ad")</f>
        <v>Open Ad</v>
      </c>
      <c r="E3792" s="6" t="s">
        <v>154</v>
      </c>
      <c r="F3792" s="6" t="s">
        <v>8022</v>
      </c>
      <c r="G3792" s="6" t="s">
        <v>8165</v>
      </c>
      <c r="H3792" s="6" t="s">
        <v>55</v>
      </c>
      <c r="I3792" s="6" t="s">
        <v>8025</v>
      </c>
      <c r="J3792" s="6" t="s">
        <v>154</v>
      </c>
      <c r="K3792" s="12" t="str">
        <f>HYPERLINK("https://dms.licdn.com/playlist/vid/v2/D4D10AQHd6dWxK5AGnA/mp4-360p-30fp-crf28/B4DZqR2ntzH4CY-/0/1763383608906/AccuRanker_Short_Versionmp4?e=2147483647&amp;v=beta&amp;t=cCtNo4vu6ukgHxBMCY3rj1f3ILDuAgqSxqZcihGUi2w","View Creative")</f>
        <v>View Creative</v>
      </c>
      <c r="L3792" s="6" t="s">
        <v>62</v>
      </c>
      <c r="M3792" s="6" t="s">
        <v>8042</v>
      </c>
      <c r="O3792" s="36" t="s">
        <v>7541</v>
      </c>
      <c r="P3792" s="36" t="s">
        <v>7542</v>
      </c>
      <c r="Q3792" s="38"/>
    </row>
    <row r="3793">
      <c r="A3793" s="6" t="s">
        <v>8042</v>
      </c>
      <c r="B3793" s="6" t="s">
        <v>8043</v>
      </c>
      <c r="C3793" s="6">
        <v>182.0</v>
      </c>
      <c r="D3793" s="9" t="str">
        <f>HYPERLINK("https://www.linkedin.com/ad-library/detail/933954063","Open Ad")</f>
        <v>Open Ad</v>
      </c>
      <c r="E3793" s="6" t="s">
        <v>154</v>
      </c>
      <c r="F3793" s="6" t="s">
        <v>8022</v>
      </c>
      <c r="G3793" s="6" t="s">
        <v>8178</v>
      </c>
      <c r="H3793" s="6" t="s">
        <v>55</v>
      </c>
      <c r="I3793" s="6" t="s">
        <v>8025</v>
      </c>
      <c r="J3793" s="6" t="s">
        <v>154</v>
      </c>
      <c r="K3793" s="12" t="str">
        <f>HYPERLINK("https://dms.licdn.com/playlist/vid/v2/D4D10AQFkKXhASeLfxA/mp4-640p-30fp-crf28/B4DZoQkIZjIAB0-/0/1761214503190/AccuRankerSquareCEdited1mp4?e=2147483647&amp;v=beta&amp;t=Uj-UfZaH5Xy98XkFPoWAvBLIJrXhoGPTcbRmd2SeYu8","View Creative")</f>
        <v>View Creative</v>
      </c>
      <c r="L3793" s="6" t="s">
        <v>62</v>
      </c>
      <c r="M3793" s="6" t="s">
        <v>8042</v>
      </c>
      <c r="N3793" s="6" t="s">
        <v>8168</v>
      </c>
      <c r="O3793" s="36" t="s">
        <v>7541</v>
      </c>
      <c r="P3793" s="36" t="s">
        <v>7542</v>
      </c>
      <c r="Q3793" s="38"/>
    </row>
    <row r="3794">
      <c r="A3794" s="6" t="s">
        <v>8042</v>
      </c>
      <c r="B3794" s="6" t="s">
        <v>8043</v>
      </c>
      <c r="C3794" s="6">
        <v>183.0</v>
      </c>
      <c r="D3794" s="9" t="str">
        <f>HYPERLINK("https://www.linkedin.com/ad-library/detail/941562203","Open Ad")</f>
        <v>Open Ad</v>
      </c>
      <c r="E3794" s="6" t="s">
        <v>154</v>
      </c>
      <c r="F3794" s="6" t="s">
        <v>8022</v>
      </c>
      <c r="G3794" s="6" t="s">
        <v>8165</v>
      </c>
      <c r="H3794" s="6" t="s">
        <v>55</v>
      </c>
      <c r="I3794" s="6" t="s">
        <v>8025</v>
      </c>
      <c r="J3794" s="6" t="s">
        <v>154</v>
      </c>
      <c r="K3794" s="12" t="str">
        <f>HYPERLINK("https://dms.licdn.com/playlist/vid/v2/D4D10AQHd6dWxK5AGnA/mp4-360p-30fp-crf28/B4DZqR2ntzH4CY-/0/1763383608906/AccuRanker_Short_Versionmp4?e=2147483647&amp;v=beta&amp;t=cCtNo4vu6ukgHxBMCY3rj1f3ILDuAgqSxqZcihGUi2w","View Creative")</f>
        <v>View Creative</v>
      </c>
      <c r="L3794" s="6" t="s">
        <v>62</v>
      </c>
      <c r="M3794" s="6" t="s">
        <v>8042</v>
      </c>
      <c r="O3794" s="36" t="s">
        <v>7541</v>
      </c>
      <c r="P3794" s="36" t="s">
        <v>7542</v>
      </c>
      <c r="Q3794" s="38"/>
    </row>
    <row r="3795">
      <c r="A3795" s="6" t="s">
        <v>8042</v>
      </c>
      <c r="B3795" s="6" t="s">
        <v>8043</v>
      </c>
      <c r="C3795" s="6">
        <v>184.0</v>
      </c>
      <c r="D3795" s="9" t="str">
        <f>HYPERLINK("https://www.linkedin.com/ad-library/detail/933963623","Open Ad")</f>
        <v>Open Ad</v>
      </c>
      <c r="E3795" s="6" t="s">
        <v>52</v>
      </c>
      <c r="F3795" s="6" t="s">
        <v>8022</v>
      </c>
      <c r="G3795" s="6" t="s">
        <v>8173</v>
      </c>
      <c r="H3795" s="6" t="s">
        <v>55</v>
      </c>
      <c r="I3795" s="6" t="s">
        <v>8025</v>
      </c>
      <c r="J3795" s="6" t="s">
        <v>52</v>
      </c>
      <c r="K3795" s="6" t="s">
        <v>60</v>
      </c>
      <c r="L3795" s="6" t="s">
        <v>62</v>
      </c>
      <c r="M3795" s="6" t="s">
        <v>8042</v>
      </c>
      <c r="N3795" s="6" t="s">
        <v>8179</v>
      </c>
      <c r="O3795" s="36" t="s">
        <v>7541</v>
      </c>
      <c r="P3795" s="36" t="s">
        <v>7542</v>
      </c>
      <c r="Q3795" s="38"/>
    </row>
    <row r="3796">
      <c r="A3796" s="6" t="s">
        <v>8042</v>
      </c>
      <c r="B3796" s="6" t="s">
        <v>8043</v>
      </c>
      <c r="C3796" s="6">
        <v>185.0</v>
      </c>
      <c r="D3796" s="9" t="str">
        <f>HYPERLINK("https://www.linkedin.com/ad-library/detail/918258113","Open Ad")</f>
        <v>Open Ad</v>
      </c>
      <c r="E3796" s="6" t="s">
        <v>91</v>
      </c>
      <c r="F3796" s="6" t="s">
        <v>8022</v>
      </c>
      <c r="G3796" s="19" t="s">
        <v>8180</v>
      </c>
      <c r="H3796" s="6" t="s">
        <v>55</v>
      </c>
      <c r="I3796" s="6" t="s">
        <v>8025</v>
      </c>
      <c r="J3796" s="6" t="s">
        <v>91</v>
      </c>
      <c r="K3796" s="12" t="str">
        <f>HYPERLINK("https://media.licdn.com/dms/image/v2/D4D10AQHPa-ScNyttLw/image-shrink_1280/B4DZrZ1grAJ4AM-/0/1764591276444/WhoareyoucompetingwithinAIanswerspng?e=2147483647&amp;v=beta&amp;t=IPTqKzWWAc5bQ5-6SxabU08QhBvDhdvS8cIY-0jU-LQ","View Creative")</f>
        <v>View Creative</v>
      </c>
      <c r="L3796" s="6" t="s">
        <v>62</v>
      </c>
      <c r="M3796" s="6" t="s">
        <v>8042</v>
      </c>
      <c r="N3796" s="6" t="s">
        <v>8181</v>
      </c>
      <c r="O3796" s="36" t="s">
        <v>7541</v>
      </c>
      <c r="P3796" s="36" t="s">
        <v>7542</v>
      </c>
      <c r="Q3796" s="38"/>
    </row>
    <row r="3797">
      <c r="A3797" s="6" t="s">
        <v>8042</v>
      </c>
      <c r="B3797" s="6" t="s">
        <v>8043</v>
      </c>
      <c r="C3797" s="6">
        <v>186.0</v>
      </c>
      <c r="D3797" s="9" t="str">
        <f>HYPERLINK("https://www.linkedin.com/ad-library/detail/933934733","Open Ad")</f>
        <v>Open Ad</v>
      </c>
      <c r="E3797" s="6" t="s">
        <v>154</v>
      </c>
      <c r="F3797" s="6" t="s">
        <v>8022</v>
      </c>
      <c r="G3797" s="6" t="s">
        <v>8165</v>
      </c>
      <c r="H3797" s="6" t="s">
        <v>55</v>
      </c>
      <c r="I3797" s="6" t="s">
        <v>8025</v>
      </c>
      <c r="J3797" s="6" t="s">
        <v>154</v>
      </c>
      <c r="K3797" s="12" t="str">
        <f>HYPERLINK("https://dms.licdn.com/playlist/vid/v2/D4D10AQHd6dWxK5AGnA/mp4-360p-30fp-crf28/B4DZqR2ntzH4CY-/0/1763383608906/AccuRanker_Short_Versionmp4?e=2147483647&amp;v=beta&amp;t=cCtNo4vu6ukgHxBMCY3rj1f3ILDuAgqSxqZcihGUi2w","View Creative")</f>
        <v>View Creative</v>
      </c>
      <c r="L3797" s="6" t="s">
        <v>62</v>
      </c>
      <c r="M3797" s="6" t="s">
        <v>8042</v>
      </c>
      <c r="N3797" s="6" t="s">
        <v>8182</v>
      </c>
      <c r="O3797" s="36" t="s">
        <v>7541</v>
      </c>
      <c r="P3797" s="36" t="s">
        <v>7542</v>
      </c>
      <c r="Q3797" s="38"/>
    </row>
    <row r="3798">
      <c r="A3798" s="6" t="s">
        <v>8042</v>
      </c>
      <c r="B3798" s="6" t="s">
        <v>8043</v>
      </c>
      <c r="C3798" s="6">
        <v>187.0</v>
      </c>
      <c r="D3798" s="9" t="str">
        <f>HYPERLINK("https://www.linkedin.com/ad-library/detail/942113593","Open Ad")</f>
        <v>Open Ad</v>
      </c>
      <c r="E3798" s="6" t="s">
        <v>52</v>
      </c>
      <c r="F3798" s="6" t="s">
        <v>8022</v>
      </c>
      <c r="G3798" s="6" t="s">
        <v>8157</v>
      </c>
      <c r="H3798" s="6" t="s">
        <v>55</v>
      </c>
      <c r="I3798" s="6" t="s">
        <v>8025</v>
      </c>
      <c r="J3798" s="6" t="s">
        <v>52</v>
      </c>
      <c r="K3798" s="6" t="s">
        <v>60</v>
      </c>
      <c r="L3798" s="6" t="s">
        <v>62</v>
      </c>
      <c r="M3798" s="6" t="s">
        <v>8042</v>
      </c>
      <c r="N3798" s="6" t="s">
        <v>8183</v>
      </c>
      <c r="O3798" s="36" t="s">
        <v>7541</v>
      </c>
      <c r="P3798" s="36" t="s">
        <v>7542</v>
      </c>
      <c r="Q3798" s="38"/>
    </row>
    <row r="3799">
      <c r="A3799" s="6" t="s">
        <v>8042</v>
      </c>
      <c r="B3799" s="6" t="s">
        <v>8043</v>
      </c>
      <c r="C3799" s="6">
        <v>188.0</v>
      </c>
      <c r="D3799" s="9" t="str">
        <f>HYPERLINK("https://www.linkedin.com/ad-library/detail/933994203","Open Ad")</f>
        <v>Open Ad</v>
      </c>
      <c r="E3799" s="6" t="s">
        <v>154</v>
      </c>
      <c r="F3799" s="6" t="s">
        <v>8022</v>
      </c>
      <c r="G3799" s="6" t="s">
        <v>8184</v>
      </c>
      <c r="H3799" s="6" t="s">
        <v>55</v>
      </c>
      <c r="I3799" s="6" t="s">
        <v>8025</v>
      </c>
      <c r="J3799" s="6" t="s">
        <v>154</v>
      </c>
      <c r="K3799" s="12" t="str">
        <f>HYPERLINK("https://dms.licdn.com/playlist/vid/v2/D4D10AQFkKXhASeLfxA/mp4-640p-30fp-crf28/B4DZoQkIZjIAB0-/0/1761214503190/AccuRankerSquareCEdited1mp4?e=2147483647&amp;v=beta&amp;t=Uj-UfZaH5Xy98XkFPoWAvBLIJrXhoGPTcbRmd2SeYu8","View Creative")</f>
        <v>View Creative</v>
      </c>
      <c r="L3799" s="6" t="s">
        <v>62</v>
      </c>
      <c r="M3799" s="6" t="s">
        <v>8042</v>
      </c>
      <c r="N3799" s="6" t="s">
        <v>8168</v>
      </c>
      <c r="O3799" s="36" t="s">
        <v>7541</v>
      </c>
      <c r="P3799" s="36" t="s">
        <v>7542</v>
      </c>
      <c r="Q3799" s="38"/>
    </row>
    <row r="3800">
      <c r="A3800" s="6" t="s">
        <v>8042</v>
      </c>
      <c r="B3800" s="6" t="s">
        <v>8043</v>
      </c>
      <c r="C3800" s="6">
        <v>189.0</v>
      </c>
      <c r="D3800" s="9" t="str">
        <f>HYPERLINK("https://www.linkedin.com/ad-library/detail/933843443","Open Ad")</f>
        <v>Open Ad</v>
      </c>
      <c r="E3800" s="6" t="s">
        <v>52</v>
      </c>
      <c r="F3800" s="6" t="s">
        <v>8022</v>
      </c>
      <c r="G3800" s="6" t="s">
        <v>8173</v>
      </c>
      <c r="H3800" s="6" t="s">
        <v>55</v>
      </c>
      <c r="I3800" s="6" t="s">
        <v>8025</v>
      </c>
      <c r="J3800" s="6" t="s">
        <v>52</v>
      </c>
      <c r="K3800" s="6" t="s">
        <v>60</v>
      </c>
      <c r="L3800" s="6" t="s">
        <v>62</v>
      </c>
      <c r="M3800" s="6" t="s">
        <v>8042</v>
      </c>
      <c r="N3800" s="6" t="s">
        <v>8182</v>
      </c>
      <c r="O3800" s="36" t="s">
        <v>7541</v>
      </c>
      <c r="P3800" s="36" t="s">
        <v>7542</v>
      </c>
      <c r="Q3800" s="38"/>
    </row>
    <row r="3801">
      <c r="A3801" s="6" t="s">
        <v>8042</v>
      </c>
      <c r="B3801" s="6" t="s">
        <v>8043</v>
      </c>
      <c r="C3801" s="6">
        <v>190.0</v>
      </c>
      <c r="D3801" s="9" t="str">
        <f>HYPERLINK("https://www.linkedin.com/ad-library/detail/924921953","Open Ad")</f>
        <v>Open Ad</v>
      </c>
      <c r="E3801" s="6" t="s">
        <v>91</v>
      </c>
      <c r="F3801" s="6" t="s">
        <v>8022</v>
      </c>
      <c r="G3801" s="6" t="s">
        <v>8171</v>
      </c>
      <c r="H3801" s="6" t="s">
        <v>55</v>
      </c>
      <c r="I3801" s="6" t="s">
        <v>8025</v>
      </c>
      <c r="J3801" s="6" t="s">
        <v>91</v>
      </c>
      <c r="K3801" s="12" t="str">
        <f t="shared" ref="K3801:K3802" si="196">HYPERLINK("https://media.licdn.com/dms/image/v2/D4D22AQFaMKzvfDu2mQ/feedshare-image-high-res/B4DZpylacSGgAo-/0/1762859002701?e=2147483647&amp;v=beta&amp;t=sqBmoSG-2Upsd9eNvBEujXQsSRUTlYdN96TvsXe8vfI","View Creative")</f>
        <v>View Creative</v>
      </c>
      <c r="L3801" s="6" t="s">
        <v>62</v>
      </c>
      <c r="M3801" s="6" t="s">
        <v>8042</v>
      </c>
      <c r="N3801" s="6" t="s">
        <v>8185</v>
      </c>
      <c r="O3801" s="36" t="s">
        <v>7541</v>
      </c>
      <c r="P3801" s="36" t="s">
        <v>7542</v>
      </c>
      <c r="Q3801" s="38"/>
    </row>
    <row r="3802">
      <c r="A3802" s="6" t="s">
        <v>8042</v>
      </c>
      <c r="B3802" s="6" t="s">
        <v>8043</v>
      </c>
      <c r="C3802" s="6">
        <v>191.0</v>
      </c>
      <c r="D3802" s="9" t="str">
        <f>HYPERLINK("https://www.linkedin.com/ad-library/detail/924882793","Open Ad")</f>
        <v>Open Ad</v>
      </c>
      <c r="E3802" s="6" t="s">
        <v>91</v>
      </c>
      <c r="F3802" s="6" t="s">
        <v>8022</v>
      </c>
      <c r="G3802" s="6" t="s">
        <v>8171</v>
      </c>
      <c r="H3802" s="6" t="s">
        <v>55</v>
      </c>
      <c r="I3802" s="6" t="s">
        <v>8025</v>
      </c>
      <c r="J3802" s="6" t="s">
        <v>91</v>
      </c>
      <c r="K3802" s="12" t="str">
        <f t="shared" si="196"/>
        <v>View Creative</v>
      </c>
      <c r="L3802" s="6" t="s">
        <v>62</v>
      </c>
      <c r="M3802" s="6" t="s">
        <v>8042</v>
      </c>
      <c r="O3802" s="36" t="s">
        <v>7541</v>
      </c>
      <c r="P3802" s="36" t="s">
        <v>7542</v>
      </c>
      <c r="Q3802" s="38"/>
    </row>
    <row r="3803">
      <c r="A3803" s="6" t="s">
        <v>8042</v>
      </c>
      <c r="B3803" s="6" t="s">
        <v>8043</v>
      </c>
      <c r="C3803" s="6">
        <v>192.0</v>
      </c>
      <c r="D3803" s="9" t="str">
        <f>HYPERLINK("https://www.linkedin.com/ad-library/detail/918387703","Open Ad")</f>
        <v>Open Ad</v>
      </c>
      <c r="E3803" s="6" t="s">
        <v>91</v>
      </c>
      <c r="F3803" s="6" t="s">
        <v>8022</v>
      </c>
      <c r="G3803" s="6" t="s">
        <v>8174</v>
      </c>
      <c r="H3803" s="6" t="s">
        <v>55</v>
      </c>
      <c r="I3803" s="6" t="s">
        <v>8025</v>
      </c>
      <c r="J3803" s="6" t="s">
        <v>91</v>
      </c>
      <c r="K3803" s="12" t="str">
        <f>HYPERLINK("https://media.licdn.com/dms/image/v2/D4D10AQFk0yboYK59gg/image-shrink_1280/B4DZpejz5vIAAM-/0/1762523038125/LinkedinPaid-OverdoseCaseQuote-paidjpg?e=2147483647&amp;v=beta&amp;t=elmCcr5FyMFFwI9LG6X1CdAr9xtFgr6XKXJyHlqZn9M","View Creative")</f>
        <v>View Creative</v>
      </c>
      <c r="L3803" s="6" t="s">
        <v>62</v>
      </c>
      <c r="M3803" s="6" t="s">
        <v>8042</v>
      </c>
      <c r="N3803" s="6" t="s">
        <v>8186</v>
      </c>
      <c r="O3803" s="36" t="s">
        <v>7541</v>
      </c>
      <c r="P3803" s="36" t="s">
        <v>7542</v>
      </c>
      <c r="Q3803" s="38"/>
    </row>
    <row r="3804">
      <c r="A3804" s="6" t="s">
        <v>8042</v>
      </c>
      <c r="B3804" s="6" t="s">
        <v>8043</v>
      </c>
      <c r="C3804" s="6">
        <v>193.0</v>
      </c>
      <c r="D3804" s="9" t="str">
        <f>HYPERLINK("https://www.linkedin.com/ad-library/detail/918297343","Open Ad")</f>
        <v>Open Ad</v>
      </c>
      <c r="E3804" s="6" t="s">
        <v>91</v>
      </c>
      <c r="F3804" s="6" t="s">
        <v>8022</v>
      </c>
      <c r="G3804" s="19" t="s">
        <v>8180</v>
      </c>
      <c r="H3804" s="6" t="s">
        <v>55</v>
      </c>
      <c r="I3804" s="6" t="s">
        <v>8025</v>
      </c>
      <c r="J3804" s="6" t="s">
        <v>91</v>
      </c>
      <c r="K3804" s="12" t="str">
        <f>HYPERLINK("https://media.licdn.com/dms/image/v2/D4D10AQHPa-ScNyttLw/image-shrink_1280/B4DZrZ1grAJ4AM-/0/1764591276444/WhoareyoucompetingwithinAIanswerspng?e=2147483647&amp;v=beta&amp;t=IPTqKzWWAc5bQ5-6SxabU08QhBvDhdvS8cIY-0jU-LQ","View Creative")</f>
        <v>View Creative</v>
      </c>
      <c r="L3804" s="6" t="s">
        <v>62</v>
      </c>
      <c r="M3804" s="6" t="s">
        <v>8042</v>
      </c>
      <c r="O3804" s="36" t="s">
        <v>7541</v>
      </c>
      <c r="P3804" s="36" t="s">
        <v>7542</v>
      </c>
      <c r="Q3804" s="38"/>
    </row>
    <row r="3805">
      <c r="A3805" s="6" t="s">
        <v>8042</v>
      </c>
      <c r="B3805" s="6" t="s">
        <v>8043</v>
      </c>
      <c r="C3805" s="6">
        <v>194.0</v>
      </c>
      <c r="D3805" s="9" t="str">
        <f>HYPERLINK("https://www.linkedin.com/ad-library/detail/904759843","Open Ad")</f>
        <v>Open Ad</v>
      </c>
      <c r="E3805" s="6" t="s">
        <v>154</v>
      </c>
      <c r="F3805" s="6" t="s">
        <v>8022</v>
      </c>
      <c r="G3805" s="6" t="s">
        <v>8187</v>
      </c>
      <c r="H3805" s="6" t="s">
        <v>769</v>
      </c>
      <c r="I3805" s="6" t="s">
        <v>8025</v>
      </c>
      <c r="J3805" s="6" t="s">
        <v>154</v>
      </c>
      <c r="K3805" s="12" t="str">
        <f t="shared" ref="K3805:K3806" si="197">HYPERLINK("https://dms.licdn.com/playlist/vid/v2/D4D10AQFkKXhASeLfxA/mp4-640p-30fp-crf28/B4DZoQkIZjIAB0-/0/1761214503190/AccuRankerSquareCEdited1mp4?e=2147483647&amp;v=beta&amp;t=Uj-UfZaH5Xy98XkFPoWAvBLIJrXhoGPTcbRmd2SeYu8","View Creative")</f>
        <v>View Creative</v>
      </c>
      <c r="L3805" s="6" t="s">
        <v>62</v>
      </c>
      <c r="M3805" s="6" t="s">
        <v>8042</v>
      </c>
      <c r="O3805" s="36" t="s">
        <v>7541</v>
      </c>
      <c r="P3805" s="36" t="s">
        <v>7542</v>
      </c>
      <c r="Q3805" s="38"/>
    </row>
    <row r="3806">
      <c r="A3806" s="6" t="s">
        <v>8042</v>
      </c>
      <c r="B3806" s="6" t="s">
        <v>8043</v>
      </c>
      <c r="C3806" s="6">
        <v>195.0</v>
      </c>
      <c r="D3806" s="9" t="str">
        <f>HYPERLINK("https://www.linkedin.com/ad-library/detail/904650433","Open Ad")</f>
        <v>Open Ad</v>
      </c>
      <c r="E3806" s="6" t="s">
        <v>154</v>
      </c>
      <c r="F3806" s="6" t="s">
        <v>8022</v>
      </c>
      <c r="G3806" s="6" t="s">
        <v>8167</v>
      </c>
      <c r="H3806" s="6" t="s">
        <v>55</v>
      </c>
      <c r="I3806" s="6" t="s">
        <v>8025</v>
      </c>
      <c r="J3806" s="6" t="s">
        <v>154</v>
      </c>
      <c r="K3806" s="12" t="str">
        <f t="shared" si="197"/>
        <v>View Creative</v>
      </c>
      <c r="L3806" s="6" t="s">
        <v>62</v>
      </c>
      <c r="M3806" s="6" t="s">
        <v>8042</v>
      </c>
      <c r="N3806" s="6" t="s">
        <v>8188</v>
      </c>
      <c r="O3806" s="36" t="s">
        <v>7541</v>
      </c>
      <c r="P3806" s="36" t="s">
        <v>7542</v>
      </c>
      <c r="Q3806" s="38"/>
    </row>
    <row r="3807">
      <c r="A3807" s="6" t="s">
        <v>8042</v>
      </c>
      <c r="B3807" s="6" t="s">
        <v>8043</v>
      </c>
      <c r="C3807" s="6">
        <v>196.0</v>
      </c>
      <c r="D3807" s="9" t="str">
        <f>HYPERLINK("https://www.linkedin.com/ad-library/detail/918227953","Open Ad")</f>
        <v>Open Ad</v>
      </c>
      <c r="E3807" s="6" t="s">
        <v>91</v>
      </c>
      <c r="F3807" s="6" t="s">
        <v>8022</v>
      </c>
      <c r="G3807" s="19" t="s">
        <v>8169</v>
      </c>
      <c r="H3807" s="6" t="s">
        <v>55</v>
      </c>
      <c r="I3807" s="6" t="s">
        <v>8025</v>
      </c>
      <c r="J3807" s="6" t="s">
        <v>91</v>
      </c>
      <c r="K3807" s="12" t="str">
        <f>HYPERLINK("https://media.licdn.com/dms/image/v2/D4D10AQHDGO9DQBPFLA/image-shrink_1280/B4DZpeRI_eHsAM-/0/1762518143794/LLMblogtrackllmvisjpg?e=2147483647&amp;v=beta&amp;t=v2OAoqkgwzkgWaYcwpVUn-W73aJyGPmdzyehrWFSeXs","View Creative")</f>
        <v>View Creative</v>
      </c>
      <c r="L3807" s="6" t="s">
        <v>62</v>
      </c>
      <c r="M3807" s="6" t="s">
        <v>8042</v>
      </c>
      <c r="O3807" s="36" t="s">
        <v>7541</v>
      </c>
      <c r="P3807" s="36" t="s">
        <v>7542</v>
      </c>
      <c r="Q3807" s="38"/>
    </row>
    <row r="3808">
      <c r="A3808" s="6" t="s">
        <v>8042</v>
      </c>
      <c r="B3808" s="6" t="s">
        <v>8043</v>
      </c>
      <c r="C3808" s="6">
        <v>197.0</v>
      </c>
      <c r="D3808" s="9" t="str">
        <f>HYPERLINK("https://www.linkedin.com/ad-library/detail/918276403","Open Ad")</f>
        <v>Open Ad</v>
      </c>
      <c r="E3808" s="6" t="s">
        <v>91</v>
      </c>
      <c r="F3808" s="6" t="s">
        <v>8022</v>
      </c>
      <c r="G3808" s="6" t="s">
        <v>8189</v>
      </c>
      <c r="H3808" s="6" t="s">
        <v>55</v>
      </c>
      <c r="I3808" s="6" t="s">
        <v>8025</v>
      </c>
      <c r="J3808" s="6" t="s">
        <v>91</v>
      </c>
      <c r="K3808" s="12" t="str">
        <f>HYPERLINK("https://media.licdn.com/dms/image/v2/D4D10AQEmTZW6QF9mfQ/image-shrink_1280/B4DZpdsZokHwAQ-/0/1762508512417/LLM-Tracking-blogpost-paid1jpg?e=2147483647&amp;v=beta&amp;t=tMGh9HOefLi7J_7AMFFZOWvZybVPqVCC9e179h9q-e0","View Creative")</f>
        <v>View Creative</v>
      </c>
      <c r="L3808" s="6" t="s">
        <v>62</v>
      </c>
      <c r="M3808" s="6" t="s">
        <v>8042</v>
      </c>
      <c r="N3808" s="6" t="s">
        <v>8181</v>
      </c>
      <c r="O3808" s="36" t="s">
        <v>7541</v>
      </c>
      <c r="P3808" s="36" t="s">
        <v>7542</v>
      </c>
      <c r="Q3808" s="38"/>
    </row>
    <row r="3809">
      <c r="A3809" s="6" t="s">
        <v>8042</v>
      </c>
      <c r="B3809" s="6" t="s">
        <v>8043</v>
      </c>
      <c r="C3809" s="6">
        <v>198.0</v>
      </c>
      <c r="D3809" s="9" t="str">
        <f>HYPERLINK("https://www.linkedin.com/ad-library/detail/904600613","Open Ad")</f>
        <v>Open Ad</v>
      </c>
      <c r="E3809" s="6" t="s">
        <v>154</v>
      </c>
      <c r="F3809" s="6" t="s">
        <v>8022</v>
      </c>
      <c r="G3809" s="6" t="s">
        <v>8184</v>
      </c>
      <c r="H3809" s="6" t="s">
        <v>55</v>
      </c>
      <c r="I3809" s="6" t="s">
        <v>8025</v>
      </c>
      <c r="J3809" s="6" t="s">
        <v>154</v>
      </c>
      <c r="K3809" s="12" t="str">
        <f>HYPERLINK("https://dms.licdn.com/playlist/vid/v2/D4D10AQFkKXhASeLfxA/mp4-640p-30fp-crf28/B4DZoQkIZjIAB0-/0/1761214503190/AccuRankerSquareCEdited1mp4?e=2147483647&amp;v=beta&amp;t=Uj-UfZaH5Xy98XkFPoWAvBLIJrXhoGPTcbRmd2SeYu8","View Creative")</f>
        <v>View Creative</v>
      </c>
      <c r="L3809" s="6" t="s">
        <v>62</v>
      </c>
      <c r="M3809" s="6" t="s">
        <v>8042</v>
      </c>
      <c r="O3809" s="36" t="s">
        <v>7541</v>
      </c>
      <c r="P3809" s="36" t="s">
        <v>7542</v>
      </c>
      <c r="Q3809" s="38"/>
    </row>
    <row r="3810">
      <c r="A3810" s="6" t="s">
        <v>8042</v>
      </c>
      <c r="B3810" s="6" t="s">
        <v>8043</v>
      </c>
      <c r="C3810" s="6">
        <v>199.0</v>
      </c>
      <c r="D3810" s="9" t="str">
        <f>HYPERLINK("https://www.linkedin.com/ad-library/detail/916153443","Open Ad")</f>
        <v>Open Ad</v>
      </c>
      <c r="E3810" s="6" t="s">
        <v>52</v>
      </c>
      <c r="F3810" s="6" t="s">
        <v>8022</v>
      </c>
      <c r="G3810" s="6" t="s">
        <v>8190</v>
      </c>
      <c r="H3810" s="6" t="s">
        <v>55</v>
      </c>
      <c r="I3810" s="6" t="s">
        <v>8025</v>
      </c>
      <c r="J3810" s="6" t="s">
        <v>52</v>
      </c>
      <c r="K3810" s="6" t="s">
        <v>60</v>
      </c>
      <c r="L3810" s="6" t="s">
        <v>62</v>
      </c>
      <c r="M3810" s="6" t="s">
        <v>8042</v>
      </c>
      <c r="O3810" s="36" t="s">
        <v>7541</v>
      </c>
      <c r="P3810" s="36" t="s">
        <v>7542</v>
      </c>
      <c r="Q3810" s="38"/>
    </row>
    <row r="3811">
      <c r="A3811" s="6" t="s">
        <v>8042</v>
      </c>
      <c r="B3811" s="6" t="s">
        <v>8043</v>
      </c>
      <c r="C3811" s="6">
        <v>200.0</v>
      </c>
      <c r="D3811" s="9" t="str">
        <f>HYPERLINK("https://www.linkedin.com/ad-library/detail/904749853","Open Ad")</f>
        <v>Open Ad</v>
      </c>
      <c r="E3811" s="6" t="s">
        <v>154</v>
      </c>
      <c r="F3811" s="6" t="s">
        <v>8022</v>
      </c>
      <c r="G3811" s="6" t="s">
        <v>8184</v>
      </c>
      <c r="H3811" s="6" t="s">
        <v>55</v>
      </c>
      <c r="I3811" s="6" t="s">
        <v>8025</v>
      </c>
      <c r="J3811" s="6" t="s">
        <v>154</v>
      </c>
      <c r="K3811" s="12" t="str">
        <f t="shared" ref="K3811:K3813" si="198">HYPERLINK("https://dms.licdn.com/playlist/vid/v2/D4D10AQFkKXhASeLfxA/mp4-640p-30fp-crf28/B4DZoQkIZjIAB0-/0/1761214503190/AccuRankerSquareCEdited1mp4?e=2147483647&amp;v=beta&amp;t=Uj-UfZaH5Xy98XkFPoWAvBLIJrXhoGPTcbRmd2SeYu8","View Creative")</f>
        <v>View Creative</v>
      </c>
      <c r="L3811" s="6" t="s">
        <v>62</v>
      </c>
      <c r="M3811" s="6" t="s">
        <v>8042</v>
      </c>
      <c r="N3811" s="6" t="s">
        <v>8188</v>
      </c>
      <c r="O3811" s="36" t="s">
        <v>7541</v>
      </c>
      <c r="P3811" s="36" t="s">
        <v>7542</v>
      </c>
      <c r="Q3811" s="38"/>
    </row>
    <row r="3812">
      <c r="A3812" s="6" t="s">
        <v>8042</v>
      </c>
      <c r="B3812" s="6" t="s">
        <v>8043</v>
      </c>
      <c r="C3812" s="6">
        <v>201.0</v>
      </c>
      <c r="D3812" s="9" t="str">
        <f>HYPERLINK("https://www.linkedin.com/ad-library/detail/904610573","Open Ad")</f>
        <v>Open Ad</v>
      </c>
      <c r="E3812" s="6" t="s">
        <v>154</v>
      </c>
      <c r="F3812" s="6" t="s">
        <v>8022</v>
      </c>
      <c r="G3812" s="6" t="s">
        <v>8187</v>
      </c>
      <c r="H3812" s="6" t="s">
        <v>769</v>
      </c>
      <c r="I3812" s="6" t="s">
        <v>8025</v>
      </c>
      <c r="J3812" s="6" t="s">
        <v>154</v>
      </c>
      <c r="K3812" s="12" t="str">
        <f t="shared" si="198"/>
        <v>View Creative</v>
      </c>
      <c r="L3812" s="6" t="s">
        <v>62</v>
      </c>
      <c r="M3812" s="6" t="s">
        <v>8042</v>
      </c>
      <c r="N3812" s="6"/>
      <c r="O3812" s="36" t="s">
        <v>7541</v>
      </c>
      <c r="P3812" s="36" t="s">
        <v>7542</v>
      </c>
      <c r="Q3812" s="38"/>
    </row>
    <row r="3813">
      <c r="A3813" s="6" t="s">
        <v>8042</v>
      </c>
      <c r="B3813" s="6" t="s">
        <v>8043</v>
      </c>
      <c r="C3813" s="6">
        <v>202.0</v>
      </c>
      <c r="D3813" s="9" t="str">
        <f>HYPERLINK("https://www.linkedin.com/ad-library/detail/904729893","Open Ad")</f>
        <v>Open Ad</v>
      </c>
      <c r="E3813" s="6" t="s">
        <v>154</v>
      </c>
      <c r="F3813" s="6" t="s">
        <v>8022</v>
      </c>
      <c r="G3813" s="6" t="s">
        <v>8184</v>
      </c>
      <c r="H3813" s="6" t="s">
        <v>55</v>
      </c>
      <c r="I3813" s="6" t="s">
        <v>8025</v>
      </c>
      <c r="J3813" s="6" t="s">
        <v>154</v>
      </c>
      <c r="K3813" s="12" t="str">
        <f t="shared" si="198"/>
        <v>View Creative</v>
      </c>
      <c r="L3813" s="6" t="s">
        <v>62</v>
      </c>
      <c r="M3813" s="6" t="s">
        <v>8042</v>
      </c>
      <c r="N3813" s="6"/>
      <c r="O3813" s="36" t="s">
        <v>7541</v>
      </c>
      <c r="P3813" s="36" t="s">
        <v>7542</v>
      </c>
      <c r="Q3813" s="38"/>
    </row>
    <row r="3814">
      <c r="A3814" s="6" t="s">
        <v>8042</v>
      </c>
      <c r="B3814" s="6" t="s">
        <v>8043</v>
      </c>
      <c r="C3814" s="6">
        <v>203.0</v>
      </c>
      <c r="D3814" s="9" t="str">
        <f>HYPERLINK("https://www.linkedin.com/ad-library/detail/918315443","Open Ad")</f>
        <v>Open Ad</v>
      </c>
      <c r="E3814" s="6" t="s">
        <v>91</v>
      </c>
      <c r="F3814" s="6" t="s">
        <v>8022</v>
      </c>
      <c r="G3814" s="6" t="s">
        <v>8191</v>
      </c>
      <c r="H3814" s="6" t="s">
        <v>55</v>
      </c>
      <c r="I3814" s="6" t="s">
        <v>8025</v>
      </c>
      <c r="J3814" s="6" t="s">
        <v>91</v>
      </c>
      <c r="K3814" s="12" t="str">
        <f>HYPERLINK("https://media.licdn.com/dms/image/v2/D4D10AQFiUFw2M_Z-pQ/image-shrink_1280/B4DZpdsrC3KQAM-/0/1762508585637/race-llmjpg?e=2147483647&amp;v=beta&amp;t=4siF0HuZCCbCaazSbygXUhu1qM-XDI7iXRpoEILtCCw","View Creative")</f>
        <v>View Creative</v>
      </c>
      <c r="L3814" s="6" t="s">
        <v>62</v>
      </c>
      <c r="M3814" s="6" t="s">
        <v>8042</v>
      </c>
      <c r="N3814" s="6"/>
      <c r="O3814" s="36" t="s">
        <v>7541</v>
      </c>
      <c r="P3814" s="36" t="s">
        <v>7542</v>
      </c>
      <c r="Q3814" s="38"/>
    </row>
    <row r="3815">
      <c r="A3815" s="6" t="s">
        <v>8042</v>
      </c>
      <c r="B3815" s="6" t="s">
        <v>8043</v>
      </c>
      <c r="C3815" s="6">
        <v>204.0</v>
      </c>
      <c r="D3815" s="9" t="str">
        <f>HYPERLINK("https://www.linkedin.com/ad-library/detail/918226613","Open Ad")</f>
        <v>Open Ad</v>
      </c>
      <c r="E3815" s="6" t="s">
        <v>91</v>
      </c>
      <c r="F3815" s="6" t="s">
        <v>8022</v>
      </c>
      <c r="G3815" s="6" t="s">
        <v>8189</v>
      </c>
      <c r="H3815" s="6" t="s">
        <v>55</v>
      </c>
      <c r="I3815" s="6" t="s">
        <v>8025</v>
      </c>
      <c r="J3815" s="6" t="s">
        <v>91</v>
      </c>
      <c r="K3815" s="12" t="str">
        <f t="shared" ref="K3815:K3816" si="199">HYPERLINK("https://media.licdn.com/dms/image/v2/D4D10AQEmTZW6QF9mfQ/image-shrink_1280/B4DZpdsZokHwAQ-/0/1762508512417/LLM-Tracking-blogpost-paid1jpg?e=2147483647&amp;v=beta&amp;t=tMGh9HOefLi7J_7AMFFZOWvZybVPqVCC9e179h9q-e0","View Creative")</f>
        <v>View Creative</v>
      </c>
      <c r="L3815" s="6" t="s">
        <v>62</v>
      </c>
      <c r="M3815" s="6" t="s">
        <v>8042</v>
      </c>
      <c r="N3815" s="6"/>
      <c r="O3815" s="36" t="s">
        <v>7541</v>
      </c>
      <c r="P3815" s="36" t="s">
        <v>7542</v>
      </c>
      <c r="Q3815" s="38"/>
    </row>
    <row r="3816">
      <c r="A3816" s="6" t="s">
        <v>8042</v>
      </c>
      <c r="B3816" s="6" t="s">
        <v>8043</v>
      </c>
      <c r="C3816" s="6">
        <v>205.0</v>
      </c>
      <c r="D3816" s="9" t="str">
        <f>HYPERLINK("https://www.linkedin.com/ad-library/detail/918236893","Open Ad")</f>
        <v>Open Ad</v>
      </c>
      <c r="E3816" s="6" t="s">
        <v>91</v>
      </c>
      <c r="F3816" s="6" t="s">
        <v>8022</v>
      </c>
      <c r="G3816" s="6" t="s">
        <v>8189</v>
      </c>
      <c r="H3816" s="6" t="s">
        <v>55</v>
      </c>
      <c r="I3816" s="6" t="s">
        <v>8025</v>
      </c>
      <c r="J3816" s="6" t="s">
        <v>91</v>
      </c>
      <c r="K3816" s="12" t="str">
        <f t="shared" si="199"/>
        <v>View Creative</v>
      </c>
      <c r="L3816" s="6" t="s">
        <v>62</v>
      </c>
      <c r="M3816" s="6" t="s">
        <v>8042</v>
      </c>
      <c r="N3816" s="6" t="s">
        <v>8192</v>
      </c>
      <c r="O3816" s="36" t="s">
        <v>7541</v>
      </c>
      <c r="P3816" s="36" t="s">
        <v>7542</v>
      </c>
      <c r="Q3816" s="38"/>
    </row>
    <row r="3817">
      <c r="A3817" s="6" t="s">
        <v>8042</v>
      </c>
      <c r="B3817" s="6" t="s">
        <v>8043</v>
      </c>
      <c r="C3817" s="6">
        <v>206.0</v>
      </c>
      <c r="D3817" s="9" t="str">
        <f>HYPERLINK("https://www.linkedin.com/ad-library/detail/915976033","Open Ad")</f>
        <v>Open Ad</v>
      </c>
      <c r="E3817" s="6" t="s">
        <v>52</v>
      </c>
      <c r="F3817" s="6" t="s">
        <v>8022</v>
      </c>
      <c r="G3817" s="6" t="s">
        <v>8190</v>
      </c>
      <c r="H3817" s="6" t="s">
        <v>55</v>
      </c>
      <c r="I3817" s="6" t="s">
        <v>8025</v>
      </c>
      <c r="J3817" s="6" t="s">
        <v>52</v>
      </c>
      <c r="K3817" s="6" t="s">
        <v>60</v>
      </c>
      <c r="L3817" s="6" t="s">
        <v>62</v>
      </c>
      <c r="M3817" s="6" t="s">
        <v>8042</v>
      </c>
      <c r="N3817" s="6" t="s">
        <v>8193</v>
      </c>
      <c r="O3817" s="36" t="s">
        <v>7541</v>
      </c>
      <c r="P3817" s="36" t="s">
        <v>7542</v>
      </c>
      <c r="Q3817" s="38"/>
    </row>
    <row r="3818">
      <c r="A3818" s="6" t="s">
        <v>8042</v>
      </c>
      <c r="B3818" s="6" t="s">
        <v>8043</v>
      </c>
      <c r="C3818" s="6">
        <v>207.0</v>
      </c>
      <c r="D3818" s="9" t="str">
        <f>HYPERLINK("https://www.linkedin.com/ad-library/detail/904558813","Open Ad")</f>
        <v>Open Ad</v>
      </c>
      <c r="E3818" s="6" t="s">
        <v>154</v>
      </c>
      <c r="F3818" s="6" t="s">
        <v>8022</v>
      </c>
      <c r="G3818" s="6" t="s">
        <v>8178</v>
      </c>
      <c r="H3818" s="6" t="s">
        <v>55</v>
      </c>
      <c r="I3818" s="6" t="s">
        <v>8025</v>
      </c>
      <c r="J3818" s="6" t="s">
        <v>154</v>
      </c>
      <c r="K3818" s="12" t="str">
        <f>HYPERLINK("https://dms.licdn.com/playlist/vid/v2/D4D10AQFkKXhASeLfxA/mp4-640p-30fp-crf28/B4DZoQkIZjIAB0-/0/1761214503190/AccuRankerSquareCEdited1mp4?e=2147483647&amp;v=beta&amp;t=Uj-UfZaH5Xy98XkFPoWAvBLIJrXhoGPTcbRmd2SeYu8","View Creative")</f>
        <v>View Creative</v>
      </c>
      <c r="L3818" s="6" t="s">
        <v>62</v>
      </c>
      <c r="M3818" s="6" t="s">
        <v>8042</v>
      </c>
      <c r="N3818" s="6" t="s">
        <v>8194</v>
      </c>
      <c r="O3818" s="36" t="s">
        <v>7541</v>
      </c>
      <c r="P3818" s="36" t="s">
        <v>7542</v>
      </c>
      <c r="Q3818" s="38"/>
    </row>
    <row r="3819">
      <c r="A3819" s="6" t="s">
        <v>8042</v>
      </c>
      <c r="B3819" s="6" t="s">
        <v>8043</v>
      </c>
      <c r="C3819" s="6">
        <v>208.0</v>
      </c>
      <c r="D3819" s="9" t="str">
        <f>HYPERLINK("https://www.linkedin.com/ad-library/detail/916083843","Open Ad")</f>
        <v>Open Ad</v>
      </c>
      <c r="E3819" s="6" t="s">
        <v>52</v>
      </c>
      <c r="F3819" s="6" t="s">
        <v>8022</v>
      </c>
      <c r="G3819" s="6" t="s">
        <v>8190</v>
      </c>
      <c r="H3819" s="6" t="s">
        <v>55</v>
      </c>
      <c r="I3819" s="6" t="s">
        <v>8025</v>
      </c>
      <c r="J3819" s="6" t="s">
        <v>52</v>
      </c>
      <c r="K3819" s="6" t="s">
        <v>60</v>
      </c>
      <c r="L3819" s="6" t="s">
        <v>62</v>
      </c>
      <c r="M3819" s="6" t="s">
        <v>8042</v>
      </c>
      <c r="N3819" s="6" t="s">
        <v>8195</v>
      </c>
      <c r="O3819" s="36" t="s">
        <v>7541</v>
      </c>
      <c r="P3819" s="36" t="s">
        <v>7542</v>
      </c>
      <c r="Q3819" s="38"/>
    </row>
    <row r="3820">
      <c r="A3820" s="6" t="s">
        <v>8042</v>
      </c>
      <c r="B3820" s="6" t="s">
        <v>8043</v>
      </c>
      <c r="C3820" s="6">
        <v>209.0</v>
      </c>
      <c r="D3820" s="9" t="str">
        <f>HYPERLINK("https://www.linkedin.com/ad-library/detail/918405123","Open Ad")</f>
        <v>Open Ad</v>
      </c>
      <c r="E3820" s="6" t="s">
        <v>91</v>
      </c>
      <c r="F3820" s="6" t="s">
        <v>8022</v>
      </c>
      <c r="G3820" s="6" t="s">
        <v>8191</v>
      </c>
      <c r="H3820" s="6" t="s">
        <v>55</v>
      </c>
      <c r="I3820" s="6" t="s">
        <v>8025</v>
      </c>
      <c r="J3820" s="6" t="s">
        <v>91</v>
      </c>
      <c r="K3820" s="12" t="str">
        <f t="shared" ref="K3820:K3821" si="200">HYPERLINK("https://media.licdn.com/dms/image/v2/D4D10AQFiUFw2M_Z-pQ/image-shrink_1280/B4DZpdsrC3KQAM-/0/1762508585637/race-llmjpg?e=2147483647&amp;v=beta&amp;t=4siF0HuZCCbCaazSbygXUhu1qM-XDI7iXRpoEILtCCw","View Creative")</f>
        <v>View Creative</v>
      </c>
      <c r="L3820" s="6" t="s">
        <v>62</v>
      </c>
      <c r="M3820" s="6" t="s">
        <v>8042</v>
      </c>
      <c r="N3820" s="6" t="s">
        <v>8196</v>
      </c>
      <c r="O3820" s="36" t="s">
        <v>7541</v>
      </c>
      <c r="P3820" s="36" t="s">
        <v>7542</v>
      </c>
      <c r="Q3820" s="38"/>
    </row>
    <row r="3821">
      <c r="A3821" s="6" t="s">
        <v>8042</v>
      </c>
      <c r="B3821" s="6" t="s">
        <v>8043</v>
      </c>
      <c r="C3821" s="6">
        <v>210.0</v>
      </c>
      <c r="D3821" s="9" t="str">
        <f>HYPERLINK("https://www.linkedin.com/ad-library/detail/918266313","Open Ad")</f>
        <v>Open Ad</v>
      </c>
      <c r="E3821" s="6" t="s">
        <v>91</v>
      </c>
      <c r="F3821" s="6" t="s">
        <v>8022</v>
      </c>
      <c r="G3821" s="6" t="s">
        <v>8191</v>
      </c>
      <c r="H3821" s="6" t="s">
        <v>55</v>
      </c>
      <c r="I3821" s="6" t="s">
        <v>8025</v>
      </c>
      <c r="J3821" s="6" t="s">
        <v>91</v>
      </c>
      <c r="K3821" s="12" t="str">
        <f t="shared" si="200"/>
        <v>View Creative</v>
      </c>
      <c r="L3821" s="6" t="s">
        <v>62</v>
      </c>
      <c r="M3821" s="6" t="s">
        <v>8042</v>
      </c>
      <c r="N3821" s="6" t="s">
        <v>8181</v>
      </c>
      <c r="O3821" s="36" t="s">
        <v>7541</v>
      </c>
      <c r="P3821" s="36" t="s">
        <v>7542</v>
      </c>
      <c r="Q3821" s="38"/>
    </row>
    <row r="3822">
      <c r="A3822" s="6" t="s">
        <v>8042</v>
      </c>
      <c r="B3822" s="6" t="s">
        <v>8043</v>
      </c>
      <c r="C3822" s="6">
        <v>211.0</v>
      </c>
      <c r="D3822" s="9" t="str">
        <f>HYPERLINK("https://www.linkedin.com/ad-library/detail/904558853","Open Ad")</f>
        <v>Open Ad</v>
      </c>
      <c r="E3822" s="6" t="s">
        <v>154</v>
      </c>
      <c r="F3822" s="6" t="s">
        <v>8022</v>
      </c>
      <c r="G3822" s="6" t="s">
        <v>8178</v>
      </c>
      <c r="H3822" s="6" t="s">
        <v>55</v>
      </c>
      <c r="I3822" s="6" t="s">
        <v>8025</v>
      </c>
      <c r="J3822" s="6" t="s">
        <v>154</v>
      </c>
      <c r="K3822" s="12" t="str">
        <f t="shared" ref="K3822:K3827" si="201">HYPERLINK("https://dms.licdn.com/playlist/vid/v2/D4D10AQFkKXhASeLfxA/mp4-640p-30fp-crf28/B4DZoQkIZjIAB0-/0/1761214503190/AccuRankerSquareCEdited1mp4?e=2147483647&amp;v=beta&amp;t=Uj-UfZaH5Xy98XkFPoWAvBLIJrXhoGPTcbRmd2SeYu8","View Creative")</f>
        <v>View Creative</v>
      </c>
      <c r="L3822" s="6" t="s">
        <v>62</v>
      </c>
      <c r="M3822" s="6" t="s">
        <v>8042</v>
      </c>
      <c r="N3822" s="6"/>
      <c r="O3822" s="36" t="s">
        <v>7541</v>
      </c>
      <c r="P3822" s="36" t="s">
        <v>7542</v>
      </c>
      <c r="Q3822" s="38"/>
    </row>
    <row r="3823">
      <c r="A3823" s="6" t="s">
        <v>8042</v>
      </c>
      <c r="B3823" s="6" t="s">
        <v>8043</v>
      </c>
      <c r="C3823" s="6">
        <v>212.0</v>
      </c>
      <c r="D3823" s="9" t="str">
        <f>HYPERLINK("https://www.linkedin.com/ad-library/detail/904549753","Open Ad")</f>
        <v>Open Ad</v>
      </c>
      <c r="E3823" s="6" t="s">
        <v>154</v>
      </c>
      <c r="F3823" s="6" t="s">
        <v>8022</v>
      </c>
      <c r="G3823" s="6" t="s">
        <v>8167</v>
      </c>
      <c r="H3823" s="6" t="s">
        <v>55</v>
      </c>
      <c r="I3823" s="6" t="s">
        <v>8025</v>
      </c>
      <c r="J3823" s="6" t="s">
        <v>154</v>
      </c>
      <c r="K3823" s="12" t="str">
        <f t="shared" si="201"/>
        <v>View Creative</v>
      </c>
      <c r="L3823" s="6" t="s">
        <v>62</v>
      </c>
      <c r="M3823" s="6" t="s">
        <v>8042</v>
      </c>
      <c r="N3823" s="6"/>
      <c r="O3823" s="36" t="s">
        <v>7541</v>
      </c>
      <c r="P3823" s="36" t="s">
        <v>7542</v>
      </c>
      <c r="Q3823" s="38"/>
    </row>
    <row r="3824">
      <c r="A3824" s="6" t="s">
        <v>8042</v>
      </c>
      <c r="B3824" s="6" t="s">
        <v>8043</v>
      </c>
      <c r="C3824" s="6">
        <v>213.0</v>
      </c>
      <c r="D3824" s="9" t="str">
        <f>HYPERLINK("https://www.linkedin.com/ad-library/detail/904680203","Open Ad")</f>
        <v>Open Ad</v>
      </c>
      <c r="E3824" s="6" t="s">
        <v>154</v>
      </c>
      <c r="F3824" s="6" t="s">
        <v>8022</v>
      </c>
      <c r="G3824" s="6" t="s">
        <v>8187</v>
      </c>
      <c r="H3824" s="6" t="s">
        <v>769</v>
      </c>
      <c r="I3824" s="6" t="s">
        <v>8025</v>
      </c>
      <c r="J3824" s="6" t="s">
        <v>154</v>
      </c>
      <c r="K3824" s="12" t="str">
        <f t="shared" si="201"/>
        <v>View Creative</v>
      </c>
      <c r="L3824" s="6" t="s">
        <v>62</v>
      </c>
      <c r="M3824" s="6" t="s">
        <v>8042</v>
      </c>
      <c r="N3824" s="6" t="s">
        <v>8197</v>
      </c>
      <c r="O3824" s="36" t="s">
        <v>7541</v>
      </c>
      <c r="P3824" s="36" t="s">
        <v>7542</v>
      </c>
      <c r="Q3824" s="38"/>
    </row>
    <row r="3825">
      <c r="A3825" s="6" t="s">
        <v>8042</v>
      </c>
      <c r="B3825" s="6" t="s">
        <v>8043</v>
      </c>
      <c r="C3825" s="6">
        <v>214.0</v>
      </c>
      <c r="D3825" s="9" t="str">
        <f>HYPERLINK("https://www.linkedin.com/ad-library/detail/904590823","Open Ad")</f>
        <v>Open Ad</v>
      </c>
      <c r="E3825" s="6" t="s">
        <v>154</v>
      </c>
      <c r="F3825" s="6" t="s">
        <v>8022</v>
      </c>
      <c r="G3825" s="6" t="s">
        <v>8187</v>
      </c>
      <c r="H3825" s="6" t="s">
        <v>769</v>
      </c>
      <c r="I3825" s="6" t="s">
        <v>8025</v>
      </c>
      <c r="J3825" s="6" t="s">
        <v>154</v>
      </c>
      <c r="K3825" s="12" t="str">
        <f t="shared" si="201"/>
        <v>View Creative</v>
      </c>
      <c r="L3825" s="6" t="s">
        <v>62</v>
      </c>
      <c r="M3825" s="6" t="s">
        <v>8042</v>
      </c>
      <c r="N3825" s="6"/>
      <c r="O3825" s="36" t="s">
        <v>7541</v>
      </c>
      <c r="P3825" s="36" t="s">
        <v>7542</v>
      </c>
      <c r="Q3825" s="38"/>
    </row>
    <row r="3826">
      <c r="A3826" s="6" t="s">
        <v>8042</v>
      </c>
      <c r="B3826" s="6" t="s">
        <v>8043</v>
      </c>
      <c r="C3826" s="6">
        <v>215.0</v>
      </c>
      <c r="D3826" s="9" t="str">
        <f>HYPERLINK("https://www.linkedin.com/ad-library/detail/904660533","Open Ad")</f>
        <v>Open Ad</v>
      </c>
      <c r="E3826" s="6" t="s">
        <v>154</v>
      </c>
      <c r="F3826" s="6" t="s">
        <v>8022</v>
      </c>
      <c r="G3826" s="6" t="s">
        <v>8178</v>
      </c>
      <c r="H3826" s="6" t="s">
        <v>55</v>
      </c>
      <c r="I3826" s="6" t="s">
        <v>8025</v>
      </c>
      <c r="J3826" s="6" t="s">
        <v>154</v>
      </c>
      <c r="K3826" s="12" t="str">
        <f t="shared" si="201"/>
        <v>View Creative</v>
      </c>
      <c r="L3826" s="6" t="s">
        <v>62</v>
      </c>
      <c r="M3826" s="6" t="s">
        <v>8042</v>
      </c>
      <c r="N3826" s="6"/>
      <c r="O3826" s="36" t="s">
        <v>7541</v>
      </c>
      <c r="P3826" s="36" t="s">
        <v>7542</v>
      </c>
      <c r="Q3826" s="38"/>
    </row>
    <row r="3827">
      <c r="A3827" s="6" t="s">
        <v>8042</v>
      </c>
      <c r="B3827" s="6" t="s">
        <v>8043</v>
      </c>
      <c r="C3827" s="6">
        <v>216.0</v>
      </c>
      <c r="D3827" s="9" t="str">
        <f>HYPERLINK("https://www.linkedin.com/ad-library/detail/904640563","Open Ad")</f>
        <v>Open Ad</v>
      </c>
      <c r="E3827" s="6" t="s">
        <v>154</v>
      </c>
      <c r="F3827" s="6" t="s">
        <v>8022</v>
      </c>
      <c r="G3827" s="6" t="s">
        <v>8167</v>
      </c>
      <c r="H3827" s="6" t="s">
        <v>55</v>
      </c>
      <c r="I3827" s="6" t="s">
        <v>8025</v>
      </c>
      <c r="J3827" s="6" t="s">
        <v>154</v>
      </c>
      <c r="K3827" s="12" t="str">
        <f t="shared" si="201"/>
        <v>View Creative</v>
      </c>
      <c r="L3827" s="6" t="s">
        <v>62</v>
      </c>
      <c r="M3827" s="6" t="s">
        <v>8042</v>
      </c>
      <c r="N3827" s="6"/>
      <c r="O3827" s="36" t="s">
        <v>7541</v>
      </c>
      <c r="P3827" s="36" t="s">
        <v>7542</v>
      </c>
      <c r="Q3827" s="38"/>
    </row>
    <row r="3828">
      <c r="A3828" s="6" t="s">
        <v>8042</v>
      </c>
      <c r="B3828" s="6" t="s">
        <v>8043</v>
      </c>
      <c r="C3828" s="6">
        <v>217.0</v>
      </c>
      <c r="D3828" s="9" t="str">
        <f>HYPERLINK("https://www.linkedin.com/ad-library/detail/901982253","Open Ad")</f>
        <v>Open Ad</v>
      </c>
      <c r="E3828" s="6" t="s">
        <v>154</v>
      </c>
      <c r="F3828" s="6" t="s">
        <v>8022</v>
      </c>
      <c r="G3828" s="6" t="s">
        <v>8167</v>
      </c>
      <c r="H3828" s="6" t="s">
        <v>55</v>
      </c>
      <c r="I3828" s="6" t="s">
        <v>8025</v>
      </c>
      <c r="J3828" s="6" t="s">
        <v>154</v>
      </c>
      <c r="K3828" s="12" t="str">
        <f t="shared" ref="K3828:K3830" si="202">HYPERLINK("https://dms.licdn.com/playlist/vid/v2/D4D10AQE7900WZxHdYA/mp4-720p-30fp-crf28/B4DZoGvAIFIECM-/0/1761049581072/AccuRankerSquareCEdited1mp4?e=2147483647&amp;v=beta&amp;t=yHLAPx3J5H2cy5orn2DEMS_8d_TeXfEUgGnqojtBmrA","View Creative")</f>
        <v>View Creative</v>
      </c>
      <c r="L3828" s="6" t="s">
        <v>62</v>
      </c>
      <c r="M3828" s="6" t="s">
        <v>8042</v>
      </c>
      <c r="N3828" s="6" t="s">
        <v>8198</v>
      </c>
      <c r="O3828" s="36" t="s">
        <v>7541</v>
      </c>
      <c r="P3828" s="36" t="s">
        <v>7542</v>
      </c>
      <c r="Q3828" s="38"/>
    </row>
    <row r="3829">
      <c r="A3829" s="6" t="s">
        <v>8042</v>
      </c>
      <c r="B3829" s="6" t="s">
        <v>8043</v>
      </c>
      <c r="C3829" s="6">
        <v>218.0</v>
      </c>
      <c r="D3829" s="9" t="str">
        <f>HYPERLINK("https://www.linkedin.com/ad-library/detail/901962843","Open Ad")</f>
        <v>Open Ad</v>
      </c>
      <c r="E3829" s="6" t="s">
        <v>154</v>
      </c>
      <c r="F3829" s="6" t="s">
        <v>8022</v>
      </c>
      <c r="G3829" s="6" t="s">
        <v>8184</v>
      </c>
      <c r="H3829" s="6" t="s">
        <v>55</v>
      </c>
      <c r="I3829" s="6" t="s">
        <v>8025</v>
      </c>
      <c r="J3829" s="6" t="s">
        <v>154</v>
      </c>
      <c r="K3829" s="12" t="str">
        <f t="shared" si="202"/>
        <v>View Creative</v>
      </c>
      <c r="L3829" s="6" t="s">
        <v>62</v>
      </c>
      <c r="M3829" s="6" t="s">
        <v>8042</v>
      </c>
      <c r="N3829" s="6" t="s">
        <v>8199</v>
      </c>
      <c r="O3829" s="36" t="s">
        <v>7541</v>
      </c>
      <c r="P3829" s="36" t="s">
        <v>7542</v>
      </c>
      <c r="Q3829" s="38"/>
    </row>
    <row r="3830">
      <c r="A3830" s="6" t="s">
        <v>8042</v>
      </c>
      <c r="B3830" s="6" t="s">
        <v>8043</v>
      </c>
      <c r="C3830" s="6">
        <v>219.0</v>
      </c>
      <c r="D3830" s="9" t="str">
        <f>HYPERLINK("https://www.linkedin.com/ad-library/detail/901873083","Open Ad")</f>
        <v>Open Ad</v>
      </c>
      <c r="E3830" s="6" t="s">
        <v>154</v>
      </c>
      <c r="F3830" s="6" t="s">
        <v>8022</v>
      </c>
      <c r="G3830" s="6" t="s">
        <v>8187</v>
      </c>
      <c r="H3830" s="6" t="s">
        <v>769</v>
      </c>
      <c r="I3830" s="6" t="s">
        <v>8025</v>
      </c>
      <c r="J3830" s="6" t="s">
        <v>154</v>
      </c>
      <c r="K3830" s="12" t="str">
        <f t="shared" si="202"/>
        <v>View Creative</v>
      </c>
      <c r="L3830" s="6" t="s">
        <v>62</v>
      </c>
      <c r="M3830" s="6" t="s">
        <v>8042</v>
      </c>
      <c r="N3830" s="6"/>
      <c r="O3830" s="36" t="s">
        <v>7541</v>
      </c>
      <c r="P3830" s="36" t="s">
        <v>7542</v>
      </c>
      <c r="Q3830" s="38"/>
    </row>
    <row r="3831">
      <c r="A3831" s="6" t="s">
        <v>8042</v>
      </c>
      <c r="B3831" s="6" t="s">
        <v>8043</v>
      </c>
      <c r="C3831" s="6">
        <v>220.0</v>
      </c>
      <c r="D3831" s="9" t="str">
        <f>HYPERLINK("https://www.linkedin.com/ad-library/detail/901812813","Open Ad")</f>
        <v>Open Ad</v>
      </c>
      <c r="E3831" s="6" t="s">
        <v>154</v>
      </c>
      <c r="F3831" s="6" t="s">
        <v>8022</v>
      </c>
      <c r="G3831" s="6" t="s">
        <v>8200</v>
      </c>
      <c r="H3831" s="6" t="s">
        <v>55</v>
      </c>
      <c r="I3831" s="6" t="s">
        <v>8025</v>
      </c>
      <c r="J3831" s="6" t="s">
        <v>154</v>
      </c>
      <c r="K3831" s="12" t="str">
        <f t="shared" ref="K3831:K3832" si="203">HYPERLINK("https://dms.licdn.com/playlist/vid/v2/D4D10AQHATMzXrq4gRg/progressive-servable-video/B4DZoF5ULKHsAY-/0/1761035503786/AccuRankerSquareCEdited1mp4?e=2147483647&amp;v=beta&amp;t=WHNRHFfODEgRi0vQeR12rY6mxCoOjL7aw0ezu0nMM00","View Creative")</f>
        <v>View Creative</v>
      </c>
      <c r="L3831" s="6" t="s">
        <v>62</v>
      </c>
      <c r="M3831" s="6" t="s">
        <v>8042</v>
      </c>
      <c r="N3831" s="6" t="s">
        <v>8201</v>
      </c>
      <c r="O3831" s="36" t="s">
        <v>7541</v>
      </c>
      <c r="P3831" s="36" t="s">
        <v>7542</v>
      </c>
      <c r="Q3831" s="38"/>
    </row>
    <row r="3832">
      <c r="A3832" s="6" t="s">
        <v>8042</v>
      </c>
      <c r="B3832" s="6" t="s">
        <v>8043</v>
      </c>
      <c r="C3832" s="6">
        <v>221.0</v>
      </c>
      <c r="D3832" s="9" t="str">
        <f>HYPERLINK("https://www.linkedin.com/ad-library/detail/901812823","Open Ad")</f>
        <v>Open Ad</v>
      </c>
      <c r="E3832" s="6" t="s">
        <v>154</v>
      </c>
      <c r="F3832" s="6" t="s">
        <v>8022</v>
      </c>
      <c r="G3832" s="6" t="s">
        <v>8184</v>
      </c>
      <c r="H3832" s="6" t="s">
        <v>55</v>
      </c>
      <c r="I3832" s="6" t="s">
        <v>8025</v>
      </c>
      <c r="J3832" s="6" t="s">
        <v>154</v>
      </c>
      <c r="K3832" s="12" t="str">
        <f t="shared" si="203"/>
        <v>View Creative</v>
      </c>
      <c r="L3832" s="6" t="s">
        <v>62</v>
      </c>
      <c r="M3832" s="6" t="s">
        <v>8042</v>
      </c>
      <c r="N3832" s="6" t="s">
        <v>8201</v>
      </c>
      <c r="O3832" s="36" t="s">
        <v>7541</v>
      </c>
      <c r="P3832" s="36" t="s">
        <v>7542</v>
      </c>
      <c r="Q3832" s="38"/>
    </row>
    <row r="3833">
      <c r="A3833" s="6" t="s">
        <v>8042</v>
      </c>
      <c r="B3833" s="6" t="s">
        <v>8043</v>
      </c>
      <c r="C3833" s="6">
        <v>222.0</v>
      </c>
      <c r="D3833" s="9" t="str">
        <f>HYPERLINK("https://www.linkedin.com/ad-library/detail/902011803","Open Ad")</f>
        <v>Open Ad</v>
      </c>
      <c r="E3833" s="6" t="s">
        <v>154</v>
      </c>
      <c r="F3833" s="6" t="s">
        <v>8022</v>
      </c>
      <c r="G3833" s="6" t="s">
        <v>8184</v>
      </c>
      <c r="H3833" s="6" t="s">
        <v>55</v>
      </c>
      <c r="I3833" s="6" t="s">
        <v>8025</v>
      </c>
      <c r="J3833" s="6" t="s">
        <v>154</v>
      </c>
      <c r="K3833" s="12" t="str">
        <f>HYPERLINK("https://dms.licdn.com/playlist/vid/v2/D4D10AQE7900WZxHdYA/mp4-720p-30fp-crf28/B4DZoGvAIFIECM-/0/1761049581072/AccuRankerSquareCEdited1mp4?e=2147483647&amp;v=beta&amp;t=yHLAPx3J5H2cy5orn2DEMS_8d_TeXfEUgGnqojtBmrA","View Creative")</f>
        <v>View Creative</v>
      </c>
      <c r="L3833" s="6" t="s">
        <v>62</v>
      </c>
      <c r="M3833" s="6" t="s">
        <v>8042</v>
      </c>
      <c r="N3833" s="6"/>
      <c r="O3833" s="36" t="s">
        <v>7541</v>
      </c>
      <c r="P3833" s="36" t="s">
        <v>7542</v>
      </c>
      <c r="Q3833" s="38"/>
    </row>
    <row r="3834">
      <c r="A3834" s="6" t="s">
        <v>8042</v>
      </c>
      <c r="B3834" s="6" t="s">
        <v>8043</v>
      </c>
      <c r="C3834" s="6">
        <v>223.0</v>
      </c>
      <c r="D3834" s="9" t="str">
        <f>HYPERLINK("https://www.linkedin.com/ad-library/detail/901880483","Open Ad")</f>
        <v>Open Ad</v>
      </c>
      <c r="E3834" s="6" t="s">
        <v>154</v>
      </c>
      <c r="F3834" s="6" t="s">
        <v>8022</v>
      </c>
      <c r="G3834" s="6" t="s">
        <v>8200</v>
      </c>
      <c r="H3834" s="6" t="s">
        <v>55</v>
      </c>
      <c r="I3834" s="6" t="s">
        <v>8025</v>
      </c>
      <c r="J3834" s="6" t="s">
        <v>154</v>
      </c>
      <c r="K3834" s="12" t="str">
        <f t="shared" ref="K3834:K3835" si="204">HYPERLINK("https://dms.licdn.com/playlist/vid/v2/D4D10AQHATMzXrq4gRg/progressive-servable-video/B4DZoF5ULKHsAY-/0/1761035503786/AccuRankerSquareCEdited1mp4?e=2147483647&amp;v=beta&amp;t=WHNRHFfODEgRi0vQeR12rY6mxCoOjL7aw0ezu0nMM00","View Creative")</f>
        <v>View Creative</v>
      </c>
      <c r="L3834" s="6" t="s">
        <v>62</v>
      </c>
      <c r="M3834" s="6" t="s">
        <v>8042</v>
      </c>
      <c r="N3834" s="6"/>
      <c r="O3834" s="36" t="s">
        <v>7541</v>
      </c>
      <c r="P3834" s="36" t="s">
        <v>7542</v>
      </c>
      <c r="Q3834" s="38"/>
    </row>
    <row r="3835">
      <c r="A3835" s="6" t="s">
        <v>8042</v>
      </c>
      <c r="B3835" s="6" t="s">
        <v>8043</v>
      </c>
      <c r="C3835" s="6">
        <v>224.0</v>
      </c>
      <c r="D3835" s="9" t="str">
        <f>HYPERLINK("https://www.linkedin.com/ad-library/detail/901821453","Open Ad")</f>
        <v>Open Ad</v>
      </c>
      <c r="E3835" s="6" t="s">
        <v>154</v>
      </c>
      <c r="F3835" s="6" t="s">
        <v>8022</v>
      </c>
      <c r="G3835" s="6" t="s">
        <v>8200</v>
      </c>
      <c r="H3835" s="6" t="s">
        <v>55</v>
      </c>
      <c r="I3835" s="6" t="s">
        <v>8025</v>
      </c>
      <c r="J3835" s="6" t="s">
        <v>154</v>
      </c>
      <c r="K3835" s="12" t="str">
        <f t="shared" si="204"/>
        <v>View Creative</v>
      </c>
      <c r="L3835" s="6" t="s">
        <v>62</v>
      </c>
      <c r="M3835" s="6" t="s">
        <v>8042</v>
      </c>
      <c r="N3835" s="6"/>
      <c r="O3835" s="36" t="s">
        <v>7541</v>
      </c>
      <c r="P3835" s="36" t="s">
        <v>7542</v>
      </c>
      <c r="Q3835" s="38"/>
    </row>
    <row r="3836">
      <c r="A3836" s="6" t="s">
        <v>8042</v>
      </c>
      <c r="B3836" s="6" t="s">
        <v>8043</v>
      </c>
      <c r="C3836" s="6">
        <v>225.0</v>
      </c>
      <c r="D3836" s="9" t="str">
        <f>HYPERLINK("https://www.linkedin.com/ad-library/detail/902011813","Open Ad")</f>
        <v>Open Ad</v>
      </c>
      <c r="E3836" s="6" t="s">
        <v>154</v>
      </c>
      <c r="F3836" s="6" t="s">
        <v>8022</v>
      </c>
      <c r="G3836" s="6" t="s">
        <v>8200</v>
      </c>
      <c r="H3836" s="6" t="s">
        <v>55</v>
      </c>
      <c r="I3836" s="6" t="s">
        <v>8025</v>
      </c>
      <c r="J3836" s="6" t="s">
        <v>154</v>
      </c>
      <c r="K3836" s="12" t="str">
        <f t="shared" ref="K3836:K3838" si="205">HYPERLINK("https://dms.licdn.com/playlist/vid/v2/D4D10AQE7900WZxHdYA/mp4-720p-30fp-crf28/B4DZoGvAIFIECM-/0/1761049581072/AccuRankerSquareCEdited1mp4?e=2147483647&amp;v=beta&amp;t=yHLAPx3J5H2cy5orn2DEMS_8d_TeXfEUgGnqojtBmrA","View Creative")</f>
        <v>View Creative</v>
      </c>
      <c r="L3836" s="6" t="s">
        <v>62</v>
      </c>
      <c r="M3836" s="6" t="s">
        <v>8042</v>
      </c>
      <c r="N3836" s="6"/>
      <c r="O3836" s="36" t="s">
        <v>7541</v>
      </c>
      <c r="P3836" s="36" t="s">
        <v>7542</v>
      </c>
      <c r="Q3836" s="38"/>
    </row>
    <row r="3837">
      <c r="A3837" s="6" t="s">
        <v>8042</v>
      </c>
      <c r="B3837" s="6" t="s">
        <v>8043</v>
      </c>
      <c r="C3837" s="6">
        <v>226.0</v>
      </c>
      <c r="D3837" s="9" t="str">
        <f>HYPERLINK("https://www.linkedin.com/ad-library/detail/901972163","Open Ad")</f>
        <v>Open Ad</v>
      </c>
      <c r="E3837" s="6" t="s">
        <v>154</v>
      </c>
      <c r="F3837" s="6" t="s">
        <v>8022</v>
      </c>
      <c r="G3837" s="6" t="s">
        <v>8187</v>
      </c>
      <c r="H3837" s="6" t="s">
        <v>769</v>
      </c>
      <c r="I3837" s="6" t="s">
        <v>8025</v>
      </c>
      <c r="J3837" s="6" t="s">
        <v>154</v>
      </c>
      <c r="K3837" s="12" t="str">
        <f t="shared" si="205"/>
        <v>View Creative</v>
      </c>
      <c r="L3837" s="6" t="s">
        <v>62</v>
      </c>
      <c r="M3837" s="6" t="s">
        <v>8042</v>
      </c>
      <c r="N3837" s="6"/>
      <c r="O3837" s="36" t="s">
        <v>7541</v>
      </c>
      <c r="P3837" s="36" t="s">
        <v>7542</v>
      </c>
      <c r="Q3837" s="38"/>
    </row>
    <row r="3838">
      <c r="A3838" s="6" t="s">
        <v>8042</v>
      </c>
      <c r="B3838" s="6" t="s">
        <v>8043</v>
      </c>
      <c r="C3838" s="6">
        <v>227.0</v>
      </c>
      <c r="D3838" s="9" t="str">
        <f>HYPERLINK("https://www.linkedin.com/ad-library/detail/901991953","Open Ad")</f>
        <v>Open Ad</v>
      </c>
      <c r="E3838" s="6" t="s">
        <v>154</v>
      </c>
      <c r="F3838" s="6" t="s">
        <v>8022</v>
      </c>
      <c r="G3838" s="6" t="s">
        <v>8200</v>
      </c>
      <c r="H3838" s="6" t="s">
        <v>55</v>
      </c>
      <c r="I3838" s="6" t="s">
        <v>8025</v>
      </c>
      <c r="J3838" s="6" t="s">
        <v>154</v>
      </c>
      <c r="K3838" s="12" t="str">
        <f t="shared" si="205"/>
        <v>View Creative</v>
      </c>
      <c r="L3838" s="6" t="s">
        <v>62</v>
      </c>
      <c r="M3838" s="6" t="s">
        <v>8042</v>
      </c>
      <c r="N3838" s="6" t="s">
        <v>8199</v>
      </c>
      <c r="O3838" s="36" t="s">
        <v>7541</v>
      </c>
      <c r="P3838" s="36" t="s">
        <v>7542</v>
      </c>
      <c r="Q3838" s="38"/>
    </row>
    <row r="3839">
      <c r="A3839" s="6" t="s">
        <v>8042</v>
      </c>
      <c r="B3839" s="6" t="s">
        <v>8043</v>
      </c>
      <c r="C3839" s="6">
        <v>228.0</v>
      </c>
      <c r="D3839" s="9" t="str">
        <f>HYPERLINK("https://www.linkedin.com/ad-library/detail/901841693","Open Ad")</f>
        <v>Open Ad</v>
      </c>
      <c r="E3839" s="6" t="s">
        <v>154</v>
      </c>
      <c r="F3839" s="6" t="s">
        <v>8022</v>
      </c>
      <c r="G3839" s="6" t="s">
        <v>8187</v>
      </c>
      <c r="H3839" s="6" t="s">
        <v>769</v>
      </c>
      <c r="I3839" s="6" t="s">
        <v>8025</v>
      </c>
      <c r="J3839" s="6" t="s">
        <v>154</v>
      </c>
      <c r="K3839" s="12" t="str">
        <f>HYPERLINK("https://dms.licdn.com/playlist/vid/v2/D4D10AQHATMzXrq4gRg/progressive-servable-video/B4DZoF5ULKHsAY-/0/1761035503786/AccuRankerSquareCEdited1mp4?e=2147483647&amp;v=beta&amp;t=WHNRHFfODEgRi0vQeR12rY6mxCoOjL7aw0ezu0nMM00","View Creative")</f>
        <v>View Creative</v>
      </c>
      <c r="L3839" s="6" t="s">
        <v>62</v>
      </c>
      <c r="M3839" s="6" t="s">
        <v>8042</v>
      </c>
      <c r="N3839" s="6" t="s">
        <v>8201</v>
      </c>
      <c r="O3839" s="36" t="s">
        <v>7541</v>
      </c>
      <c r="P3839" s="36" t="s">
        <v>7542</v>
      </c>
      <c r="Q3839" s="38"/>
    </row>
    <row r="3840">
      <c r="A3840" s="6" t="s">
        <v>8042</v>
      </c>
      <c r="B3840" s="6" t="s">
        <v>8043</v>
      </c>
      <c r="C3840" s="6">
        <v>229.0</v>
      </c>
      <c r="D3840" s="9" t="str">
        <f>HYPERLINK("https://www.linkedin.com/ad-library/detail/901843123","Open Ad")</f>
        <v>Open Ad</v>
      </c>
      <c r="E3840" s="6" t="s">
        <v>154</v>
      </c>
      <c r="F3840" s="6" t="s">
        <v>8022</v>
      </c>
      <c r="G3840" s="6" t="s">
        <v>8167</v>
      </c>
      <c r="H3840" s="6" t="s">
        <v>55</v>
      </c>
      <c r="I3840" s="6" t="s">
        <v>8025</v>
      </c>
      <c r="J3840" s="6" t="s">
        <v>154</v>
      </c>
      <c r="K3840" s="12" t="str">
        <f>HYPERLINK("https://dms.licdn.com/playlist/vid/v2/D4D10AQE7900WZxHdYA/mp4-720p-30fp-crf28/B4DZoGvAIFIECM-/0/1761049581072/AccuRankerSquareCEdited1mp4?e=2147483647&amp;v=beta&amp;t=yHLAPx3J5H2cy5orn2DEMS_8d_TeXfEUgGnqojtBmrA","View Creative")</f>
        <v>View Creative</v>
      </c>
      <c r="L3840" s="6" t="s">
        <v>62</v>
      </c>
      <c r="M3840" s="6" t="s">
        <v>8042</v>
      </c>
      <c r="N3840" s="6"/>
      <c r="O3840" s="36" t="s">
        <v>7541</v>
      </c>
      <c r="P3840" s="36" t="s">
        <v>7542</v>
      </c>
      <c r="Q3840" s="38"/>
    </row>
    <row r="3841">
      <c r="A3841" s="6" t="s">
        <v>8042</v>
      </c>
      <c r="B3841" s="6" t="s">
        <v>8043</v>
      </c>
      <c r="C3841" s="6">
        <v>230.0</v>
      </c>
      <c r="D3841" s="9" t="str">
        <f>HYPERLINK("https://www.linkedin.com/ad-library/detail/901880433","Open Ad")</f>
        <v>Open Ad</v>
      </c>
      <c r="E3841" s="6" t="s">
        <v>154</v>
      </c>
      <c r="F3841" s="6" t="s">
        <v>8022</v>
      </c>
      <c r="G3841" s="6" t="s">
        <v>8167</v>
      </c>
      <c r="H3841" s="6" t="s">
        <v>55</v>
      </c>
      <c r="I3841" s="6" t="s">
        <v>8025</v>
      </c>
      <c r="J3841" s="6" t="s">
        <v>154</v>
      </c>
      <c r="K3841" s="12" t="str">
        <f>HYPERLINK("https://dms.licdn.com/playlist/vid/v2/D4D10AQHATMzXrq4gRg/progressive-servable-video/B4DZoF5ULKHsAY-/0/1761035503786/AccuRankerSquareCEdited1mp4?e=2147483647&amp;v=beta&amp;t=WHNRHFfODEgRi0vQeR12rY6mxCoOjL7aw0ezu0nMM00","View Creative")</f>
        <v>View Creative</v>
      </c>
      <c r="L3841" s="6" t="s">
        <v>62</v>
      </c>
      <c r="M3841" s="6" t="s">
        <v>8042</v>
      </c>
      <c r="N3841" s="6"/>
      <c r="O3841" s="36" t="s">
        <v>7541</v>
      </c>
      <c r="P3841" s="36" t="s">
        <v>7542</v>
      </c>
      <c r="Q3841" s="38"/>
    </row>
    <row r="3842">
      <c r="A3842" s="6" t="s">
        <v>8042</v>
      </c>
      <c r="B3842" s="6" t="s">
        <v>8043</v>
      </c>
      <c r="C3842" s="6">
        <v>231.0</v>
      </c>
      <c r="D3842" s="9" t="str">
        <f>HYPERLINK("https://www.linkedin.com/ad-library/detail/902011833","Open Ad")</f>
        <v>Open Ad</v>
      </c>
      <c r="E3842" s="6" t="s">
        <v>154</v>
      </c>
      <c r="F3842" s="6" t="s">
        <v>8022</v>
      </c>
      <c r="G3842" s="6" t="s">
        <v>8200</v>
      </c>
      <c r="H3842" s="6" t="s">
        <v>55</v>
      </c>
      <c r="I3842" s="6" t="s">
        <v>8025</v>
      </c>
      <c r="J3842" s="6" t="s">
        <v>154</v>
      </c>
      <c r="K3842" s="12" t="str">
        <f>HYPERLINK("https://dms.licdn.com/playlist/vid/v2/D4D10AQE7900WZxHdYA/mp4-720p-30fp-crf28/B4DZoGvAIFIECM-/0/1761049581072/AccuRankerSquareCEdited1mp4?e=2147483647&amp;v=beta&amp;t=yHLAPx3J5H2cy5orn2DEMS_8d_TeXfEUgGnqojtBmrA","View Creative")</f>
        <v>View Creative</v>
      </c>
      <c r="L3842" s="6" t="s">
        <v>62</v>
      </c>
      <c r="M3842" s="6" t="s">
        <v>8042</v>
      </c>
      <c r="N3842" s="6"/>
      <c r="O3842" s="36" t="s">
        <v>7541</v>
      </c>
      <c r="P3842" s="36" t="s">
        <v>7542</v>
      </c>
      <c r="Q3842" s="38"/>
    </row>
    <row r="3843">
      <c r="A3843" s="6" t="s">
        <v>8042</v>
      </c>
      <c r="B3843" s="6" t="s">
        <v>8043</v>
      </c>
      <c r="C3843" s="6">
        <v>232.0</v>
      </c>
      <c r="D3843" s="9" t="str">
        <f>HYPERLINK("https://www.linkedin.com/ad-library/detail/902020153","Open Ad")</f>
        <v>Open Ad</v>
      </c>
      <c r="E3843" s="6" t="s">
        <v>154</v>
      </c>
      <c r="F3843" s="6" t="s">
        <v>8022</v>
      </c>
      <c r="G3843" s="6" t="s">
        <v>8187</v>
      </c>
      <c r="H3843" s="6" t="s">
        <v>769</v>
      </c>
      <c r="I3843" s="6" t="s">
        <v>8025</v>
      </c>
      <c r="J3843" s="6" t="s">
        <v>154</v>
      </c>
      <c r="K3843" s="12" t="str">
        <f t="shared" ref="K3843:K3844" si="206">HYPERLINK("https://dms.licdn.com/playlist/vid/v2/D4D10AQHATMzXrq4gRg/progressive-servable-video/B4DZoF5ULKHsAY-/0/1761035503786/AccuRankerSquareCEdited1mp4?e=2147483647&amp;v=beta&amp;t=WHNRHFfODEgRi0vQeR12rY6mxCoOjL7aw0ezu0nMM00","View Creative")</f>
        <v>View Creative</v>
      </c>
      <c r="L3843" s="6" t="s">
        <v>62</v>
      </c>
      <c r="M3843" s="6" t="s">
        <v>8042</v>
      </c>
      <c r="N3843" s="6"/>
      <c r="O3843" s="36" t="s">
        <v>7541</v>
      </c>
      <c r="P3843" s="36" t="s">
        <v>7542</v>
      </c>
      <c r="Q3843" s="38"/>
    </row>
    <row r="3844">
      <c r="A3844" s="6" t="s">
        <v>8042</v>
      </c>
      <c r="B3844" s="6" t="s">
        <v>8043</v>
      </c>
      <c r="C3844" s="6">
        <v>233.0</v>
      </c>
      <c r="D3844" s="9" t="str">
        <f>HYPERLINK("https://www.linkedin.com/ad-library/detail/902000323","Open Ad")</f>
        <v>Open Ad</v>
      </c>
      <c r="E3844" s="6" t="s">
        <v>154</v>
      </c>
      <c r="F3844" s="6" t="s">
        <v>8022</v>
      </c>
      <c r="G3844" s="6" t="s">
        <v>8187</v>
      </c>
      <c r="H3844" s="6" t="s">
        <v>769</v>
      </c>
      <c r="I3844" s="6" t="s">
        <v>8025</v>
      </c>
      <c r="J3844" s="6" t="s">
        <v>154</v>
      </c>
      <c r="K3844" s="12" t="str">
        <f t="shared" si="206"/>
        <v>View Creative</v>
      </c>
      <c r="L3844" s="6" t="s">
        <v>62</v>
      </c>
      <c r="M3844" s="6" t="s">
        <v>8042</v>
      </c>
      <c r="N3844" s="6"/>
      <c r="O3844" s="36" t="s">
        <v>7541</v>
      </c>
      <c r="P3844" s="36" t="s">
        <v>7542</v>
      </c>
      <c r="Q3844" s="38"/>
    </row>
    <row r="3845">
      <c r="A3845" s="6" t="s">
        <v>8042</v>
      </c>
      <c r="B3845" s="6" t="s">
        <v>8043</v>
      </c>
      <c r="C3845" s="6">
        <v>234.0</v>
      </c>
      <c r="D3845" s="9" t="str">
        <f>HYPERLINK("https://www.linkedin.com/ad-library/detail/901902883","Open Ad")</f>
        <v>Open Ad</v>
      </c>
      <c r="E3845" s="6" t="s">
        <v>154</v>
      </c>
      <c r="F3845" s="6" t="s">
        <v>8022</v>
      </c>
      <c r="G3845" s="6" t="s">
        <v>8184</v>
      </c>
      <c r="H3845" s="6" t="s">
        <v>55</v>
      </c>
      <c r="I3845" s="6" t="s">
        <v>8025</v>
      </c>
      <c r="J3845" s="6" t="s">
        <v>154</v>
      </c>
      <c r="K3845" s="12" t="str">
        <f t="shared" ref="K3845:K3846" si="207">HYPERLINK("https://dms.licdn.com/playlist/vid/v2/D4D10AQE7900WZxHdYA/mp4-720p-30fp-crf28/B4DZoGvAIFIECM-/0/1761049581072/AccuRankerSquareCEdited1mp4?e=2147483647&amp;v=beta&amp;t=yHLAPx3J5H2cy5orn2DEMS_8d_TeXfEUgGnqojtBmrA","View Creative")</f>
        <v>View Creative</v>
      </c>
      <c r="L3845" s="6" t="s">
        <v>62</v>
      </c>
      <c r="M3845" s="6" t="s">
        <v>8042</v>
      </c>
      <c r="N3845" s="6"/>
      <c r="O3845" s="36" t="s">
        <v>7541</v>
      </c>
      <c r="P3845" s="36" t="s">
        <v>7542</v>
      </c>
      <c r="Q3845" s="38"/>
    </row>
    <row r="3846">
      <c r="A3846" s="6" t="s">
        <v>8042</v>
      </c>
      <c r="B3846" s="6" t="s">
        <v>8043</v>
      </c>
      <c r="C3846" s="6">
        <v>235.0</v>
      </c>
      <c r="D3846" s="9" t="str">
        <f>HYPERLINK("https://www.linkedin.com/ad-library/detail/902021783","Open Ad")</f>
        <v>Open Ad</v>
      </c>
      <c r="E3846" s="6" t="s">
        <v>154</v>
      </c>
      <c r="F3846" s="6" t="s">
        <v>8022</v>
      </c>
      <c r="G3846" s="6" t="s">
        <v>8167</v>
      </c>
      <c r="H3846" s="6" t="s">
        <v>55</v>
      </c>
      <c r="I3846" s="6" t="s">
        <v>8025</v>
      </c>
      <c r="J3846" s="6" t="s">
        <v>154</v>
      </c>
      <c r="K3846" s="12" t="str">
        <f t="shared" si="207"/>
        <v>View Creative</v>
      </c>
      <c r="L3846" s="6" t="s">
        <v>62</v>
      </c>
      <c r="M3846" s="6" t="s">
        <v>8042</v>
      </c>
      <c r="N3846" s="6"/>
      <c r="O3846" s="36" t="s">
        <v>7541</v>
      </c>
      <c r="P3846" s="36" t="s">
        <v>7542</v>
      </c>
      <c r="Q3846" s="38"/>
    </row>
    <row r="3847">
      <c r="A3847" s="6" t="s">
        <v>8042</v>
      </c>
      <c r="B3847" s="6" t="s">
        <v>8043</v>
      </c>
      <c r="C3847" s="6">
        <v>236.0</v>
      </c>
      <c r="D3847" s="9" t="str">
        <f>HYPERLINK("https://www.linkedin.com/ad-library/detail/901900343","Open Ad")</f>
        <v>Open Ad</v>
      </c>
      <c r="E3847" s="6" t="s">
        <v>154</v>
      </c>
      <c r="F3847" s="6" t="s">
        <v>8022</v>
      </c>
      <c r="G3847" s="6" t="s">
        <v>8184</v>
      </c>
      <c r="H3847" s="6" t="s">
        <v>55</v>
      </c>
      <c r="I3847" s="6" t="s">
        <v>8025</v>
      </c>
      <c r="J3847" s="6" t="s">
        <v>154</v>
      </c>
      <c r="K3847" s="12" t="str">
        <f>HYPERLINK("https://dms.licdn.com/playlist/vid/v2/D4D10AQHATMzXrq4gRg/progressive-servable-video/B4DZoF5ULKHsAY-/0/1761035503786/AccuRankerSquareCEdited1mp4?e=2147483647&amp;v=beta&amp;t=WHNRHFfODEgRi0vQeR12rY6mxCoOjL7aw0ezu0nMM00","View Creative")</f>
        <v>View Creative</v>
      </c>
      <c r="L3847" s="6" t="s">
        <v>62</v>
      </c>
      <c r="M3847" s="6" t="s">
        <v>8042</v>
      </c>
      <c r="N3847" s="6"/>
      <c r="O3847" s="36" t="s">
        <v>7541</v>
      </c>
      <c r="P3847" s="36" t="s">
        <v>7542</v>
      </c>
      <c r="Q3847" s="38"/>
    </row>
    <row r="3848">
      <c r="A3848" s="6" t="s">
        <v>8042</v>
      </c>
      <c r="B3848" s="6" t="s">
        <v>8043</v>
      </c>
      <c r="C3848" s="6">
        <v>237.0</v>
      </c>
      <c r="D3848" s="9" t="str">
        <f>HYPERLINK("https://www.linkedin.com/ad-library/detail/901833573","Open Ad")</f>
        <v>Open Ad</v>
      </c>
      <c r="E3848" s="6" t="s">
        <v>154</v>
      </c>
      <c r="F3848" s="6" t="s">
        <v>8022</v>
      </c>
      <c r="G3848" s="6" t="s">
        <v>8187</v>
      </c>
      <c r="H3848" s="6" t="s">
        <v>769</v>
      </c>
      <c r="I3848" s="6" t="s">
        <v>8025</v>
      </c>
      <c r="J3848" s="6" t="s">
        <v>154</v>
      </c>
      <c r="K3848" s="12" t="str">
        <f>HYPERLINK("https://dms.licdn.com/playlist/vid/v2/D4D10AQE7900WZxHdYA/mp4-720p-30fp-crf28/B4DZoGvAIFIECM-/0/1761049581072/AccuRankerSquareCEdited1mp4?e=2147483647&amp;v=beta&amp;t=yHLAPx3J5H2cy5orn2DEMS_8d_TeXfEUgGnqojtBmrA","View Creative")</f>
        <v>View Creative</v>
      </c>
      <c r="L3848" s="6" t="s">
        <v>62</v>
      </c>
      <c r="M3848" s="6" t="s">
        <v>8042</v>
      </c>
      <c r="N3848" s="6" t="s">
        <v>8199</v>
      </c>
      <c r="O3848" s="36" t="s">
        <v>7541</v>
      </c>
      <c r="P3848" s="36" t="s">
        <v>7542</v>
      </c>
      <c r="Q3848" s="38"/>
    </row>
    <row r="3849">
      <c r="A3849" s="6" t="s">
        <v>8042</v>
      </c>
      <c r="B3849" s="6" t="s">
        <v>8043</v>
      </c>
      <c r="C3849" s="6">
        <v>238.0</v>
      </c>
      <c r="D3849" s="9" t="str">
        <f>HYPERLINK("https://www.linkedin.com/ad-library/detail/901812973","Open Ad")</f>
        <v>Open Ad</v>
      </c>
      <c r="E3849" s="6" t="s">
        <v>154</v>
      </c>
      <c r="F3849" s="6" t="s">
        <v>8022</v>
      </c>
      <c r="G3849" s="6" t="s">
        <v>8167</v>
      </c>
      <c r="H3849" s="6" t="s">
        <v>55</v>
      </c>
      <c r="I3849" s="6" t="s">
        <v>8025</v>
      </c>
      <c r="J3849" s="6" t="s">
        <v>154</v>
      </c>
      <c r="K3849" s="12" t="str">
        <f t="shared" ref="K3849:K3851" si="208">HYPERLINK("https://dms.licdn.com/playlist/vid/v2/D4D10AQHATMzXrq4gRg/progressive-servable-video/B4DZoF5ULKHsAY-/0/1761035503786/AccuRankerSquareCEdited1mp4?e=2147483647&amp;v=beta&amp;t=WHNRHFfODEgRi0vQeR12rY6mxCoOjL7aw0ezu0nMM00","View Creative")</f>
        <v>View Creative</v>
      </c>
      <c r="L3849" s="6" t="s">
        <v>62</v>
      </c>
      <c r="M3849" s="6" t="s">
        <v>8042</v>
      </c>
      <c r="N3849" s="6"/>
      <c r="O3849" s="36" t="s">
        <v>7541</v>
      </c>
      <c r="P3849" s="36" t="s">
        <v>7542</v>
      </c>
      <c r="Q3849" s="38"/>
    </row>
    <row r="3850">
      <c r="A3850" s="6" t="s">
        <v>8042</v>
      </c>
      <c r="B3850" s="6" t="s">
        <v>8043</v>
      </c>
      <c r="C3850" s="6">
        <v>239.0</v>
      </c>
      <c r="D3850" s="9" t="str">
        <f>HYPERLINK("https://www.linkedin.com/ad-library/detail/901870523","Open Ad")</f>
        <v>Open Ad</v>
      </c>
      <c r="E3850" s="6" t="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7542</v>
      </c>
      <c r="Q3850" s="38"/>
    </row>
    <row r="3851">
      <c r="A3851" s="6" t="s">
        <v>8042</v>
      </c>
      <c r="B3851" s="6" t="s">
        <v>8043</v>
      </c>
      <c r="C3851" s="6">
        <v>240.0</v>
      </c>
      <c r="D3851" s="9" t="str">
        <f>HYPERLINK("https://www.linkedin.com/ad-library/detail/901960153","Open Ad")</f>
        <v>Open Ad</v>
      </c>
      <c r="E3851" s="6" t="s">
        <v>154</v>
      </c>
      <c r="F3851" s="6" t="s">
        <v>8022</v>
      </c>
      <c r="G3851" s="6" t="s">
        <v>8200</v>
      </c>
      <c r="H3851" s="6" t="s">
        <v>55</v>
      </c>
      <c r="I3851" s="6" t="s">
        <v>8025</v>
      </c>
      <c r="J3851" s="6" t="s">
        <v>154</v>
      </c>
      <c r="K3851" s="12" t="str">
        <f t="shared" si="208"/>
        <v>View Creative</v>
      </c>
      <c r="L3851" s="6" t="s">
        <v>62</v>
      </c>
      <c r="M3851" s="6" t="s">
        <v>8042</v>
      </c>
      <c r="N3851" s="6" t="s">
        <v>8201</v>
      </c>
      <c r="O3851" s="36" t="s">
        <v>7541</v>
      </c>
      <c r="P3851" s="36" t="s">
        <v>7542</v>
      </c>
      <c r="Q3851" s="38"/>
    </row>
    <row r="3852">
      <c r="A3852" s="6" t="s">
        <v>8042</v>
      </c>
      <c r="B3852" s="6" t="s">
        <v>8043</v>
      </c>
      <c r="C3852" s="6">
        <v>241.0</v>
      </c>
      <c r="D3852" s="9" t="str">
        <f t="shared" ref="D3852:D3853" si="209">HYPERLINK("https://www.linkedin.com/ad-library/detail/879045003","Open Ad")</f>
        <v>Open Ad</v>
      </c>
      <c r="E3852" s="6" t="s">
        <v>52</v>
      </c>
      <c r="F3852" s="6" t="s">
        <v>8022</v>
      </c>
      <c r="G3852" s="6" t="s">
        <v>8167</v>
      </c>
      <c r="H3852" s="6" t="s">
        <v>55</v>
      </c>
      <c r="I3852" s="6" t="s">
        <v>8025</v>
      </c>
      <c r="J3852" s="6" t="s">
        <v>52</v>
      </c>
      <c r="K3852" s="6" t="s">
        <v>60</v>
      </c>
      <c r="L3852" s="6" t="s">
        <v>62</v>
      </c>
      <c r="M3852" s="6" t="s">
        <v>8042</v>
      </c>
      <c r="N3852" s="6"/>
      <c r="O3852" s="36" t="s">
        <v>7541</v>
      </c>
      <c r="P3852" s="36" t="s">
        <v>7542</v>
      </c>
      <c r="Q3852" s="38"/>
    </row>
    <row r="3853">
      <c r="A3853" s="6" t="s">
        <v>8042</v>
      </c>
      <c r="B3853" s="6" t="s">
        <v>8043</v>
      </c>
      <c r="C3853" s="6">
        <v>242.0</v>
      </c>
      <c r="D3853" s="9" t="str">
        <f t="shared" si="209"/>
        <v>Open Ad</v>
      </c>
      <c r="E3853" s="6" t="s">
        <v>154</v>
      </c>
      <c r="F3853" s="6" t="s">
        <v>8022</v>
      </c>
      <c r="G3853" s="6" t="s">
        <v>8167</v>
      </c>
      <c r="H3853" s="6" t="s">
        <v>55</v>
      </c>
      <c r="I3853" s="6" t="s">
        <v>8025</v>
      </c>
      <c r="J3853" s="6" t="s">
        <v>154</v>
      </c>
      <c r="K3853" s="12" t="str">
        <f>HYPERLINK("https://dms.licdn.com/playlist/vid/v2/D4D10AQEQ11lzulK81Q/mp4-720p-30fp-crf28/B4DZniAGkbHsCM-/0/1760433306194/AccuRankerSquareCEdited1mp4?e=2147483647&amp;v=beta&amp;t=RDvtfWw3LwDmBFNQx3smJIFyoh48jV9CPaDIeqWQyzM","View Creative")</f>
        <v>View Creative</v>
      </c>
      <c r="L3853" s="6" t="s">
        <v>62</v>
      </c>
      <c r="M3853" s="6" t="s">
        <v>8042</v>
      </c>
      <c r="N3853" s="6"/>
      <c r="O3853" s="36" t="s">
        <v>7541</v>
      </c>
      <c r="P3853" s="36" t="s">
        <v>7542</v>
      </c>
      <c r="Q3853" s="38"/>
    </row>
    <row r="3854">
      <c r="A3854" s="6" t="s">
        <v>8042</v>
      </c>
      <c r="B3854" s="6" t="s">
        <v>8043</v>
      </c>
      <c r="C3854" s="6">
        <v>243.0</v>
      </c>
      <c r="D3854" s="9" t="str">
        <f t="shared" ref="D3854:D3855" si="210">HYPERLINK("https://www.linkedin.com/ad-library/detail/878886593","Open Ad")</f>
        <v>Open Ad</v>
      </c>
      <c r="E3854" s="6" t="s">
        <v>154</v>
      </c>
      <c r="F3854" s="6" t="s">
        <v>8022</v>
      </c>
      <c r="G3854" s="6" t="s">
        <v>8202</v>
      </c>
      <c r="H3854" s="6" t="s">
        <v>55</v>
      </c>
      <c r="I3854" s="6" t="s">
        <v>8025</v>
      </c>
      <c r="J3854" s="6" t="s">
        <v>154</v>
      </c>
      <c r="K3854" s="12" t="str">
        <f t="shared" ref="K3854:K3855" si="211">HYPERLINK("https://dms.licdn.com/playlist/vid/v2/D4D10AQHFY0PzaTOu5g/mp4-640p-30fp-crf28/B4DZniTDSUIcBs-/0/1760438274042/AccuRankerSquareCEdited1mp4?e=2147483647&amp;v=beta&amp;t=0DXhBATfFMBfD3O3Z61J437bm4aBCxCzzq961FqcRfI","View Creative")</f>
        <v>View Creative</v>
      </c>
      <c r="L3854" s="6" t="s">
        <v>62</v>
      </c>
      <c r="M3854" s="6" t="s">
        <v>8042</v>
      </c>
      <c r="N3854" s="6"/>
      <c r="O3854" s="36" t="s">
        <v>7541</v>
      </c>
      <c r="P3854" s="36" t="s">
        <v>7542</v>
      </c>
      <c r="Q3854" s="38"/>
    </row>
    <row r="3855">
      <c r="A3855" s="6" t="s">
        <v>8042</v>
      </c>
      <c r="B3855" s="6" t="s">
        <v>8043</v>
      </c>
      <c r="C3855" s="6">
        <v>244.0</v>
      </c>
      <c r="D3855" s="9" t="str">
        <f t="shared" si="210"/>
        <v>Open Ad</v>
      </c>
      <c r="E3855" s="6" t="s">
        <v>154</v>
      </c>
      <c r="F3855" s="6" t="s">
        <v>8022</v>
      </c>
      <c r="G3855" s="6" t="s">
        <v>8202</v>
      </c>
      <c r="H3855" s="6" t="s">
        <v>55</v>
      </c>
      <c r="I3855" s="6" t="s">
        <v>8025</v>
      </c>
      <c r="J3855" s="6" t="s">
        <v>154</v>
      </c>
      <c r="K3855" s="12" t="str">
        <f t="shared" si="211"/>
        <v>View Creative</v>
      </c>
      <c r="L3855" s="6" t="s">
        <v>62</v>
      </c>
      <c r="M3855" s="6" t="s">
        <v>8042</v>
      </c>
      <c r="N3855" s="6"/>
      <c r="O3855" s="36" t="s">
        <v>7541</v>
      </c>
      <c r="P3855" s="36" t="s">
        <v>7542</v>
      </c>
      <c r="Q3855" s="38"/>
    </row>
    <row r="3856">
      <c r="A3856" s="6" t="s">
        <v>8042</v>
      </c>
      <c r="B3856" s="6" t="s">
        <v>8043</v>
      </c>
      <c r="C3856" s="6">
        <v>245.0</v>
      </c>
      <c r="D3856" s="9" t="str">
        <f t="shared" ref="D3856:D3857" si="212">HYPERLINK("https://www.linkedin.com/ad-library/detail/878965593","Open Ad")</f>
        <v>Open Ad</v>
      </c>
      <c r="E3856" s="6" t="s">
        <v>154</v>
      </c>
      <c r="F3856" s="6" t="s">
        <v>8022</v>
      </c>
      <c r="G3856" s="6" t="s">
        <v>8203</v>
      </c>
      <c r="H3856" s="6" t="s">
        <v>55</v>
      </c>
      <c r="I3856" s="6" t="s">
        <v>8025</v>
      </c>
      <c r="J3856" s="6" t="s">
        <v>154</v>
      </c>
      <c r="K3856" s="12" t="str">
        <f t="shared" ref="K3856:K3857" si="213">HYPERLINK("https://dms.licdn.com/playlist/vid/v2/D4D10AQEQ11lzulK81Q/mp4-720p-30fp-crf28/B4DZniAGkbHsCM-/0/1760433306194/AccuRankerSquareCEdited1mp4?e=2147483647&amp;v=beta&amp;t=RDvtfWw3LwDmBFNQx3smJIFyoh48jV9CPaDIeqWQyzM","View Creative")</f>
        <v>View Creative</v>
      </c>
      <c r="L3856" s="6" t="s">
        <v>62</v>
      </c>
      <c r="M3856" s="6" t="s">
        <v>8042</v>
      </c>
      <c r="N3856" s="6"/>
      <c r="O3856" s="36" t="s">
        <v>7541</v>
      </c>
      <c r="P3856" s="36" t="s">
        <v>7542</v>
      </c>
      <c r="Q3856" s="38"/>
    </row>
    <row r="3857">
      <c r="A3857" s="6" t="s">
        <v>8042</v>
      </c>
      <c r="B3857" s="6" t="s">
        <v>8043</v>
      </c>
      <c r="C3857" s="6">
        <v>246.0</v>
      </c>
      <c r="D3857" s="9" t="str">
        <f t="shared" si="212"/>
        <v>Open Ad</v>
      </c>
      <c r="E3857" s="6" t="s">
        <v>154</v>
      </c>
      <c r="F3857" s="6" t="s">
        <v>8022</v>
      </c>
      <c r="G3857" s="6" t="s">
        <v>8203</v>
      </c>
      <c r="H3857" s="6" t="s">
        <v>55</v>
      </c>
      <c r="I3857" s="6" t="s">
        <v>8025</v>
      </c>
      <c r="J3857" s="6" t="s">
        <v>154</v>
      </c>
      <c r="K3857" s="12" t="str">
        <f t="shared" si="213"/>
        <v>View Creative</v>
      </c>
      <c r="L3857" s="6" t="s">
        <v>62</v>
      </c>
      <c r="M3857" s="6" t="s">
        <v>8042</v>
      </c>
      <c r="N3857" s="6"/>
      <c r="O3857" s="36" t="s">
        <v>7541</v>
      </c>
      <c r="P3857" s="36" t="s">
        <v>7542</v>
      </c>
      <c r="Q3857" s="38"/>
    </row>
    <row r="3858">
      <c r="A3858" s="6" t="s">
        <v>8042</v>
      </c>
      <c r="B3858" s="6" t="s">
        <v>8043</v>
      </c>
      <c r="C3858" s="6">
        <v>247.0</v>
      </c>
      <c r="D3858" s="9" t="str">
        <f t="shared" ref="D3858:D3859" si="214">HYPERLINK("https://www.linkedin.com/ad-library/detail/878895983","Open Ad")</f>
        <v>Open Ad</v>
      </c>
      <c r="E3858" s="6" t="s">
        <v>154</v>
      </c>
      <c r="F3858" s="6" t="s">
        <v>8022</v>
      </c>
      <c r="G3858" s="6" t="s">
        <v>8167</v>
      </c>
      <c r="H3858" s="6" t="s">
        <v>55</v>
      </c>
      <c r="I3858" s="6" t="s">
        <v>8025</v>
      </c>
      <c r="J3858" s="6" t="s">
        <v>154</v>
      </c>
      <c r="K3858" s="12" t="str">
        <f t="shared" ref="K3858:K3863" si="215">HYPERLINK("https://dms.licdn.com/playlist/vid/v2/D4D10AQHFY0PzaTOu5g/mp4-640p-30fp-crf28/B4DZniTDSUIcBs-/0/1760438274042/AccuRankerSquareCEdited1mp4?e=2147483647&amp;v=beta&amp;t=0DXhBATfFMBfD3O3Z61J437bm4aBCxCzzq961FqcRfI","View Creative")</f>
        <v>View Creative</v>
      </c>
      <c r="L3858" s="6" t="s">
        <v>62</v>
      </c>
      <c r="M3858" s="6" t="s">
        <v>8042</v>
      </c>
      <c r="N3858" s="6" t="s">
        <v>8204</v>
      </c>
      <c r="O3858" s="36" t="s">
        <v>7541</v>
      </c>
      <c r="P3858" s="36" t="s">
        <v>7542</v>
      </c>
      <c r="Q3858" s="38"/>
    </row>
    <row r="3859">
      <c r="A3859" s="6" t="s">
        <v>8042</v>
      </c>
      <c r="B3859" s="6" t="s">
        <v>8043</v>
      </c>
      <c r="C3859" s="6">
        <v>248.0</v>
      </c>
      <c r="D3859" s="9" t="str">
        <f t="shared" si="214"/>
        <v>Open Ad</v>
      </c>
      <c r="E3859" s="6" t="s">
        <v>154</v>
      </c>
      <c r="F3859" s="6" t="s">
        <v>8022</v>
      </c>
      <c r="G3859" s="6" t="s">
        <v>8167</v>
      </c>
      <c r="H3859" s="6" t="s">
        <v>55</v>
      </c>
      <c r="I3859" s="6" t="s">
        <v>8025</v>
      </c>
      <c r="J3859" s="6" t="s">
        <v>154</v>
      </c>
      <c r="K3859" s="12" t="str">
        <f t="shared" si="215"/>
        <v>View Creative</v>
      </c>
      <c r="L3859" s="6" t="s">
        <v>62</v>
      </c>
      <c r="M3859" s="6" t="s">
        <v>8042</v>
      </c>
      <c r="N3859" s="6" t="s">
        <v>8204</v>
      </c>
      <c r="O3859" s="36" t="s">
        <v>7541</v>
      </c>
      <c r="P3859" s="36" t="s">
        <v>7542</v>
      </c>
      <c r="Q3859" s="38"/>
    </row>
    <row r="3860">
      <c r="A3860" s="6" t="s">
        <v>8042</v>
      </c>
      <c r="B3860" s="6" t="s">
        <v>8043</v>
      </c>
      <c r="C3860" s="6">
        <v>249.0</v>
      </c>
      <c r="D3860" s="9" t="str">
        <f t="shared" ref="D3860:D3861" si="216">HYPERLINK("https://www.linkedin.com/ad-library/detail/879015793","Open Ad")</f>
        <v>Open Ad</v>
      </c>
      <c r="E3860" s="6" t="s">
        <v>154</v>
      </c>
      <c r="F3860" s="6" t="s">
        <v>8022</v>
      </c>
      <c r="G3860" s="6" t="s">
        <v>8205</v>
      </c>
      <c r="H3860" s="6" t="s">
        <v>55</v>
      </c>
      <c r="I3860" s="6" t="s">
        <v>8025</v>
      </c>
      <c r="J3860" s="6" t="s">
        <v>154</v>
      </c>
      <c r="K3860" s="12" t="str">
        <f t="shared" si="215"/>
        <v>View Creative</v>
      </c>
      <c r="L3860" s="6" t="s">
        <v>62</v>
      </c>
      <c r="M3860" s="6" t="s">
        <v>8042</v>
      </c>
      <c r="N3860" s="6"/>
      <c r="O3860" s="36" t="s">
        <v>7541</v>
      </c>
      <c r="P3860" s="36" t="s">
        <v>7542</v>
      </c>
      <c r="Q3860" s="38"/>
    </row>
    <row r="3861">
      <c r="A3861" s="6" t="s">
        <v>8042</v>
      </c>
      <c r="B3861" s="6" t="s">
        <v>8043</v>
      </c>
      <c r="C3861" s="6">
        <v>250.0</v>
      </c>
      <c r="D3861" s="9" t="str">
        <f t="shared" si="216"/>
        <v>Open Ad</v>
      </c>
      <c r="E3861" s="6" t="s">
        <v>154</v>
      </c>
      <c r="F3861" s="6" t="s">
        <v>8022</v>
      </c>
      <c r="G3861" s="6" t="s">
        <v>8205</v>
      </c>
      <c r="H3861" s="6" t="s">
        <v>55</v>
      </c>
      <c r="I3861" s="6" t="s">
        <v>8025</v>
      </c>
      <c r="J3861" s="6" t="s">
        <v>154</v>
      </c>
      <c r="K3861" s="12" t="str">
        <f t="shared" si="215"/>
        <v>View Creative</v>
      </c>
      <c r="L3861" s="6" t="s">
        <v>62</v>
      </c>
      <c r="M3861" s="6" t="s">
        <v>8042</v>
      </c>
      <c r="N3861" s="6"/>
      <c r="O3861" s="36" t="s">
        <v>7541</v>
      </c>
      <c r="P3861" s="36" t="s">
        <v>7542</v>
      </c>
      <c r="Q3861" s="38"/>
    </row>
    <row r="3862">
      <c r="A3862" s="6" t="s">
        <v>8042</v>
      </c>
      <c r="B3862" s="6" t="s">
        <v>8043</v>
      </c>
      <c r="C3862" s="6">
        <v>251.0</v>
      </c>
      <c r="D3862" s="9" t="str">
        <f t="shared" ref="D3862:D3863" si="217">HYPERLINK("https://www.linkedin.com/ad-library/detail/878966343","Open Ad")</f>
        <v>Open Ad</v>
      </c>
      <c r="E3862" s="6" t="s">
        <v>154</v>
      </c>
      <c r="F3862" s="6" t="s">
        <v>8022</v>
      </c>
      <c r="G3862" s="6" t="s">
        <v>8205</v>
      </c>
      <c r="H3862" s="6" t="s">
        <v>55</v>
      </c>
      <c r="I3862" s="6" t="s">
        <v>8025</v>
      </c>
      <c r="J3862" s="6" t="s">
        <v>154</v>
      </c>
      <c r="K3862" s="12" t="str">
        <f t="shared" si="215"/>
        <v>View Creative</v>
      </c>
      <c r="L3862" s="6" t="s">
        <v>62</v>
      </c>
      <c r="M3862" s="6" t="s">
        <v>8042</v>
      </c>
      <c r="N3862" s="6"/>
      <c r="O3862" s="36" t="s">
        <v>7541</v>
      </c>
      <c r="P3862" s="36" t="s">
        <v>7542</v>
      </c>
      <c r="Q3862" s="38"/>
    </row>
    <row r="3863">
      <c r="A3863" s="6" t="s">
        <v>8042</v>
      </c>
      <c r="B3863" s="6" t="s">
        <v>8043</v>
      </c>
      <c r="C3863" s="6">
        <v>252.0</v>
      </c>
      <c r="D3863" s="9" t="str">
        <f t="shared" si="217"/>
        <v>Open Ad</v>
      </c>
      <c r="E3863" s="6" t="s">
        <v>154</v>
      </c>
      <c r="F3863" s="6" t="s">
        <v>8022</v>
      </c>
      <c r="G3863" s="6" t="s">
        <v>8205</v>
      </c>
      <c r="H3863" s="6" t="s">
        <v>55</v>
      </c>
      <c r="I3863" s="6" t="s">
        <v>8025</v>
      </c>
      <c r="J3863" s="6" t="s">
        <v>154</v>
      </c>
      <c r="K3863" s="12" t="str">
        <f t="shared" si="215"/>
        <v>View Creative</v>
      </c>
      <c r="L3863" s="6" t="s">
        <v>62</v>
      </c>
      <c r="M3863" s="6" t="s">
        <v>8042</v>
      </c>
      <c r="N3863" s="6"/>
      <c r="O3863" s="36" t="s">
        <v>7541</v>
      </c>
      <c r="P3863" s="36" t="s">
        <v>7542</v>
      </c>
      <c r="Q3863" s="38"/>
    </row>
    <row r="3864">
      <c r="A3864" s="6" t="s">
        <v>8042</v>
      </c>
      <c r="B3864" s="6" t="s">
        <v>8043</v>
      </c>
      <c r="C3864" s="6">
        <v>253.0</v>
      </c>
      <c r="D3864" s="9" t="str">
        <f t="shared" ref="D3864:D3865" si="218">HYPERLINK("https://www.linkedin.com/ad-library/detail/901950083","Open Ad")</f>
        <v>Open Ad</v>
      </c>
      <c r="E3864" s="6" t="s">
        <v>154</v>
      </c>
      <c r="F3864" s="6" t="s">
        <v>8022</v>
      </c>
      <c r="G3864" s="6" t="s">
        <v>8184</v>
      </c>
      <c r="H3864" s="6" t="s">
        <v>55</v>
      </c>
      <c r="I3864" s="6" t="s">
        <v>8025</v>
      </c>
      <c r="J3864" s="6" t="s">
        <v>154</v>
      </c>
      <c r="K3864" s="12" t="str">
        <f t="shared" ref="K3864:K3865" si="219">HYPERLINK("https://dms.licdn.com/playlist/vid/v2/D4D10AQHATMzXrq4gRg/progressive-servable-video/B4DZoF5ULKHsAY-/0/1761035503786/AccuRankerSquareCEdited1mp4?e=2147483647&amp;v=beta&amp;t=WHNRHFfODEgRi0vQeR12rY6mxCoOjL7aw0ezu0nMM00","View Creative")</f>
        <v>View Creative</v>
      </c>
      <c r="L3864" s="6" t="s">
        <v>62</v>
      </c>
      <c r="M3864" s="6" t="s">
        <v>8042</v>
      </c>
      <c r="N3864" s="6" t="s">
        <v>8201</v>
      </c>
      <c r="O3864" s="36" t="s">
        <v>7541</v>
      </c>
      <c r="P3864" s="36" t="s">
        <v>7542</v>
      </c>
      <c r="Q3864" s="38"/>
    </row>
    <row r="3865">
      <c r="A3865" s="6" t="s">
        <v>8042</v>
      </c>
      <c r="B3865" s="6" t="s">
        <v>8043</v>
      </c>
      <c r="C3865" s="6">
        <v>254.0</v>
      </c>
      <c r="D3865" s="9" t="str">
        <f t="shared" si="218"/>
        <v>Open Ad</v>
      </c>
      <c r="E3865" s="6" t="s">
        <v>154</v>
      </c>
      <c r="F3865" s="6" t="s">
        <v>8022</v>
      </c>
      <c r="G3865" s="6" t="s">
        <v>8184</v>
      </c>
      <c r="H3865" s="6" t="s">
        <v>55</v>
      </c>
      <c r="I3865" s="6" t="s">
        <v>8025</v>
      </c>
      <c r="J3865" s="6" t="s">
        <v>154</v>
      </c>
      <c r="K3865" s="12" t="str">
        <f t="shared" si="219"/>
        <v>View Creative</v>
      </c>
      <c r="L3865" s="6" t="s">
        <v>62</v>
      </c>
      <c r="M3865" s="6" t="s">
        <v>8042</v>
      </c>
      <c r="N3865" s="6" t="s">
        <v>8201</v>
      </c>
      <c r="O3865" s="36" t="s">
        <v>7541</v>
      </c>
      <c r="P3865" s="36" t="s">
        <v>7542</v>
      </c>
      <c r="Q3865" s="38"/>
    </row>
    <row r="3866">
      <c r="A3866" s="6" t="s">
        <v>8042</v>
      </c>
      <c r="B3866" s="6" t="s">
        <v>8043</v>
      </c>
      <c r="C3866" s="6">
        <v>255.0</v>
      </c>
      <c r="D3866" s="9" t="str">
        <f t="shared" ref="D3866:D3867" si="220">HYPERLINK("https://www.linkedin.com/ad-library/detail/879005403","Open Ad")</f>
        <v>Open Ad</v>
      </c>
      <c r="E3866" s="6" t="s">
        <v>154</v>
      </c>
      <c r="F3866" s="6" t="s">
        <v>8022</v>
      </c>
      <c r="G3866" s="6" t="s">
        <v>8203</v>
      </c>
      <c r="H3866" s="6" t="s">
        <v>55</v>
      </c>
      <c r="I3866" s="6" t="s">
        <v>8025</v>
      </c>
      <c r="J3866" s="6" t="s">
        <v>154</v>
      </c>
      <c r="K3866" s="12" t="str">
        <f t="shared" ref="K3866:K3867" si="221">HYPERLINK("https://dms.licdn.com/playlist/vid/v2/D4D10AQEQ11lzulK81Q/mp4-720p-30fp-crf28/B4DZniAGkbHsCM-/0/1760433306194/AccuRankerSquareCEdited1mp4?e=2147483647&amp;v=beta&amp;t=RDvtfWw3LwDmBFNQx3smJIFyoh48jV9CPaDIeqWQyzM","View Creative")</f>
        <v>View Creative</v>
      </c>
      <c r="L3866" s="6" t="s">
        <v>62</v>
      </c>
      <c r="M3866" s="6" t="s">
        <v>8042</v>
      </c>
      <c r="N3866" s="6" t="s">
        <v>8206</v>
      </c>
      <c r="O3866" s="36" t="s">
        <v>7541</v>
      </c>
      <c r="P3866" s="36" t="s">
        <v>7542</v>
      </c>
      <c r="Q3866" s="38"/>
    </row>
    <row r="3867">
      <c r="A3867" s="6" t="s">
        <v>8042</v>
      </c>
      <c r="B3867" s="6" t="s">
        <v>8043</v>
      </c>
      <c r="C3867" s="6">
        <v>256.0</v>
      </c>
      <c r="D3867" s="9" t="str">
        <f t="shared" si="220"/>
        <v>Open Ad</v>
      </c>
      <c r="E3867" s="6" t="s">
        <v>154</v>
      </c>
      <c r="F3867" s="6" t="s">
        <v>8022</v>
      </c>
      <c r="G3867" s="6" t="s">
        <v>8203</v>
      </c>
      <c r="H3867" s="6" t="s">
        <v>55</v>
      </c>
      <c r="I3867" s="6" t="s">
        <v>8025</v>
      </c>
      <c r="J3867" s="6" t="s">
        <v>154</v>
      </c>
      <c r="K3867" s="12" t="str">
        <f t="shared" si="221"/>
        <v>View Creative</v>
      </c>
      <c r="L3867" s="6" t="s">
        <v>62</v>
      </c>
      <c r="M3867" s="6" t="s">
        <v>8042</v>
      </c>
      <c r="N3867" s="6" t="s">
        <v>8206</v>
      </c>
      <c r="O3867" s="36" t="s">
        <v>7541</v>
      </c>
      <c r="P3867" s="36" t="s">
        <v>7542</v>
      </c>
      <c r="Q3867" s="38"/>
    </row>
    <row r="3868">
      <c r="A3868" s="6" t="s">
        <v>8042</v>
      </c>
      <c r="B3868" s="6" t="s">
        <v>8043</v>
      </c>
      <c r="C3868" s="6">
        <v>257.0</v>
      </c>
      <c r="D3868" s="9" t="str">
        <f t="shared" ref="D3868:D3869" si="222">HYPERLINK("https://www.linkedin.com/ad-library/detail/863533023","Open Ad")</f>
        <v>Open Ad</v>
      </c>
      <c r="E3868" s="6" t="s">
        <v>154</v>
      </c>
      <c r="F3868" s="6" t="s">
        <v>8022</v>
      </c>
      <c r="G3868" s="6" t="s">
        <v>8207</v>
      </c>
      <c r="H3868" s="6" t="s">
        <v>55</v>
      </c>
      <c r="I3868" s="6" t="s">
        <v>8025</v>
      </c>
      <c r="J3868" s="6" t="s">
        <v>154</v>
      </c>
      <c r="K3868" s="12" t="str">
        <f t="shared" ref="K3868:K3871" si="223">HYPERLINK("https://dms.licdn.com/playlist/vid/v2/D4D10AQEHTNGRI9DfPw/mp4-360p-30fp-crf28/B4DZmp0qBtKQCI-/0/1759490781877/AccuRankerSquare_3mp4?e=2147483647&amp;v=beta&amp;t=Oo1cpz8RpAPmCblL2OGYu8O8EUNfLno9JSNNGXdmiMU","View Creative")</f>
        <v>View Creative</v>
      </c>
      <c r="L3868" s="6" t="s">
        <v>62</v>
      </c>
      <c r="M3868" s="6" t="s">
        <v>8042</v>
      </c>
      <c r="N3868" s="6"/>
      <c r="O3868" s="36" t="s">
        <v>7541</v>
      </c>
      <c r="P3868" s="36" t="s">
        <v>7542</v>
      </c>
      <c r="Q3868" s="38"/>
    </row>
    <row r="3869">
      <c r="A3869" s="6" t="s">
        <v>8042</v>
      </c>
      <c r="B3869" s="6" t="s">
        <v>8043</v>
      </c>
      <c r="C3869" s="6">
        <v>258.0</v>
      </c>
      <c r="D3869" s="9" t="str">
        <f t="shared" si="222"/>
        <v>Open Ad</v>
      </c>
      <c r="E3869" s="6" t="s">
        <v>154</v>
      </c>
      <c r="F3869" s="6" t="s">
        <v>8022</v>
      </c>
      <c r="G3869" s="6" t="s">
        <v>8207</v>
      </c>
      <c r="H3869" s="6" t="s">
        <v>55</v>
      </c>
      <c r="I3869" s="6" t="s">
        <v>8025</v>
      </c>
      <c r="J3869" s="6" t="s">
        <v>154</v>
      </c>
      <c r="K3869" s="12" t="str">
        <f t="shared" si="223"/>
        <v>View Creative</v>
      </c>
      <c r="L3869" s="6" t="s">
        <v>62</v>
      </c>
      <c r="M3869" s="6" t="s">
        <v>8042</v>
      </c>
      <c r="N3869" s="6"/>
      <c r="O3869" s="36" t="s">
        <v>7541</v>
      </c>
      <c r="P3869" s="36" t="s">
        <v>7542</v>
      </c>
      <c r="Q3869" s="38"/>
    </row>
    <row r="3870">
      <c r="A3870" s="6" t="s">
        <v>8042</v>
      </c>
      <c r="B3870" s="6" t="s">
        <v>8043</v>
      </c>
      <c r="C3870" s="6">
        <v>259.0</v>
      </c>
      <c r="D3870" s="9" t="str">
        <f t="shared" ref="D3870:D3871" si="224">HYPERLINK("https://www.linkedin.com/ad-library/detail/863552823","Open Ad")</f>
        <v>Open Ad</v>
      </c>
      <c r="E3870" s="6" t="s">
        <v>154</v>
      </c>
      <c r="F3870" s="6" t="s">
        <v>8022</v>
      </c>
      <c r="G3870" s="6" t="s">
        <v>8208</v>
      </c>
      <c r="H3870" s="6" t="s">
        <v>55</v>
      </c>
      <c r="I3870" s="6" t="s">
        <v>8025</v>
      </c>
      <c r="J3870" s="6" t="s">
        <v>154</v>
      </c>
      <c r="K3870" s="12" t="str">
        <f t="shared" si="223"/>
        <v>View Creative</v>
      </c>
      <c r="L3870" s="6" t="s">
        <v>62</v>
      </c>
      <c r="M3870" s="6" t="s">
        <v>8042</v>
      </c>
      <c r="N3870" s="6"/>
      <c r="O3870" s="36" t="s">
        <v>7541</v>
      </c>
      <c r="P3870" s="36" t="s">
        <v>7542</v>
      </c>
      <c r="Q3870" s="38"/>
    </row>
    <row r="3871">
      <c r="A3871" s="6" t="s">
        <v>8042</v>
      </c>
      <c r="B3871" s="6" t="s">
        <v>8043</v>
      </c>
      <c r="C3871" s="6">
        <v>260.0</v>
      </c>
      <c r="D3871" s="9" t="str">
        <f t="shared" si="224"/>
        <v>Open Ad</v>
      </c>
      <c r="E3871" s="6" t="s">
        <v>154</v>
      </c>
      <c r="F3871" s="6" t="s">
        <v>8022</v>
      </c>
      <c r="G3871" s="6" t="s">
        <v>8208</v>
      </c>
      <c r="H3871" s="6" t="s">
        <v>55</v>
      </c>
      <c r="I3871" s="6" t="s">
        <v>8025</v>
      </c>
      <c r="J3871" s="6" t="s">
        <v>154</v>
      </c>
      <c r="K3871" s="12" t="str">
        <f t="shared" si="223"/>
        <v>View Creative</v>
      </c>
      <c r="L3871" s="6" t="s">
        <v>62</v>
      </c>
      <c r="M3871" s="6" t="s">
        <v>8042</v>
      </c>
      <c r="N3871" s="6"/>
      <c r="O3871" s="36" t="s">
        <v>7541</v>
      </c>
      <c r="P3871" s="36" t="s">
        <v>7542</v>
      </c>
      <c r="Q3871" s="38"/>
    </row>
    <row r="3872">
      <c r="A3872" s="6" t="s">
        <v>8042</v>
      </c>
      <c r="B3872" s="6" t="s">
        <v>8043</v>
      </c>
      <c r="C3872" s="6">
        <v>261.0</v>
      </c>
      <c r="D3872" s="9" t="str">
        <f t="shared" ref="D3872:D3873" si="225">HYPERLINK("https://www.linkedin.com/ad-library/detail/879055693","Open Ad")</f>
        <v>Open Ad</v>
      </c>
      <c r="E3872" s="6" t="s">
        <v>154</v>
      </c>
      <c r="F3872" s="6" t="s">
        <v>8022</v>
      </c>
      <c r="G3872" s="6" t="s">
        <v>8167</v>
      </c>
      <c r="H3872" s="6" t="s">
        <v>55</v>
      </c>
      <c r="I3872" s="6" t="s">
        <v>8025</v>
      </c>
      <c r="J3872" s="6" t="s">
        <v>154</v>
      </c>
      <c r="K3872" s="12" t="str">
        <f t="shared" ref="K3872:K3875" si="226">HYPERLINK("https://dms.licdn.com/playlist/vid/v2/D4D10AQHFY0PzaTOu5g/mp4-640p-30fp-crf28/B4DZniTDSUIcBs-/0/1760438274042/AccuRankerSquareCEdited1mp4?e=2147483647&amp;v=beta&amp;t=0DXhBATfFMBfD3O3Z61J437bm4aBCxCzzq961FqcRfI","View Creative")</f>
        <v>View Creative</v>
      </c>
      <c r="L3872" s="6" t="s">
        <v>62</v>
      </c>
      <c r="M3872" s="6" t="s">
        <v>8042</v>
      </c>
      <c r="N3872" s="6"/>
      <c r="O3872" s="36" t="s">
        <v>7541</v>
      </c>
      <c r="P3872" s="36" t="s">
        <v>7542</v>
      </c>
      <c r="Q3872" s="38"/>
    </row>
    <row r="3873">
      <c r="A3873" s="6" t="s">
        <v>8042</v>
      </c>
      <c r="B3873" s="6" t="s">
        <v>8043</v>
      </c>
      <c r="C3873" s="6">
        <v>262.0</v>
      </c>
      <c r="D3873" s="9" t="str">
        <f t="shared" si="225"/>
        <v>Open Ad</v>
      </c>
      <c r="E3873" s="6" t="s">
        <v>154</v>
      </c>
      <c r="F3873" s="6" t="s">
        <v>8022</v>
      </c>
      <c r="G3873" s="6" t="s">
        <v>8167</v>
      </c>
      <c r="H3873" s="6" t="s">
        <v>55</v>
      </c>
      <c r="I3873" s="6" t="s">
        <v>8025</v>
      </c>
      <c r="J3873" s="6" t="s">
        <v>154</v>
      </c>
      <c r="K3873" s="12" t="str">
        <f t="shared" si="226"/>
        <v>View Creative</v>
      </c>
      <c r="L3873" s="6" t="s">
        <v>62</v>
      </c>
      <c r="M3873" s="6" t="s">
        <v>8042</v>
      </c>
      <c r="N3873" s="6"/>
      <c r="O3873" s="36" t="s">
        <v>7541</v>
      </c>
      <c r="P3873" s="36" t="s">
        <v>7542</v>
      </c>
      <c r="Q3873" s="38"/>
    </row>
    <row r="3874">
      <c r="A3874" s="6" t="s">
        <v>8042</v>
      </c>
      <c r="B3874" s="6" t="s">
        <v>8043</v>
      </c>
      <c r="C3874" s="6">
        <v>263.0</v>
      </c>
      <c r="D3874" s="9" t="str">
        <f t="shared" ref="D3874:D3875" si="227">HYPERLINK("https://www.linkedin.com/ad-library/detail/878985533","Open Ad")</f>
        <v>Open Ad</v>
      </c>
      <c r="E3874" s="6" t="s">
        <v>154</v>
      </c>
      <c r="F3874" s="6" t="s">
        <v>8022</v>
      </c>
      <c r="G3874" s="6" t="s">
        <v>8202</v>
      </c>
      <c r="H3874" s="6" t="s">
        <v>55</v>
      </c>
      <c r="I3874" s="6" t="s">
        <v>8025</v>
      </c>
      <c r="J3874" s="6" t="s">
        <v>154</v>
      </c>
      <c r="K3874" s="12" t="str">
        <f t="shared" si="226"/>
        <v>View Creative</v>
      </c>
      <c r="L3874" s="6" t="s">
        <v>62</v>
      </c>
      <c r="M3874" s="6" t="s">
        <v>8042</v>
      </c>
      <c r="N3874" s="6" t="s">
        <v>8204</v>
      </c>
      <c r="O3874" s="36" t="s">
        <v>7541</v>
      </c>
      <c r="P3874" s="36" t="s">
        <v>7542</v>
      </c>
      <c r="Q3874" s="38"/>
    </row>
    <row r="3875">
      <c r="A3875" s="6" t="s">
        <v>8042</v>
      </c>
      <c r="B3875" s="6" t="s">
        <v>8043</v>
      </c>
      <c r="C3875" s="6">
        <v>264.0</v>
      </c>
      <c r="D3875" s="9" t="str">
        <f t="shared" si="227"/>
        <v>Open Ad</v>
      </c>
      <c r="E3875" s="6" t="s">
        <v>154</v>
      </c>
      <c r="F3875" s="6" t="s">
        <v>8022</v>
      </c>
      <c r="G3875" s="6" t="s">
        <v>8202</v>
      </c>
      <c r="H3875" s="6" t="s">
        <v>55</v>
      </c>
      <c r="I3875" s="6" t="s">
        <v>8025</v>
      </c>
      <c r="J3875" s="6" t="s">
        <v>154</v>
      </c>
      <c r="K3875" s="12" t="str">
        <f t="shared" si="226"/>
        <v>View Creative</v>
      </c>
      <c r="L3875" s="6" t="s">
        <v>62</v>
      </c>
      <c r="M3875" s="6" t="s">
        <v>8042</v>
      </c>
      <c r="N3875" s="6" t="s">
        <v>8204</v>
      </c>
      <c r="O3875" s="36" t="s">
        <v>7541</v>
      </c>
      <c r="P3875" s="36" t="s">
        <v>7542</v>
      </c>
      <c r="Q3875" s="38"/>
    </row>
    <row r="3876">
      <c r="A3876" s="6" t="s">
        <v>8042</v>
      </c>
      <c r="B3876" s="6" t="s">
        <v>8043</v>
      </c>
      <c r="C3876" s="6">
        <v>265.0</v>
      </c>
      <c r="D3876" s="9" t="str">
        <f t="shared" ref="D3876:D3877" si="228">HYPERLINK("https://www.linkedin.com/ad-library/detail/879005393","Open Ad")</f>
        <v>Open Ad</v>
      </c>
      <c r="E3876" s="6" t="s">
        <v>154</v>
      </c>
      <c r="F3876" s="6" t="s">
        <v>8022</v>
      </c>
      <c r="G3876" s="6" t="s">
        <v>8203</v>
      </c>
      <c r="H3876" s="6" t="s">
        <v>55</v>
      </c>
      <c r="I3876" s="6" t="s">
        <v>8025</v>
      </c>
      <c r="J3876" s="6" t="s">
        <v>154</v>
      </c>
      <c r="K3876" s="12" t="str">
        <f t="shared" ref="K3876:K3879" si="229">HYPERLINK("https://dms.licdn.com/playlist/vid/v2/D4D10AQEQ11lzulK81Q/mp4-720p-30fp-crf28/B4DZniAGkbHsCM-/0/1760433306194/AccuRankerSquareCEdited1mp4?e=2147483647&amp;v=beta&amp;t=RDvtfWw3LwDmBFNQx3smJIFyoh48jV9CPaDIeqWQyzM","View Creative")</f>
        <v>View Creative</v>
      </c>
      <c r="L3876" s="6" t="s">
        <v>62</v>
      </c>
      <c r="M3876" s="6" t="s">
        <v>8042</v>
      </c>
      <c r="N3876" s="6"/>
      <c r="O3876" s="36" t="s">
        <v>7541</v>
      </c>
      <c r="P3876" s="36" t="s">
        <v>7542</v>
      </c>
      <c r="Q3876" s="38"/>
    </row>
    <row r="3877">
      <c r="A3877" s="6" t="s">
        <v>8042</v>
      </c>
      <c r="B3877" s="6" t="s">
        <v>8043</v>
      </c>
      <c r="C3877" s="6">
        <v>266.0</v>
      </c>
      <c r="D3877" s="9" t="str">
        <f t="shared" si="228"/>
        <v>Open Ad</v>
      </c>
      <c r="E3877" s="6" t="s">
        <v>154</v>
      </c>
      <c r="F3877" s="6" t="s">
        <v>8022</v>
      </c>
      <c r="G3877" s="6" t="s">
        <v>8203</v>
      </c>
      <c r="H3877" s="6" t="s">
        <v>55</v>
      </c>
      <c r="I3877" s="6" t="s">
        <v>8025</v>
      </c>
      <c r="J3877" s="6" t="s">
        <v>154</v>
      </c>
      <c r="K3877" s="12" t="str">
        <f t="shared" si="229"/>
        <v>View Creative</v>
      </c>
      <c r="L3877" s="6" t="s">
        <v>62</v>
      </c>
      <c r="M3877" s="6" t="s">
        <v>8042</v>
      </c>
      <c r="N3877" s="6"/>
      <c r="O3877" s="36" t="s">
        <v>7541</v>
      </c>
      <c r="P3877" s="36" t="s">
        <v>7542</v>
      </c>
      <c r="Q3877" s="38"/>
    </row>
    <row r="3878">
      <c r="A3878" s="6" t="s">
        <v>8042</v>
      </c>
      <c r="B3878" s="6" t="s">
        <v>8043</v>
      </c>
      <c r="C3878" s="6">
        <v>267.0</v>
      </c>
      <c r="D3878" s="9" t="str">
        <f t="shared" ref="D3878:D3879" si="230">HYPERLINK("https://www.linkedin.com/ad-library/detail/878906053","Open Ad")</f>
        <v>Open Ad</v>
      </c>
      <c r="E3878" s="6" t="s">
        <v>154</v>
      </c>
      <c r="F3878" s="6" t="s">
        <v>8022</v>
      </c>
      <c r="G3878" s="6" t="s">
        <v>8209</v>
      </c>
      <c r="H3878" s="6" t="s">
        <v>55</v>
      </c>
      <c r="I3878" s="6" t="s">
        <v>8025</v>
      </c>
      <c r="J3878" s="6" t="s">
        <v>154</v>
      </c>
      <c r="K3878" s="12" t="str">
        <f t="shared" si="229"/>
        <v>View Creative</v>
      </c>
      <c r="L3878" s="6" t="s">
        <v>62</v>
      </c>
      <c r="M3878" s="6" t="s">
        <v>8042</v>
      </c>
      <c r="N3878" s="6"/>
      <c r="O3878" s="36" t="s">
        <v>7541</v>
      </c>
      <c r="P3878" s="36" t="s">
        <v>7542</v>
      </c>
      <c r="Q3878" s="38"/>
    </row>
    <row r="3879">
      <c r="A3879" s="6" t="s">
        <v>8042</v>
      </c>
      <c r="B3879" s="6" t="s">
        <v>8043</v>
      </c>
      <c r="C3879" s="6">
        <v>268.0</v>
      </c>
      <c r="D3879" s="9" t="str">
        <f t="shared" si="230"/>
        <v>Open Ad</v>
      </c>
      <c r="E3879" s="6" t="s">
        <v>154</v>
      </c>
      <c r="F3879" s="6" t="s">
        <v>8022</v>
      </c>
      <c r="G3879" s="6" t="s">
        <v>8209</v>
      </c>
      <c r="H3879" s="6" t="s">
        <v>55</v>
      </c>
      <c r="I3879" s="6" t="s">
        <v>8025</v>
      </c>
      <c r="J3879" s="6" t="s">
        <v>154</v>
      </c>
      <c r="K3879" s="12" t="str">
        <f t="shared" si="229"/>
        <v>View Creative</v>
      </c>
      <c r="L3879" s="6" t="s">
        <v>62</v>
      </c>
      <c r="M3879" s="6" t="s">
        <v>8042</v>
      </c>
      <c r="N3879" s="6"/>
      <c r="O3879" s="36" t="s">
        <v>7541</v>
      </c>
      <c r="P3879" s="36" t="s">
        <v>7542</v>
      </c>
      <c r="Q3879" s="38"/>
    </row>
    <row r="3880">
      <c r="A3880" s="6" t="s">
        <v>8042</v>
      </c>
      <c r="B3880" s="6" t="s">
        <v>8043</v>
      </c>
      <c r="C3880" s="6">
        <v>269.0</v>
      </c>
      <c r="D3880" s="9" t="str">
        <f t="shared" ref="D3880:D3881" si="231">HYPERLINK("https://www.linkedin.com/ad-library/detail/878876323","Open Ad")</f>
        <v>Open Ad</v>
      </c>
      <c r="E3880" s="6" t="s">
        <v>154</v>
      </c>
      <c r="F3880" s="6" t="s">
        <v>8022</v>
      </c>
      <c r="G3880" s="6" t="s">
        <v>8167</v>
      </c>
      <c r="H3880" s="6" t="s">
        <v>55</v>
      </c>
      <c r="I3880" s="6" t="s">
        <v>8025</v>
      </c>
      <c r="J3880" s="6" t="s">
        <v>154</v>
      </c>
      <c r="K3880" s="12" t="str">
        <f t="shared" ref="K3880:K3881" si="232">HYPERLINK("https://dms.licdn.com/playlist/vid/v2/D4D10AQHFY0PzaTOu5g/mp4-640p-30fp-crf28/B4DZniTDSUIcBs-/0/1760438274042/AccuRankerSquareCEdited1mp4?e=2147483647&amp;v=beta&amp;t=0DXhBATfFMBfD3O3Z61J437bm4aBCxCzzq961FqcRfI","View Creative")</f>
        <v>View Creative</v>
      </c>
      <c r="L3880" s="6" t="s">
        <v>62</v>
      </c>
      <c r="M3880" s="6" t="s">
        <v>8042</v>
      </c>
      <c r="N3880" s="6"/>
      <c r="O3880" s="36" t="s">
        <v>7541</v>
      </c>
      <c r="P3880" s="36" t="s">
        <v>7542</v>
      </c>
      <c r="Q3880" s="38"/>
    </row>
    <row r="3881">
      <c r="A3881" s="6" t="s">
        <v>8042</v>
      </c>
      <c r="B3881" s="6" t="s">
        <v>8043</v>
      </c>
      <c r="C3881" s="6">
        <v>270.0</v>
      </c>
      <c r="D3881" s="9" t="str">
        <f t="shared" si="231"/>
        <v>Open Ad</v>
      </c>
      <c r="E3881" s="6" t="s">
        <v>154</v>
      </c>
      <c r="F3881" s="6" t="s">
        <v>8022</v>
      </c>
      <c r="G3881" s="6" t="s">
        <v>8167</v>
      </c>
      <c r="H3881" s="6" t="s">
        <v>55</v>
      </c>
      <c r="I3881" s="6" t="s">
        <v>8025</v>
      </c>
      <c r="J3881" s="6" t="s">
        <v>154</v>
      </c>
      <c r="K3881" s="12" t="str">
        <f t="shared" si="232"/>
        <v>View Creative</v>
      </c>
      <c r="L3881" s="6" t="s">
        <v>62</v>
      </c>
      <c r="M3881" s="6" t="s">
        <v>8042</v>
      </c>
      <c r="N3881" s="6"/>
      <c r="O3881" s="36" t="s">
        <v>7541</v>
      </c>
      <c r="P3881" s="36" t="s">
        <v>7542</v>
      </c>
      <c r="Q3881" s="38"/>
    </row>
    <row r="3882">
      <c r="A3882" s="6" t="s">
        <v>8042</v>
      </c>
      <c r="B3882" s="6" t="s">
        <v>8043</v>
      </c>
      <c r="C3882" s="6">
        <v>271.0</v>
      </c>
      <c r="D3882" s="9" t="str">
        <f t="shared" ref="D3882:D3883" si="233">HYPERLINK("https://www.linkedin.com/ad-library/detail/878855923","Open Ad")</f>
        <v>Open Ad</v>
      </c>
      <c r="E3882" s="6" t="s">
        <v>154</v>
      </c>
      <c r="F3882" s="6" t="s">
        <v>8022</v>
      </c>
      <c r="G3882" s="6" t="s">
        <v>8209</v>
      </c>
      <c r="H3882" s="6" t="s">
        <v>55</v>
      </c>
      <c r="I3882" s="6" t="s">
        <v>8025</v>
      </c>
      <c r="J3882" s="6" t="s">
        <v>154</v>
      </c>
      <c r="K3882" s="12" t="str">
        <f t="shared" ref="K3882:K3883" si="234">HYPERLINK("https://dms.licdn.com/playlist/vid/v2/D4D10AQEQ11lzulK81Q/mp4-720p-30fp-crf28/B4DZniAGkbHsCM-/0/1760433306194/AccuRankerSquareCEdited1mp4?e=2147483647&amp;v=beta&amp;t=RDvtfWw3LwDmBFNQx3smJIFyoh48jV9CPaDIeqWQyzM","View Creative")</f>
        <v>View Creative</v>
      </c>
      <c r="L3882" s="6" t="s">
        <v>62</v>
      </c>
      <c r="M3882" s="6" t="s">
        <v>8042</v>
      </c>
      <c r="N3882" s="6" t="s">
        <v>8206</v>
      </c>
      <c r="O3882" s="36" t="s">
        <v>7541</v>
      </c>
      <c r="P3882" s="36" t="s">
        <v>7542</v>
      </c>
      <c r="Q3882" s="38"/>
    </row>
    <row r="3883">
      <c r="A3883" s="6" t="s">
        <v>8042</v>
      </c>
      <c r="B3883" s="6" t="s">
        <v>8043</v>
      </c>
      <c r="C3883" s="6">
        <v>272.0</v>
      </c>
      <c r="D3883" s="9" t="str">
        <f t="shared" si="233"/>
        <v>Open Ad</v>
      </c>
      <c r="E3883" s="6" t="s">
        <v>154</v>
      </c>
      <c r="F3883" s="6" t="s">
        <v>8022</v>
      </c>
      <c r="G3883" s="6" t="s">
        <v>8209</v>
      </c>
      <c r="H3883" s="6" t="s">
        <v>55</v>
      </c>
      <c r="I3883" s="6" t="s">
        <v>8025</v>
      </c>
      <c r="J3883" s="6" t="s">
        <v>154</v>
      </c>
      <c r="K3883" s="12" t="str">
        <f t="shared" si="234"/>
        <v>View Creative</v>
      </c>
      <c r="L3883" s="6" t="s">
        <v>62</v>
      </c>
      <c r="M3883" s="6" t="s">
        <v>8042</v>
      </c>
      <c r="N3883" s="6" t="s">
        <v>8206</v>
      </c>
      <c r="O3883" s="36" t="s">
        <v>7541</v>
      </c>
      <c r="P3883" s="36" t="s">
        <v>7542</v>
      </c>
      <c r="Q3883" s="38"/>
    </row>
    <row r="3884">
      <c r="A3884" s="6" t="s">
        <v>8042</v>
      </c>
      <c r="B3884" s="6" t="s">
        <v>8043</v>
      </c>
      <c r="C3884" s="6">
        <v>273.0</v>
      </c>
      <c r="D3884" s="9" t="str">
        <f t="shared" ref="D3884:D3885" si="235">HYPERLINK("https://www.linkedin.com/ad-library/detail/878906073","Open Ad")</f>
        <v>Open Ad</v>
      </c>
      <c r="E3884" s="6" t="s">
        <v>154</v>
      </c>
      <c r="F3884" s="6" t="s">
        <v>8022</v>
      </c>
      <c r="G3884" s="6" t="s">
        <v>8205</v>
      </c>
      <c r="H3884" s="6" t="s">
        <v>55</v>
      </c>
      <c r="I3884" s="6" t="s">
        <v>8025</v>
      </c>
      <c r="J3884" s="6" t="s">
        <v>154</v>
      </c>
      <c r="K3884" s="12" t="str">
        <f t="shared" ref="K3884:K3887" si="236">HYPERLINK("https://dms.licdn.com/playlist/vid/v2/D4D10AQHFY0PzaTOu5g/mp4-640p-30fp-crf28/B4DZniTDSUIcBs-/0/1760438274042/AccuRankerSquareCEdited1mp4?e=2147483647&amp;v=beta&amp;t=0DXhBATfFMBfD3O3Z61J437bm4aBCxCzzq961FqcRfI","View Creative")</f>
        <v>View Creative</v>
      </c>
      <c r="L3884" s="6" t="s">
        <v>62</v>
      </c>
      <c r="M3884" s="6" t="s">
        <v>8042</v>
      </c>
      <c r="N3884" s="6" t="s">
        <v>8204</v>
      </c>
      <c r="O3884" s="36" t="s">
        <v>7541</v>
      </c>
      <c r="P3884" s="36" t="s">
        <v>7542</v>
      </c>
      <c r="Q3884" s="38"/>
    </row>
    <row r="3885">
      <c r="A3885" s="6" t="s">
        <v>8042</v>
      </c>
      <c r="B3885" s="6" t="s">
        <v>8043</v>
      </c>
      <c r="C3885" s="6">
        <v>274.0</v>
      </c>
      <c r="D3885" s="9" t="str">
        <f t="shared" si="235"/>
        <v>Open Ad</v>
      </c>
      <c r="E3885" s="6" t="s">
        <v>154</v>
      </c>
      <c r="F3885" s="6" t="s">
        <v>8022</v>
      </c>
      <c r="G3885" s="6" t="s">
        <v>8205</v>
      </c>
      <c r="H3885" s="6" t="s">
        <v>55</v>
      </c>
      <c r="I3885" s="6" t="s">
        <v>8025</v>
      </c>
      <c r="J3885" s="6" t="s">
        <v>154</v>
      </c>
      <c r="K3885" s="12" t="str">
        <f t="shared" si="236"/>
        <v>View Creative</v>
      </c>
      <c r="L3885" s="6" t="s">
        <v>62</v>
      </c>
      <c r="M3885" s="6" t="s">
        <v>8042</v>
      </c>
      <c r="N3885" s="6" t="s">
        <v>8204</v>
      </c>
      <c r="O3885" s="36" t="s">
        <v>7541</v>
      </c>
      <c r="P3885" s="36" t="s">
        <v>7542</v>
      </c>
      <c r="Q3885" s="38"/>
    </row>
    <row r="3886">
      <c r="A3886" s="6" t="s">
        <v>8042</v>
      </c>
      <c r="B3886" s="6" t="s">
        <v>8043</v>
      </c>
      <c r="C3886" s="6">
        <v>275.0</v>
      </c>
      <c r="D3886" s="9" t="str">
        <f t="shared" ref="D3886:D3887" si="237">HYPERLINK("https://www.linkedin.com/ad-library/detail/878985483","Open Ad")</f>
        <v>Open Ad</v>
      </c>
      <c r="E3886" s="6" t="s">
        <v>154</v>
      </c>
      <c r="F3886" s="6" t="s">
        <v>8022</v>
      </c>
      <c r="G3886" s="6" t="s">
        <v>8202</v>
      </c>
      <c r="H3886" s="6" t="s">
        <v>55</v>
      </c>
      <c r="I3886" s="6" t="s">
        <v>8025</v>
      </c>
      <c r="J3886" s="6" t="s">
        <v>154</v>
      </c>
      <c r="K3886" s="12" t="str">
        <f t="shared" si="236"/>
        <v>View Creative</v>
      </c>
      <c r="L3886" s="6" t="s">
        <v>62</v>
      </c>
      <c r="M3886" s="6" t="s">
        <v>8042</v>
      </c>
      <c r="N3886" s="6"/>
      <c r="O3886" s="36" t="s">
        <v>7541</v>
      </c>
      <c r="P3886" s="36" t="s">
        <v>7542</v>
      </c>
      <c r="Q3886" s="38"/>
    </row>
    <row r="3887">
      <c r="A3887" s="6" t="s">
        <v>8042</v>
      </c>
      <c r="B3887" s="6" t="s">
        <v>8043</v>
      </c>
      <c r="C3887" s="6">
        <v>276.0</v>
      </c>
      <c r="D3887" s="9" t="str">
        <f t="shared" si="237"/>
        <v>Open Ad</v>
      </c>
      <c r="E3887" s="6" t="s">
        <v>154</v>
      </c>
      <c r="F3887" s="6" t="s">
        <v>8022</v>
      </c>
      <c r="G3887" s="6" t="s">
        <v>8202</v>
      </c>
      <c r="H3887" s="6" t="s">
        <v>55</v>
      </c>
      <c r="I3887" s="6" t="s">
        <v>8025</v>
      </c>
      <c r="J3887" s="6" t="s">
        <v>154</v>
      </c>
      <c r="K3887" s="12" t="str">
        <f t="shared" si="236"/>
        <v>View Creative</v>
      </c>
      <c r="L3887" s="6" t="s">
        <v>62</v>
      </c>
      <c r="M3887" s="6" t="s">
        <v>8042</v>
      </c>
      <c r="N3887" s="6"/>
      <c r="O3887" s="36" t="s">
        <v>7541</v>
      </c>
      <c r="P3887" s="36" t="s">
        <v>7542</v>
      </c>
      <c r="Q3887" s="38"/>
    </row>
    <row r="3888">
      <c r="A3888" s="6" t="s">
        <v>8042</v>
      </c>
      <c r="B3888" s="6" t="s">
        <v>8043</v>
      </c>
      <c r="C3888" s="6">
        <v>277.0</v>
      </c>
      <c r="D3888" s="9" t="str">
        <f t="shared" ref="D3888:D3889" si="238">HYPERLINK("https://www.linkedin.com/ad-library/detail/878845693","Open Ad")</f>
        <v>Open Ad</v>
      </c>
      <c r="E3888" s="6" t="s">
        <v>154</v>
      </c>
      <c r="F3888" s="6" t="s">
        <v>8022</v>
      </c>
      <c r="G3888" s="6" t="s">
        <v>8209</v>
      </c>
      <c r="H3888" s="6" t="s">
        <v>55</v>
      </c>
      <c r="I3888" s="6" t="s">
        <v>8025</v>
      </c>
      <c r="J3888" s="6" t="s">
        <v>154</v>
      </c>
      <c r="K3888" s="12" t="str">
        <f t="shared" ref="K3888:K3891" si="239">HYPERLINK("https://dms.licdn.com/playlist/vid/v2/D4D10AQEQ11lzulK81Q/mp4-720p-30fp-crf28/B4DZniAGkbHsCM-/0/1760433306194/AccuRankerSquareCEdited1mp4?e=2147483647&amp;v=beta&amp;t=RDvtfWw3LwDmBFNQx3smJIFyoh48jV9CPaDIeqWQyzM","View Creative")</f>
        <v>View Creative</v>
      </c>
      <c r="L3888" s="6" t="s">
        <v>62</v>
      </c>
      <c r="M3888" s="6" t="s">
        <v>8042</v>
      </c>
      <c r="N3888" s="6"/>
      <c r="O3888" s="36" t="s">
        <v>7541</v>
      </c>
      <c r="P3888" s="36" t="s">
        <v>7542</v>
      </c>
      <c r="Q3888" s="38"/>
    </row>
    <row r="3889">
      <c r="A3889" s="6" t="s">
        <v>8042</v>
      </c>
      <c r="B3889" s="6" t="s">
        <v>8043</v>
      </c>
      <c r="C3889" s="6">
        <v>278.0</v>
      </c>
      <c r="D3889" s="9" t="str">
        <f t="shared" si="238"/>
        <v>Open Ad</v>
      </c>
      <c r="E3889" s="6" t="s">
        <v>154</v>
      </c>
      <c r="F3889" s="6" t="s">
        <v>8022</v>
      </c>
      <c r="G3889" s="6" t="s">
        <v>8209</v>
      </c>
      <c r="H3889" s="6" t="s">
        <v>55</v>
      </c>
      <c r="I3889" s="6" t="s">
        <v>8025</v>
      </c>
      <c r="J3889" s="6" t="s">
        <v>154</v>
      </c>
      <c r="K3889" s="12" t="str">
        <f t="shared" si="239"/>
        <v>View Creative</v>
      </c>
      <c r="L3889" s="6" t="s">
        <v>62</v>
      </c>
      <c r="M3889" s="6" t="s">
        <v>8042</v>
      </c>
      <c r="N3889" s="6"/>
      <c r="O3889" s="36" t="s">
        <v>7541</v>
      </c>
      <c r="P3889" s="36" t="s">
        <v>7542</v>
      </c>
      <c r="Q3889" s="38"/>
    </row>
    <row r="3890">
      <c r="A3890" s="6" t="s">
        <v>8042</v>
      </c>
      <c r="B3890" s="6" t="s">
        <v>8043</v>
      </c>
      <c r="C3890" s="6">
        <v>279.0</v>
      </c>
      <c r="D3890" s="9" t="str">
        <f t="shared" ref="D3890:D3891" si="240">HYPERLINK("https://www.linkedin.com/ad-library/detail/878886603","Open Ad")</f>
        <v>Open Ad</v>
      </c>
      <c r="E3890" s="6" t="s">
        <v>154</v>
      </c>
      <c r="F3890" s="6" t="s">
        <v>8022</v>
      </c>
      <c r="G3890" s="6" t="s">
        <v>8167</v>
      </c>
      <c r="H3890" s="6" t="s">
        <v>55</v>
      </c>
      <c r="I3890" s="6" t="s">
        <v>8025</v>
      </c>
      <c r="J3890" s="6" t="s">
        <v>154</v>
      </c>
      <c r="K3890" s="12" t="str">
        <f t="shared" si="239"/>
        <v>View Creative</v>
      </c>
      <c r="L3890" s="6" t="s">
        <v>62</v>
      </c>
      <c r="M3890" s="6" t="s">
        <v>8042</v>
      </c>
      <c r="N3890" s="6"/>
      <c r="O3890" s="36" t="s">
        <v>7541</v>
      </c>
      <c r="P3890" s="36" t="s">
        <v>7542</v>
      </c>
      <c r="Q3890" s="38"/>
    </row>
    <row r="3891">
      <c r="A3891" s="6" t="s">
        <v>8042</v>
      </c>
      <c r="B3891" s="6" t="s">
        <v>8043</v>
      </c>
      <c r="C3891" s="6">
        <v>280.0</v>
      </c>
      <c r="D3891" s="9" t="str">
        <f t="shared" si="240"/>
        <v>Open Ad</v>
      </c>
      <c r="E3891" s="6" t="s">
        <v>154</v>
      </c>
      <c r="F3891" s="6" t="s">
        <v>8022</v>
      </c>
      <c r="G3891" s="6" t="s">
        <v>8167</v>
      </c>
      <c r="H3891" s="6" t="s">
        <v>55</v>
      </c>
      <c r="I3891" s="6" t="s">
        <v>8025</v>
      </c>
      <c r="J3891" s="6" t="s">
        <v>154</v>
      </c>
      <c r="K3891" s="12" t="str">
        <f t="shared" si="239"/>
        <v>View Creative</v>
      </c>
      <c r="L3891" s="6" t="s">
        <v>62</v>
      </c>
      <c r="M3891" s="6" t="s">
        <v>8042</v>
      </c>
      <c r="N3891" s="6"/>
      <c r="O3891" s="36" t="s">
        <v>7541</v>
      </c>
      <c r="P3891" s="36" t="s">
        <v>7542</v>
      </c>
      <c r="Q3891" s="38"/>
    </row>
    <row r="3892">
      <c r="A3892" s="6" t="s">
        <v>8042</v>
      </c>
      <c r="B3892" s="6" t="s">
        <v>8043</v>
      </c>
      <c r="C3892" s="6">
        <v>281.0</v>
      </c>
      <c r="D3892" s="9" t="str">
        <f>HYPERLINK("https://www.linkedin.com/ad-library/detail/866962693","Open Ad")</f>
        <v>Open Ad</v>
      </c>
      <c r="E3892" s="6" t="s">
        <v>52</v>
      </c>
      <c r="F3892" s="6" t="s">
        <v>8022</v>
      </c>
      <c r="G3892" s="6" t="s">
        <v>8210</v>
      </c>
      <c r="H3892" s="6" t="s">
        <v>55</v>
      </c>
      <c r="I3892" s="6" t="s">
        <v>8025</v>
      </c>
      <c r="J3892" s="6" t="s">
        <v>52</v>
      </c>
      <c r="K3892" s="6" t="s">
        <v>60</v>
      </c>
      <c r="L3892" s="6" t="s">
        <v>62</v>
      </c>
      <c r="M3892" s="6" t="s">
        <v>8042</v>
      </c>
      <c r="N3892" s="6" t="s">
        <v>8211</v>
      </c>
      <c r="O3892" s="36" t="s">
        <v>7541</v>
      </c>
      <c r="P3892" s="36" t="s">
        <v>7542</v>
      </c>
      <c r="Q3892" s="38"/>
    </row>
    <row r="3893">
      <c r="A3893" s="6" t="s">
        <v>8042</v>
      </c>
      <c r="B3893" s="6" t="s">
        <v>8043</v>
      </c>
      <c r="C3893" s="6">
        <v>282.0</v>
      </c>
      <c r="D3893" s="9" t="str">
        <f t="shared" ref="D3893:D3894" si="241">HYPERLINK("https://www.linkedin.com/ad-library/detail/901831163","Open Ad")</f>
        <v>Open Ad</v>
      </c>
      <c r="E3893" s="6" t="s">
        <v>154</v>
      </c>
      <c r="F3893" s="6" t="s">
        <v>8022</v>
      </c>
      <c r="G3893" s="6" t="s">
        <v>8167</v>
      </c>
      <c r="H3893" s="6" t="s">
        <v>55</v>
      </c>
      <c r="I3893" s="6" t="s">
        <v>8025</v>
      </c>
      <c r="J3893" s="6" t="s">
        <v>154</v>
      </c>
      <c r="K3893" s="12" t="str">
        <f t="shared" ref="K3893:K3894" si="242">HYPERLINK("https://dms.licdn.com/playlist/vid/v2/D4D10AQHATMzXrq4gRg/progressive-servable-video/B4DZoF5ULKHsAY-/0/1761035503786/AccuRankerSquareCEdited1mp4?e=2147483647&amp;v=beta&amp;t=WHNRHFfODEgRi0vQeR12rY6mxCoOjL7aw0ezu0nMM00","View Creative")</f>
        <v>View Creative</v>
      </c>
      <c r="L3893" s="6" t="s">
        <v>62</v>
      </c>
      <c r="M3893" s="6" t="s">
        <v>8042</v>
      </c>
      <c r="N3893" s="6" t="s">
        <v>8201</v>
      </c>
      <c r="O3893" s="36" t="s">
        <v>7541</v>
      </c>
      <c r="P3893" s="36" t="s">
        <v>7542</v>
      </c>
      <c r="Q3893" s="38"/>
    </row>
    <row r="3894">
      <c r="A3894" s="6" t="s">
        <v>8042</v>
      </c>
      <c r="B3894" s="6" t="s">
        <v>8043</v>
      </c>
      <c r="C3894" s="6">
        <v>283.0</v>
      </c>
      <c r="D3894" s="9" t="str">
        <f t="shared" si="241"/>
        <v>Open Ad</v>
      </c>
      <c r="E3894" s="6" t="s">
        <v>154</v>
      </c>
      <c r="F3894" s="6" t="s">
        <v>8022</v>
      </c>
      <c r="G3894" s="6" t="s">
        <v>8167</v>
      </c>
      <c r="H3894" s="6" t="s">
        <v>55</v>
      </c>
      <c r="I3894" s="6" t="s">
        <v>8025</v>
      </c>
      <c r="J3894" s="6" t="s">
        <v>154</v>
      </c>
      <c r="K3894" s="12" t="str">
        <f t="shared" si="242"/>
        <v>View Creative</v>
      </c>
      <c r="L3894" s="6" t="s">
        <v>62</v>
      </c>
      <c r="M3894" s="6" t="s">
        <v>8042</v>
      </c>
      <c r="N3894" s="6" t="s">
        <v>8201</v>
      </c>
      <c r="O3894" s="36" t="s">
        <v>7541</v>
      </c>
      <c r="P3894" s="36" t="s">
        <v>7542</v>
      </c>
      <c r="Q3894" s="38"/>
    </row>
    <row r="3895">
      <c r="A3895" s="6" t="s">
        <v>8042</v>
      </c>
      <c r="B3895" s="6" t="s">
        <v>8043</v>
      </c>
      <c r="C3895" s="6">
        <v>284.0</v>
      </c>
      <c r="D3895" s="9" t="str">
        <f t="shared" ref="D3895:D3896" si="243">HYPERLINK("https://www.linkedin.com/ad-library/detail/878936023","Open Ad")</f>
        <v>Open Ad</v>
      </c>
      <c r="E3895" s="6" t="s">
        <v>154</v>
      </c>
      <c r="F3895" s="6" t="s">
        <v>8022</v>
      </c>
      <c r="G3895" s="6" t="s">
        <v>8167</v>
      </c>
      <c r="H3895" s="6" t="s">
        <v>55</v>
      </c>
      <c r="I3895" s="6" t="s">
        <v>8025</v>
      </c>
      <c r="J3895" s="6" t="s">
        <v>154</v>
      </c>
      <c r="K3895" s="12" t="str">
        <f t="shared" ref="K3895:K3896" si="244">HYPERLINK("https://dms.licdn.com/playlist/vid/v2/D4D10AQEQ11lzulK81Q/mp4-720p-30fp-crf28/B4DZniAGkbHsCM-/0/1760433306194/AccuRankerSquareCEdited1mp4?e=2147483647&amp;v=beta&amp;t=RDvtfWw3LwDmBFNQx3smJIFyoh48jV9CPaDIeqWQyzM","View Creative")</f>
        <v>View Creative</v>
      </c>
      <c r="L3895" s="6" t="s">
        <v>62</v>
      </c>
      <c r="M3895" s="6" t="s">
        <v>8042</v>
      </c>
      <c r="N3895" s="6" t="s">
        <v>8212</v>
      </c>
      <c r="O3895" s="36" t="s">
        <v>7541</v>
      </c>
      <c r="P3895" s="36" t="s">
        <v>7542</v>
      </c>
      <c r="Q3895" s="38"/>
    </row>
    <row r="3896">
      <c r="A3896" s="6" t="s">
        <v>8042</v>
      </c>
      <c r="B3896" s="6" t="s">
        <v>8043</v>
      </c>
      <c r="C3896" s="6">
        <v>285.0</v>
      </c>
      <c r="D3896" s="9" t="str">
        <f t="shared" si="243"/>
        <v>Open Ad</v>
      </c>
      <c r="E3896" s="6" t="s">
        <v>154</v>
      </c>
      <c r="F3896" s="6" t="s">
        <v>8022</v>
      </c>
      <c r="G3896" s="6" t="s">
        <v>8167</v>
      </c>
      <c r="H3896" s="6" t="s">
        <v>55</v>
      </c>
      <c r="I3896" s="6" t="s">
        <v>8025</v>
      </c>
      <c r="J3896" s="6" t="s">
        <v>154</v>
      </c>
      <c r="K3896" s="12" t="str">
        <f t="shared" si="244"/>
        <v>View Creative</v>
      </c>
      <c r="L3896" s="6" t="s">
        <v>62</v>
      </c>
      <c r="M3896" s="6" t="s">
        <v>8042</v>
      </c>
      <c r="N3896" s="6" t="s">
        <v>8212</v>
      </c>
      <c r="O3896" s="36" t="s">
        <v>7541</v>
      </c>
      <c r="P3896" s="36" t="s">
        <v>7542</v>
      </c>
      <c r="Q3896" s="38"/>
    </row>
    <row r="3897">
      <c r="A3897" s="6" t="s">
        <v>8042</v>
      </c>
      <c r="B3897" s="6" t="s">
        <v>8043</v>
      </c>
      <c r="C3897" s="6">
        <v>286.0</v>
      </c>
      <c r="D3897" s="9" t="str">
        <f>HYPERLINK("https://www.linkedin.com/ad-library/detail/867052293","Open Ad")</f>
        <v>Open Ad</v>
      </c>
      <c r="E3897" s="6" t="s">
        <v>52</v>
      </c>
      <c r="F3897" s="6" t="s">
        <v>8022</v>
      </c>
      <c r="G3897" s="6" t="s">
        <v>8210</v>
      </c>
      <c r="H3897" s="6" t="s">
        <v>55</v>
      </c>
      <c r="I3897" s="6" t="s">
        <v>8025</v>
      </c>
      <c r="J3897" s="6" t="s">
        <v>52</v>
      </c>
      <c r="K3897" s="6" t="s">
        <v>60</v>
      </c>
      <c r="L3897" s="6" t="s">
        <v>62</v>
      </c>
      <c r="M3897" s="6" t="s">
        <v>8042</v>
      </c>
      <c r="N3897" s="6" t="s">
        <v>8213</v>
      </c>
      <c r="O3897" s="36" t="s">
        <v>7541</v>
      </c>
      <c r="P3897" s="36" t="s">
        <v>7542</v>
      </c>
      <c r="Q3897" s="38"/>
    </row>
    <row r="3898">
      <c r="A3898" s="6" t="s">
        <v>8042</v>
      </c>
      <c r="B3898" s="6" t="s">
        <v>8043</v>
      </c>
      <c r="C3898" s="6">
        <v>287.0</v>
      </c>
      <c r="D3898" s="9" t="str">
        <f t="shared" ref="D3898:D3899" si="245">HYPERLINK("https://www.linkedin.com/ad-library/detail/863562343","Open Ad")</f>
        <v>Open Ad</v>
      </c>
      <c r="E3898" s="6" t="s">
        <v>154</v>
      </c>
      <c r="F3898" s="6" t="s">
        <v>8022</v>
      </c>
      <c r="G3898" s="6" t="s">
        <v>8214</v>
      </c>
      <c r="H3898" s="6" t="s">
        <v>55</v>
      </c>
      <c r="I3898" s="6" t="s">
        <v>8025</v>
      </c>
      <c r="J3898" s="6" t="s">
        <v>154</v>
      </c>
      <c r="K3898" s="12" t="str">
        <f t="shared" ref="K3898:K3899" si="246">HYPERLINK("https://dms.licdn.com/playlist/vid/v2/D4D10AQEHTNGRI9DfPw/mp4-360p-30fp-crf28/B4DZmp0qBtKQCI-/0/1759490781877/AccuRankerSquare_3mp4?e=2147483647&amp;v=beta&amp;t=Oo1cpz8RpAPmCblL2OGYu8O8EUNfLno9JSNNGXdmiMU","View Creative")</f>
        <v>View Creative</v>
      </c>
      <c r="L3898" s="6" t="s">
        <v>62</v>
      </c>
      <c r="M3898" s="6" t="s">
        <v>8042</v>
      </c>
      <c r="N3898" s="6"/>
      <c r="O3898" s="36" t="s">
        <v>7541</v>
      </c>
      <c r="P3898" s="36" t="s">
        <v>7542</v>
      </c>
      <c r="Q3898" s="38"/>
    </row>
    <row r="3899">
      <c r="A3899" s="6" t="s">
        <v>8042</v>
      </c>
      <c r="B3899" s="6" t="s">
        <v>8043</v>
      </c>
      <c r="C3899" s="6">
        <v>288.0</v>
      </c>
      <c r="D3899" s="9" t="str">
        <f t="shared" si="245"/>
        <v>Open Ad</v>
      </c>
      <c r="E3899" s="6" t="s">
        <v>154</v>
      </c>
      <c r="F3899" s="6" t="s">
        <v>8022</v>
      </c>
      <c r="G3899" s="6" t="s">
        <v>8214</v>
      </c>
      <c r="H3899" s="6" t="s">
        <v>55</v>
      </c>
      <c r="I3899" s="6" t="s">
        <v>8025</v>
      </c>
      <c r="J3899" s="6" t="s">
        <v>154</v>
      </c>
      <c r="K3899" s="12" t="str">
        <f t="shared" si="246"/>
        <v>View Creative</v>
      </c>
      <c r="L3899" s="6" t="s">
        <v>62</v>
      </c>
      <c r="M3899" s="6" t="s">
        <v>8042</v>
      </c>
      <c r="N3899" s="6"/>
      <c r="O3899" s="36" t="s">
        <v>7541</v>
      </c>
      <c r="P3899" s="36" t="s">
        <v>7542</v>
      </c>
      <c r="Q3899" s="38"/>
    </row>
    <row r="3900">
      <c r="A3900" s="6" t="s">
        <v>8042</v>
      </c>
      <c r="B3900" s="6" t="s">
        <v>8043</v>
      </c>
      <c r="C3900" s="6">
        <v>289.0</v>
      </c>
      <c r="D3900" s="9" t="str">
        <f t="shared" ref="D3900:D3901" si="247">HYPERLINK("https://www.linkedin.com/ad-library/detail/863431103","Open Ad")</f>
        <v>Open Ad</v>
      </c>
      <c r="E3900" s="6" t="s">
        <v>91</v>
      </c>
      <c r="F3900" s="6" t="s">
        <v>8022</v>
      </c>
      <c r="G3900" s="6" t="s">
        <v>8215</v>
      </c>
      <c r="H3900" s="6" t="s">
        <v>55</v>
      </c>
      <c r="I3900" s="6" t="s">
        <v>8025</v>
      </c>
      <c r="J3900" s="6" t="s">
        <v>91</v>
      </c>
      <c r="K3900" s="12" t="str">
        <f t="shared" ref="K3900:K3901" si="248">HYPERLINK("https://media.licdn.com/dms/image/v2/D4D22AQGebkJ5j84a5A/feedshare-shrink_1280/B4DZmZwzOtIgAw-/0/1759221331902?e=2147483647&amp;v=beta&amp;t=Cvow_3EStPatjmEk0UP8M_fx5HR7k3hSsPfU28pjLls","View Creative")</f>
        <v>View Creative</v>
      </c>
      <c r="L3900" s="6" t="s">
        <v>62</v>
      </c>
      <c r="M3900" s="6" t="s">
        <v>8042</v>
      </c>
      <c r="N3900" s="6" t="s">
        <v>8216</v>
      </c>
      <c r="O3900" s="36" t="s">
        <v>7541</v>
      </c>
      <c r="P3900" s="36" t="s">
        <v>7542</v>
      </c>
      <c r="Q3900" s="38"/>
    </row>
    <row r="3901">
      <c r="A3901" s="6" t="s">
        <v>8042</v>
      </c>
      <c r="B3901" s="6" t="s">
        <v>8043</v>
      </c>
      <c r="C3901" s="6">
        <v>290.0</v>
      </c>
      <c r="D3901" s="9" t="str">
        <f t="shared" si="247"/>
        <v>Open Ad</v>
      </c>
      <c r="E3901" s="6" t="s">
        <v>91</v>
      </c>
      <c r="F3901" s="6" t="s">
        <v>8022</v>
      </c>
      <c r="G3901" s="6" t="s">
        <v>8215</v>
      </c>
      <c r="H3901" s="6" t="s">
        <v>55</v>
      </c>
      <c r="I3901" s="6" t="s">
        <v>8025</v>
      </c>
      <c r="J3901" s="6" t="s">
        <v>91</v>
      </c>
      <c r="K3901" s="12" t="str">
        <f t="shared" si="248"/>
        <v>View Creative</v>
      </c>
      <c r="L3901" s="6" t="s">
        <v>62</v>
      </c>
      <c r="M3901" s="6" t="s">
        <v>8042</v>
      </c>
      <c r="N3901" s="6" t="s">
        <v>8216</v>
      </c>
      <c r="O3901" s="36" t="s">
        <v>7541</v>
      </c>
      <c r="P3901" s="36" t="s">
        <v>7542</v>
      </c>
      <c r="Q3901" s="38"/>
    </row>
    <row r="3902">
      <c r="A3902" s="6" t="s">
        <v>8042</v>
      </c>
      <c r="B3902" s="6" t="s">
        <v>8043</v>
      </c>
      <c r="C3902" s="6">
        <v>291.0</v>
      </c>
      <c r="D3902" s="9" t="str">
        <f t="shared" ref="D3902:D3903" si="249">HYPERLINK("https://www.linkedin.com/ad-library/detail/863321153","Open Ad")</f>
        <v>Open Ad</v>
      </c>
      <c r="E3902" s="6" t="s">
        <v>91</v>
      </c>
      <c r="F3902" s="6" t="s">
        <v>8022</v>
      </c>
      <c r="G3902" s="6" t="s">
        <v>8217</v>
      </c>
      <c r="H3902" s="6" t="s">
        <v>55</v>
      </c>
      <c r="I3902" s="6" t="s">
        <v>8025</v>
      </c>
      <c r="J3902" s="6" t="s">
        <v>91</v>
      </c>
      <c r="K3902" s="12" t="str">
        <f t="shared" ref="K3902:K3903" si="250">HYPERLINK("https://media.licdn.com/dms/image/v2/D4D22AQGTC46205g9Fw/feedshare-shrink_1280/B4DZmaFeLZIcAs-/0/1759226750074?e=2147483647&amp;v=beta&amp;t=arg04J7Nw-3797nDl3FOnw0mzBD1D7h0p4_UruCEKtw","View Creative")</f>
        <v>View Creative</v>
      </c>
      <c r="L3902" s="6" t="s">
        <v>62</v>
      </c>
      <c r="M3902" s="6" t="s">
        <v>8042</v>
      </c>
      <c r="N3902" s="6" t="s">
        <v>8218</v>
      </c>
      <c r="O3902" s="36" t="s">
        <v>7541</v>
      </c>
      <c r="P3902" s="36" t="s">
        <v>7542</v>
      </c>
      <c r="Q3902" s="38"/>
    </row>
    <row r="3903">
      <c r="A3903" s="6" t="s">
        <v>8042</v>
      </c>
      <c r="B3903" s="6" t="s">
        <v>8043</v>
      </c>
      <c r="C3903" s="6">
        <v>292.0</v>
      </c>
      <c r="D3903" s="9" t="str">
        <f t="shared" si="249"/>
        <v>Open Ad</v>
      </c>
      <c r="E3903" s="6" t="s">
        <v>91</v>
      </c>
      <c r="F3903" s="6" t="s">
        <v>8022</v>
      </c>
      <c r="G3903" s="6" t="s">
        <v>8217</v>
      </c>
      <c r="H3903" s="6" t="s">
        <v>55</v>
      </c>
      <c r="I3903" s="6" t="s">
        <v>8025</v>
      </c>
      <c r="J3903" s="6" t="s">
        <v>91</v>
      </c>
      <c r="K3903" s="12" t="str">
        <f t="shared" si="250"/>
        <v>View Creative</v>
      </c>
      <c r="L3903" s="6" t="s">
        <v>62</v>
      </c>
      <c r="M3903" s="6" t="s">
        <v>8042</v>
      </c>
      <c r="N3903" s="6" t="s">
        <v>8218</v>
      </c>
      <c r="O3903" s="36" t="s">
        <v>7541</v>
      </c>
      <c r="P3903" s="36" t="s">
        <v>7542</v>
      </c>
      <c r="Q3903" s="38"/>
    </row>
    <row r="3904">
      <c r="A3904" s="6" t="s">
        <v>8042</v>
      </c>
      <c r="B3904" s="6" t="s">
        <v>8043</v>
      </c>
      <c r="C3904" s="6">
        <v>293.0</v>
      </c>
      <c r="D3904" s="9" t="str">
        <f t="shared" ref="D3904:D3905" si="251">HYPERLINK("https://www.linkedin.com/ad-library/detail/863421093","Open Ad")</f>
        <v>Open Ad</v>
      </c>
      <c r="E3904" s="6" t="s">
        <v>91</v>
      </c>
      <c r="F3904" s="6" t="s">
        <v>8022</v>
      </c>
      <c r="G3904" s="6" t="s">
        <v>8219</v>
      </c>
      <c r="H3904" s="6" t="s">
        <v>8220</v>
      </c>
      <c r="I3904" s="6" t="s">
        <v>8025</v>
      </c>
      <c r="J3904" s="6" t="s">
        <v>91</v>
      </c>
      <c r="K3904" s="12" t="str">
        <f t="shared" ref="K3904:K3905" si="252">HYPERLINK("https://media.licdn.com/dms/image/v2/D4E22AQFvstp4V9ygRg/feedshare-image-high-res/B4EZmj8euxKUAo-/0/1759392166073?e=2147483647&amp;v=beta&amp;t=EXDWWhQooEkbgqMDoKDAnhCTL-XFCxG2vIYLmUi9cHI","View Creative")</f>
        <v>View Creative</v>
      </c>
      <c r="L3904" s="6" t="s">
        <v>62</v>
      </c>
      <c r="M3904" s="6" t="s">
        <v>8042</v>
      </c>
      <c r="N3904" s="6" t="s">
        <v>8221</v>
      </c>
      <c r="O3904" s="36" t="s">
        <v>7541</v>
      </c>
      <c r="P3904" s="36" t="s">
        <v>7542</v>
      </c>
      <c r="Q3904" s="38"/>
    </row>
    <row r="3905">
      <c r="A3905" s="6" t="s">
        <v>8042</v>
      </c>
      <c r="B3905" s="6" t="s">
        <v>8043</v>
      </c>
      <c r="C3905" s="6">
        <v>294.0</v>
      </c>
      <c r="D3905" s="9" t="str">
        <f t="shared" si="251"/>
        <v>Open Ad</v>
      </c>
      <c r="E3905" s="6" t="s">
        <v>91</v>
      </c>
      <c r="F3905" s="6" t="s">
        <v>8022</v>
      </c>
      <c r="G3905" s="6" t="s">
        <v>8219</v>
      </c>
      <c r="H3905" s="6" t="s">
        <v>8220</v>
      </c>
      <c r="I3905" s="6" t="s">
        <v>8025</v>
      </c>
      <c r="J3905" s="6" t="s">
        <v>91</v>
      </c>
      <c r="K3905" s="12" t="str">
        <f t="shared" si="252"/>
        <v>View Creative</v>
      </c>
      <c r="L3905" s="6" t="s">
        <v>62</v>
      </c>
      <c r="M3905" s="6" t="s">
        <v>8042</v>
      </c>
      <c r="N3905" s="6" t="s">
        <v>8221</v>
      </c>
      <c r="O3905" s="36" t="s">
        <v>7541</v>
      </c>
      <c r="P3905" s="36" t="s">
        <v>7542</v>
      </c>
      <c r="Q3905" s="38"/>
    </row>
    <row r="3906">
      <c r="A3906" s="6" t="s">
        <v>8042</v>
      </c>
      <c r="B3906" s="6" t="s">
        <v>8043</v>
      </c>
      <c r="C3906" s="6">
        <v>295.0</v>
      </c>
      <c r="D3906" s="9" t="str">
        <f t="shared" ref="D3906:D3907" si="253">HYPERLINK("https://www.linkedin.com/ad-library/detail/863351423","Open Ad")</f>
        <v>Open Ad</v>
      </c>
      <c r="E3906" s="6" t="s">
        <v>91</v>
      </c>
      <c r="F3906" s="6" t="s">
        <v>8022</v>
      </c>
      <c r="G3906" s="6" t="s">
        <v>8217</v>
      </c>
      <c r="H3906" s="6" t="s">
        <v>55</v>
      </c>
      <c r="I3906" s="6" t="s">
        <v>8025</v>
      </c>
      <c r="J3906" s="6" t="s">
        <v>91</v>
      </c>
      <c r="K3906" s="12" t="str">
        <f t="shared" ref="K3906:K3907" si="254">HYPERLINK("https://media.licdn.com/dms/image/v2/D4D22AQGTC46205g9Fw/feedshare-shrink_1280/B4DZmaFeLZIcAs-/0/1759226750074?e=2147483647&amp;v=beta&amp;t=arg04J7Nw-3797nDl3FOnw0mzBD1D7h0p4_UruCEKtw","View Creative")</f>
        <v>View Creative</v>
      </c>
      <c r="L3906" s="6" t="s">
        <v>62</v>
      </c>
      <c r="M3906" s="6" t="s">
        <v>8042</v>
      </c>
      <c r="N3906" s="6" t="s">
        <v>8218</v>
      </c>
      <c r="O3906" s="36" t="s">
        <v>7541</v>
      </c>
      <c r="P3906" s="36" t="s">
        <v>7542</v>
      </c>
      <c r="Q3906" s="38"/>
    </row>
    <row r="3907">
      <c r="A3907" s="6" t="s">
        <v>8042</v>
      </c>
      <c r="B3907" s="6" t="s">
        <v>8043</v>
      </c>
      <c r="C3907" s="6">
        <v>296.0</v>
      </c>
      <c r="D3907" s="9" t="str">
        <f t="shared" si="253"/>
        <v>Open Ad</v>
      </c>
      <c r="E3907" s="6" t="s">
        <v>91</v>
      </c>
      <c r="F3907" s="6" t="s">
        <v>8022</v>
      </c>
      <c r="G3907" s="6" t="s">
        <v>8217</v>
      </c>
      <c r="H3907" s="6" t="s">
        <v>55</v>
      </c>
      <c r="I3907" s="6" t="s">
        <v>8025</v>
      </c>
      <c r="J3907" s="6" t="s">
        <v>91</v>
      </c>
      <c r="K3907" s="12" t="str">
        <f t="shared" si="254"/>
        <v>View Creative</v>
      </c>
      <c r="L3907" s="6" t="s">
        <v>62</v>
      </c>
      <c r="M3907" s="6" t="s">
        <v>8042</v>
      </c>
      <c r="N3907" s="6" t="s">
        <v>8218</v>
      </c>
      <c r="O3907" s="36" t="s">
        <v>7541</v>
      </c>
      <c r="P3907" s="36" t="s">
        <v>7542</v>
      </c>
      <c r="Q3907" s="38"/>
    </row>
    <row r="3908">
      <c r="A3908" s="6" t="s">
        <v>8042</v>
      </c>
      <c r="B3908" s="6" t="s">
        <v>8043</v>
      </c>
      <c r="C3908" s="6">
        <v>297.0</v>
      </c>
      <c r="D3908" s="9" t="str">
        <f t="shared" ref="D3908:D3909" si="255">HYPERLINK("https://www.linkedin.com/ad-library/detail/863321123","Open Ad")</f>
        <v>Open Ad</v>
      </c>
      <c r="E3908" s="6" t="s">
        <v>91</v>
      </c>
      <c r="F3908" s="6" t="s">
        <v>8022</v>
      </c>
      <c r="G3908" s="6" t="s">
        <v>8219</v>
      </c>
      <c r="H3908" s="6" t="s">
        <v>8220</v>
      </c>
      <c r="I3908" s="6" t="s">
        <v>8025</v>
      </c>
      <c r="J3908" s="6" t="s">
        <v>91</v>
      </c>
      <c r="K3908" s="12" t="str">
        <f t="shared" ref="K3908:K3909" si="256">HYPERLINK("https://media.licdn.com/dms/image/v2/D4E22AQFvstp4V9ygRg/feedshare-image-high-res/B4EZmj8euxKUAo-/0/1759392166073?e=2147483647&amp;v=beta&amp;t=EXDWWhQooEkbgqMDoKDAnhCTL-XFCxG2vIYLmUi9cHI","View Creative")</f>
        <v>View Creative</v>
      </c>
      <c r="L3908" s="6" t="s">
        <v>62</v>
      </c>
      <c r="M3908" s="6" t="s">
        <v>8042</v>
      </c>
      <c r="N3908" s="6"/>
      <c r="O3908" s="36" t="s">
        <v>7541</v>
      </c>
      <c r="P3908" s="36" t="s">
        <v>7542</v>
      </c>
      <c r="Q3908" s="38"/>
    </row>
    <row r="3909">
      <c r="A3909" s="6" t="s">
        <v>8042</v>
      </c>
      <c r="B3909" s="6" t="s">
        <v>8043</v>
      </c>
      <c r="C3909" s="6">
        <v>298.0</v>
      </c>
      <c r="D3909" s="9" t="str">
        <f t="shared" si="255"/>
        <v>Open Ad</v>
      </c>
      <c r="E3909" s="6" t="s">
        <v>91</v>
      </c>
      <c r="F3909" s="6" t="s">
        <v>8022</v>
      </c>
      <c r="G3909" s="6" t="s">
        <v>8219</v>
      </c>
      <c r="H3909" s="6" t="s">
        <v>8220</v>
      </c>
      <c r="I3909" s="6" t="s">
        <v>8025</v>
      </c>
      <c r="J3909" s="6" t="s">
        <v>91</v>
      </c>
      <c r="K3909" s="12" t="str">
        <f t="shared" si="256"/>
        <v>View Creative</v>
      </c>
      <c r="L3909" s="6" t="s">
        <v>62</v>
      </c>
      <c r="M3909" s="6" t="s">
        <v>8042</v>
      </c>
      <c r="N3909" s="6"/>
      <c r="O3909" s="36" t="s">
        <v>7541</v>
      </c>
      <c r="P3909" s="36" t="s">
        <v>7542</v>
      </c>
      <c r="Q3909" s="38"/>
    </row>
    <row r="3910">
      <c r="A3910" s="6" t="s">
        <v>8042</v>
      </c>
      <c r="B3910" s="6" t="s">
        <v>8043</v>
      </c>
      <c r="C3910" s="6">
        <v>299.0</v>
      </c>
      <c r="D3910" s="9" t="str">
        <f t="shared" ref="D3910:D3911" si="257">HYPERLINK("https://www.linkedin.com/ad-library/detail/863461113","Open Ad")</f>
        <v>Open Ad</v>
      </c>
      <c r="E3910" s="6" t="s">
        <v>91</v>
      </c>
      <c r="F3910" s="6" t="s">
        <v>8022</v>
      </c>
      <c r="G3910" s="6" t="s">
        <v>8215</v>
      </c>
      <c r="H3910" s="6" t="s">
        <v>55</v>
      </c>
      <c r="I3910" s="6" t="s">
        <v>8025</v>
      </c>
      <c r="J3910" s="6" t="s">
        <v>91</v>
      </c>
      <c r="K3910" s="12" t="str">
        <f t="shared" ref="K3910:K3911" si="258">HYPERLINK("https://media.licdn.com/dms/image/v2/D4D22AQGebkJ5j84a5A/feedshare-shrink_1280/B4DZmZwzOtIgAw-/0/1759221331902?e=2147483647&amp;v=beta&amp;t=Cvow_3EStPatjmEk0UP8M_fx5HR7k3hSsPfU28pjLls","View Creative")</f>
        <v>View Creative</v>
      </c>
      <c r="L3910" s="6" t="s">
        <v>62</v>
      </c>
      <c r="M3910" s="6" t="s">
        <v>8042</v>
      </c>
      <c r="N3910" s="6"/>
      <c r="O3910" s="36" t="s">
        <v>7541</v>
      </c>
      <c r="P3910" s="36" t="s">
        <v>7542</v>
      </c>
      <c r="Q3910" s="38"/>
    </row>
    <row r="3911">
      <c r="A3911" s="6" t="s">
        <v>8042</v>
      </c>
      <c r="B3911" s="6" t="s">
        <v>8043</v>
      </c>
      <c r="C3911" s="6">
        <v>300.0</v>
      </c>
      <c r="D3911" s="9" t="str">
        <f t="shared" si="257"/>
        <v>Open Ad</v>
      </c>
      <c r="E3911" s="6" t="s">
        <v>91</v>
      </c>
      <c r="F3911" s="6" t="s">
        <v>8022</v>
      </c>
      <c r="G3911" s="6" t="s">
        <v>8215</v>
      </c>
      <c r="H3911" s="6" t="s">
        <v>55</v>
      </c>
      <c r="I3911" s="6" t="s">
        <v>8025</v>
      </c>
      <c r="J3911" s="6" t="s">
        <v>91</v>
      </c>
      <c r="K3911" s="12" t="str">
        <f t="shared" si="258"/>
        <v>View Creative</v>
      </c>
      <c r="L3911" s="6" t="s">
        <v>62</v>
      </c>
      <c r="M3911" s="6" t="s">
        <v>8042</v>
      </c>
      <c r="N3911" s="6"/>
      <c r="O3911" s="36" t="s">
        <v>7541</v>
      </c>
      <c r="P3911" s="36" t="s">
        <v>7542</v>
      </c>
      <c r="Q3911" s="38"/>
    </row>
    <row r="3912">
      <c r="A3912" s="6" t="s">
        <v>8042</v>
      </c>
      <c r="B3912" s="6" t="s">
        <v>8043</v>
      </c>
      <c r="C3912" s="6">
        <v>301.0</v>
      </c>
      <c r="D3912" s="9" t="str">
        <f t="shared" ref="D3912:D3913" si="259">HYPERLINK("https://www.linkedin.com/ad-library/detail/863682603","Open Ad")</f>
        <v>Open Ad</v>
      </c>
      <c r="E3912" s="6" t="s">
        <v>154</v>
      </c>
      <c r="F3912" s="6" t="s">
        <v>8022</v>
      </c>
      <c r="G3912" s="6" t="s">
        <v>8222</v>
      </c>
      <c r="H3912" s="6" t="s">
        <v>55</v>
      </c>
      <c r="I3912" s="6" t="s">
        <v>8025</v>
      </c>
      <c r="J3912" s="6" t="s">
        <v>154</v>
      </c>
      <c r="K3912" s="12" t="str">
        <f t="shared" ref="K3912:K3913" si="260">HYPERLINK("https://dms.licdn.com/playlist/vid/v2/D4D10AQEHTNGRI9DfPw/mp4-360p-30fp-crf28/B4DZmp0qBtKQCI-/0/1759490781877/AccuRankerSquare_3mp4?e=2147483647&amp;v=beta&amp;t=Oo1cpz8RpAPmCblL2OGYu8O8EUNfLno9JSNNGXdmiMU","View Creative")</f>
        <v>View Creative</v>
      </c>
      <c r="L3912" s="6" t="s">
        <v>62</v>
      </c>
      <c r="M3912" s="6" t="s">
        <v>8042</v>
      </c>
      <c r="N3912" s="6"/>
      <c r="O3912" s="36" t="s">
        <v>7541</v>
      </c>
      <c r="P3912" s="36" t="s">
        <v>7542</v>
      </c>
      <c r="Q3912" s="38"/>
    </row>
    <row r="3913">
      <c r="A3913" s="6" t="s">
        <v>8042</v>
      </c>
      <c r="B3913" s="6" t="s">
        <v>8043</v>
      </c>
      <c r="C3913" s="6">
        <v>302.0</v>
      </c>
      <c r="D3913" s="9" t="str">
        <f t="shared" si="259"/>
        <v>Open Ad</v>
      </c>
      <c r="E3913" s="6" t="s">
        <v>154</v>
      </c>
      <c r="F3913" s="6" t="s">
        <v>8022</v>
      </c>
      <c r="G3913" s="6" t="s">
        <v>8222</v>
      </c>
      <c r="H3913" s="6" t="s">
        <v>55</v>
      </c>
      <c r="I3913" s="6" t="s">
        <v>8025</v>
      </c>
      <c r="J3913" s="6" t="s">
        <v>154</v>
      </c>
      <c r="K3913" s="12" t="str">
        <f t="shared" si="260"/>
        <v>View Creative</v>
      </c>
      <c r="L3913" s="6" t="s">
        <v>62</v>
      </c>
      <c r="M3913" s="6" t="s">
        <v>8042</v>
      </c>
      <c r="N3913" s="6"/>
      <c r="O3913" s="36" t="s">
        <v>7541</v>
      </c>
      <c r="P3913" s="36" t="s">
        <v>7542</v>
      </c>
      <c r="Q3913" s="38"/>
    </row>
    <row r="3914">
      <c r="A3914" s="6" t="s">
        <v>8042</v>
      </c>
      <c r="B3914" s="6" t="s">
        <v>8043</v>
      </c>
      <c r="C3914" s="6">
        <v>303.0</v>
      </c>
      <c r="D3914" s="9" t="str">
        <f t="shared" ref="D3914:D3915" si="261">HYPERLINK("https://www.linkedin.com/ad-library/detail/863300183","Open Ad")</f>
        <v>Open Ad</v>
      </c>
      <c r="E3914" s="6" t="s">
        <v>91</v>
      </c>
      <c r="F3914" s="6" t="s">
        <v>8022</v>
      </c>
      <c r="G3914" s="6" t="s">
        <v>8217</v>
      </c>
      <c r="H3914" s="6" t="s">
        <v>55</v>
      </c>
      <c r="I3914" s="6" t="s">
        <v>8025</v>
      </c>
      <c r="J3914" s="6" t="s">
        <v>91</v>
      </c>
      <c r="K3914" s="12" t="str">
        <f t="shared" ref="K3914:K3915" si="262">HYPERLINK("https://media.licdn.com/dms/image/v2/D4D22AQGTC46205g9Fw/feedshare-shrink_1280/B4DZmaFeLZIcAs-/0/1759226750074?e=2147483647&amp;v=beta&amp;t=arg04J7Nw-3797nDl3FOnw0mzBD1D7h0p4_UruCEKtw","View Creative")</f>
        <v>View Creative</v>
      </c>
      <c r="L3914" s="6" t="s">
        <v>62</v>
      </c>
      <c r="M3914" s="6" t="s">
        <v>8042</v>
      </c>
      <c r="N3914" s="6"/>
      <c r="O3914" s="36" t="s">
        <v>7541</v>
      </c>
      <c r="P3914" s="36" t="s">
        <v>7542</v>
      </c>
      <c r="Q3914" s="38"/>
    </row>
    <row r="3915">
      <c r="A3915" s="6" t="s">
        <v>8042</v>
      </c>
      <c r="B3915" s="6" t="s">
        <v>8043</v>
      </c>
      <c r="C3915" s="6">
        <v>304.0</v>
      </c>
      <c r="D3915" s="9" t="str">
        <f t="shared" si="261"/>
        <v>Open Ad</v>
      </c>
      <c r="E3915" s="6" t="s">
        <v>91</v>
      </c>
      <c r="F3915" s="6" t="s">
        <v>8022</v>
      </c>
      <c r="G3915" s="6" t="s">
        <v>8217</v>
      </c>
      <c r="H3915" s="6" t="s">
        <v>55</v>
      </c>
      <c r="I3915" s="6" t="s">
        <v>8025</v>
      </c>
      <c r="J3915" s="6" t="s">
        <v>91</v>
      </c>
      <c r="K3915" s="12" t="str">
        <f t="shared" si="262"/>
        <v>View Creative</v>
      </c>
      <c r="L3915" s="6" t="s">
        <v>62</v>
      </c>
      <c r="M3915" s="6" t="s">
        <v>8042</v>
      </c>
      <c r="N3915" s="6"/>
      <c r="O3915" s="36" t="s">
        <v>7541</v>
      </c>
      <c r="P3915" s="36" t="s">
        <v>7542</v>
      </c>
      <c r="Q3915" s="38"/>
    </row>
    <row r="3916">
      <c r="A3916" s="6" t="s">
        <v>8042</v>
      </c>
      <c r="B3916" s="6" t="s">
        <v>8043</v>
      </c>
      <c r="C3916" s="6">
        <v>305.0</v>
      </c>
      <c r="D3916" s="9" t="str">
        <f t="shared" ref="D3916:D3917" si="263">HYPERLINK("https://www.linkedin.com/ad-library/detail/863622363","Open Ad")</f>
        <v>Open Ad</v>
      </c>
      <c r="E3916" s="6" t="s">
        <v>154</v>
      </c>
      <c r="F3916" s="6" t="s">
        <v>8022</v>
      </c>
      <c r="G3916" s="6" t="s">
        <v>8223</v>
      </c>
      <c r="H3916" s="6" t="s">
        <v>55</v>
      </c>
      <c r="I3916" s="6" t="s">
        <v>8025</v>
      </c>
      <c r="J3916" s="6" t="s">
        <v>154</v>
      </c>
      <c r="K3916" s="12" t="str">
        <f t="shared" ref="K3916:K3917" si="264">HYPERLINK("https://dms.licdn.com/playlist/vid/v2/D4D10AQEHTNGRI9DfPw/mp4-360p-30fp-crf28/B4DZmp0qBtKQCI-/0/1759490781877/AccuRankerSquare_3mp4?e=2147483647&amp;v=beta&amp;t=Oo1cpz8RpAPmCblL2OGYu8O8EUNfLno9JSNNGXdmiMU","View Creative")</f>
        <v>View Creative</v>
      </c>
      <c r="L3916" s="6" t="s">
        <v>62</v>
      </c>
      <c r="M3916" s="6" t="s">
        <v>8042</v>
      </c>
      <c r="N3916" s="6"/>
      <c r="O3916" s="36" t="s">
        <v>7541</v>
      </c>
      <c r="P3916" s="36" t="s">
        <v>7542</v>
      </c>
      <c r="Q3916" s="38"/>
    </row>
    <row r="3917">
      <c r="A3917" s="6" t="s">
        <v>8042</v>
      </c>
      <c r="B3917" s="6" t="s">
        <v>8043</v>
      </c>
      <c r="C3917" s="6">
        <v>306.0</v>
      </c>
      <c r="D3917" s="9" t="str">
        <f t="shared" si="263"/>
        <v>Open Ad</v>
      </c>
      <c r="E3917" s="6" t="s">
        <v>154</v>
      </c>
      <c r="F3917" s="6" t="s">
        <v>8022</v>
      </c>
      <c r="G3917" s="6" t="s">
        <v>8223</v>
      </c>
      <c r="H3917" s="6" t="s">
        <v>55</v>
      </c>
      <c r="I3917" s="6" t="s">
        <v>8025</v>
      </c>
      <c r="J3917" s="6" t="s">
        <v>154</v>
      </c>
      <c r="K3917" s="12" t="str">
        <f t="shared" si="264"/>
        <v>View Creative</v>
      </c>
      <c r="L3917" s="6" t="s">
        <v>62</v>
      </c>
      <c r="M3917" s="6" t="s">
        <v>8042</v>
      </c>
      <c r="N3917" s="6"/>
      <c r="O3917" s="36" t="s">
        <v>7541</v>
      </c>
      <c r="P3917" s="36" t="s">
        <v>7542</v>
      </c>
      <c r="Q3917" s="38"/>
    </row>
    <row r="3918">
      <c r="A3918" s="6" t="s">
        <v>8042</v>
      </c>
      <c r="B3918" s="6" t="s">
        <v>8043</v>
      </c>
      <c r="C3918" s="6">
        <v>307.0</v>
      </c>
      <c r="D3918" s="9" t="str">
        <f t="shared" ref="D3918:D3919" si="265">HYPERLINK("https://www.linkedin.com/ad-library/detail/863251273","Open Ad")</f>
        <v>Open Ad</v>
      </c>
      <c r="E3918" s="6" t="s">
        <v>91</v>
      </c>
      <c r="F3918" s="6" t="s">
        <v>8022</v>
      </c>
      <c r="G3918" s="6" t="s">
        <v>8224</v>
      </c>
      <c r="H3918" s="6" t="s">
        <v>55</v>
      </c>
      <c r="I3918" s="6" t="s">
        <v>8025</v>
      </c>
      <c r="J3918" s="6" t="s">
        <v>91</v>
      </c>
      <c r="K3918" s="12" t="str">
        <f t="shared" ref="K3918:K3921" si="266">HYPERLINK("https://media.licdn.com/dms/image/sync/v2/D4D27AQF0tAsgIK3wHw/articleshare-shrink_1280_800/B4DZmZm3VWH4AQ-/0/1759218727257?e=2147483647&amp;v=beta&amp;t=21PYqWQqk9O4sv5kzEn8I2Y0jNOMvskG2ILx4TZJO7U","View Creative")</f>
        <v>View Creative</v>
      </c>
      <c r="L3918" s="6" t="s">
        <v>62</v>
      </c>
      <c r="M3918" s="6" t="s">
        <v>8042</v>
      </c>
      <c r="N3918" s="6"/>
      <c r="O3918" s="36" t="s">
        <v>7541</v>
      </c>
      <c r="P3918" s="36" t="s">
        <v>7542</v>
      </c>
      <c r="Q3918" s="38"/>
    </row>
    <row r="3919">
      <c r="A3919" s="6" t="s">
        <v>8042</v>
      </c>
      <c r="B3919" s="6" t="s">
        <v>8043</v>
      </c>
      <c r="C3919" s="6">
        <v>308.0</v>
      </c>
      <c r="D3919" s="9" t="str">
        <f t="shared" si="265"/>
        <v>Open Ad</v>
      </c>
      <c r="E3919" s="6" t="s">
        <v>91</v>
      </c>
      <c r="F3919" s="6" t="s">
        <v>8022</v>
      </c>
      <c r="G3919" s="6" t="s">
        <v>8224</v>
      </c>
      <c r="H3919" s="6" t="s">
        <v>55</v>
      </c>
      <c r="I3919" s="6" t="s">
        <v>8025</v>
      </c>
      <c r="J3919" s="6" t="s">
        <v>91</v>
      </c>
      <c r="K3919" s="12" t="str">
        <f t="shared" si="266"/>
        <v>View Creative</v>
      </c>
      <c r="L3919" s="6" t="s">
        <v>62</v>
      </c>
      <c r="M3919" s="6" t="s">
        <v>8042</v>
      </c>
      <c r="N3919" s="6"/>
      <c r="O3919" s="36" t="s">
        <v>7541</v>
      </c>
      <c r="P3919" s="36" t="s">
        <v>7542</v>
      </c>
      <c r="Q3919" s="38"/>
    </row>
    <row r="3920">
      <c r="A3920" s="6" t="s">
        <v>8042</v>
      </c>
      <c r="B3920" s="6" t="s">
        <v>8043</v>
      </c>
      <c r="C3920" s="6">
        <v>309.0</v>
      </c>
      <c r="D3920" s="9" t="str">
        <f t="shared" ref="D3920:D3921" si="267">HYPERLINK("https://www.linkedin.com/ad-library/detail/863271353","Open Ad")</f>
        <v>Open Ad</v>
      </c>
      <c r="E3920" s="6" t="s">
        <v>91</v>
      </c>
      <c r="F3920" s="6" t="s">
        <v>8022</v>
      </c>
      <c r="G3920" s="6" t="s">
        <v>8224</v>
      </c>
      <c r="H3920" s="6" t="s">
        <v>55</v>
      </c>
      <c r="I3920" s="6" t="s">
        <v>8025</v>
      </c>
      <c r="J3920" s="6" t="s">
        <v>91</v>
      </c>
      <c r="K3920" s="12" t="str">
        <f t="shared" si="266"/>
        <v>View Creative</v>
      </c>
      <c r="L3920" s="6" t="s">
        <v>62</v>
      </c>
      <c r="M3920" s="6" t="s">
        <v>8042</v>
      </c>
      <c r="N3920" s="6" t="s">
        <v>8225</v>
      </c>
      <c r="O3920" s="36" t="s">
        <v>7541</v>
      </c>
      <c r="P3920" s="36" t="s">
        <v>7542</v>
      </c>
      <c r="Q3920" s="38"/>
    </row>
    <row r="3921">
      <c r="A3921" s="6" t="s">
        <v>8042</v>
      </c>
      <c r="B3921" s="6" t="s">
        <v>8043</v>
      </c>
      <c r="C3921" s="6">
        <v>310.0</v>
      </c>
      <c r="D3921" s="9" t="str">
        <f t="shared" si="267"/>
        <v>Open Ad</v>
      </c>
      <c r="E3921" s="6" t="s">
        <v>91</v>
      </c>
      <c r="F3921" s="6" t="s">
        <v>8022</v>
      </c>
      <c r="G3921" s="6" t="s">
        <v>8224</v>
      </c>
      <c r="H3921" s="6" t="s">
        <v>55</v>
      </c>
      <c r="I3921" s="6" t="s">
        <v>8025</v>
      </c>
      <c r="J3921" s="6" t="s">
        <v>91</v>
      </c>
      <c r="K3921" s="12" t="str">
        <f t="shared" si="266"/>
        <v>View Creative</v>
      </c>
      <c r="L3921" s="6" t="s">
        <v>62</v>
      </c>
      <c r="M3921" s="6" t="s">
        <v>8042</v>
      </c>
      <c r="N3921" s="6" t="s">
        <v>8225</v>
      </c>
      <c r="O3921" s="36" t="s">
        <v>7541</v>
      </c>
      <c r="P3921" s="36" t="s">
        <v>7542</v>
      </c>
      <c r="Q3921" s="38"/>
    </row>
    <row r="3922">
      <c r="A3922" s="6" t="s">
        <v>8042</v>
      </c>
      <c r="B3922" s="6" t="s">
        <v>8043</v>
      </c>
      <c r="C3922" s="6">
        <v>311.0</v>
      </c>
      <c r="D3922" s="9" t="str">
        <f t="shared" ref="D3922:D3923" si="268">HYPERLINK("https://www.linkedin.com/ad-library/detail/863271343","Open Ad")</f>
        <v>Open Ad</v>
      </c>
      <c r="E3922" s="6" t="s">
        <v>91</v>
      </c>
      <c r="F3922" s="6" t="s">
        <v>8022</v>
      </c>
      <c r="G3922" s="6" t="s">
        <v>8219</v>
      </c>
      <c r="H3922" s="6" t="s">
        <v>8220</v>
      </c>
      <c r="I3922" s="6" t="s">
        <v>8025</v>
      </c>
      <c r="J3922" s="6" t="s">
        <v>91</v>
      </c>
      <c r="K3922" s="12" t="str">
        <f t="shared" ref="K3922:K3923" si="269">HYPERLINK("https://media.licdn.com/dms/image/v2/D4E22AQFvstp4V9ygRg/feedshare-image-high-res/B4EZmj8euxKUAo-/0/1759392166073?e=2147483647&amp;v=beta&amp;t=EXDWWhQooEkbgqMDoKDAnhCTL-XFCxG2vIYLmUi9cHI","View Creative")</f>
        <v>View Creative</v>
      </c>
      <c r="L3922" s="6" t="s">
        <v>62</v>
      </c>
      <c r="M3922" s="6" t="s">
        <v>8042</v>
      </c>
      <c r="N3922" s="6" t="s">
        <v>8221</v>
      </c>
      <c r="O3922" s="36" t="s">
        <v>7541</v>
      </c>
      <c r="P3922" s="36" t="s">
        <v>7542</v>
      </c>
      <c r="Q3922" s="38"/>
    </row>
    <row r="3923">
      <c r="A3923" s="6" t="s">
        <v>8042</v>
      </c>
      <c r="B3923" s="6" t="s">
        <v>8043</v>
      </c>
      <c r="C3923" s="6">
        <v>312.0</v>
      </c>
      <c r="D3923" s="9" t="str">
        <f t="shared" si="268"/>
        <v>Open Ad</v>
      </c>
      <c r="E3923" s="6" t="s">
        <v>91</v>
      </c>
      <c r="F3923" s="6" t="s">
        <v>8022</v>
      </c>
      <c r="G3923" s="6" t="s">
        <v>8219</v>
      </c>
      <c r="H3923" s="6" t="s">
        <v>8220</v>
      </c>
      <c r="I3923" s="6" t="s">
        <v>8025</v>
      </c>
      <c r="J3923" s="6" t="s">
        <v>91</v>
      </c>
      <c r="K3923" s="12" t="str">
        <f t="shared" si="269"/>
        <v>View Creative</v>
      </c>
      <c r="L3923" s="6" t="s">
        <v>62</v>
      </c>
      <c r="M3923" s="6" t="s">
        <v>8042</v>
      </c>
      <c r="N3923" s="6" t="s">
        <v>8221</v>
      </c>
      <c r="O3923" s="36" t="s">
        <v>7541</v>
      </c>
      <c r="P3923" s="36" t="s">
        <v>7542</v>
      </c>
      <c r="Q3923" s="38"/>
    </row>
    <row r="3924">
      <c r="A3924" s="6" t="s">
        <v>8042</v>
      </c>
      <c r="B3924" s="6" t="s">
        <v>8043</v>
      </c>
      <c r="C3924" s="6">
        <v>313.0</v>
      </c>
      <c r="D3924" s="9" t="str">
        <f t="shared" ref="D3924:D3925" si="270">HYPERLINK("https://www.linkedin.com/ad-library/detail/863502523","Open Ad")</f>
        <v>Open Ad</v>
      </c>
      <c r="E3924" s="6" t="s">
        <v>154</v>
      </c>
      <c r="F3924" s="6" t="s">
        <v>8022</v>
      </c>
      <c r="G3924" s="6" t="s">
        <v>8207</v>
      </c>
      <c r="H3924" s="6" t="s">
        <v>55</v>
      </c>
      <c r="I3924" s="6" t="s">
        <v>8025</v>
      </c>
      <c r="J3924" s="6" t="s">
        <v>154</v>
      </c>
      <c r="K3924" s="12" t="str">
        <f t="shared" ref="K3924:K3927" si="271">HYPERLINK("https://dms.licdn.com/playlist/vid/v2/D4D10AQEHTNGRI9DfPw/mp4-360p-30fp-crf28/B4DZmp0qBtKQCI-/0/1759490781877/AccuRankerSquare_3mp4?e=2147483647&amp;v=beta&amp;t=Oo1cpz8RpAPmCblL2OGYu8O8EUNfLno9JSNNGXdmiMU","View Creative")</f>
        <v>View Creative</v>
      </c>
      <c r="L3924" s="6" t="s">
        <v>62</v>
      </c>
      <c r="M3924" s="6" t="s">
        <v>8042</v>
      </c>
      <c r="N3924" s="6"/>
      <c r="O3924" s="36" t="s">
        <v>7541</v>
      </c>
      <c r="P3924" s="36" t="s">
        <v>7542</v>
      </c>
      <c r="Q3924" s="38"/>
    </row>
    <row r="3925">
      <c r="A3925" s="6" t="s">
        <v>8042</v>
      </c>
      <c r="B3925" s="6" t="s">
        <v>8043</v>
      </c>
      <c r="C3925" s="6">
        <v>314.0</v>
      </c>
      <c r="D3925" s="9" t="str">
        <f t="shared" si="270"/>
        <v>Open Ad</v>
      </c>
      <c r="E3925" s="6" t="s">
        <v>154</v>
      </c>
      <c r="F3925" s="6" t="s">
        <v>8022</v>
      </c>
      <c r="G3925" s="6" t="s">
        <v>8207</v>
      </c>
      <c r="H3925" s="6" t="s">
        <v>55</v>
      </c>
      <c r="I3925" s="6" t="s">
        <v>8025</v>
      </c>
      <c r="J3925" s="6" t="s">
        <v>154</v>
      </c>
      <c r="K3925" s="12" t="str">
        <f t="shared" si="271"/>
        <v>View Creative</v>
      </c>
      <c r="L3925" s="6" t="s">
        <v>62</v>
      </c>
      <c r="M3925" s="6" t="s">
        <v>8042</v>
      </c>
      <c r="N3925" s="6"/>
      <c r="O3925" s="36" t="s">
        <v>7541</v>
      </c>
      <c r="P3925" s="36" t="s">
        <v>7542</v>
      </c>
      <c r="Q3925" s="38"/>
    </row>
    <row r="3926">
      <c r="A3926" s="6" t="s">
        <v>8042</v>
      </c>
      <c r="B3926" s="6" t="s">
        <v>8043</v>
      </c>
      <c r="C3926" s="6">
        <v>315.0</v>
      </c>
      <c r="D3926" s="9" t="str">
        <f t="shared" ref="D3926:D3927" si="272">HYPERLINK("https://www.linkedin.com/ad-library/detail/863652493","Open Ad")</f>
        <v>Open Ad</v>
      </c>
      <c r="E3926" s="6" t="s">
        <v>154</v>
      </c>
      <c r="F3926" s="6" t="s">
        <v>8022</v>
      </c>
      <c r="G3926" s="6" t="s">
        <v>8208</v>
      </c>
      <c r="H3926" s="6" t="s">
        <v>55</v>
      </c>
      <c r="I3926" s="6" t="s">
        <v>8025</v>
      </c>
      <c r="J3926" s="6" t="s">
        <v>154</v>
      </c>
      <c r="K3926" s="12" t="str">
        <f t="shared" si="271"/>
        <v>View Creative</v>
      </c>
      <c r="L3926" s="6" t="s">
        <v>62</v>
      </c>
      <c r="M3926" s="6" t="s">
        <v>8042</v>
      </c>
      <c r="N3926" s="6"/>
      <c r="O3926" s="36" t="s">
        <v>7541</v>
      </c>
      <c r="P3926" s="36" t="s">
        <v>7542</v>
      </c>
      <c r="Q3926" s="38"/>
    </row>
    <row r="3927">
      <c r="A3927" s="6" t="s">
        <v>8042</v>
      </c>
      <c r="B3927" s="6" t="s">
        <v>8043</v>
      </c>
      <c r="C3927" s="6">
        <v>316.0</v>
      </c>
      <c r="D3927" s="9" t="str">
        <f t="shared" si="272"/>
        <v>Open Ad</v>
      </c>
      <c r="E3927" s="6" t="s">
        <v>154</v>
      </c>
      <c r="F3927" s="6" t="s">
        <v>8022</v>
      </c>
      <c r="G3927" s="6" t="s">
        <v>8208</v>
      </c>
      <c r="H3927" s="6" t="s">
        <v>55</v>
      </c>
      <c r="I3927" s="6" t="s">
        <v>8025</v>
      </c>
      <c r="J3927" s="6" t="s">
        <v>154</v>
      </c>
      <c r="K3927" s="12" t="str">
        <f t="shared" si="271"/>
        <v>View Creative</v>
      </c>
      <c r="L3927" s="6" t="s">
        <v>62</v>
      </c>
      <c r="M3927" s="6" t="s">
        <v>8042</v>
      </c>
      <c r="N3927" s="6"/>
      <c r="O3927" s="36" t="s">
        <v>7541</v>
      </c>
      <c r="P3927" s="36" t="s">
        <v>7542</v>
      </c>
      <c r="Q3927" s="38"/>
    </row>
    <row r="3928">
      <c r="A3928" s="6" t="s">
        <v>8042</v>
      </c>
      <c r="B3928" s="6" t="s">
        <v>8043</v>
      </c>
      <c r="C3928" s="6">
        <v>317.0</v>
      </c>
      <c r="D3928" s="9" t="str">
        <f t="shared" ref="D3928:D3929" si="273">HYPERLINK("https://www.linkedin.com/ad-library/detail/863420123","Open Ad")</f>
        <v>Open Ad</v>
      </c>
      <c r="E3928" s="6" t="s">
        <v>91</v>
      </c>
      <c r="F3928" s="6" t="s">
        <v>8022</v>
      </c>
      <c r="G3928" s="6" t="s">
        <v>8224</v>
      </c>
      <c r="H3928" s="6" t="s">
        <v>55</v>
      </c>
      <c r="I3928" s="6" t="s">
        <v>8025</v>
      </c>
      <c r="J3928" s="6" t="s">
        <v>91</v>
      </c>
      <c r="K3928" s="12" t="str">
        <f t="shared" ref="K3928:K3929" si="274">HYPERLINK("https://media.licdn.com/dms/image/sync/v2/D4D27AQF0tAsgIK3wHw/articleshare-shrink_1280_800/B4DZmZm3VWH4AQ-/0/1759218727257?e=2147483647&amp;v=beta&amp;t=21PYqWQqk9O4sv5kzEn8I2Y0jNOMvskG2ILx4TZJO7U","View Creative")</f>
        <v>View Creative</v>
      </c>
      <c r="L3928" s="6" t="s">
        <v>62</v>
      </c>
      <c r="M3928" s="6" t="s">
        <v>8042</v>
      </c>
      <c r="N3928" s="6"/>
      <c r="O3928" s="36" t="s">
        <v>7541</v>
      </c>
      <c r="P3928" s="36" t="s">
        <v>7542</v>
      </c>
      <c r="Q3928" s="38"/>
    </row>
    <row r="3929">
      <c r="A3929" s="6" t="s">
        <v>8042</v>
      </c>
      <c r="B3929" s="6" t="s">
        <v>8043</v>
      </c>
      <c r="C3929" s="6">
        <v>318.0</v>
      </c>
      <c r="D3929" s="9" t="str">
        <f t="shared" si="273"/>
        <v>Open Ad</v>
      </c>
      <c r="E3929" s="6" t="s">
        <v>91</v>
      </c>
      <c r="F3929" s="6" t="s">
        <v>8022</v>
      </c>
      <c r="G3929" s="6" t="s">
        <v>8224</v>
      </c>
      <c r="H3929" s="6" t="s">
        <v>55</v>
      </c>
      <c r="I3929" s="6" t="s">
        <v>8025</v>
      </c>
      <c r="J3929" s="6" t="s">
        <v>91</v>
      </c>
      <c r="K3929" s="12" t="str">
        <f t="shared" si="274"/>
        <v>View Creative</v>
      </c>
      <c r="L3929" s="6" t="s">
        <v>62</v>
      </c>
      <c r="M3929" s="6" t="s">
        <v>8042</v>
      </c>
      <c r="N3929" s="6"/>
      <c r="O3929" s="36" t="s">
        <v>7541</v>
      </c>
      <c r="P3929" s="36" t="s">
        <v>7542</v>
      </c>
      <c r="Q3929" s="38"/>
    </row>
    <row r="3930">
      <c r="A3930" s="6" t="s">
        <v>8042</v>
      </c>
      <c r="B3930" s="6" t="s">
        <v>8043</v>
      </c>
      <c r="C3930" s="6">
        <v>319.0</v>
      </c>
      <c r="D3930" s="9" t="str">
        <f t="shared" ref="D3930:D3931" si="275">HYPERLINK("https://www.linkedin.com/ad-library/detail/863331353","Open Ad")</f>
        <v>Open Ad</v>
      </c>
      <c r="E3930" s="6" t="s">
        <v>91</v>
      </c>
      <c r="F3930" s="6" t="s">
        <v>8022</v>
      </c>
      <c r="G3930" s="6" t="s">
        <v>8217</v>
      </c>
      <c r="H3930" s="6" t="s">
        <v>55</v>
      </c>
      <c r="I3930" s="6" t="s">
        <v>8025</v>
      </c>
      <c r="J3930" s="6" t="s">
        <v>91</v>
      </c>
      <c r="K3930" s="12" t="str">
        <f t="shared" ref="K3930:K3931" si="276">HYPERLINK("https://media.licdn.com/dms/image/v2/D4D22AQGTC46205g9Fw/feedshare-shrink_1280/B4DZmaFeLZIcAs-/0/1759226750074?e=2147483647&amp;v=beta&amp;t=arg04J7Nw-3797nDl3FOnw0mzBD1D7h0p4_UruCEKtw","View Creative")</f>
        <v>View Creative</v>
      </c>
      <c r="L3930" s="6" t="s">
        <v>62</v>
      </c>
      <c r="M3930" s="6" t="s">
        <v>8042</v>
      </c>
      <c r="N3930" s="6"/>
      <c r="O3930" s="36" t="s">
        <v>7541</v>
      </c>
      <c r="P3930" s="36" t="s">
        <v>7542</v>
      </c>
      <c r="Q3930" s="38"/>
    </row>
    <row r="3931">
      <c r="A3931" s="6" t="s">
        <v>8042</v>
      </c>
      <c r="B3931" s="6" t="s">
        <v>8043</v>
      </c>
      <c r="C3931" s="6">
        <v>320.0</v>
      </c>
      <c r="D3931" s="9" t="str">
        <f t="shared" si="275"/>
        <v>Open Ad</v>
      </c>
      <c r="E3931" s="6" t="s">
        <v>91</v>
      </c>
      <c r="F3931" s="6" t="s">
        <v>8022</v>
      </c>
      <c r="G3931" s="6" t="s">
        <v>8217</v>
      </c>
      <c r="H3931" s="6" t="s">
        <v>55</v>
      </c>
      <c r="I3931" s="6" t="s">
        <v>8025</v>
      </c>
      <c r="J3931" s="6" t="s">
        <v>91</v>
      </c>
      <c r="K3931" s="12" t="str">
        <f t="shared" si="276"/>
        <v>View Creative</v>
      </c>
      <c r="L3931" s="6" t="s">
        <v>62</v>
      </c>
      <c r="M3931" s="6" t="s">
        <v>8042</v>
      </c>
      <c r="N3931" s="6"/>
      <c r="O3931" s="36" t="s">
        <v>7541</v>
      </c>
      <c r="P3931" s="36" t="s">
        <v>7542</v>
      </c>
      <c r="Q3931" s="38"/>
    </row>
    <row r="3932">
      <c r="A3932" s="6" t="s">
        <v>8042</v>
      </c>
      <c r="B3932" s="6" t="s">
        <v>8043</v>
      </c>
      <c r="C3932" s="6">
        <v>321.0</v>
      </c>
      <c r="D3932" s="9" t="str">
        <f t="shared" ref="D3932:D3933" si="277">HYPERLINK("https://www.linkedin.com/ad-library/detail/863672193","Open Ad")</f>
        <v>Open Ad</v>
      </c>
      <c r="E3932" s="6" t="s">
        <v>154</v>
      </c>
      <c r="F3932" s="6" t="s">
        <v>8022</v>
      </c>
      <c r="G3932" s="6" t="s">
        <v>8214</v>
      </c>
      <c r="H3932" s="6" t="s">
        <v>55</v>
      </c>
      <c r="I3932" s="6" t="s">
        <v>8025</v>
      </c>
      <c r="J3932" s="6" t="s">
        <v>154</v>
      </c>
      <c r="K3932" s="12" t="str">
        <f t="shared" ref="K3932:K3933" si="278">HYPERLINK("https://dms.licdn.com/playlist/vid/v2/D4D10AQEHTNGRI9DfPw/mp4-360p-30fp-crf28/B4DZmp0qBtKQCI-/0/1759490781877/AccuRankerSquare_3mp4?e=2147483647&amp;v=beta&amp;t=Oo1cpz8RpAPmCblL2OGYu8O8EUNfLno9JSNNGXdmiMU","View Creative")</f>
        <v>View Creative</v>
      </c>
      <c r="L3932" s="6" t="s">
        <v>62</v>
      </c>
      <c r="M3932" s="6" t="s">
        <v>8042</v>
      </c>
      <c r="N3932" s="6"/>
      <c r="O3932" s="36" t="s">
        <v>7541</v>
      </c>
      <c r="P3932" s="36" t="s">
        <v>7542</v>
      </c>
      <c r="Q3932" s="38"/>
    </row>
    <row r="3933">
      <c r="A3933" s="6" t="s">
        <v>8042</v>
      </c>
      <c r="B3933" s="6" t="s">
        <v>8043</v>
      </c>
      <c r="C3933" s="6">
        <v>322.0</v>
      </c>
      <c r="D3933" s="9" t="str">
        <f t="shared" si="277"/>
        <v>Open Ad</v>
      </c>
      <c r="E3933" s="6" t="s">
        <v>154</v>
      </c>
      <c r="F3933" s="6" t="s">
        <v>8022</v>
      </c>
      <c r="G3933" s="6" t="s">
        <v>8214</v>
      </c>
      <c r="H3933" s="6" t="s">
        <v>55</v>
      </c>
      <c r="I3933" s="6" t="s">
        <v>8025</v>
      </c>
      <c r="J3933" s="6" t="s">
        <v>154</v>
      </c>
      <c r="K3933" s="12" t="str">
        <f t="shared" si="278"/>
        <v>View Creative</v>
      </c>
      <c r="L3933" s="6" t="s">
        <v>62</v>
      </c>
      <c r="M3933" s="6" t="s">
        <v>8042</v>
      </c>
      <c r="N3933" s="6"/>
      <c r="O3933" s="36" t="s">
        <v>7541</v>
      </c>
      <c r="P3933" s="36" t="s">
        <v>7542</v>
      </c>
      <c r="Q3933" s="38"/>
    </row>
    <row r="3934">
      <c r="A3934" s="6" t="s">
        <v>8042</v>
      </c>
      <c r="B3934" s="6" t="s">
        <v>8043</v>
      </c>
      <c r="C3934" s="6">
        <v>323.0</v>
      </c>
      <c r="D3934" s="9" t="str">
        <f t="shared" ref="D3934:D3935" si="279">HYPERLINK("https://www.linkedin.com/ad-library/detail/863470343","Open Ad")</f>
        <v>Open Ad</v>
      </c>
      <c r="E3934" s="6" t="s">
        <v>91</v>
      </c>
      <c r="F3934" s="6" t="s">
        <v>8022</v>
      </c>
      <c r="G3934" s="6" t="s">
        <v>8219</v>
      </c>
      <c r="H3934" s="6" t="s">
        <v>8220</v>
      </c>
      <c r="I3934" s="6" t="s">
        <v>8025</v>
      </c>
      <c r="J3934" s="6" t="s">
        <v>91</v>
      </c>
      <c r="K3934" s="12" t="str">
        <f t="shared" ref="K3934:K3935" si="280">HYPERLINK("https://media.licdn.com/dms/image/v2/D4E22AQFvstp4V9ygRg/feedshare-image-high-res/B4EZmj8euxKUAo-/0/1759392166073?e=2147483647&amp;v=beta&amp;t=EXDWWhQooEkbgqMDoKDAnhCTL-XFCxG2vIYLmUi9cHI","View Creative")</f>
        <v>View Creative</v>
      </c>
      <c r="L3934" s="6" t="s">
        <v>62</v>
      </c>
      <c r="M3934" s="6" t="s">
        <v>8042</v>
      </c>
      <c r="N3934" s="6"/>
      <c r="O3934" s="36" t="s">
        <v>7541</v>
      </c>
      <c r="P3934" s="36" t="s">
        <v>7542</v>
      </c>
      <c r="Q3934" s="38"/>
    </row>
    <row r="3935">
      <c r="A3935" s="6" t="s">
        <v>8042</v>
      </c>
      <c r="B3935" s="6" t="s">
        <v>8043</v>
      </c>
      <c r="C3935" s="6">
        <v>324.0</v>
      </c>
      <c r="D3935" s="9" t="str">
        <f t="shared" si="279"/>
        <v>Open Ad</v>
      </c>
      <c r="E3935" s="6" t="s">
        <v>91</v>
      </c>
      <c r="F3935" s="6" t="s">
        <v>8022</v>
      </c>
      <c r="G3935" s="6" t="s">
        <v>8219</v>
      </c>
      <c r="H3935" s="6" t="s">
        <v>8220</v>
      </c>
      <c r="I3935" s="6" t="s">
        <v>8025</v>
      </c>
      <c r="J3935" s="6" t="s">
        <v>91</v>
      </c>
      <c r="K3935" s="12" t="str">
        <f t="shared" si="280"/>
        <v>View Creative</v>
      </c>
      <c r="L3935" s="6" t="s">
        <v>62</v>
      </c>
      <c r="M3935" s="6" t="s">
        <v>8042</v>
      </c>
      <c r="N3935" s="6"/>
      <c r="O3935" s="36" t="s">
        <v>7541</v>
      </c>
      <c r="P3935" s="36" t="s">
        <v>7542</v>
      </c>
      <c r="Q3935" s="38"/>
    </row>
    <row r="3936">
      <c r="A3936" s="6" t="s">
        <v>8042</v>
      </c>
      <c r="B3936" s="6" t="s">
        <v>8043</v>
      </c>
      <c r="C3936" s="6">
        <v>325.0</v>
      </c>
      <c r="D3936" s="9" t="str">
        <f t="shared" ref="D3936:D3937" si="281">HYPERLINK("https://www.linkedin.com/ad-library/detail/863241063","Open Ad")</f>
        <v>Open Ad</v>
      </c>
      <c r="E3936" s="6" t="s">
        <v>91</v>
      </c>
      <c r="F3936" s="6" t="s">
        <v>8022</v>
      </c>
      <c r="G3936" s="6" t="s">
        <v>8215</v>
      </c>
      <c r="H3936" s="6" t="s">
        <v>55</v>
      </c>
      <c r="I3936" s="6" t="s">
        <v>8025</v>
      </c>
      <c r="J3936" s="6" t="s">
        <v>91</v>
      </c>
      <c r="K3936" s="12" t="str">
        <f t="shared" ref="K3936:K3937" si="282">HYPERLINK("https://media.licdn.com/dms/image/v2/D4D22AQGebkJ5j84a5A/feedshare-shrink_1280/B4DZmZwzOtIgAw-/0/1759221331902?e=2147483647&amp;v=beta&amp;t=Cvow_3EStPatjmEk0UP8M_fx5HR7k3hSsPfU28pjLls","View Creative")</f>
        <v>View Creative</v>
      </c>
      <c r="L3936" s="6" t="s">
        <v>62</v>
      </c>
      <c r="M3936" s="6" t="s">
        <v>8042</v>
      </c>
      <c r="N3936" s="6" t="s">
        <v>8216</v>
      </c>
      <c r="O3936" s="36" t="s">
        <v>7541</v>
      </c>
      <c r="P3936" s="36" t="s">
        <v>7542</v>
      </c>
      <c r="Q3936" s="38"/>
    </row>
    <row r="3937">
      <c r="A3937" s="6" t="s">
        <v>8042</v>
      </c>
      <c r="B3937" s="6" t="s">
        <v>8043</v>
      </c>
      <c r="C3937" s="6">
        <v>326.0</v>
      </c>
      <c r="D3937" s="9" t="str">
        <f t="shared" si="281"/>
        <v>Open Ad</v>
      </c>
      <c r="E3937" s="6" t="s">
        <v>91</v>
      </c>
      <c r="F3937" s="6" t="s">
        <v>8022</v>
      </c>
      <c r="G3937" s="6" t="s">
        <v>8215</v>
      </c>
      <c r="H3937" s="6" t="s">
        <v>55</v>
      </c>
      <c r="I3937" s="6" t="s">
        <v>8025</v>
      </c>
      <c r="J3937" s="6" t="s">
        <v>91</v>
      </c>
      <c r="K3937" s="12" t="str">
        <f t="shared" si="282"/>
        <v>View Creative</v>
      </c>
      <c r="L3937" s="6" t="s">
        <v>62</v>
      </c>
      <c r="M3937" s="6" t="s">
        <v>8042</v>
      </c>
      <c r="N3937" s="6" t="s">
        <v>8216</v>
      </c>
      <c r="O3937" s="36" t="s">
        <v>7541</v>
      </c>
      <c r="P3937" s="36" t="s">
        <v>7542</v>
      </c>
      <c r="Q3937" s="38"/>
    </row>
    <row r="3938">
      <c r="A3938" s="6" t="s">
        <v>8042</v>
      </c>
      <c r="B3938" s="6" t="s">
        <v>8043</v>
      </c>
      <c r="C3938" s="6">
        <v>327.0</v>
      </c>
      <c r="D3938" s="9" t="str">
        <f t="shared" ref="D3938:D3939" si="283">HYPERLINK("https://www.linkedin.com/ad-library/detail/863562523","Open Ad")</f>
        <v>Open Ad</v>
      </c>
      <c r="E3938" s="6" t="s">
        <v>154</v>
      </c>
      <c r="F3938" s="6" t="s">
        <v>8022</v>
      </c>
      <c r="G3938" s="6" t="s">
        <v>8223</v>
      </c>
      <c r="H3938" s="6" t="s">
        <v>55</v>
      </c>
      <c r="I3938" s="6" t="s">
        <v>8025</v>
      </c>
      <c r="J3938" s="6" t="s">
        <v>154</v>
      </c>
      <c r="K3938" s="12" t="str">
        <f t="shared" ref="K3938:K3939" si="284">HYPERLINK("https://dms.licdn.com/playlist/vid/v2/D4D10AQEHTNGRI9DfPw/mp4-360p-30fp-crf28/B4DZmp0qBtKQCI-/0/1759490781877/AccuRankerSquare_3mp4?e=2147483647&amp;v=beta&amp;t=Oo1cpz8RpAPmCblL2OGYu8O8EUNfLno9JSNNGXdmiMU","View Creative")</f>
        <v>View Creative</v>
      </c>
      <c r="L3938" s="6" t="s">
        <v>62</v>
      </c>
      <c r="M3938" s="6" t="s">
        <v>8042</v>
      </c>
      <c r="N3938" s="6"/>
      <c r="O3938" s="36" t="s">
        <v>7541</v>
      </c>
      <c r="P3938" s="36" t="s">
        <v>7542</v>
      </c>
      <c r="Q3938" s="38"/>
    </row>
    <row r="3939">
      <c r="A3939" s="6" t="s">
        <v>8042</v>
      </c>
      <c r="B3939" s="6" t="s">
        <v>8043</v>
      </c>
      <c r="C3939" s="6">
        <v>328.0</v>
      </c>
      <c r="D3939" s="9" t="str">
        <f t="shared" si="283"/>
        <v>Open Ad</v>
      </c>
      <c r="E3939" s="6" t="s">
        <v>154</v>
      </c>
      <c r="F3939" s="6" t="s">
        <v>8022</v>
      </c>
      <c r="G3939" s="6" t="s">
        <v>8223</v>
      </c>
      <c r="H3939" s="6" t="s">
        <v>55</v>
      </c>
      <c r="I3939" s="6" t="s">
        <v>8025</v>
      </c>
      <c r="J3939" s="6" t="s">
        <v>154</v>
      </c>
      <c r="K3939" s="12" t="str">
        <f t="shared" si="284"/>
        <v>View Creative</v>
      </c>
      <c r="L3939" s="6" t="s">
        <v>62</v>
      </c>
      <c r="M3939" s="6" t="s">
        <v>8042</v>
      </c>
      <c r="N3939" s="6"/>
      <c r="O3939" s="36" t="s">
        <v>7541</v>
      </c>
      <c r="P3939" s="36" t="s">
        <v>7542</v>
      </c>
      <c r="Q3939" s="38"/>
    </row>
    <row r="3940">
      <c r="A3940" s="6" t="s">
        <v>8042</v>
      </c>
      <c r="B3940" s="6" t="s">
        <v>8043</v>
      </c>
      <c r="C3940" s="6">
        <v>329.0</v>
      </c>
      <c r="D3940" s="9" t="str">
        <f t="shared" ref="D3940:D3941" si="285">HYPERLINK("https://www.linkedin.com/ad-library/detail/863430313","Open Ad")</f>
        <v>Open Ad</v>
      </c>
      <c r="E3940" s="6" t="s">
        <v>91</v>
      </c>
      <c r="F3940" s="6" t="s">
        <v>8022</v>
      </c>
      <c r="G3940" s="6" t="s">
        <v>8219</v>
      </c>
      <c r="H3940" s="6" t="s">
        <v>8220</v>
      </c>
      <c r="I3940" s="6" t="s">
        <v>8025</v>
      </c>
      <c r="J3940" s="6" t="s">
        <v>91</v>
      </c>
      <c r="K3940" s="12" t="str">
        <f t="shared" ref="K3940:K3941" si="286">HYPERLINK("https://media.licdn.com/dms/image/v2/D4E22AQFvstp4V9ygRg/feedshare-image-high-res/B4EZmj8euxKUAo-/0/1759392166073?e=2147483647&amp;v=beta&amp;t=EXDWWhQooEkbgqMDoKDAnhCTL-XFCxG2vIYLmUi9cHI","View Creative")</f>
        <v>View Creative</v>
      </c>
      <c r="L3940" s="6" t="s">
        <v>62</v>
      </c>
      <c r="M3940" s="6" t="s">
        <v>8042</v>
      </c>
      <c r="N3940" s="6" t="s">
        <v>8221</v>
      </c>
      <c r="O3940" s="36" t="s">
        <v>7541</v>
      </c>
      <c r="P3940" s="36" t="s">
        <v>7542</v>
      </c>
      <c r="Q3940" s="38"/>
    </row>
    <row r="3941">
      <c r="A3941" s="6" t="s">
        <v>8042</v>
      </c>
      <c r="B3941" s="6" t="s">
        <v>8043</v>
      </c>
      <c r="C3941" s="6">
        <v>330.0</v>
      </c>
      <c r="D3941" s="9" t="str">
        <f t="shared" si="285"/>
        <v>Open Ad</v>
      </c>
      <c r="E3941" s="6" t="s">
        <v>91</v>
      </c>
      <c r="F3941" s="6" t="s">
        <v>8022</v>
      </c>
      <c r="G3941" s="6" t="s">
        <v>8219</v>
      </c>
      <c r="H3941" s="6" t="s">
        <v>8220</v>
      </c>
      <c r="I3941" s="6" t="s">
        <v>8025</v>
      </c>
      <c r="J3941" s="6" t="s">
        <v>91</v>
      </c>
      <c r="K3941" s="12" t="str">
        <f t="shared" si="286"/>
        <v>View Creative</v>
      </c>
      <c r="L3941" s="6" t="s">
        <v>62</v>
      </c>
      <c r="M3941" s="6" t="s">
        <v>8042</v>
      </c>
      <c r="N3941" s="6" t="s">
        <v>8221</v>
      </c>
      <c r="O3941" s="36" t="s">
        <v>7541</v>
      </c>
      <c r="P3941" s="36" t="s">
        <v>7542</v>
      </c>
      <c r="Q3941" s="38"/>
    </row>
    <row r="3942">
      <c r="A3942" s="6" t="s">
        <v>8042</v>
      </c>
      <c r="B3942" s="6" t="s">
        <v>8043</v>
      </c>
      <c r="C3942" s="6">
        <v>331.0</v>
      </c>
      <c r="D3942" s="9" t="str">
        <f t="shared" ref="D3942:D3943" si="287">HYPERLINK("https://www.linkedin.com/ad-library/detail/863612493","Open Ad")</f>
        <v>Open Ad</v>
      </c>
      <c r="E3942" s="6" t="s">
        <v>154</v>
      </c>
      <c r="F3942" s="6" t="s">
        <v>8022</v>
      </c>
      <c r="G3942" s="6" t="s">
        <v>8222</v>
      </c>
      <c r="H3942" s="6" t="s">
        <v>55</v>
      </c>
      <c r="I3942" s="6" t="s">
        <v>8025</v>
      </c>
      <c r="J3942" s="6" t="s">
        <v>154</v>
      </c>
      <c r="K3942" s="12" t="str">
        <f t="shared" ref="K3942:K3943" si="288">HYPERLINK("https://dms.licdn.com/playlist/vid/v2/D4D10AQEHTNGRI9DfPw/mp4-360p-30fp-crf28/B4DZmp0qBtKQCI-/0/1759490781877/AccuRankerSquare_3mp4?e=2147483647&amp;v=beta&amp;t=Oo1cpz8RpAPmCblL2OGYu8O8EUNfLno9JSNNGXdmiMU","View Creative")</f>
        <v>View Creative</v>
      </c>
      <c r="L3942" s="6" t="s">
        <v>62</v>
      </c>
      <c r="M3942" s="6" t="s">
        <v>8042</v>
      </c>
      <c r="N3942" s="6"/>
      <c r="O3942" s="36" t="s">
        <v>7541</v>
      </c>
      <c r="P3942" s="36" t="s">
        <v>7542</v>
      </c>
      <c r="Q3942" s="38"/>
    </row>
    <row r="3943">
      <c r="A3943" s="6" t="s">
        <v>8042</v>
      </c>
      <c r="B3943" s="6" t="s">
        <v>8043</v>
      </c>
      <c r="C3943" s="6">
        <v>332.0</v>
      </c>
      <c r="D3943" s="9" t="str">
        <f t="shared" si="287"/>
        <v>Open Ad</v>
      </c>
      <c r="E3943" s="6" t="s">
        <v>154</v>
      </c>
      <c r="F3943" s="6" t="s">
        <v>8022</v>
      </c>
      <c r="G3943" s="6" t="s">
        <v>8222</v>
      </c>
      <c r="H3943" s="6" t="s">
        <v>55</v>
      </c>
      <c r="I3943" s="6" t="s">
        <v>8025</v>
      </c>
      <c r="J3943" s="6" t="s">
        <v>154</v>
      </c>
      <c r="K3943" s="12" t="str">
        <f t="shared" si="288"/>
        <v>View Creative</v>
      </c>
      <c r="L3943" s="6" t="s">
        <v>62</v>
      </c>
      <c r="M3943" s="6" t="s">
        <v>8042</v>
      </c>
      <c r="N3943" s="6"/>
      <c r="O3943" s="36" t="s">
        <v>7541</v>
      </c>
      <c r="P3943" s="36" t="s">
        <v>7542</v>
      </c>
      <c r="Q3943" s="38"/>
    </row>
    <row r="3944">
      <c r="A3944" s="6" t="s">
        <v>8042</v>
      </c>
      <c r="B3944" s="6" t="s">
        <v>8043</v>
      </c>
      <c r="C3944" s="6">
        <v>333.0</v>
      </c>
      <c r="D3944" s="9" t="str">
        <f t="shared" ref="D3944:D3945" si="289">HYPERLINK("https://www.linkedin.com/ad-library/detail/863241033","Open Ad")</f>
        <v>Open Ad</v>
      </c>
      <c r="E3944" s="6" t="s">
        <v>91</v>
      </c>
      <c r="F3944" s="6" t="s">
        <v>8022</v>
      </c>
      <c r="G3944" s="6" t="s">
        <v>8224</v>
      </c>
      <c r="H3944" s="6" t="s">
        <v>55</v>
      </c>
      <c r="I3944" s="6" t="s">
        <v>8025</v>
      </c>
      <c r="J3944" s="6" t="s">
        <v>91</v>
      </c>
      <c r="K3944" s="12" t="str">
        <f t="shared" ref="K3944:K3945" si="290">HYPERLINK("https://media.licdn.com/dms/image/sync/v2/D4D27AQF0tAsgIK3wHw/articleshare-shrink_1280_800/B4DZmZm3VWH4AQ-/0/1759218727257?e=2147483647&amp;v=beta&amp;t=21PYqWQqk9O4sv5kzEn8I2Y0jNOMvskG2ILx4TZJO7U","View Creative")</f>
        <v>View Creative</v>
      </c>
      <c r="L3944" s="6" t="s">
        <v>62</v>
      </c>
      <c r="M3944" s="6" t="s">
        <v>8042</v>
      </c>
      <c r="N3944" s="6" t="s">
        <v>8226</v>
      </c>
      <c r="O3944" s="36" t="s">
        <v>7541</v>
      </c>
      <c r="P3944" s="36" t="s">
        <v>7542</v>
      </c>
      <c r="Q3944" s="38"/>
    </row>
    <row r="3945">
      <c r="A3945" s="6" t="s">
        <v>8042</v>
      </c>
      <c r="B3945" s="6" t="s">
        <v>8043</v>
      </c>
      <c r="C3945" s="6">
        <v>334.0</v>
      </c>
      <c r="D3945" s="9" t="str">
        <f t="shared" si="289"/>
        <v>Open Ad</v>
      </c>
      <c r="E3945" s="6" t="s">
        <v>91</v>
      </c>
      <c r="F3945" s="6" t="s">
        <v>8022</v>
      </c>
      <c r="G3945" s="6" t="s">
        <v>8224</v>
      </c>
      <c r="H3945" s="6" t="s">
        <v>55</v>
      </c>
      <c r="I3945" s="6" t="s">
        <v>8025</v>
      </c>
      <c r="J3945" s="6" t="s">
        <v>91</v>
      </c>
      <c r="K3945" s="12" t="str">
        <f t="shared" si="290"/>
        <v>View Creative</v>
      </c>
      <c r="L3945" s="6" t="s">
        <v>62</v>
      </c>
      <c r="M3945" s="6" t="s">
        <v>8042</v>
      </c>
      <c r="N3945" s="6" t="s">
        <v>8226</v>
      </c>
      <c r="O3945" s="36" t="s">
        <v>7541</v>
      </c>
      <c r="P3945" s="36" t="s">
        <v>7542</v>
      </c>
      <c r="Q3945" s="38"/>
    </row>
    <row r="3946">
      <c r="A3946" s="6" t="s">
        <v>8042</v>
      </c>
      <c r="B3946" s="6" t="s">
        <v>8043</v>
      </c>
      <c r="C3946" s="6">
        <v>335.0</v>
      </c>
      <c r="D3946" s="9" t="str">
        <f>HYPERLINK("https://www.linkedin.com/ad-library/detail/859950623","Open Ad")</f>
        <v>Open Ad</v>
      </c>
      <c r="E3946" s="6" t="s">
        <v>52</v>
      </c>
      <c r="F3946" s="6" t="s">
        <v>8022</v>
      </c>
      <c r="G3946" s="6" t="s">
        <v>8009</v>
      </c>
      <c r="H3946" s="6" t="s">
        <v>55</v>
      </c>
      <c r="I3946" s="6" t="s">
        <v>8025</v>
      </c>
      <c r="J3946" s="6" t="s">
        <v>52</v>
      </c>
      <c r="K3946" s="6" t="s">
        <v>60</v>
      </c>
      <c r="L3946" s="6" t="s">
        <v>62</v>
      </c>
      <c r="M3946" s="6" t="s">
        <v>8042</v>
      </c>
      <c r="N3946" s="6"/>
      <c r="O3946" s="36" t="s">
        <v>7541</v>
      </c>
      <c r="P3946" s="36" t="s">
        <v>7542</v>
      </c>
      <c r="Q3946" s="38"/>
    </row>
    <row r="3947">
      <c r="A3947" s="6" t="s">
        <v>8042</v>
      </c>
      <c r="B3947" s="6" t="s">
        <v>8043</v>
      </c>
      <c r="C3947" s="6">
        <v>336.0</v>
      </c>
      <c r="D3947" s="9" t="str">
        <f t="shared" ref="D3947:D3948" si="291">HYPERLINK("https://www.linkedin.com/ad-library/detail/852117813","Open Ad")</f>
        <v>Open Ad</v>
      </c>
      <c r="E3947" s="6" t="s">
        <v>91</v>
      </c>
      <c r="F3947" s="6" t="s">
        <v>8022</v>
      </c>
      <c r="G3947" s="6" t="s">
        <v>8227</v>
      </c>
      <c r="H3947" s="6" t="s">
        <v>8228</v>
      </c>
      <c r="I3947" s="6" t="s">
        <v>8025</v>
      </c>
      <c r="J3947" s="6" t="s">
        <v>91</v>
      </c>
      <c r="K3947" s="12" t="str">
        <f t="shared" ref="K3947:K3948" si="292">HYPERLINK("https://media.licdn.com/dms/image/v2/D4D22AQGtsBP1bczt5w/feedshare-shrink_800/B4DZedKV4XHMAw-/0/1750688423901?e=2147483647&amp;v=beta&amp;t=LpjhFjPRY9unK5Mgs_VI-A-NVbcevye3cTPaIQ0T5-8","View Creative")</f>
        <v>View Creative</v>
      </c>
      <c r="L3947" s="6" t="s">
        <v>62</v>
      </c>
      <c r="M3947" s="6" t="s">
        <v>8042</v>
      </c>
      <c r="N3947" s="6" t="s">
        <v>8229</v>
      </c>
      <c r="O3947" s="36" t="s">
        <v>7541</v>
      </c>
      <c r="P3947" s="36" t="s">
        <v>7542</v>
      </c>
      <c r="Q3947" s="38"/>
    </row>
    <row r="3948">
      <c r="A3948" s="6" t="s">
        <v>8042</v>
      </c>
      <c r="B3948" s="6" t="s">
        <v>8043</v>
      </c>
      <c r="C3948" s="6">
        <v>337.0</v>
      </c>
      <c r="D3948" s="9" t="str">
        <f t="shared" si="291"/>
        <v>Open Ad</v>
      </c>
      <c r="E3948" s="6" t="s">
        <v>91</v>
      </c>
      <c r="F3948" s="6" t="s">
        <v>8022</v>
      </c>
      <c r="G3948" s="6" t="s">
        <v>8227</v>
      </c>
      <c r="H3948" s="6" t="s">
        <v>8228</v>
      </c>
      <c r="I3948" s="6" t="s">
        <v>8025</v>
      </c>
      <c r="J3948" s="6" t="s">
        <v>91</v>
      </c>
      <c r="K3948" s="12" t="str">
        <f t="shared" si="292"/>
        <v>View Creative</v>
      </c>
      <c r="L3948" s="6" t="s">
        <v>62</v>
      </c>
      <c r="M3948" s="6" t="s">
        <v>8042</v>
      </c>
      <c r="N3948" s="6" t="s">
        <v>8229</v>
      </c>
      <c r="O3948" s="36" t="s">
        <v>7541</v>
      </c>
      <c r="P3948" s="36" t="s">
        <v>7542</v>
      </c>
      <c r="Q3948" s="38"/>
    </row>
    <row r="3949">
      <c r="A3949" s="6" t="s">
        <v>8042</v>
      </c>
      <c r="B3949" s="6" t="s">
        <v>8043</v>
      </c>
      <c r="C3949" s="6">
        <v>338.0</v>
      </c>
      <c r="D3949" s="9" t="str">
        <f>HYPERLINK("https://www.linkedin.com/ad-library/detail/859920783","Open Ad")</f>
        <v>Open Ad</v>
      </c>
      <c r="E3949" s="6" t="s">
        <v>52</v>
      </c>
      <c r="F3949" s="6" t="s">
        <v>8022</v>
      </c>
      <c r="G3949" s="6" t="s">
        <v>8009</v>
      </c>
      <c r="H3949" s="6" t="s">
        <v>55</v>
      </c>
      <c r="I3949" s="6" t="s">
        <v>8025</v>
      </c>
      <c r="J3949" s="6" t="s">
        <v>52</v>
      </c>
      <c r="K3949" s="6" t="s">
        <v>60</v>
      </c>
      <c r="L3949" s="6" t="s">
        <v>62</v>
      </c>
      <c r="M3949" s="6" t="s">
        <v>8042</v>
      </c>
      <c r="N3949" s="6" t="s">
        <v>8230</v>
      </c>
      <c r="O3949" s="36" t="s">
        <v>7541</v>
      </c>
      <c r="P3949" s="36" t="s">
        <v>7542</v>
      </c>
      <c r="Q3949" s="38"/>
    </row>
    <row r="3950">
      <c r="A3950" s="6" t="s">
        <v>8042</v>
      </c>
      <c r="B3950" s="6" t="s">
        <v>8043</v>
      </c>
      <c r="C3950" s="6">
        <v>339.0</v>
      </c>
      <c r="D3950" s="9" t="str">
        <f t="shared" ref="D3950:D3951" si="293">HYPERLINK("https://www.linkedin.com/ad-library/detail/863239953","Open Ad")</f>
        <v>Open Ad</v>
      </c>
      <c r="E3950" s="6" t="s">
        <v>91</v>
      </c>
      <c r="F3950" s="6" t="s">
        <v>8022</v>
      </c>
      <c r="G3950" s="6" t="s">
        <v>8231</v>
      </c>
      <c r="H3950" s="6" t="s">
        <v>55</v>
      </c>
      <c r="I3950" s="6" t="s">
        <v>8025</v>
      </c>
      <c r="J3950" s="6" t="s">
        <v>91</v>
      </c>
      <c r="K3950" s="12" t="str">
        <f t="shared" ref="K3950:K3951" si="294">HYPERLINK("https://media.licdn.com/dms/image/v2/D5610AQG-YY0zwJt23w/image-shrink_1280/B56Zh5fEggHkAY-/0/1754384845992/image4png?e=2147483647&amp;v=beta&amp;t=BnrQp-K1CE-GUlC70OcGvIOhrglH7B8UGujusi3xbXE","View Creative")</f>
        <v>View Creative</v>
      </c>
      <c r="L3950" s="6" t="s">
        <v>62</v>
      </c>
      <c r="M3950" s="6" t="s">
        <v>8042</v>
      </c>
      <c r="N3950" s="6" t="s">
        <v>8232</v>
      </c>
      <c r="O3950" s="36" t="s">
        <v>7541</v>
      </c>
      <c r="P3950" s="36" t="s">
        <v>7542</v>
      </c>
      <c r="Q3950" s="38"/>
    </row>
    <row r="3951">
      <c r="A3951" s="6" t="s">
        <v>8042</v>
      </c>
      <c r="B3951" s="6" t="s">
        <v>8043</v>
      </c>
      <c r="C3951" s="6">
        <v>340.0</v>
      </c>
      <c r="D3951" s="9" t="str">
        <f t="shared" si="293"/>
        <v>Open Ad</v>
      </c>
      <c r="E3951" s="6" t="s">
        <v>91</v>
      </c>
      <c r="F3951" s="6" t="s">
        <v>8022</v>
      </c>
      <c r="G3951" s="6" t="s">
        <v>8231</v>
      </c>
      <c r="H3951" s="6" t="s">
        <v>55</v>
      </c>
      <c r="I3951" s="6" t="s">
        <v>8025</v>
      </c>
      <c r="J3951" s="6" t="s">
        <v>91</v>
      </c>
      <c r="K3951" s="12" t="str">
        <f t="shared" si="294"/>
        <v>View Creative</v>
      </c>
      <c r="L3951" s="6" t="s">
        <v>62</v>
      </c>
      <c r="M3951" s="6" t="s">
        <v>8042</v>
      </c>
      <c r="N3951" s="6" t="s">
        <v>8232</v>
      </c>
      <c r="O3951" s="36" t="s">
        <v>7541</v>
      </c>
      <c r="P3951" s="36" t="s">
        <v>7542</v>
      </c>
      <c r="Q3951" s="38"/>
    </row>
    <row r="3952">
      <c r="A3952" s="6" t="s">
        <v>8042</v>
      </c>
      <c r="B3952" s="6" t="s">
        <v>8043</v>
      </c>
      <c r="C3952" s="6">
        <v>341.0</v>
      </c>
      <c r="D3952" s="9" t="str">
        <f>HYPERLINK("https://www.linkedin.com/ad-library/detail/859649413","Open Ad")</f>
        <v>Open Ad</v>
      </c>
      <c r="E3952" s="6" t="s">
        <v>52</v>
      </c>
      <c r="F3952" s="6" t="s">
        <v>8022</v>
      </c>
      <c r="G3952" s="6" t="s">
        <v>8009</v>
      </c>
      <c r="H3952" s="6" t="s">
        <v>55</v>
      </c>
      <c r="I3952" s="6" t="s">
        <v>8025</v>
      </c>
      <c r="J3952" s="6" t="s">
        <v>52</v>
      </c>
      <c r="K3952" s="6" t="s">
        <v>60</v>
      </c>
      <c r="L3952" s="6" t="s">
        <v>62</v>
      </c>
      <c r="M3952" s="6" t="s">
        <v>8042</v>
      </c>
      <c r="N3952" s="6" t="s">
        <v>8233</v>
      </c>
      <c r="O3952" s="36" t="s">
        <v>7541</v>
      </c>
      <c r="P3952" s="36" t="s">
        <v>7542</v>
      </c>
      <c r="Q3952" s="38"/>
    </row>
    <row r="3953">
      <c r="A3953" s="6" t="s">
        <v>8042</v>
      </c>
      <c r="B3953" s="6" t="s">
        <v>8043</v>
      </c>
      <c r="C3953" s="6">
        <v>342.0</v>
      </c>
      <c r="D3953" s="9" t="str">
        <f>HYPERLINK("https://www.linkedin.com/ad-library/detail/859959923","Open Ad")</f>
        <v>Open Ad</v>
      </c>
      <c r="E3953" s="6" t="s">
        <v>52</v>
      </c>
      <c r="F3953" s="6" t="s">
        <v>8022</v>
      </c>
      <c r="G3953" s="6" t="s">
        <v>8009</v>
      </c>
      <c r="H3953" s="6" t="s">
        <v>55</v>
      </c>
      <c r="I3953" s="6" t="s">
        <v>8025</v>
      </c>
      <c r="J3953" s="6" t="s">
        <v>52</v>
      </c>
      <c r="K3953" s="6" t="s">
        <v>60</v>
      </c>
      <c r="L3953" s="6" t="s">
        <v>62</v>
      </c>
      <c r="M3953" s="6" t="s">
        <v>8042</v>
      </c>
      <c r="N3953" s="6" t="s">
        <v>8233</v>
      </c>
      <c r="O3953" s="36" t="s">
        <v>7541</v>
      </c>
      <c r="P3953" s="36" t="s">
        <v>7542</v>
      </c>
      <c r="Q3953" s="38"/>
    </row>
    <row r="3954">
      <c r="A3954" s="6" t="s">
        <v>8042</v>
      </c>
      <c r="B3954" s="6" t="s">
        <v>8043</v>
      </c>
      <c r="C3954" s="6">
        <v>343.0</v>
      </c>
      <c r="D3954" s="9" t="str">
        <f>HYPERLINK("https://www.linkedin.com/ad-library/detail/859801523","Open Ad")</f>
        <v>Open Ad</v>
      </c>
      <c r="E3954" s="6" t="s">
        <v>52</v>
      </c>
      <c r="F3954" s="6" t="s">
        <v>8022</v>
      </c>
      <c r="G3954" s="6" t="s">
        <v>8009</v>
      </c>
      <c r="H3954" s="6" t="s">
        <v>55</v>
      </c>
      <c r="I3954" s="6" t="s">
        <v>8025</v>
      </c>
      <c r="J3954" s="6" t="s">
        <v>52</v>
      </c>
      <c r="K3954" s="6" t="s">
        <v>60</v>
      </c>
      <c r="L3954" s="6" t="s">
        <v>62</v>
      </c>
      <c r="M3954" s="6" t="s">
        <v>8042</v>
      </c>
      <c r="N3954" s="6"/>
      <c r="O3954" s="36" t="s">
        <v>7541</v>
      </c>
      <c r="P3954" s="36" t="s">
        <v>7542</v>
      </c>
      <c r="Q3954" s="38"/>
    </row>
    <row r="3955">
      <c r="A3955" s="6" t="s">
        <v>8042</v>
      </c>
      <c r="B3955" s="6" t="s">
        <v>8043</v>
      </c>
      <c r="C3955" s="6">
        <v>344.0</v>
      </c>
      <c r="D3955" s="9" t="str">
        <f>HYPERLINK("https://www.linkedin.com/ad-library/detail/859787603","Open Ad")</f>
        <v>Open Ad</v>
      </c>
      <c r="E3955" s="6" t="s">
        <v>52</v>
      </c>
      <c r="F3955" s="6" t="s">
        <v>8022</v>
      </c>
      <c r="G3955" s="6" t="s">
        <v>8009</v>
      </c>
      <c r="H3955" s="6" t="s">
        <v>55</v>
      </c>
      <c r="I3955" s="6" t="s">
        <v>8025</v>
      </c>
      <c r="J3955" s="6" t="s">
        <v>52</v>
      </c>
      <c r="K3955" s="6" t="s">
        <v>60</v>
      </c>
      <c r="L3955" s="6" t="s">
        <v>62</v>
      </c>
      <c r="M3955" s="6" t="s">
        <v>8042</v>
      </c>
      <c r="N3955" s="6"/>
      <c r="O3955" s="36" t="s">
        <v>7541</v>
      </c>
      <c r="P3955" s="36" t="s">
        <v>7542</v>
      </c>
      <c r="Q3955" s="38"/>
    </row>
    <row r="3956">
      <c r="A3956" s="6" t="s">
        <v>8042</v>
      </c>
      <c r="B3956" s="6" t="s">
        <v>8043</v>
      </c>
      <c r="C3956" s="6">
        <v>345.0</v>
      </c>
      <c r="D3956" s="9" t="str">
        <f t="shared" ref="D3956:D3957" si="295">HYPERLINK("https://www.linkedin.com/ad-library/detail/863290013","Open Ad")</f>
        <v>Open Ad</v>
      </c>
      <c r="E3956" s="6" t="s">
        <v>91</v>
      </c>
      <c r="F3956" s="6" t="s">
        <v>8022</v>
      </c>
      <c r="G3956" s="6" t="s">
        <v>8234</v>
      </c>
      <c r="H3956" s="6" t="s">
        <v>55</v>
      </c>
      <c r="I3956" s="6" t="s">
        <v>8025</v>
      </c>
      <c r="J3956" s="6" t="s">
        <v>91</v>
      </c>
      <c r="K3956" s="12" t="str">
        <f t="shared" ref="K3956:K3957" si="296">HYPERLINK("https://media.licdn.com/dms/image/v2/D5610AQFkGrh2YkqHOg/image-shrink_1280/B56Zh5kX.HG0AY-/0/1754386236420/image5png?e=2147483647&amp;v=beta&amp;t=u_Vfx2_BKDJnHlCqaZq_XVVYpqKo2eEmLkIQzTAN98c","View Creative")</f>
        <v>View Creative</v>
      </c>
      <c r="L3956" s="6" t="s">
        <v>62</v>
      </c>
      <c r="M3956" s="6" t="s">
        <v>8042</v>
      </c>
      <c r="N3956" s="6" t="s">
        <v>8232</v>
      </c>
      <c r="O3956" s="36" t="s">
        <v>7541</v>
      </c>
      <c r="P3956" s="36" t="s">
        <v>7542</v>
      </c>
      <c r="Q3956" s="38"/>
    </row>
    <row r="3957">
      <c r="A3957" s="6" t="s">
        <v>8042</v>
      </c>
      <c r="B3957" s="6" t="s">
        <v>8043</v>
      </c>
      <c r="C3957" s="6">
        <v>346.0</v>
      </c>
      <c r="D3957" s="9" t="str">
        <f t="shared" si="295"/>
        <v>Open Ad</v>
      </c>
      <c r="E3957" s="6" t="s">
        <v>91</v>
      </c>
      <c r="F3957" s="6" t="s">
        <v>8022</v>
      </c>
      <c r="G3957" s="6" t="s">
        <v>8234</v>
      </c>
      <c r="H3957" s="6" t="s">
        <v>55</v>
      </c>
      <c r="I3957" s="6" t="s">
        <v>8025</v>
      </c>
      <c r="J3957" s="6" t="s">
        <v>91</v>
      </c>
      <c r="K3957" s="12" t="str">
        <f t="shared" si="296"/>
        <v>View Creative</v>
      </c>
      <c r="L3957" s="6" t="s">
        <v>62</v>
      </c>
      <c r="M3957" s="6" t="s">
        <v>8042</v>
      </c>
      <c r="N3957" s="6" t="s">
        <v>8232</v>
      </c>
      <c r="O3957" s="36" t="s">
        <v>7541</v>
      </c>
      <c r="P3957" s="36" t="s">
        <v>7542</v>
      </c>
      <c r="Q3957" s="38"/>
    </row>
    <row r="3958">
      <c r="A3958" s="6" t="s">
        <v>8042</v>
      </c>
      <c r="B3958" s="6" t="s">
        <v>8043</v>
      </c>
      <c r="C3958" s="6">
        <v>347.0</v>
      </c>
      <c r="D3958" s="9" t="str">
        <f>HYPERLINK("https://www.linkedin.com/ad-library/detail/859728783","Open Ad")</f>
        <v>Open Ad</v>
      </c>
      <c r="E3958" s="6" t="s">
        <v>52</v>
      </c>
      <c r="F3958" s="6" t="s">
        <v>8022</v>
      </c>
      <c r="G3958" s="6" t="s">
        <v>8009</v>
      </c>
      <c r="H3958" s="6" t="s">
        <v>55</v>
      </c>
      <c r="I3958" s="6" t="s">
        <v>8025</v>
      </c>
      <c r="J3958" s="6" t="s">
        <v>52</v>
      </c>
      <c r="K3958" s="6" t="s">
        <v>60</v>
      </c>
      <c r="L3958" s="6" t="s">
        <v>62</v>
      </c>
      <c r="M3958" s="6" t="s">
        <v>8042</v>
      </c>
      <c r="N3958" s="6" t="s">
        <v>8230</v>
      </c>
      <c r="O3958" s="36" t="s">
        <v>7541</v>
      </c>
      <c r="P3958" s="36" t="s">
        <v>7542</v>
      </c>
      <c r="Q3958" s="38"/>
    </row>
    <row r="3959">
      <c r="A3959" s="6" t="s">
        <v>8042</v>
      </c>
      <c r="B3959" s="6" t="s">
        <v>8043</v>
      </c>
      <c r="C3959" s="6">
        <v>348.0</v>
      </c>
      <c r="D3959" s="9" t="str">
        <f>HYPERLINK("https://www.linkedin.com/ad-library/detail/859980393","Open Ad")</f>
        <v>Open Ad</v>
      </c>
      <c r="E3959" s="6" t="s">
        <v>52</v>
      </c>
      <c r="F3959" s="6" t="s">
        <v>8022</v>
      </c>
      <c r="G3959" s="6" t="s">
        <v>8009</v>
      </c>
      <c r="H3959" s="6" t="s">
        <v>55</v>
      </c>
      <c r="I3959" s="6" t="s">
        <v>8025</v>
      </c>
      <c r="J3959" s="6" t="s">
        <v>52</v>
      </c>
      <c r="K3959" s="6" t="s">
        <v>60</v>
      </c>
      <c r="L3959" s="6" t="s">
        <v>62</v>
      </c>
      <c r="M3959" s="6" t="s">
        <v>8042</v>
      </c>
      <c r="N3959" s="6"/>
      <c r="O3959" s="36" t="s">
        <v>7541</v>
      </c>
      <c r="P3959" s="36" t="s">
        <v>7542</v>
      </c>
      <c r="Q3959" s="38"/>
    </row>
    <row r="3960">
      <c r="A3960" s="6" t="s">
        <v>8042</v>
      </c>
      <c r="B3960" s="6" t="s">
        <v>8043</v>
      </c>
      <c r="C3960" s="6">
        <v>349.0</v>
      </c>
      <c r="D3960" s="9" t="str">
        <f>HYPERLINK("https://www.linkedin.com/ad-library/detail/859811193","Open Ad")</f>
        <v>Open Ad</v>
      </c>
      <c r="E3960" s="6" t="s">
        <v>52</v>
      </c>
      <c r="F3960" s="6" t="s">
        <v>8022</v>
      </c>
      <c r="G3960" s="6" t="s">
        <v>8009</v>
      </c>
      <c r="H3960" s="6" t="s">
        <v>55</v>
      </c>
      <c r="I3960" s="6" t="s">
        <v>8025</v>
      </c>
      <c r="J3960" s="6" t="s">
        <v>52</v>
      </c>
      <c r="K3960" s="6" t="s">
        <v>60</v>
      </c>
      <c r="L3960" s="6" t="s">
        <v>62</v>
      </c>
      <c r="M3960" s="6" t="s">
        <v>8042</v>
      </c>
      <c r="N3960" s="6" t="s">
        <v>8235</v>
      </c>
      <c r="O3960" s="36" t="s">
        <v>7541</v>
      </c>
      <c r="P3960" s="36" t="s">
        <v>7542</v>
      </c>
      <c r="Q3960" s="38"/>
    </row>
    <row r="3961">
      <c r="A3961" s="6" t="s">
        <v>8042</v>
      </c>
      <c r="B3961" s="6" t="s">
        <v>8043</v>
      </c>
      <c r="C3961" s="6">
        <v>350.0</v>
      </c>
      <c r="D3961" s="9" t="str">
        <f t="shared" ref="D3961:D3962" si="297">HYPERLINK("https://www.linkedin.com/ad-library/detail/863380163","Open Ad")</f>
        <v>Open Ad</v>
      </c>
      <c r="E3961" s="6" t="s">
        <v>91</v>
      </c>
      <c r="F3961" s="6" t="s">
        <v>8022</v>
      </c>
      <c r="G3961" s="6" t="s">
        <v>8215</v>
      </c>
      <c r="H3961" s="6" t="s">
        <v>55</v>
      </c>
      <c r="I3961" s="6" t="s">
        <v>8025</v>
      </c>
      <c r="J3961" s="6" t="s">
        <v>91</v>
      </c>
      <c r="K3961" s="12" t="str">
        <f t="shared" ref="K3961:K3962" si="298">HYPERLINK("https://media.licdn.com/dms/image/v2/D4D22AQGebkJ5j84a5A/feedshare-shrink_1280/B4DZmZwzOtIgAw-/0/1759221331902?e=2147483647&amp;v=beta&amp;t=Cvow_3EStPatjmEk0UP8M_fx5HR7k3hSsPfU28pjLls","View Creative")</f>
        <v>View Creative</v>
      </c>
      <c r="L3961" s="6" t="s">
        <v>62</v>
      </c>
      <c r="M3961" s="6" t="s">
        <v>8042</v>
      </c>
      <c r="N3961" s="6"/>
      <c r="O3961" s="36" t="s">
        <v>7541</v>
      </c>
      <c r="P3961" s="36" t="s">
        <v>7542</v>
      </c>
      <c r="Q3961" s="38"/>
    </row>
    <row r="3962">
      <c r="A3962" s="6" t="s">
        <v>8042</v>
      </c>
      <c r="B3962" s="6" t="s">
        <v>8043</v>
      </c>
      <c r="C3962" s="6">
        <v>351.0</v>
      </c>
      <c r="D3962" s="9" t="str">
        <f t="shared" si="297"/>
        <v>Open Ad</v>
      </c>
      <c r="E3962" s="6" t="s">
        <v>91</v>
      </c>
      <c r="F3962" s="6" t="s">
        <v>8022</v>
      </c>
      <c r="G3962" s="6" t="s">
        <v>8215</v>
      </c>
      <c r="H3962" s="6" t="s">
        <v>55</v>
      </c>
      <c r="I3962" s="6" t="s">
        <v>8025</v>
      </c>
      <c r="J3962" s="6" t="s">
        <v>91</v>
      </c>
      <c r="K3962" s="12" t="str">
        <f t="shared" si="298"/>
        <v>View Creative</v>
      </c>
      <c r="L3962" s="6" t="s">
        <v>62</v>
      </c>
      <c r="M3962" s="6" t="s">
        <v>8042</v>
      </c>
      <c r="N3962" s="6"/>
      <c r="O3962" s="36" t="s">
        <v>7541</v>
      </c>
      <c r="P3962" s="36" t="s">
        <v>7542</v>
      </c>
      <c r="Q3962" s="38"/>
    </row>
    <row r="3963">
      <c r="A3963" s="6" t="s">
        <v>8042</v>
      </c>
      <c r="B3963" s="6" t="s">
        <v>8043</v>
      </c>
      <c r="C3963" s="6">
        <v>352.0</v>
      </c>
      <c r="D3963" s="9" t="str">
        <f>HYPERLINK("https://www.linkedin.com/ad-library/detail/859851113","Open Ad")</f>
        <v>Open Ad</v>
      </c>
      <c r="E3963" s="6" t="s">
        <v>52</v>
      </c>
      <c r="F3963" s="6" t="s">
        <v>8022</v>
      </c>
      <c r="G3963" s="6" t="s">
        <v>8009</v>
      </c>
      <c r="H3963" s="6" t="s">
        <v>55</v>
      </c>
      <c r="I3963" s="6" t="s">
        <v>8025</v>
      </c>
      <c r="J3963" s="6" t="s">
        <v>52</v>
      </c>
      <c r="K3963" s="6" t="s">
        <v>60</v>
      </c>
      <c r="L3963" s="6" t="s">
        <v>62</v>
      </c>
      <c r="M3963" s="6" t="s">
        <v>8042</v>
      </c>
      <c r="N3963" s="6" t="s">
        <v>8230</v>
      </c>
      <c r="O3963" s="36" t="s">
        <v>7541</v>
      </c>
      <c r="P3963" s="36" t="s">
        <v>7542</v>
      </c>
      <c r="Q3963" s="38"/>
    </row>
    <row r="3964">
      <c r="A3964" s="6" t="s">
        <v>8042</v>
      </c>
      <c r="B3964" s="6" t="s">
        <v>8043</v>
      </c>
      <c r="C3964" s="6">
        <v>353.0</v>
      </c>
      <c r="D3964" s="9" t="str">
        <f>HYPERLINK("https://www.linkedin.com/ad-library/detail/859930073","Open Ad")</f>
        <v>Open Ad</v>
      </c>
      <c r="E3964" s="6" t="s">
        <v>52</v>
      </c>
      <c r="F3964" s="6" t="s">
        <v>8022</v>
      </c>
      <c r="G3964" s="6" t="s">
        <v>8009</v>
      </c>
      <c r="H3964" s="6" t="s">
        <v>55</v>
      </c>
      <c r="I3964" s="6" t="s">
        <v>8025</v>
      </c>
      <c r="J3964" s="6" t="s">
        <v>52</v>
      </c>
      <c r="K3964" s="6" t="s">
        <v>60</v>
      </c>
      <c r="L3964" s="6" t="s">
        <v>62</v>
      </c>
      <c r="M3964" s="6" t="s">
        <v>8042</v>
      </c>
      <c r="N3964" s="6" t="s">
        <v>8230</v>
      </c>
      <c r="O3964" s="36" t="s">
        <v>7541</v>
      </c>
      <c r="P3964" s="36" t="s">
        <v>7542</v>
      </c>
      <c r="Q3964" s="38"/>
    </row>
    <row r="3965">
      <c r="A3965" s="6" t="s">
        <v>8042</v>
      </c>
      <c r="B3965" s="6" t="s">
        <v>8043</v>
      </c>
      <c r="C3965" s="6">
        <v>354.0</v>
      </c>
      <c r="D3965" s="9" t="str">
        <f t="shared" ref="D3965:D3966" si="299">HYPERLINK("https://www.linkedin.com/ad-library/detail/863460053","Open Ad")</f>
        <v>Open Ad</v>
      </c>
      <c r="E3965" s="6" t="s">
        <v>91</v>
      </c>
      <c r="F3965" s="6" t="s">
        <v>8022</v>
      </c>
      <c r="G3965" s="6" t="s">
        <v>8215</v>
      </c>
      <c r="H3965" s="6" t="s">
        <v>55</v>
      </c>
      <c r="I3965" s="6" t="s">
        <v>8025</v>
      </c>
      <c r="J3965" s="6" t="s">
        <v>91</v>
      </c>
      <c r="K3965" s="12" t="str">
        <f t="shared" ref="K3965:K3966" si="300">HYPERLINK("https://media.licdn.com/dms/image/v2/D4D22AQGebkJ5j84a5A/feedshare-shrink_1280/B4DZmZwzOtIgAw-/0/1759221331902?e=2147483647&amp;v=beta&amp;t=Cvow_3EStPatjmEk0UP8M_fx5HR7k3hSsPfU28pjLls","View Creative")</f>
        <v>View Creative</v>
      </c>
      <c r="L3965" s="6" t="s">
        <v>62</v>
      </c>
      <c r="M3965" s="6" t="s">
        <v>8042</v>
      </c>
      <c r="N3965" s="6" t="s">
        <v>8225</v>
      </c>
      <c r="O3965" s="36" t="s">
        <v>7541</v>
      </c>
      <c r="P3965" s="36" t="s">
        <v>7542</v>
      </c>
      <c r="Q3965" s="38"/>
    </row>
    <row r="3966">
      <c r="A3966" s="6" t="s">
        <v>8042</v>
      </c>
      <c r="B3966" s="6" t="s">
        <v>8043</v>
      </c>
      <c r="C3966" s="6">
        <v>355.0</v>
      </c>
      <c r="D3966" s="9" t="str">
        <f t="shared" si="299"/>
        <v>Open Ad</v>
      </c>
      <c r="E3966" s="6" t="s">
        <v>91</v>
      </c>
      <c r="F3966" s="6" t="s">
        <v>8022</v>
      </c>
      <c r="G3966" s="6" t="s">
        <v>8215</v>
      </c>
      <c r="H3966" s="6" t="s">
        <v>55</v>
      </c>
      <c r="I3966" s="6" t="s">
        <v>8025</v>
      </c>
      <c r="J3966" s="6" t="s">
        <v>91</v>
      </c>
      <c r="K3966" s="12" t="str">
        <f t="shared" si="300"/>
        <v>View Creative</v>
      </c>
      <c r="L3966" s="6" t="s">
        <v>62</v>
      </c>
      <c r="M3966" s="6" t="s">
        <v>8042</v>
      </c>
      <c r="N3966" s="6" t="s">
        <v>8225</v>
      </c>
      <c r="O3966" s="36" t="s">
        <v>7541</v>
      </c>
      <c r="P3966" s="36" t="s">
        <v>7542</v>
      </c>
      <c r="Q3966" s="38"/>
    </row>
    <row r="3967">
      <c r="A3967" s="6" t="s">
        <v>8042</v>
      </c>
      <c r="B3967" s="6" t="s">
        <v>8043</v>
      </c>
      <c r="C3967" s="6">
        <v>356.0</v>
      </c>
      <c r="D3967" s="9" t="str">
        <f>HYPERLINK("https://www.linkedin.com/ad-library/detail/859939953","Open Ad")</f>
        <v>Open Ad</v>
      </c>
      <c r="E3967" s="6" t="s">
        <v>52</v>
      </c>
      <c r="F3967" s="6" t="s">
        <v>8022</v>
      </c>
      <c r="G3967" s="6" t="s">
        <v>8009</v>
      </c>
      <c r="H3967" s="6" t="s">
        <v>55</v>
      </c>
      <c r="I3967" s="6" t="s">
        <v>8025</v>
      </c>
      <c r="J3967" s="6" t="s">
        <v>52</v>
      </c>
      <c r="K3967" s="6" t="s">
        <v>60</v>
      </c>
      <c r="L3967" s="6" t="s">
        <v>62</v>
      </c>
      <c r="M3967" s="6" t="s">
        <v>8042</v>
      </c>
      <c r="N3967" s="6"/>
      <c r="O3967" s="36" t="s">
        <v>7541</v>
      </c>
      <c r="P3967" s="36" t="s">
        <v>7542</v>
      </c>
      <c r="Q3967" s="38"/>
    </row>
    <row r="3968">
      <c r="A3968" s="6" t="s">
        <v>8042</v>
      </c>
      <c r="B3968" s="6" t="s">
        <v>8043</v>
      </c>
      <c r="C3968" s="6">
        <v>357.0</v>
      </c>
      <c r="D3968" s="9" t="str">
        <f t="shared" ref="D3968:D3969" si="301">HYPERLINK("https://www.linkedin.com/ad-library/detail/863330223","Open Ad")</f>
        <v>Open Ad</v>
      </c>
      <c r="E3968" s="6" t="s">
        <v>91</v>
      </c>
      <c r="F3968" s="6" t="s">
        <v>8022</v>
      </c>
      <c r="G3968" s="6" t="s">
        <v>8224</v>
      </c>
      <c r="H3968" s="6" t="s">
        <v>55</v>
      </c>
      <c r="I3968" s="6" t="s">
        <v>8025</v>
      </c>
      <c r="J3968" s="6" t="s">
        <v>91</v>
      </c>
      <c r="K3968" s="12" t="str">
        <f t="shared" ref="K3968:K3969" si="302">HYPERLINK("https://media.licdn.com/dms/image/sync/v2/D4D27AQF0tAsgIK3wHw/articleshare-shrink_1280_800/B4DZmZm3VWH4AQ-/0/1759218727257?e=2147483647&amp;v=beta&amp;t=21PYqWQqk9O4sv5kzEn8I2Y0jNOMvskG2ILx4TZJO7U","View Creative")</f>
        <v>View Creative</v>
      </c>
      <c r="L3968" s="6" t="s">
        <v>62</v>
      </c>
      <c r="M3968" s="6" t="s">
        <v>8042</v>
      </c>
      <c r="N3968" s="6" t="s">
        <v>8225</v>
      </c>
      <c r="O3968" s="36" t="s">
        <v>7541</v>
      </c>
      <c r="P3968" s="36" t="s">
        <v>7542</v>
      </c>
      <c r="Q3968" s="38"/>
    </row>
    <row r="3969">
      <c r="A3969" s="6" t="s">
        <v>8042</v>
      </c>
      <c r="B3969" s="6" t="s">
        <v>8043</v>
      </c>
      <c r="C3969" s="6">
        <v>358.0</v>
      </c>
      <c r="D3969" s="9" t="str">
        <f t="shared" si="301"/>
        <v>Open Ad</v>
      </c>
      <c r="E3969" s="6" t="s">
        <v>91</v>
      </c>
      <c r="F3969" s="6" t="s">
        <v>8022</v>
      </c>
      <c r="G3969" s="6" t="s">
        <v>8224</v>
      </c>
      <c r="H3969" s="6" t="s">
        <v>55</v>
      </c>
      <c r="I3969" s="6" t="s">
        <v>8025</v>
      </c>
      <c r="J3969" s="6" t="s">
        <v>91</v>
      </c>
      <c r="K3969" s="12" t="str">
        <f t="shared" si="302"/>
        <v>View Creative</v>
      </c>
      <c r="L3969" s="6" t="s">
        <v>62</v>
      </c>
      <c r="M3969" s="6" t="s">
        <v>8042</v>
      </c>
      <c r="N3969" s="6" t="s">
        <v>8225</v>
      </c>
      <c r="O3969" s="36" t="s">
        <v>7541</v>
      </c>
      <c r="P3969" s="36" t="s">
        <v>7542</v>
      </c>
      <c r="Q3969" s="38"/>
    </row>
    <row r="3970">
      <c r="A3970" s="6" t="s">
        <v>8042</v>
      </c>
      <c r="B3970" s="6" t="s">
        <v>8043</v>
      </c>
      <c r="C3970" s="6">
        <v>359.0</v>
      </c>
      <c r="D3970" s="9" t="str">
        <f>HYPERLINK("https://www.linkedin.com/ad-library/detail/859880213","Open Ad")</f>
        <v>Open Ad</v>
      </c>
      <c r="E3970" s="6" t="s">
        <v>52</v>
      </c>
      <c r="F3970" s="6" t="s">
        <v>8022</v>
      </c>
      <c r="G3970" s="6" t="s">
        <v>8009</v>
      </c>
      <c r="H3970" s="6" t="s">
        <v>55</v>
      </c>
      <c r="I3970" s="6" t="s">
        <v>8025</v>
      </c>
      <c r="J3970" s="6" t="s">
        <v>52</v>
      </c>
      <c r="K3970" s="6" t="s">
        <v>60</v>
      </c>
      <c r="L3970" s="6" t="s">
        <v>62</v>
      </c>
      <c r="M3970" s="6" t="s">
        <v>8042</v>
      </c>
      <c r="N3970" s="6" t="s">
        <v>8235</v>
      </c>
      <c r="O3970" s="36" t="s">
        <v>7541</v>
      </c>
      <c r="P3970" s="36" t="s">
        <v>7542</v>
      </c>
      <c r="Q3970" s="38"/>
    </row>
    <row r="3971">
      <c r="A3971" s="6" t="s">
        <v>8042</v>
      </c>
      <c r="B3971" s="6" t="s">
        <v>8043</v>
      </c>
      <c r="C3971" s="6">
        <v>360.0</v>
      </c>
      <c r="D3971" s="9" t="str">
        <f>HYPERLINK("https://www.linkedin.com/ad-library/detail/852169233","Open Ad")</f>
        <v>Open Ad</v>
      </c>
      <c r="E3971" s="6" t="s">
        <v>52</v>
      </c>
      <c r="F3971" s="6" t="s">
        <v>8022</v>
      </c>
      <c r="G3971" s="6" t="s">
        <v>8236</v>
      </c>
      <c r="H3971" s="6" t="s">
        <v>55</v>
      </c>
      <c r="I3971" s="6" t="s">
        <v>8025</v>
      </c>
      <c r="J3971" s="6" t="s">
        <v>52</v>
      </c>
      <c r="K3971" s="6" t="s">
        <v>60</v>
      </c>
      <c r="L3971" s="6" t="s">
        <v>62</v>
      </c>
      <c r="M3971" s="6" t="s">
        <v>8042</v>
      </c>
      <c r="N3971" s="6" t="s">
        <v>8237</v>
      </c>
      <c r="O3971" s="36" t="s">
        <v>7541</v>
      </c>
      <c r="P3971" s="36" t="s">
        <v>7542</v>
      </c>
      <c r="Q3971" s="38"/>
    </row>
    <row r="3972">
      <c r="A3972" s="6" t="s">
        <v>8042</v>
      </c>
      <c r="B3972" s="6" t="s">
        <v>8043</v>
      </c>
      <c r="C3972" s="6">
        <v>361.0</v>
      </c>
      <c r="D3972" s="9" t="str">
        <f>HYPERLINK("https://www.linkedin.com/ad-library/detail/859758643","Open Ad")</f>
        <v>Open Ad</v>
      </c>
      <c r="E3972" s="6" t="s">
        <v>52</v>
      </c>
      <c r="F3972" s="6" t="s">
        <v>8022</v>
      </c>
      <c r="G3972" s="6" t="s">
        <v>8009</v>
      </c>
      <c r="H3972" s="6" t="s">
        <v>55</v>
      </c>
      <c r="I3972" s="6" t="s">
        <v>8025</v>
      </c>
      <c r="J3972" s="6" t="s">
        <v>52</v>
      </c>
      <c r="K3972" s="6" t="s">
        <v>60</v>
      </c>
      <c r="L3972" s="6" t="s">
        <v>62</v>
      </c>
      <c r="M3972" s="6" t="s">
        <v>8042</v>
      </c>
      <c r="N3972" s="6"/>
      <c r="O3972" s="36" t="s">
        <v>7541</v>
      </c>
      <c r="P3972" s="36" t="s">
        <v>7542</v>
      </c>
      <c r="Q3972" s="38"/>
    </row>
    <row r="3973">
      <c r="A3973" s="6" t="s">
        <v>8042</v>
      </c>
      <c r="B3973" s="6" t="s">
        <v>8043</v>
      </c>
      <c r="C3973" s="6">
        <v>362.0</v>
      </c>
      <c r="D3973" s="9" t="str">
        <f>HYPERLINK("https://www.linkedin.com/ad-library/detail/859820073","Open Ad")</f>
        <v>Open Ad</v>
      </c>
      <c r="E3973" s="6" t="s">
        <v>52</v>
      </c>
      <c r="F3973" s="6" t="s">
        <v>8022</v>
      </c>
      <c r="G3973" s="6" t="s">
        <v>8009</v>
      </c>
      <c r="H3973" s="6" t="s">
        <v>55</v>
      </c>
      <c r="I3973" s="6" t="s">
        <v>8025</v>
      </c>
      <c r="J3973" s="6" t="s">
        <v>52</v>
      </c>
      <c r="K3973" s="6" t="s">
        <v>60</v>
      </c>
      <c r="L3973" s="6" t="s">
        <v>62</v>
      </c>
      <c r="M3973" s="6" t="s">
        <v>8042</v>
      </c>
      <c r="N3973" s="6" t="s">
        <v>8235</v>
      </c>
      <c r="O3973" s="36" t="s">
        <v>7541</v>
      </c>
      <c r="P3973" s="36" t="s">
        <v>7542</v>
      </c>
      <c r="Q3973" s="38"/>
    </row>
    <row r="3974">
      <c r="A3974" s="6" t="s">
        <v>8042</v>
      </c>
      <c r="B3974" s="6" t="s">
        <v>8043</v>
      </c>
      <c r="C3974" s="6">
        <v>363.0</v>
      </c>
      <c r="D3974" s="9" t="str">
        <f>HYPERLINK("https://www.linkedin.com/ad-library/detail/852117803","Open Ad")</f>
        <v>Open Ad</v>
      </c>
      <c r="E3974" s="6" t="s">
        <v>52</v>
      </c>
      <c r="F3974" s="6" t="s">
        <v>8022</v>
      </c>
      <c r="G3974" s="6" t="s">
        <v>8236</v>
      </c>
      <c r="H3974" s="6" t="s">
        <v>55</v>
      </c>
      <c r="I3974" s="6" t="s">
        <v>8025</v>
      </c>
      <c r="J3974" s="6" t="s">
        <v>52</v>
      </c>
      <c r="K3974" s="6" t="s">
        <v>60</v>
      </c>
      <c r="L3974" s="6" t="s">
        <v>62</v>
      </c>
      <c r="M3974" s="6" t="s">
        <v>8042</v>
      </c>
      <c r="N3974" s="6" t="s">
        <v>8237</v>
      </c>
      <c r="O3974" s="36" t="s">
        <v>7541</v>
      </c>
      <c r="P3974" s="36" t="s">
        <v>7542</v>
      </c>
      <c r="Q3974" s="38"/>
    </row>
    <row r="3975">
      <c r="A3975" s="6" t="s">
        <v>8042</v>
      </c>
      <c r="B3975" s="6" t="s">
        <v>8043</v>
      </c>
      <c r="C3975" s="6">
        <v>364.0</v>
      </c>
      <c r="D3975" s="9" t="str">
        <f t="shared" ref="D3975:D3976" si="303">HYPERLINK("https://www.linkedin.com/ad-library/detail/863390143","Open Ad")</f>
        <v>Open Ad</v>
      </c>
      <c r="E3975" s="6" t="s">
        <v>91</v>
      </c>
      <c r="F3975" s="6" t="s">
        <v>8022</v>
      </c>
      <c r="G3975" s="6" t="s">
        <v>8217</v>
      </c>
      <c r="H3975" s="6" t="s">
        <v>55</v>
      </c>
      <c r="I3975" s="6" t="s">
        <v>8025</v>
      </c>
      <c r="J3975" s="6" t="s">
        <v>91</v>
      </c>
      <c r="K3975" s="12" t="str">
        <f t="shared" ref="K3975:K3976" si="304">HYPERLINK("https://media.licdn.com/dms/image/v2/D4D22AQGTC46205g9Fw/feedshare-shrink_1280/B4DZmaFeLZIcAs-/0/1759226750074?e=2147483647&amp;v=beta&amp;t=arg04J7Nw-3797nDl3FOnw0mzBD1D7h0p4_UruCEKtw","View Creative")</f>
        <v>View Creative</v>
      </c>
      <c r="L3975" s="6" t="s">
        <v>62</v>
      </c>
      <c r="M3975" s="6" t="s">
        <v>8042</v>
      </c>
      <c r="N3975" s="6" t="s">
        <v>8221</v>
      </c>
      <c r="O3975" s="36" t="s">
        <v>7541</v>
      </c>
      <c r="P3975" s="36" t="s">
        <v>7542</v>
      </c>
      <c r="Q3975" s="38"/>
    </row>
    <row r="3976">
      <c r="A3976" s="6" t="s">
        <v>8042</v>
      </c>
      <c r="B3976" s="6" t="s">
        <v>8043</v>
      </c>
      <c r="C3976" s="6">
        <v>365.0</v>
      </c>
      <c r="D3976" s="9" t="str">
        <f t="shared" si="303"/>
        <v>Open Ad</v>
      </c>
      <c r="E3976" s="6" t="s">
        <v>91</v>
      </c>
      <c r="F3976" s="6" t="s">
        <v>8022</v>
      </c>
      <c r="G3976" s="6" t="s">
        <v>8217</v>
      </c>
      <c r="H3976" s="6" t="s">
        <v>55</v>
      </c>
      <c r="I3976" s="6" t="s">
        <v>8025</v>
      </c>
      <c r="J3976" s="6" t="s">
        <v>91</v>
      </c>
      <c r="K3976" s="12" t="str">
        <f t="shared" si="304"/>
        <v>View Creative</v>
      </c>
      <c r="L3976" s="6" t="s">
        <v>62</v>
      </c>
      <c r="M3976" s="6" t="s">
        <v>8042</v>
      </c>
      <c r="N3976" s="6" t="s">
        <v>8221</v>
      </c>
      <c r="O3976" s="36" t="s">
        <v>7541</v>
      </c>
      <c r="P3976" s="36" t="s">
        <v>7542</v>
      </c>
      <c r="Q3976" s="38"/>
    </row>
    <row r="3977">
      <c r="A3977" s="6" t="s">
        <v>8042</v>
      </c>
      <c r="B3977" s="6" t="s">
        <v>8043</v>
      </c>
      <c r="C3977" s="6">
        <v>366.0</v>
      </c>
      <c r="D3977" s="9" t="str">
        <f>HYPERLINK("https://www.linkedin.com/ad-library/detail/834075533","Open Ad")</f>
        <v>Open Ad</v>
      </c>
      <c r="E3977" s="6" t="s">
        <v>52</v>
      </c>
      <c r="F3977" s="6" t="s">
        <v>8022</v>
      </c>
      <c r="G3977" s="6" t="s">
        <v>8238</v>
      </c>
      <c r="H3977" s="6" t="s">
        <v>55</v>
      </c>
      <c r="I3977" s="6" t="s">
        <v>8025</v>
      </c>
      <c r="J3977" s="6" t="s">
        <v>52</v>
      </c>
      <c r="K3977" s="6" t="s">
        <v>60</v>
      </c>
      <c r="L3977" s="6" t="s">
        <v>62</v>
      </c>
      <c r="M3977" s="6" t="s">
        <v>8042</v>
      </c>
      <c r="N3977" s="6" t="s">
        <v>8239</v>
      </c>
      <c r="O3977" s="36" t="s">
        <v>7541</v>
      </c>
      <c r="P3977" s="36" t="s">
        <v>7542</v>
      </c>
      <c r="Q3977" s="38"/>
    </row>
    <row r="3978">
      <c r="A3978" s="6" t="s">
        <v>8042</v>
      </c>
      <c r="B3978" s="6" t="s">
        <v>8043</v>
      </c>
      <c r="C3978" s="6">
        <v>367.0</v>
      </c>
      <c r="D3978" s="9" t="str">
        <f t="shared" ref="D3978:D3979" si="305">HYPERLINK("https://www.linkedin.com/ad-library/detail/813596313","Open Ad")</f>
        <v>Open Ad</v>
      </c>
      <c r="E3978" s="6" t="s">
        <v>91</v>
      </c>
      <c r="F3978" s="6" t="s">
        <v>8022</v>
      </c>
      <c r="G3978" s="6" t="s">
        <v>8240</v>
      </c>
      <c r="H3978" s="6" t="s">
        <v>55</v>
      </c>
      <c r="I3978" s="6" t="s">
        <v>8025</v>
      </c>
      <c r="J3978" s="6" t="s">
        <v>91</v>
      </c>
      <c r="K3978" s="12" t="str">
        <f t="shared" ref="K3978:K3979" si="306">HYPERLINK("https://media.licdn.com/dms/image/v2/D4D22AQFZnQ5EGUW9Bg/feedshare-shrink_1280/B4DZkEot5OIEAw-/0/1756719407895?e=2147483647&amp;v=beta&amp;t=PoQ1GShkNh05CZn-sJ_nskNmEbkJYeugLNcTmiSLII0","View Creative")</f>
        <v>View Creative</v>
      </c>
      <c r="L3978" s="6" t="s">
        <v>62</v>
      </c>
      <c r="M3978" s="6" t="s">
        <v>8042</v>
      </c>
      <c r="N3978" s="6"/>
      <c r="O3978" s="36" t="s">
        <v>7541</v>
      </c>
      <c r="P3978" s="36" t="s">
        <v>7542</v>
      </c>
      <c r="Q3978" s="38"/>
    </row>
    <row r="3979">
      <c r="A3979" s="6" t="s">
        <v>8042</v>
      </c>
      <c r="B3979" s="6" t="s">
        <v>8043</v>
      </c>
      <c r="C3979" s="6">
        <v>368.0</v>
      </c>
      <c r="D3979" s="9" t="str">
        <f t="shared" si="305"/>
        <v>Open Ad</v>
      </c>
      <c r="E3979" s="6" t="s">
        <v>91</v>
      </c>
      <c r="F3979" s="6" t="s">
        <v>8022</v>
      </c>
      <c r="G3979" s="6" t="s">
        <v>8240</v>
      </c>
      <c r="H3979" s="6" t="s">
        <v>55</v>
      </c>
      <c r="I3979" s="6" t="s">
        <v>8025</v>
      </c>
      <c r="J3979" s="6" t="s">
        <v>91</v>
      </c>
      <c r="K3979" s="12" t="str">
        <f t="shared" si="306"/>
        <v>View Creative</v>
      </c>
      <c r="L3979" s="6" t="s">
        <v>62</v>
      </c>
      <c r="M3979" s="6" t="s">
        <v>8042</v>
      </c>
      <c r="N3979" s="6"/>
      <c r="O3979" s="36" t="s">
        <v>7541</v>
      </c>
      <c r="P3979" s="36" t="s">
        <v>7542</v>
      </c>
      <c r="Q3979" s="38"/>
    </row>
    <row r="3980">
      <c r="A3980" s="6" t="s">
        <v>8042</v>
      </c>
      <c r="B3980" s="6" t="s">
        <v>8043</v>
      </c>
      <c r="C3980" s="6">
        <v>369.0</v>
      </c>
      <c r="D3980" s="9" t="str">
        <f>HYPERLINK("https://www.linkedin.com/ad-library/detail/836253483","Open Ad")</f>
        <v>Open Ad</v>
      </c>
      <c r="E3980" s="6" t="s">
        <v>52</v>
      </c>
      <c r="F3980" s="6" t="s">
        <v>8022</v>
      </c>
      <c r="G3980" s="6" t="s">
        <v>8238</v>
      </c>
      <c r="H3980" s="6" t="s">
        <v>55</v>
      </c>
      <c r="I3980" s="6" t="s">
        <v>8025</v>
      </c>
      <c r="J3980" s="6" t="s">
        <v>52</v>
      </c>
      <c r="K3980" s="6" t="s">
        <v>60</v>
      </c>
      <c r="L3980" s="6" t="s">
        <v>62</v>
      </c>
      <c r="M3980" s="6" t="s">
        <v>8042</v>
      </c>
      <c r="N3980" s="6"/>
      <c r="O3980" s="36" t="s">
        <v>7541</v>
      </c>
      <c r="P3980" s="36" t="s">
        <v>7542</v>
      </c>
      <c r="Q3980" s="38"/>
    </row>
    <row r="3981">
      <c r="A3981" s="6" t="s">
        <v>8042</v>
      </c>
      <c r="B3981" s="6" t="s">
        <v>8043</v>
      </c>
      <c r="C3981" s="6">
        <v>370.0</v>
      </c>
      <c r="D3981" s="9" t="str">
        <f>HYPERLINK("https://www.linkedin.com/ad-library/detail/836254453","Open Ad")</f>
        <v>Open Ad</v>
      </c>
      <c r="E3981" s="6" t="s">
        <v>52</v>
      </c>
      <c r="F3981" s="6" t="s">
        <v>8022</v>
      </c>
      <c r="G3981" s="6" t="s">
        <v>8241</v>
      </c>
      <c r="H3981" s="6" t="s">
        <v>55</v>
      </c>
      <c r="I3981" s="6" t="s">
        <v>8025</v>
      </c>
      <c r="J3981" s="6" t="s">
        <v>52</v>
      </c>
      <c r="K3981" s="6" t="s">
        <v>60</v>
      </c>
      <c r="L3981" s="6" t="s">
        <v>62</v>
      </c>
      <c r="M3981" s="6" t="s">
        <v>8042</v>
      </c>
      <c r="N3981" s="6"/>
      <c r="O3981" s="36" t="s">
        <v>7541</v>
      </c>
      <c r="P3981" s="36" t="s">
        <v>7542</v>
      </c>
      <c r="Q3981" s="38"/>
    </row>
    <row r="3982">
      <c r="A3982" s="6" t="s">
        <v>8042</v>
      </c>
      <c r="B3982" s="6" t="s">
        <v>8043</v>
      </c>
      <c r="C3982" s="6">
        <v>371.0</v>
      </c>
      <c r="D3982" s="9" t="str">
        <f>HYPERLINK("https://www.linkedin.com/ad-library/detail/854206463","Open Ad")</f>
        <v>Open Ad</v>
      </c>
      <c r="E3982" s="6" t="s">
        <v>52</v>
      </c>
      <c r="F3982" s="6" t="s">
        <v>8022</v>
      </c>
      <c r="G3982" s="6" t="s">
        <v>8242</v>
      </c>
      <c r="H3982" s="6" t="s">
        <v>55</v>
      </c>
      <c r="I3982" s="6" t="s">
        <v>8025</v>
      </c>
      <c r="J3982" s="6" t="s">
        <v>52</v>
      </c>
      <c r="K3982" s="6" t="s">
        <v>60</v>
      </c>
      <c r="L3982" s="6" t="s">
        <v>62</v>
      </c>
      <c r="M3982" s="6" t="s">
        <v>8042</v>
      </c>
      <c r="N3982" s="6" t="s">
        <v>8243</v>
      </c>
      <c r="O3982" s="36" t="s">
        <v>7541</v>
      </c>
      <c r="P3982" s="36" t="s">
        <v>7542</v>
      </c>
      <c r="Q3982" s="38"/>
    </row>
    <row r="3983">
      <c r="A3983" s="6" t="s">
        <v>8042</v>
      </c>
      <c r="B3983" s="6" t="s">
        <v>8043</v>
      </c>
      <c r="C3983" s="6">
        <v>372.0</v>
      </c>
      <c r="D3983" s="9" t="str">
        <f t="shared" ref="D3983:D3984" si="307">HYPERLINK("https://www.linkedin.com/ad-library/detail/848735553","Open Ad")</f>
        <v>Open Ad</v>
      </c>
      <c r="E3983" s="6" t="s">
        <v>91</v>
      </c>
      <c r="F3983" s="6" t="s">
        <v>8022</v>
      </c>
      <c r="G3983" s="6" t="s">
        <v>8244</v>
      </c>
      <c r="H3983" s="6" t="s">
        <v>769</v>
      </c>
      <c r="I3983" s="6" t="s">
        <v>8025</v>
      </c>
      <c r="J3983" s="6" t="s">
        <v>91</v>
      </c>
      <c r="K3983" s="12" t="str">
        <f t="shared" ref="K3983:K3984" si="308">HYPERLINK("https://media.licdn.com/dms/image/v2/D4D22AQGklBrcFlUWjw/feedshare-shrink_1280/B4DZk987KuIYAw-/0/1757681005899?e=2147483647&amp;v=beta&amp;t=wwyx_7lsHvXykm3UAxYpN2NrRYXdxGjwmiJn8topM_0","View Creative")</f>
        <v>View Creative</v>
      </c>
      <c r="L3983" s="6" t="s">
        <v>62</v>
      </c>
      <c r="M3983" s="6" t="s">
        <v>8042</v>
      </c>
      <c r="N3983" s="6"/>
      <c r="O3983" s="36" t="s">
        <v>7541</v>
      </c>
      <c r="P3983" s="36" t="s">
        <v>7542</v>
      </c>
      <c r="Q3983" s="38"/>
    </row>
    <row r="3984">
      <c r="A3984" s="6" t="s">
        <v>8042</v>
      </c>
      <c r="B3984" s="6" t="s">
        <v>8043</v>
      </c>
      <c r="C3984" s="6">
        <v>373.0</v>
      </c>
      <c r="D3984" s="9" t="str">
        <f t="shared" si="307"/>
        <v>Open Ad</v>
      </c>
      <c r="E3984" s="6" t="s">
        <v>91</v>
      </c>
      <c r="F3984" s="6" t="s">
        <v>8022</v>
      </c>
      <c r="G3984" s="6" t="s">
        <v>8244</v>
      </c>
      <c r="H3984" s="6" t="s">
        <v>769</v>
      </c>
      <c r="I3984" s="6" t="s">
        <v>8025</v>
      </c>
      <c r="J3984" s="6" t="s">
        <v>91</v>
      </c>
      <c r="K3984" s="12" t="str">
        <f t="shared" si="308"/>
        <v>View Creative</v>
      </c>
      <c r="L3984" s="6" t="s">
        <v>62</v>
      </c>
      <c r="M3984" s="6" t="s">
        <v>8042</v>
      </c>
      <c r="N3984" s="6"/>
      <c r="O3984" s="36" t="s">
        <v>7541</v>
      </c>
      <c r="P3984" s="36" t="s">
        <v>7542</v>
      </c>
      <c r="Q3984" s="38"/>
    </row>
    <row r="3985">
      <c r="A3985" s="6" t="s">
        <v>8042</v>
      </c>
      <c r="B3985" s="6" t="s">
        <v>8043</v>
      </c>
      <c r="C3985" s="6">
        <v>374.0</v>
      </c>
      <c r="D3985" s="9" t="str">
        <f t="shared" ref="D3985:D3986" si="309">HYPERLINK("https://www.linkedin.com/ad-library/detail/834055773","Open Ad")</f>
        <v>Open Ad</v>
      </c>
      <c r="E3985" s="6" t="s">
        <v>91</v>
      </c>
      <c r="F3985" s="6" t="s">
        <v>8022</v>
      </c>
      <c r="G3985" s="6" t="s">
        <v>8245</v>
      </c>
      <c r="H3985" s="6" t="s">
        <v>8246</v>
      </c>
      <c r="I3985" s="6" t="s">
        <v>8025</v>
      </c>
      <c r="J3985" s="6" t="s">
        <v>91</v>
      </c>
      <c r="K3985" s="12" t="str">
        <f t="shared" ref="K3985:K3988" si="310">HYPERLINK("https://media.licdn.com/dms/image/v2/D4E22AQFOUH_VQEMYzA/feedshare-shrink_1280/B4EZkEooY4GwAs-/0/1756719385104?e=2147483647&amp;v=beta&amp;t=39XfaDdt1-NAHPDM5HGNhrwQ7KUaPvcN9JuhvfY5f2E","View Creative")</f>
        <v>View Creative</v>
      </c>
      <c r="L3985" s="6" t="s">
        <v>62</v>
      </c>
      <c r="M3985" s="6" t="s">
        <v>8042</v>
      </c>
      <c r="N3985" s="6"/>
      <c r="O3985" s="36" t="s">
        <v>7541</v>
      </c>
      <c r="P3985" s="36" t="s">
        <v>7542</v>
      </c>
      <c r="Q3985" s="38"/>
    </row>
    <row r="3986">
      <c r="A3986" s="6" t="s">
        <v>8042</v>
      </c>
      <c r="B3986" s="6" t="s">
        <v>8043</v>
      </c>
      <c r="C3986" s="6">
        <v>375.0</v>
      </c>
      <c r="D3986" s="9" t="str">
        <f t="shared" si="309"/>
        <v>Open Ad</v>
      </c>
      <c r="E3986" s="6" t="s">
        <v>91</v>
      </c>
      <c r="F3986" s="6" t="s">
        <v>8022</v>
      </c>
      <c r="G3986" s="6" t="s">
        <v>8245</v>
      </c>
      <c r="H3986" s="6" t="s">
        <v>8246</v>
      </c>
      <c r="I3986" s="6" t="s">
        <v>8025</v>
      </c>
      <c r="J3986" s="6" t="s">
        <v>91</v>
      </c>
      <c r="K3986" s="12" t="str">
        <f t="shared" si="310"/>
        <v>View Creative</v>
      </c>
      <c r="L3986" s="6" t="s">
        <v>62</v>
      </c>
      <c r="M3986" s="6" t="s">
        <v>8042</v>
      </c>
      <c r="N3986" s="6"/>
      <c r="O3986" s="36" t="s">
        <v>7541</v>
      </c>
      <c r="P3986" s="36" t="s">
        <v>7542</v>
      </c>
      <c r="Q3986" s="38"/>
    </row>
    <row r="3987">
      <c r="A3987" s="6" t="s">
        <v>8042</v>
      </c>
      <c r="B3987" s="6" t="s">
        <v>8043</v>
      </c>
      <c r="C3987" s="6">
        <v>376.0</v>
      </c>
      <c r="D3987" s="9" t="str">
        <f t="shared" ref="D3987:D3988" si="311">HYPERLINK("https://www.linkedin.com/ad-library/detail/848704463","Open Ad")</f>
        <v>Open Ad</v>
      </c>
      <c r="E3987" s="6" t="s">
        <v>91</v>
      </c>
      <c r="F3987" s="6" t="s">
        <v>8022</v>
      </c>
      <c r="G3987" s="6" t="s">
        <v>8245</v>
      </c>
      <c r="H3987" s="6" t="s">
        <v>8246</v>
      </c>
      <c r="I3987" s="6" t="s">
        <v>8025</v>
      </c>
      <c r="J3987" s="6" t="s">
        <v>91</v>
      </c>
      <c r="K3987" s="12" t="str">
        <f t="shared" si="310"/>
        <v>View Creative</v>
      </c>
      <c r="L3987" s="6" t="s">
        <v>62</v>
      </c>
      <c r="M3987" s="6" t="s">
        <v>8042</v>
      </c>
      <c r="N3987" s="6" t="s">
        <v>8247</v>
      </c>
      <c r="O3987" s="36" t="s">
        <v>7541</v>
      </c>
      <c r="P3987" s="36" t="s">
        <v>7542</v>
      </c>
      <c r="Q3987" s="38"/>
    </row>
    <row r="3988">
      <c r="A3988" s="6" t="s">
        <v>8042</v>
      </c>
      <c r="B3988" s="6" t="s">
        <v>8043</v>
      </c>
      <c r="C3988" s="6">
        <v>377.0</v>
      </c>
      <c r="D3988" s="9" t="str">
        <f t="shared" si="311"/>
        <v>Open Ad</v>
      </c>
      <c r="E3988" s="6" t="s">
        <v>91</v>
      </c>
      <c r="F3988" s="6" t="s">
        <v>8022</v>
      </c>
      <c r="G3988" s="6" t="s">
        <v>8245</v>
      </c>
      <c r="H3988" s="6" t="s">
        <v>8246</v>
      </c>
      <c r="I3988" s="6" t="s">
        <v>8025</v>
      </c>
      <c r="J3988" s="6" t="s">
        <v>91</v>
      </c>
      <c r="K3988" s="12" t="str">
        <f t="shared" si="310"/>
        <v>View Creative</v>
      </c>
      <c r="L3988" s="6" t="s">
        <v>62</v>
      </c>
      <c r="M3988" s="6" t="s">
        <v>8042</v>
      </c>
      <c r="N3988" s="6" t="s">
        <v>8247</v>
      </c>
      <c r="O3988" s="36" t="s">
        <v>7541</v>
      </c>
      <c r="P3988" s="36" t="s">
        <v>7542</v>
      </c>
      <c r="Q3988" s="38"/>
    </row>
    <row r="3989">
      <c r="A3989" s="6" t="s">
        <v>8042</v>
      </c>
      <c r="B3989" s="6" t="s">
        <v>8043</v>
      </c>
      <c r="C3989" s="6">
        <v>378.0</v>
      </c>
      <c r="D3989" s="9" t="str">
        <f t="shared" ref="D3989:D3990" si="312">HYPERLINK("https://www.linkedin.com/ad-library/detail/820359823","Open Ad")</f>
        <v>Open Ad</v>
      </c>
      <c r="E3989" s="6" t="s">
        <v>91</v>
      </c>
      <c r="F3989" s="6" t="s">
        <v>8022</v>
      </c>
      <c r="G3989" s="6" t="s">
        <v>8240</v>
      </c>
      <c r="H3989" s="6" t="s">
        <v>55</v>
      </c>
      <c r="I3989" s="6" t="s">
        <v>8025</v>
      </c>
      <c r="J3989" s="6" t="s">
        <v>91</v>
      </c>
      <c r="K3989" s="12" t="str">
        <f t="shared" ref="K3989:K3990" si="313">HYPERLINK("https://media.licdn.com/dms/image/v2/D4D22AQFZnQ5EGUW9Bg/feedshare-shrink_1280/B4DZkEot5OIEAw-/0/1756719407895?e=2147483647&amp;v=beta&amp;t=PoQ1GShkNh05CZn-sJ_nskNmEbkJYeugLNcTmiSLII0","View Creative")</f>
        <v>View Creative</v>
      </c>
      <c r="L3989" s="6" t="s">
        <v>62</v>
      </c>
      <c r="M3989" s="6" t="s">
        <v>8042</v>
      </c>
      <c r="N3989" s="6" t="s">
        <v>8248</v>
      </c>
      <c r="O3989" s="36" t="s">
        <v>7541</v>
      </c>
      <c r="P3989" s="36" t="s">
        <v>7542</v>
      </c>
      <c r="Q3989" s="38"/>
    </row>
    <row r="3990">
      <c r="A3990" s="6" t="s">
        <v>8042</v>
      </c>
      <c r="B3990" s="6" t="s">
        <v>8043</v>
      </c>
      <c r="C3990" s="6">
        <v>379.0</v>
      </c>
      <c r="D3990" s="9" t="str">
        <f t="shared" si="312"/>
        <v>Open Ad</v>
      </c>
      <c r="E3990" s="6" t="s">
        <v>91</v>
      </c>
      <c r="F3990" s="6" t="s">
        <v>8022</v>
      </c>
      <c r="G3990" s="6" t="s">
        <v>8240</v>
      </c>
      <c r="H3990" s="6" t="s">
        <v>55</v>
      </c>
      <c r="I3990" s="6" t="s">
        <v>8025</v>
      </c>
      <c r="J3990" s="6" t="s">
        <v>91</v>
      </c>
      <c r="K3990" s="12" t="str">
        <f t="shared" si="313"/>
        <v>View Creative</v>
      </c>
      <c r="L3990" s="6" t="s">
        <v>62</v>
      </c>
      <c r="M3990" s="6" t="s">
        <v>8042</v>
      </c>
      <c r="N3990" s="6" t="s">
        <v>8248</v>
      </c>
      <c r="O3990" s="36" t="s">
        <v>7541</v>
      </c>
      <c r="P3990" s="36" t="s">
        <v>7542</v>
      </c>
      <c r="Q3990" s="38"/>
    </row>
    <row r="3991">
      <c r="A3991" s="6" t="s">
        <v>8042</v>
      </c>
      <c r="B3991" s="6" t="s">
        <v>8043</v>
      </c>
      <c r="C3991" s="6">
        <v>380.0</v>
      </c>
      <c r="D3991" s="9" t="str">
        <f t="shared" ref="D3991:D3992" si="314">HYPERLINK("https://www.linkedin.com/ad-library/detail/820359833","Open Ad")</f>
        <v>Open Ad</v>
      </c>
      <c r="E3991" s="6" t="s">
        <v>91</v>
      </c>
      <c r="F3991" s="6" t="s">
        <v>8022</v>
      </c>
      <c r="G3991" s="6" t="s">
        <v>8249</v>
      </c>
      <c r="H3991" s="6" t="s">
        <v>55</v>
      </c>
      <c r="I3991" s="6" t="s">
        <v>8025</v>
      </c>
      <c r="J3991" s="6" t="s">
        <v>91</v>
      </c>
      <c r="K3991" s="12" t="str">
        <f t="shared" ref="K3991:K3992" si="315">HYPERLINK("https://media.licdn.com/dms/image/v2/D4D22AQFSStIZYa_5-g/feedshare-shrink_1280/B4DZkFOTHhHYA4-/0/1756729259383?e=2147483647&amp;v=beta&amp;t=nP11zE2rYG_Hfl-wu8DAbV5Uqs4BIe0d0lkTy82IgAk","View Creative")</f>
        <v>View Creative</v>
      </c>
      <c r="L3991" s="6" t="s">
        <v>62</v>
      </c>
      <c r="M3991" s="6" t="s">
        <v>8042</v>
      </c>
      <c r="N3991" s="6" t="s">
        <v>8248</v>
      </c>
      <c r="O3991" s="36" t="s">
        <v>7541</v>
      </c>
      <c r="P3991" s="36" t="s">
        <v>7542</v>
      </c>
      <c r="Q3991" s="38"/>
    </row>
    <row r="3992">
      <c r="A3992" s="6" t="s">
        <v>8042</v>
      </c>
      <c r="B3992" s="6" t="s">
        <v>8043</v>
      </c>
      <c r="C3992" s="6">
        <v>381.0</v>
      </c>
      <c r="D3992" s="9" t="str">
        <f t="shared" si="314"/>
        <v>Open Ad</v>
      </c>
      <c r="E3992" s="6" t="s">
        <v>91</v>
      </c>
      <c r="F3992" s="6" t="s">
        <v>8022</v>
      </c>
      <c r="G3992" s="6" t="s">
        <v>8249</v>
      </c>
      <c r="H3992" s="6" t="s">
        <v>55</v>
      </c>
      <c r="I3992" s="6" t="s">
        <v>8025</v>
      </c>
      <c r="J3992" s="6" t="s">
        <v>91</v>
      </c>
      <c r="K3992" s="12" t="str">
        <f t="shared" si="315"/>
        <v>View Creative</v>
      </c>
      <c r="L3992" s="6" t="s">
        <v>62</v>
      </c>
      <c r="M3992" s="6" t="s">
        <v>8042</v>
      </c>
      <c r="N3992" s="6" t="s">
        <v>8248</v>
      </c>
      <c r="O3992" s="36" t="s">
        <v>7541</v>
      </c>
      <c r="P3992" s="36" t="s">
        <v>7542</v>
      </c>
      <c r="Q3992" s="38"/>
    </row>
    <row r="3993">
      <c r="A3993" s="6" t="s">
        <v>8042</v>
      </c>
      <c r="B3993" s="6" t="s">
        <v>8043</v>
      </c>
      <c r="C3993" s="6">
        <v>382.0</v>
      </c>
      <c r="D3993" s="9" t="str">
        <f t="shared" ref="D3993:D3994" si="316">HYPERLINK("https://www.linkedin.com/ad-library/detail/813666223","Open Ad")</f>
        <v>Open Ad</v>
      </c>
      <c r="E3993" s="6" t="s">
        <v>91</v>
      </c>
      <c r="F3993" s="6" t="s">
        <v>8022</v>
      </c>
      <c r="G3993" s="6" t="s">
        <v>8250</v>
      </c>
      <c r="H3993" s="6" t="s">
        <v>55</v>
      </c>
      <c r="I3993" s="6" t="s">
        <v>8025</v>
      </c>
      <c r="J3993" s="6" t="s">
        <v>91</v>
      </c>
      <c r="K3993" s="12" t="str">
        <f t="shared" ref="K3993:K3994" si="317">HYPERLINK("https://media.licdn.com/dms/image/v2/D4D22AQHtB0915GN-xA/feedshare-shrink_1280/B4DZkE3f07HsAs-/0/1756723281899?e=2147483647&amp;v=beta&amp;t=UN_2oo85eqCkfa1YpN6JuYs2z4rNOZwNiXoN3018gg4","View Creative")</f>
        <v>View Creative</v>
      </c>
      <c r="L3993" s="6" t="s">
        <v>62</v>
      </c>
      <c r="M3993" s="6" t="s">
        <v>8042</v>
      </c>
      <c r="N3993" s="6"/>
      <c r="O3993" s="36" t="s">
        <v>7541</v>
      </c>
      <c r="P3993" s="36" t="s">
        <v>7542</v>
      </c>
      <c r="Q3993" s="38"/>
    </row>
    <row r="3994">
      <c r="A3994" s="6" t="s">
        <v>8042</v>
      </c>
      <c r="B3994" s="6" t="s">
        <v>8043</v>
      </c>
      <c r="C3994" s="6">
        <v>383.0</v>
      </c>
      <c r="D3994" s="9" t="str">
        <f t="shared" si="316"/>
        <v>Open Ad</v>
      </c>
      <c r="E3994" s="6" t="s">
        <v>91</v>
      </c>
      <c r="F3994" s="6" t="s">
        <v>8022</v>
      </c>
      <c r="G3994" s="6" t="s">
        <v>8250</v>
      </c>
      <c r="H3994" s="6" t="s">
        <v>55</v>
      </c>
      <c r="I3994" s="6" t="s">
        <v>8025</v>
      </c>
      <c r="J3994" s="6" t="s">
        <v>91</v>
      </c>
      <c r="K3994" s="12" t="str">
        <f t="shared" si="317"/>
        <v>View Creative</v>
      </c>
      <c r="L3994" s="6" t="s">
        <v>62</v>
      </c>
      <c r="M3994" s="6" t="s">
        <v>8042</v>
      </c>
      <c r="N3994" s="6"/>
      <c r="O3994" s="36" t="s">
        <v>7541</v>
      </c>
      <c r="P3994" s="36" t="s">
        <v>7542</v>
      </c>
      <c r="Q3994" s="38"/>
    </row>
    <row r="3995">
      <c r="A3995" s="6" t="s">
        <v>8042</v>
      </c>
      <c r="B3995" s="6" t="s">
        <v>8043</v>
      </c>
      <c r="C3995" s="6">
        <v>384.0</v>
      </c>
      <c r="D3995" s="9" t="str">
        <f t="shared" ref="D3995:D3996" si="318">HYPERLINK("https://www.linkedin.com/ad-library/detail/848835713","Open Ad")</f>
        <v>Open Ad</v>
      </c>
      <c r="E3995" s="6" t="s">
        <v>91</v>
      </c>
      <c r="F3995" s="6" t="s">
        <v>8022</v>
      </c>
      <c r="G3995" s="6" t="s">
        <v>8244</v>
      </c>
      <c r="H3995" s="6" t="s">
        <v>769</v>
      </c>
      <c r="I3995" s="6" t="s">
        <v>8025</v>
      </c>
      <c r="J3995" s="6" t="s">
        <v>91</v>
      </c>
      <c r="K3995" s="12" t="str">
        <f t="shared" ref="K3995:K3996" si="319">HYPERLINK("https://media.licdn.com/dms/image/v2/D4D22AQGklBrcFlUWjw/feedshare-shrink_1280/B4DZk987KuIYAw-/0/1757681005899?e=2147483647&amp;v=beta&amp;t=wwyx_7lsHvXykm3UAxYpN2NrRYXdxGjwmiJn8topM_0","View Creative")</f>
        <v>View Creative</v>
      </c>
      <c r="L3995" s="6" t="s">
        <v>62</v>
      </c>
      <c r="M3995" s="6" t="s">
        <v>8042</v>
      </c>
      <c r="N3995" s="6"/>
      <c r="O3995" s="36" t="s">
        <v>7541</v>
      </c>
      <c r="P3995" s="36" t="s">
        <v>7542</v>
      </c>
      <c r="Q3995" s="38"/>
    </row>
    <row r="3996">
      <c r="A3996" s="6" t="s">
        <v>8042</v>
      </c>
      <c r="B3996" s="6" t="s">
        <v>8043</v>
      </c>
      <c r="C3996" s="6">
        <v>385.0</v>
      </c>
      <c r="D3996" s="9" t="str">
        <f t="shared" si="318"/>
        <v>Open Ad</v>
      </c>
      <c r="E3996" s="6" t="s">
        <v>91</v>
      </c>
      <c r="F3996" s="6" t="s">
        <v>8022</v>
      </c>
      <c r="G3996" s="6" t="s">
        <v>8244</v>
      </c>
      <c r="H3996" s="6" t="s">
        <v>769</v>
      </c>
      <c r="I3996" s="6" t="s">
        <v>8025</v>
      </c>
      <c r="J3996" s="6" t="s">
        <v>91</v>
      </c>
      <c r="K3996" s="12" t="str">
        <f t="shared" si="319"/>
        <v>View Creative</v>
      </c>
      <c r="L3996" s="6" t="s">
        <v>62</v>
      </c>
      <c r="M3996" s="6" t="s">
        <v>8042</v>
      </c>
      <c r="N3996" s="6"/>
      <c r="O3996" s="36" t="s">
        <v>7541</v>
      </c>
      <c r="P3996" s="36" t="s">
        <v>7542</v>
      </c>
      <c r="Q3996" s="38"/>
    </row>
    <row r="3997">
      <c r="A3997" s="6" t="s">
        <v>8042</v>
      </c>
      <c r="B3997" s="6" t="s">
        <v>8043</v>
      </c>
      <c r="C3997" s="6">
        <v>386.0</v>
      </c>
      <c r="D3997" s="9" t="str">
        <f>HYPERLINK("https://www.linkedin.com/ad-library/detail/836244733","Open Ad")</f>
        <v>Open Ad</v>
      </c>
      <c r="E3997" s="6" t="s">
        <v>52</v>
      </c>
      <c r="F3997" s="6" t="s">
        <v>8022</v>
      </c>
      <c r="G3997" s="6" t="s">
        <v>8241</v>
      </c>
      <c r="H3997" s="6" t="s">
        <v>55</v>
      </c>
      <c r="I3997" s="6" t="s">
        <v>8025</v>
      </c>
      <c r="J3997" s="6" t="s">
        <v>52</v>
      </c>
      <c r="K3997" s="6" t="s">
        <v>60</v>
      </c>
      <c r="L3997" s="6" t="s">
        <v>62</v>
      </c>
      <c r="M3997" s="6" t="s">
        <v>8042</v>
      </c>
      <c r="N3997" s="6" t="s">
        <v>8239</v>
      </c>
      <c r="O3997" s="36" t="s">
        <v>7541</v>
      </c>
      <c r="P3997" s="36" t="s">
        <v>7542</v>
      </c>
      <c r="Q3997" s="38"/>
    </row>
    <row r="3998">
      <c r="A3998" s="6" t="s">
        <v>8042</v>
      </c>
      <c r="B3998" s="6" t="s">
        <v>8043</v>
      </c>
      <c r="C3998" s="6">
        <v>387.0</v>
      </c>
      <c r="D3998" s="9" t="str">
        <f t="shared" ref="D3998:D3999" si="320">HYPERLINK("https://www.linkedin.com/ad-library/detail/813626603","Open Ad")</f>
        <v>Open Ad</v>
      </c>
      <c r="E3998" s="6" t="s">
        <v>91</v>
      </c>
      <c r="F3998" s="6" t="s">
        <v>8022</v>
      </c>
      <c r="G3998" s="6" t="s">
        <v>8249</v>
      </c>
      <c r="H3998" s="6" t="s">
        <v>55</v>
      </c>
      <c r="I3998" s="6" t="s">
        <v>8025</v>
      </c>
      <c r="J3998" s="6" t="s">
        <v>91</v>
      </c>
      <c r="K3998" s="12" t="str">
        <f t="shared" ref="K3998:K3999" si="321">HYPERLINK("https://media.licdn.com/dms/image/v2/D4D22AQFSStIZYa_5-g/feedshare-shrink_1280/B4DZkFOTHhHYA4-/0/1756729259383?e=2147483647&amp;v=beta&amp;t=nP11zE2rYG_Hfl-wu8DAbV5Uqs4BIe0d0lkTy82IgAk","View Creative")</f>
        <v>View Creative</v>
      </c>
      <c r="L3998" s="6" t="s">
        <v>62</v>
      </c>
      <c r="M3998" s="6" t="s">
        <v>8042</v>
      </c>
      <c r="N3998" s="6" t="s">
        <v>8251</v>
      </c>
      <c r="O3998" s="36" t="s">
        <v>7541</v>
      </c>
      <c r="P3998" s="36" t="s">
        <v>7542</v>
      </c>
      <c r="Q3998" s="38"/>
    </row>
    <row r="3999">
      <c r="A3999" s="6" t="s">
        <v>8042</v>
      </c>
      <c r="B3999" s="6" t="s">
        <v>8043</v>
      </c>
      <c r="C3999" s="6">
        <v>388.0</v>
      </c>
      <c r="D3999" s="9" t="str">
        <f t="shared" si="320"/>
        <v>Open Ad</v>
      </c>
      <c r="E3999" s="6" t="s">
        <v>91</v>
      </c>
      <c r="F3999" s="6" t="s">
        <v>8022</v>
      </c>
      <c r="G3999" s="6" t="s">
        <v>8249</v>
      </c>
      <c r="H3999" s="6" t="s">
        <v>55</v>
      </c>
      <c r="I3999" s="6" t="s">
        <v>8025</v>
      </c>
      <c r="J3999" s="6" t="s">
        <v>91</v>
      </c>
      <c r="K3999" s="12" t="str">
        <f t="shared" si="321"/>
        <v>View Creative</v>
      </c>
      <c r="L3999" s="6" t="s">
        <v>62</v>
      </c>
      <c r="M3999" s="6" t="s">
        <v>8042</v>
      </c>
      <c r="N3999" s="6" t="s">
        <v>8251</v>
      </c>
      <c r="O3999" s="36" t="s">
        <v>7541</v>
      </c>
      <c r="P3999" s="36" t="s">
        <v>7542</v>
      </c>
      <c r="Q3999" s="38"/>
    </row>
    <row r="4000">
      <c r="A4000" s="6" t="s">
        <v>8042</v>
      </c>
      <c r="B4000" s="6" t="s">
        <v>8043</v>
      </c>
      <c r="C4000" s="6">
        <v>389.0</v>
      </c>
      <c r="D4000" s="9" t="str">
        <f>HYPERLINK("https://www.linkedin.com/ad-library/detail/836224563","Open Ad")</f>
        <v>Open Ad</v>
      </c>
      <c r="E4000" s="6" t="s">
        <v>52</v>
      </c>
      <c r="F4000" s="6" t="s">
        <v>8022</v>
      </c>
      <c r="G4000" s="6" t="s">
        <v>8238</v>
      </c>
      <c r="H4000" s="6" t="s">
        <v>55</v>
      </c>
      <c r="I4000" s="6" t="s">
        <v>8025</v>
      </c>
      <c r="J4000" s="6" t="s">
        <v>52</v>
      </c>
      <c r="K4000" s="6" t="s">
        <v>60</v>
      </c>
      <c r="L4000" s="6" t="s">
        <v>62</v>
      </c>
      <c r="M4000" s="6" t="s">
        <v>8042</v>
      </c>
      <c r="N4000" s="6"/>
      <c r="O4000" s="36" t="s">
        <v>7541</v>
      </c>
      <c r="P4000" s="36" t="s">
        <v>7542</v>
      </c>
      <c r="Q4000" s="38"/>
    </row>
    <row r="4001">
      <c r="A4001" s="6" t="s">
        <v>8042</v>
      </c>
      <c r="B4001" s="6" t="s">
        <v>8043</v>
      </c>
      <c r="C4001" s="6">
        <v>390.0</v>
      </c>
      <c r="D4001" s="9" t="str">
        <f>HYPERLINK("https://www.linkedin.com/ad-library/detail/834136143","Open Ad")</f>
        <v>Open Ad</v>
      </c>
      <c r="E4001" s="6" t="s">
        <v>52</v>
      </c>
      <c r="F4001" s="6" t="s">
        <v>8022</v>
      </c>
      <c r="G4001" s="6" t="s">
        <v>8241</v>
      </c>
      <c r="H4001" s="6" t="s">
        <v>55</v>
      </c>
      <c r="I4001" s="6" t="s">
        <v>8025</v>
      </c>
      <c r="J4001" s="6" t="s">
        <v>52</v>
      </c>
      <c r="K4001" s="6" t="s">
        <v>60</v>
      </c>
      <c r="L4001" s="6" t="s">
        <v>62</v>
      </c>
      <c r="M4001" s="6" t="s">
        <v>8042</v>
      </c>
      <c r="N4001" s="6" t="s">
        <v>8252</v>
      </c>
      <c r="O4001" s="36" t="s">
        <v>7541</v>
      </c>
      <c r="P4001" s="36" t="s">
        <v>7542</v>
      </c>
      <c r="Q4001" s="38"/>
    </row>
    <row r="4002">
      <c r="A4002" s="6" t="s">
        <v>8042</v>
      </c>
      <c r="B4002" s="6" t="s">
        <v>8043</v>
      </c>
      <c r="C4002" s="6">
        <v>391.0</v>
      </c>
      <c r="D4002" s="9" t="str">
        <f t="shared" ref="D4002:D4003" si="322">HYPERLINK("https://www.linkedin.com/ad-library/detail/820290863","Open Ad")</f>
        <v>Open Ad</v>
      </c>
      <c r="E4002" s="6" t="s">
        <v>91</v>
      </c>
      <c r="F4002" s="6" t="s">
        <v>8022</v>
      </c>
      <c r="G4002" s="6" t="s">
        <v>8249</v>
      </c>
      <c r="H4002" s="6" t="s">
        <v>55</v>
      </c>
      <c r="I4002" s="6" t="s">
        <v>8025</v>
      </c>
      <c r="J4002" s="6" t="s">
        <v>91</v>
      </c>
      <c r="K4002" s="12" t="str">
        <f t="shared" ref="K4002:K4003" si="323">HYPERLINK("https://media.licdn.com/dms/image/v2/D4D22AQFSStIZYa_5-g/feedshare-shrink_1280/B4DZkFOTHhHYA4-/0/1756729259383?e=2147483647&amp;v=beta&amp;t=nP11zE2rYG_Hfl-wu8DAbV5Uqs4BIe0d0lkTy82IgAk","View Creative")</f>
        <v>View Creative</v>
      </c>
      <c r="L4002" s="6" t="s">
        <v>62</v>
      </c>
      <c r="M4002" s="6" t="s">
        <v>8042</v>
      </c>
      <c r="N4002" s="6"/>
      <c r="O4002" s="36" t="s">
        <v>7541</v>
      </c>
      <c r="P4002" s="36" t="s">
        <v>7542</v>
      </c>
      <c r="Q4002" s="38"/>
    </row>
    <row r="4003">
      <c r="A4003" s="6" t="s">
        <v>8042</v>
      </c>
      <c r="B4003" s="6" t="s">
        <v>8043</v>
      </c>
      <c r="C4003" s="6">
        <v>392.0</v>
      </c>
      <c r="D4003" s="9" t="str">
        <f t="shared" si="322"/>
        <v>Open Ad</v>
      </c>
      <c r="E4003" s="6" t="s">
        <v>91</v>
      </c>
      <c r="F4003" s="6" t="s">
        <v>8022</v>
      </c>
      <c r="G4003" s="6" t="s">
        <v>8249</v>
      </c>
      <c r="H4003" s="6" t="s">
        <v>55</v>
      </c>
      <c r="I4003" s="6" t="s">
        <v>8025</v>
      </c>
      <c r="J4003" s="6" t="s">
        <v>91</v>
      </c>
      <c r="K4003" s="12" t="str">
        <f t="shared" si="323"/>
        <v>View Creative</v>
      </c>
      <c r="L4003" s="6" t="s">
        <v>62</v>
      </c>
      <c r="M4003" s="6" t="s">
        <v>8042</v>
      </c>
      <c r="N4003" s="6"/>
      <c r="O4003" s="36" t="s">
        <v>7541</v>
      </c>
      <c r="P4003" s="36" t="s">
        <v>7542</v>
      </c>
      <c r="Q4003" s="38"/>
    </row>
    <row r="4004">
      <c r="A4004" s="6" t="s">
        <v>8042</v>
      </c>
      <c r="B4004" s="6" t="s">
        <v>8043</v>
      </c>
      <c r="C4004" s="6">
        <v>393.0</v>
      </c>
      <c r="D4004" s="9" t="str">
        <f>HYPERLINK("https://www.linkedin.com/ad-library/detail/852166783","Open Ad")</f>
        <v>Open Ad</v>
      </c>
      <c r="E4004" s="6" t="s">
        <v>52</v>
      </c>
      <c r="F4004" s="6" t="s">
        <v>8022</v>
      </c>
      <c r="G4004" s="6" t="s">
        <v>8242</v>
      </c>
      <c r="H4004" s="6" t="s">
        <v>55</v>
      </c>
      <c r="I4004" s="6" t="s">
        <v>8025</v>
      </c>
      <c r="J4004" s="6" t="s">
        <v>52</v>
      </c>
      <c r="K4004" s="6" t="s">
        <v>60</v>
      </c>
      <c r="L4004" s="6" t="s">
        <v>62</v>
      </c>
      <c r="M4004" s="6" t="s">
        <v>8042</v>
      </c>
      <c r="N4004" s="6"/>
      <c r="O4004" s="36" t="s">
        <v>7541</v>
      </c>
      <c r="P4004" s="36" t="s">
        <v>7542</v>
      </c>
      <c r="Q4004" s="38"/>
    </row>
    <row r="4005">
      <c r="A4005" s="6" t="s">
        <v>8042</v>
      </c>
      <c r="B4005" s="6" t="s">
        <v>8043</v>
      </c>
      <c r="C4005" s="6">
        <v>394.0</v>
      </c>
      <c r="D4005" s="9" t="str">
        <f>HYPERLINK("https://www.linkedin.com/ad-library/detail/834105523","Open Ad")</f>
        <v>Open Ad</v>
      </c>
      <c r="E4005" s="6" t="s">
        <v>52</v>
      </c>
      <c r="F4005" s="6" t="s">
        <v>8022</v>
      </c>
      <c r="G4005" s="6" t="s">
        <v>8238</v>
      </c>
      <c r="H4005" s="6" t="s">
        <v>55</v>
      </c>
      <c r="I4005" s="6" t="s">
        <v>8025</v>
      </c>
      <c r="J4005" s="6" t="s">
        <v>52</v>
      </c>
      <c r="K4005" s="6" t="s">
        <v>60</v>
      </c>
      <c r="L4005" s="6" t="s">
        <v>62</v>
      </c>
      <c r="M4005" s="6" t="s">
        <v>8042</v>
      </c>
      <c r="N4005" s="6" t="s">
        <v>8253</v>
      </c>
      <c r="O4005" s="36" t="s">
        <v>7541</v>
      </c>
      <c r="P4005" s="36" t="s">
        <v>7542</v>
      </c>
      <c r="Q4005" s="38"/>
    </row>
    <row r="4006">
      <c r="A4006" s="6" t="s">
        <v>8042</v>
      </c>
      <c r="B4006" s="6" t="s">
        <v>8043</v>
      </c>
      <c r="C4006" s="6">
        <v>395.0</v>
      </c>
      <c r="D4006" s="9" t="str">
        <f t="shared" ref="D4006:D4007" si="324">HYPERLINK("https://www.linkedin.com/ad-library/detail/813695893","Open Ad")</f>
        <v>Open Ad</v>
      </c>
      <c r="E4006" s="6" t="s">
        <v>91</v>
      </c>
      <c r="F4006" s="6" t="s">
        <v>8022</v>
      </c>
      <c r="G4006" s="6" t="s">
        <v>8245</v>
      </c>
      <c r="H4006" s="6" t="s">
        <v>8246</v>
      </c>
      <c r="I4006" s="6" t="s">
        <v>8025</v>
      </c>
      <c r="J4006" s="6" t="s">
        <v>91</v>
      </c>
      <c r="K4006" s="12" t="str">
        <f t="shared" ref="K4006:K4007" si="325">HYPERLINK("https://media.licdn.com/dms/image/v2/D4E22AQFOUH_VQEMYzA/feedshare-shrink_1280/B4EZkEooY4GwAs-/0/1756719385104?e=2147483647&amp;v=beta&amp;t=39XfaDdt1-NAHPDM5HGNhrwQ7KUaPvcN9JuhvfY5f2E","View Creative")</f>
        <v>View Creative</v>
      </c>
      <c r="L4006" s="6" t="s">
        <v>62</v>
      </c>
      <c r="M4006" s="6" t="s">
        <v>8042</v>
      </c>
      <c r="N4006" s="6"/>
      <c r="O4006" s="36" t="s">
        <v>7541</v>
      </c>
      <c r="P4006" s="36" t="s">
        <v>7542</v>
      </c>
      <c r="Q4006" s="38"/>
    </row>
    <row r="4007">
      <c r="A4007" s="6" t="s">
        <v>8042</v>
      </c>
      <c r="B4007" s="6" t="s">
        <v>8043</v>
      </c>
      <c r="C4007" s="6">
        <v>396.0</v>
      </c>
      <c r="D4007" s="9" t="str">
        <f t="shared" si="324"/>
        <v>Open Ad</v>
      </c>
      <c r="E4007" s="6" t="s">
        <v>91</v>
      </c>
      <c r="F4007" s="6" t="s">
        <v>8022</v>
      </c>
      <c r="G4007" s="6" t="s">
        <v>8245</v>
      </c>
      <c r="H4007" s="6" t="s">
        <v>8246</v>
      </c>
      <c r="I4007" s="6" t="s">
        <v>8025</v>
      </c>
      <c r="J4007" s="6" t="s">
        <v>91</v>
      </c>
      <c r="K4007" s="12" t="str">
        <f t="shared" si="325"/>
        <v>View Creative</v>
      </c>
      <c r="L4007" s="6" t="s">
        <v>62</v>
      </c>
      <c r="M4007" s="6" t="s">
        <v>8042</v>
      </c>
      <c r="N4007" s="6"/>
      <c r="O4007" s="36" t="s">
        <v>7541</v>
      </c>
      <c r="P4007" s="36" t="s">
        <v>7542</v>
      </c>
      <c r="Q4007" s="38"/>
    </row>
    <row r="4008">
      <c r="A4008" s="6" t="s">
        <v>8042</v>
      </c>
      <c r="B4008" s="6" t="s">
        <v>8043</v>
      </c>
      <c r="C4008" s="6">
        <v>397.0</v>
      </c>
      <c r="D4008" s="9" t="str">
        <f t="shared" ref="D4008:D4009" si="326">HYPERLINK("https://www.linkedin.com/ad-library/detail/820290853","Open Ad")</f>
        <v>Open Ad</v>
      </c>
      <c r="E4008" s="6" t="s">
        <v>91</v>
      </c>
      <c r="F4008" s="6" t="s">
        <v>8022</v>
      </c>
      <c r="G4008" s="6" t="s">
        <v>8240</v>
      </c>
      <c r="H4008" s="6" t="s">
        <v>55</v>
      </c>
      <c r="I4008" s="6" t="s">
        <v>8025</v>
      </c>
      <c r="J4008" s="6" t="s">
        <v>91</v>
      </c>
      <c r="K4008" s="12" t="str">
        <f t="shared" ref="K4008:K4009" si="327">HYPERLINK("https://media.licdn.com/dms/image/v2/D4D22AQFZnQ5EGUW9Bg/feedshare-shrink_1280/B4DZkEot5OIEAw-/0/1756719407895?e=2147483647&amp;v=beta&amp;t=PoQ1GShkNh05CZn-sJ_nskNmEbkJYeugLNcTmiSLII0","View Creative")</f>
        <v>View Creative</v>
      </c>
      <c r="L4008" s="6" t="s">
        <v>62</v>
      </c>
      <c r="M4008" s="6" t="s">
        <v>8042</v>
      </c>
      <c r="N4008" s="6"/>
      <c r="O4008" s="36" t="s">
        <v>7541</v>
      </c>
      <c r="P4008" s="36" t="s">
        <v>7542</v>
      </c>
      <c r="Q4008" s="38"/>
    </row>
    <row r="4009">
      <c r="A4009" s="6" t="s">
        <v>8042</v>
      </c>
      <c r="B4009" s="6" t="s">
        <v>8043</v>
      </c>
      <c r="C4009" s="6">
        <v>398.0</v>
      </c>
      <c r="D4009" s="9" t="str">
        <f t="shared" si="326"/>
        <v>Open Ad</v>
      </c>
      <c r="E4009" s="6" t="s">
        <v>91</v>
      </c>
      <c r="F4009" s="6" t="s">
        <v>8022</v>
      </c>
      <c r="G4009" s="6" t="s">
        <v>8240</v>
      </c>
      <c r="H4009" s="6" t="s">
        <v>55</v>
      </c>
      <c r="I4009" s="6" t="s">
        <v>8025</v>
      </c>
      <c r="J4009" s="6" t="s">
        <v>91</v>
      </c>
      <c r="K4009" s="12" t="str">
        <f t="shared" si="327"/>
        <v>View Creative</v>
      </c>
      <c r="L4009" s="6" t="s">
        <v>62</v>
      </c>
      <c r="M4009" s="6" t="s">
        <v>8042</v>
      </c>
      <c r="N4009" s="6"/>
      <c r="O4009" s="36" t="s">
        <v>7541</v>
      </c>
      <c r="P4009" s="36" t="s">
        <v>7542</v>
      </c>
      <c r="Q4009" s="38"/>
    </row>
    <row r="4010">
      <c r="A4010" s="6" t="s">
        <v>8042</v>
      </c>
      <c r="B4010" s="6" t="s">
        <v>8043</v>
      </c>
      <c r="C4010" s="6">
        <v>399.0</v>
      </c>
      <c r="D4010" s="9" t="str">
        <f>HYPERLINK("https://www.linkedin.com/ad-library/detail/836274063","Open Ad")</f>
        <v>Open Ad</v>
      </c>
      <c r="E4010" s="6" t="s">
        <v>52</v>
      </c>
      <c r="F4010" s="6" t="s">
        <v>8022</v>
      </c>
      <c r="G4010" s="6" t="s">
        <v>8241</v>
      </c>
      <c r="H4010" s="6" t="s">
        <v>55</v>
      </c>
      <c r="I4010" s="6" t="s">
        <v>8025</v>
      </c>
      <c r="J4010" s="6" t="s">
        <v>52</v>
      </c>
      <c r="K4010" s="6" t="s">
        <v>60</v>
      </c>
      <c r="L4010" s="6" t="s">
        <v>62</v>
      </c>
      <c r="M4010" s="6" t="s">
        <v>8042</v>
      </c>
      <c r="N4010" s="6"/>
      <c r="O4010" s="36" t="s">
        <v>7541</v>
      </c>
      <c r="P4010" s="36" t="s">
        <v>7542</v>
      </c>
      <c r="Q4010" s="38"/>
    </row>
    <row r="4011">
      <c r="A4011" s="6" t="s">
        <v>8042</v>
      </c>
      <c r="B4011" s="6" t="s">
        <v>8043</v>
      </c>
      <c r="C4011" s="6">
        <v>400.0</v>
      </c>
      <c r="D4011" s="9" t="str">
        <f>HYPERLINK("https://www.linkedin.com/ad-library/detail/834086523","Open Ad")</f>
        <v>Open Ad</v>
      </c>
      <c r="E4011" s="6" t="s">
        <v>52</v>
      </c>
      <c r="F4011" s="6" t="s">
        <v>8022</v>
      </c>
      <c r="G4011" s="6" t="s">
        <v>8241</v>
      </c>
      <c r="H4011" s="6" t="s">
        <v>55</v>
      </c>
      <c r="I4011" s="6" t="s">
        <v>8025</v>
      </c>
      <c r="J4011" s="6" t="s">
        <v>52</v>
      </c>
      <c r="K4011" s="6" t="s">
        <v>60</v>
      </c>
      <c r="L4011" s="6" t="s">
        <v>62</v>
      </c>
      <c r="M4011" s="6" t="s">
        <v>8042</v>
      </c>
      <c r="N4011" s="6" t="s">
        <v>8254</v>
      </c>
      <c r="O4011" s="36" t="s">
        <v>7541</v>
      </c>
      <c r="P4011" s="36" t="s">
        <v>7542</v>
      </c>
      <c r="Q4011" s="38"/>
    </row>
    <row r="4012">
      <c r="A4012" s="6" t="s">
        <v>8042</v>
      </c>
      <c r="B4012" s="6" t="s">
        <v>8043</v>
      </c>
      <c r="C4012" s="6">
        <v>401.0</v>
      </c>
      <c r="D4012" s="9" t="str">
        <f>HYPERLINK("https://www.linkedin.com/ad-library/detail/834046323","Open Ad")</f>
        <v>Open Ad</v>
      </c>
      <c r="E4012" s="6" t="s">
        <v>52</v>
      </c>
      <c r="F4012" s="6" t="s">
        <v>8022</v>
      </c>
      <c r="G4012" s="6" t="s">
        <v>8238</v>
      </c>
      <c r="H4012" s="6" t="s">
        <v>55</v>
      </c>
      <c r="I4012" s="6" t="s">
        <v>8025</v>
      </c>
      <c r="J4012" s="6" t="s">
        <v>52</v>
      </c>
      <c r="K4012" s="6" t="s">
        <v>60</v>
      </c>
      <c r="L4012" s="6" t="s">
        <v>62</v>
      </c>
      <c r="M4012" s="6" t="s">
        <v>8042</v>
      </c>
      <c r="N4012" s="6" t="s">
        <v>8253</v>
      </c>
      <c r="O4012" s="36" t="s">
        <v>7541</v>
      </c>
      <c r="P4012" s="36" t="s">
        <v>7542</v>
      </c>
      <c r="Q4012" s="38"/>
    </row>
    <row r="4013">
      <c r="A4013" s="6" t="s">
        <v>8042</v>
      </c>
      <c r="B4013" s="6" t="s">
        <v>8043</v>
      </c>
      <c r="C4013" s="6">
        <v>402.0</v>
      </c>
      <c r="D4013" s="9" t="str">
        <f t="shared" ref="D4013:D4014" si="328">HYPERLINK("https://www.linkedin.com/ad-library/detail/822443886","Open Ad")</f>
        <v>Open Ad</v>
      </c>
      <c r="E4013" s="6" t="s">
        <v>91</v>
      </c>
      <c r="F4013" s="6" t="s">
        <v>8022</v>
      </c>
      <c r="G4013" s="6" t="s">
        <v>8231</v>
      </c>
      <c r="H4013" s="6" t="s">
        <v>55</v>
      </c>
      <c r="I4013" s="6" t="s">
        <v>8025</v>
      </c>
      <c r="J4013" s="6" t="s">
        <v>91</v>
      </c>
      <c r="K4013" s="12" t="str">
        <f t="shared" ref="K4013:K4014" si="329">HYPERLINK("https://media.licdn.com/dms/image/v2/D5610AQG-YY0zwJt23w/image-shrink_1280/B56Zh5fEggHkAY-/0/1754384845992/image4png?e=2147483647&amp;v=beta&amp;t=BnrQp-K1CE-GUlC70OcGvIOhrglH7B8UGujusi3xbXE","View Creative")</f>
        <v>View Creative</v>
      </c>
      <c r="L4013" s="6" t="s">
        <v>62</v>
      </c>
      <c r="M4013" s="6" t="s">
        <v>8042</v>
      </c>
      <c r="N4013" s="6"/>
      <c r="O4013" s="36" t="s">
        <v>7541</v>
      </c>
      <c r="P4013" s="36" t="s">
        <v>7542</v>
      </c>
      <c r="Q4013" s="38"/>
    </row>
    <row r="4014">
      <c r="A4014" s="6" t="s">
        <v>8042</v>
      </c>
      <c r="B4014" s="6" t="s">
        <v>8043</v>
      </c>
      <c r="C4014" s="6">
        <v>403.0</v>
      </c>
      <c r="D4014" s="9" t="str">
        <f t="shared" si="328"/>
        <v>Open Ad</v>
      </c>
      <c r="E4014" s="6" t="s">
        <v>91</v>
      </c>
      <c r="F4014" s="6" t="s">
        <v>8022</v>
      </c>
      <c r="G4014" s="6" t="s">
        <v>8231</v>
      </c>
      <c r="H4014" s="6" t="s">
        <v>55</v>
      </c>
      <c r="I4014" s="6" t="s">
        <v>8025</v>
      </c>
      <c r="J4014" s="6" t="s">
        <v>91</v>
      </c>
      <c r="K4014" s="12" t="str">
        <f t="shared" si="329"/>
        <v>View Creative</v>
      </c>
      <c r="L4014" s="6" t="s">
        <v>62</v>
      </c>
      <c r="M4014" s="6" t="s">
        <v>8042</v>
      </c>
      <c r="N4014" s="6"/>
      <c r="O4014" s="36" t="s">
        <v>7541</v>
      </c>
      <c r="P4014" s="36" t="s">
        <v>7542</v>
      </c>
      <c r="Q4014" s="38"/>
    </row>
    <row r="4015">
      <c r="A4015" s="6" t="s">
        <v>8042</v>
      </c>
      <c r="B4015" s="6" t="s">
        <v>8043</v>
      </c>
      <c r="C4015" s="6">
        <v>404.0</v>
      </c>
      <c r="D4015" s="9" t="str">
        <f t="shared" ref="D4015:D4016" si="330">HYPERLINK("https://www.linkedin.com/ad-library/detail/813596023","Open Ad")</f>
        <v>Open Ad</v>
      </c>
      <c r="E4015" s="6" t="s">
        <v>91</v>
      </c>
      <c r="F4015" s="6" t="s">
        <v>8022</v>
      </c>
      <c r="G4015" s="6" t="s">
        <v>8249</v>
      </c>
      <c r="H4015" s="6" t="s">
        <v>55</v>
      </c>
      <c r="I4015" s="6" t="s">
        <v>8025</v>
      </c>
      <c r="J4015" s="6" t="s">
        <v>91</v>
      </c>
      <c r="K4015" s="12" t="str">
        <f t="shared" ref="K4015:K4016" si="331">HYPERLINK("https://media.licdn.com/dms/image/v2/D4D22AQFSStIZYa_5-g/feedshare-shrink_1280/B4DZkFOTHhHYA4-/0/1756729259383?e=2147483647&amp;v=beta&amp;t=nP11zE2rYG_Hfl-wu8DAbV5Uqs4BIe0d0lkTy82IgAk","View Creative")</f>
        <v>View Creative</v>
      </c>
      <c r="L4015" s="6" t="s">
        <v>62</v>
      </c>
      <c r="M4015" s="6" t="s">
        <v>8042</v>
      </c>
      <c r="N4015" s="6"/>
      <c r="O4015" s="36" t="s">
        <v>7541</v>
      </c>
      <c r="P4015" s="36" t="s">
        <v>7542</v>
      </c>
      <c r="Q4015" s="38"/>
    </row>
    <row r="4016">
      <c r="A4016" s="6" t="s">
        <v>8042</v>
      </c>
      <c r="B4016" s="6" t="s">
        <v>8043</v>
      </c>
      <c r="C4016" s="6">
        <v>405.0</v>
      </c>
      <c r="D4016" s="9" t="str">
        <f t="shared" si="330"/>
        <v>Open Ad</v>
      </c>
      <c r="E4016" s="6" t="s">
        <v>91</v>
      </c>
      <c r="F4016" s="6" t="s">
        <v>8022</v>
      </c>
      <c r="G4016" s="6" t="s">
        <v>8249</v>
      </c>
      <c r="H4016" s="6" t="s">
        <v>55</v>
      </c>
      <c r="I4016" s="6" t="s">
        <v>8025</v>
      </c>
      <c r="J4016" s="6" t="s">
        <v>91</v>
      </c>
      <c r="K4016" s="12" t="str">
        <f t="shared" si="331"/>
        <v>View Creative</v>
      </c>
      <c r="L4016" s="6" t="s">
        <v>62</v>
      </c>
      <c r="M4016" s="6" t="s">
        <v>8042</v>
      </c>
      <c r="N4016" s="6"/>
      <c r="O4016" s="36" t="s">
        <v>7541</v>
      </c>
      <c r="P4016" s="36" t="s">
        <v>7542</v>
      </c>
      <c r="Q4016" s="38"/>
    </row>
    <row r="4017">
      <c r="A4017" s="6" t="s">
        <v>8042</v>
      </c>
      <c r="B4017" s="6" t="s">
        <v>8043</v>
      </c>
      <c r="C4017" s="6">
        <v>406.0</v>
      </c>
      <c r="D4017" s="9" t="str">
        <f t="shared" ref="D4017:D4018" si="332">HYPERLINK("https://www.linkedin.com/ad-library/detail/822443616","Open Ad")</f>
        <v>Open Ad</v>
      </c>
      <c r="E4017" s="6" t="s">
        <v>91</v>
      </c>
      <c r="F4017" s="6" t="s">
        <v>8022</v>
      </c>
      <c r="G4017" s="6" t="s">
        <v>8231</v>
      </c>
      <c r="H4017" s="6" t="s">
        <v>55</v>
      </c>
      <c r="I4017" s="6" t="s">
        <v>8025</v>
      </c>
      <c r="J4017" s="6" t="s">
        <v>91</v>
      </c>
      <c r="K4017" s="12" t="str">
        <f t="shared" ref="K4017:K4018" si="333">HYPERLINK("https://media.licdn.com/dms/image/v2/D5610AQG-YY0zwJt23w/image-shrink_1280/B56Zh5fEggHkAY-/0/1754384845992/image4png?e=2147483647&amp;v=beta&amp;t=BnrQp-K1CE-GUlC70OcGvIOhrglH7B8UGujusi3xbXE","View Creative")</f>
        <v>View Creative</v>
      </c>
      <c r="L4017" s="6" t="s">
        <v>62</v>
      </c>
      <c r="M4017" s="6" t="s">
        <v>8042</v>
      </c>
      <c r="N4017" s="6" t="s">
        <v>8255</v>
      </c>
      <c r="O4017" s="36" t="s">
        <v>7541</v>
      </c>
      <c r="P4017" s="36" t="s">
        <v>7542</v>
      </c>
      <c r="Q4017" s="38"/>
    </row>
    <row r="4018">
      <c r="A4018" s="6" t="s">
        <v>8042</v>
      </c>
      <c r="B4018" s="6" t="s">
        <v>8043</v>
      </c>
      <c r="C4018" s="6">
        <v>407.0</v>
      </c>
      <c r="D4018" s="9" t="str">
        <f t="shared" si="332"/>
        <v>Open Ad</v>
      </c>
      <c r="E4018" s="6" t="s">
        <v>91</v>
      </c>
      <c r="F4018" s="6" t="s">
        <v>8022</v>
      </c>
      <c r="G4018" s="6" t="s">
        <v>8231</v>
      </c>
      <c r="H4018" s="6" t="s">
        <v>55</v>
      </c>
      <c r="I4018" s="6" t="s">
        <v>8025</v>
      </c>
      <c r="J4018" s="6" t="s">
        <v>91</v>
      </c>
      <c r="K4018" s="12" t="str">
        <f t="shared" si="333"/>
        <v>View Creative</v>
      </c>
      <c r="L4018" s="6" t="s">
        <v>62</v>
      </c>
      <c r="M4018" s="6" t="s">
        <v>8042</v>
      </c>
      <c r="N4018" s="6" t="s">
        <v>8255</v>
      </c>
      <c r="O4018" s="36" t="s">
        <v>7541</v>
      </c>
      <c r="P4018" s="36" t="s">
        <v>7542</v>
      </c>
      <c r="Q4018" s="38"/>
    </row>
    <row r="4019">
      <c r="A4019" s="6" t="s">
        <v>8042</v>
      </c>
      <c r="B4019" s="6" t="s">
        <v>8043</v>
      </c>
      <c r="C4019" s="6">
        <v>408.0</v>
      </c>
      <c r="D4019" s="9" t="str">
        <f t="shared" ref="D4019:D4020" si="334">HYPERLINK("https://www.linkedin.com/ad-library/detail/752281723","Open Ad")</f>
        <v>Open Ad</v>
      </c>
      <c r="E4019" s="6" t="s">
        <v>91</v>
      </c>
      <c r="F4019" s="6" t="s">
        <v>8022</v>
      </c>
      <c r="G4019" s="6" t="s">
        <v>8088</v>
      </c>
      <c r="H4019" s="6" t="s">
        <v>55</v>
      </c>
      <c r="I4019" s="6" t="s">
        <v>8025</v>
      </c>
      <c r="J4019" s="6" t="s">
        <v>91</v>
      </c>
      <c r="K4019" s="12" t="str">
        <f t="shared" ref="K4019:K4020" si="335">HYPERLINK("https://media.licdn.com/dms/image/v2/D5610AQEpV6JehSeI3A/image-shrink_1280/B56Zh5afxxHUAU-/0/1754383646967/GrumpEscobarImagepng?e=2147483647&amp;v=beta&amp;t=1yljMY63DBOT5XAHyHLZuLJeG68yLEbMvtqgVmA3zh8","View Creative")</f>
        <v>View Creative</v>
      </c>
      <c r="L4019" s="6" t="s">
        <v>62</v>
      </c>
      <c r="M4019" s="6" t="s">
        <v>8042</v>
      </c>
      <c r="N4019" s="6" t="s">
        <v>8256</v>
      </c>
      <c r="O4019" s="36" t="s">
        <v>7541</v>
      </c>
      <c r="P4019" s="36" t="s">
        <v>7542</v>
      </c>
      <c r="Q4019" s="38"/>
    </row>
    <row r="4020">
      <c r="A4020" s="6" t="s">
        <v>8042</v>
      </c>
      <c r="B4020" s="6" t="s">
        <v>8043</v>
      </c>
      <c r="C4020" s="6">
        <v>409.0</v>
      </c>
      <c r="D4020" s="9" t="str">
        <f t="shared" si="334"/>
        <v>Open Ad</v>
      </c>
      <c r="E4020" s="6" t="s">
        <v>91</v>
      </c>
      <c r="F4020" s="6" t="s">
        <v>8022</v>
      </c>
      <c r="G4020" s="6" t="s">
        <v>8088</v>
      </c>
      <c r="H4020" s="6" t="s">
        <v>55</v>
      </c>
      <c r="I4020" s="6" t="s">
        <v>8025</v>
      </c>
      <c r="J4020" s="6" t="s">
        <v>91</v>
      </c>
      <c r="K4020" s="12" t="str">
        <f t="shared" si="335"/>
        <v>View Creative</v>
      </c>
      <c r="L4020" s="6" t="s">
        <v>62</v>
      </c>
      <c r="M4020" s="6" t="s">
        <v>8042</v>
      </c>
      <c r="N4020" s="6" t="s">
        <v>8256</v>
      </c>
      <c r="O4020" s="36" t="s">
        <v>7541</v>
      </c>
      <c r="P4020" s="36" t="s">
        <v>7542</v>
      </c>
      <c r="Q4020" s="38"/>
    </row>
    <row r="4021">
      <c r="A4021" s="6" t="s">
        <v>8042</v>
      </c>
      <c r="B4021" s="6" t="s">
        <v>8043</v>
      </c>
      <c r="C4021" s="6">
        <v>410.0</v>
      </c>
      <c r="D4021" s="9" t="str">
        <f t="shared" ref="D4021:D4022" si="336">HYPERLINK("https://www.linkedin.com/ad-library/detail/813646453","Open Ad")</f>
        <v>Open Ad</v>
      </c>
      <c r="E4021" s="6" t="s">
        <v>91</v>
      </c>
      <c r="F4021" s="6" t="s">
        <v>8022</v>
      </c>
      <c r="G4021" s="6" t="s">
        <v>8240</v>
      </c>
      <c r="H4021" s="6" t="s">
        <v>55</v>
      </c>
      <c r="I4021" s="6" t="s">
        <v>8025</v>
      </c>
      <c r="J4021" s="6" t="s">
        <v>91</v>
      </c>
      <c r="K4021" s="12" t="str">
        <f t="shared" ref="K4021:K4022" si="337">HYPERLINK("https://media.licdn.com/dms/image/v2/D4D22AQFZnQ5EGUW9Bg/feedshare-shrink_1280/B4DZkEot5OIEAw-/0/1756719407895?e=2147483647&amp;v=beta&amp;t=PoQ1GShkNh05CZn-sJ_nskNmEbkJYeugLNcTmiSLII0","View Creative")</f>
        <v>View Creative</v>
      </c>
      <c r="L4021" s="6" t="s">
        <v>62</v>
      </c>
      <c r="M4021" s="6" t="s">
        <v>8042</v>
      </c>
      <c r="N4021" s="6" t="s">
        <v>8251</v>
      </c>
      <c r="O4021" s="36" t="s">
        <v>7541</v>
      </c>
      <c r="P4021" s="36" t="s">
        <v>7542</v>
      </c>
      <c r="Q4021" s="38"/>
    </row>
    <row r="4022">
      <c r="A4022" s="6" t="s">
        <v>8042</v>
      </c>
      <c r="B4022" s="6" t="s">
        <v>8043</v>
      </c>
      <c r="C4022" s="6">
        <v>411.0</v>
      </c>
      <c r="D4022" s="9" t="str">
        <f t="shared" si="336"/>
        <v>Open Ad</v>
      </c>
      <c r="E4022" s="6" t="s">
        <v>91</v>
      </c>
      <c r="F4022" s="6" t="s">
        <v>8022</v>
      </c>
      <c r="G4022" s="6" t="s">
        <v>8240</v>
      </c>
      <c r="H4022" s="6" t="s">
        <v>55</v>
      </c>
      <c r="I4022" s="6" t="s">
        <v>8025</v>
      </c>
      <c r="J4022" s="6" t="s">
        <v>91</v>
      </c>
      <c r="K4022" s="12" t="str">
        <f t="shared" si="337"/>
        <v>View Creative</v>
      </c>
      <c r="L4022" s="6" t="s">
        <v>62</v>
      </c>
      <c r="M4022" s="6" t="s">
        <v>8042</v>
      </c>
      <c r="N4022" s="6" t="s">
        <v>8251</v>
      </c>
      <c r="O4022" s="36" t="s">
        <v>7541</v>
      </c>
      <c r="P4022" s="36" t="s">
        <v>7542</v>
      </c>
      <c r="Q4022" s="38"/>
    </row>
    <row r="4023">
      <c r="A4023" s="6" t="s">
        <v>8042</v>
      </c>
      <c r="B4023" s="6" t="s">
        <v>8043</v>
      </c>
      <c r="C4023" s="6">
        <v>412.0</v>
      </c>
      <c r="D4023" s="9" t="str">
        <f t="shared" ref="D4023:D4024" si="338">HYPERLINK("https://www.linkedin.com/ad-library/detail/780160563","Open Ad")</f>
        <v>Open Ad</v>
      </c>
      <c r="E4023" s="6" t="s">
        <v>91</v>
      </c>
      <c r="F4023" s="6" t="s">
        <v>8022</v>
      </c>
      <c r="G4023" s="6" t="s">
        <v>8090</v>
      </c>
      <c r="H4023" s="6" t="s">
        <v>55</v>
      </c>
      <c r="I4023" s="6" t="s">
        <v>8025</v>
      </c>
      <c r="J4023" s="6" t="s">
        <v>91</v>
      </c>
      <c r="K4023" s="12" t="str">
        <f t="shared" ref="K4023:K4024" si="339">HYPERLINK("https://media.licdn.com/dms/image/v2/D4D10AQEN1xXAAmII0w/image-shrink_1280/B4DZjmN70VIEAM-/0/1756209070122/Old-Magnusjpg?e=2147483647&amp;v=beta&amp;t=uGsrcGjae2D5ILKsyDAbdYGQ0Aw9KyOZoaKcYMU4ins","View Creative")</f>
        <v>View Creative</v>
      </c>
      <c r="L4023" s="6" t="s">
        <v>62</v>
      </c>
      <c r="M4023" s="6" t="s">
        <v>8042</v>
      </c>
      <c r="N4023" s="6" t="s">
        <v>8257</v>
      </c>
      <c r="O4023" s="36" t="s">
        <v>7541</v>
      </c>
      <c r="P4023" s="36" t="s">
        <v>7542</v>
      </c>
      <c r="Q4023" s="38"/>
    </row>
    <row r="4024">
      <c r="A4024" s="6" t="s">
        <v>8042</v>
      </c>
      <c r="B4024" s="6" t="s">
        <v>8043</v>
      </c>
      <c r="C4024" s="6">
        <v>413.0</v>
      </c>
      <c r="D4024" s="9" t="str">
        <f t="shared" si="338"/>
        <v>Open Ad</v>
      </c>
      <c r="E4024" s="6" t="s">
        <v>91</v>
      </c>
      <c r="F4024" s="6" t="s">
        <v>8022</v>
      </c>
      <c r="G4024" s="6" t="s">
        <v>8090</v>
      </c>
      <c r="H4024" s="6" t="s">
        <v>55</v>
      </c>
      <c r="I4024" s="6" t="s">
        <v>8025</v>
      </c>
      <c r="J4024" s="6" t="s">
        <v>91</v>
      </c>
      <c r="K4024" s="12" t="str">
        <f t="shared" si="339"/>
        <v>View Creative</v>
      </c>
      <c r="L4024" s="6" t="s">
        <v>62</v>
      </c>
      <c r="M4024" s="6" t="s">
        <v>8042</v>
      </c>
      <c r="N4024" s="6" t="s">
        <v>8257</v>
      </c>
      <c r="O4024" s="36" t="s">
        <v>7541</v>
      </c>
      <c r="P4024" s="36" t="s">
        <v>7542</v>
      </c>
      <c r="Q4024" s="38"/>
    </row>
    <row r="4025">
      <c r="A4025" s="6" t="s">
        <v>8042</v>
      </c>
      <c r="B4025" s="6" t="s">
        <v>8043</v>
      </c>
      <c r="C4025" s="6">
        <v>414.0</v>
      </c>
      <c r="D4025" s="9" t="str">
        <f>HYPERLINK("https://www.linkedin.com/ad-library/detail/767434543","Open Ad")</f>
        <v>Open Ad</v>
      </c>
      <c r="E4025" s="6" t="s">
        <v>52</v>
      </c>
      <c r="F4025" s="6" t="s">
        <v>8022</v>
      </c>
      <c r="G4025" s="6" t="s">
        <v>8242</v>
      </c>
      <c r="H4025" s="6" t="s">
        <v>55</v>
      </c>
      <c r="I4025" s="6" t="s">
        <v>8025</v>
      </c>
      <c r="J4025" s="6" t="s">
        <v>52</v>
      </c>
      <c r="K4025" s="6" t="s">
        <v>60</v>
      </c>
      <c r="L4025" s="6" t="s">
        <v>62</v>
      </c>
      <c r="M4025" s="6" t="s">
        <v>8042</v>
      </c>
      <c r="N4025" s="6"/>
      <c r="O4025" s="36" t="s">
        <v>7541</v>
      </c>
      <c r="P4025" s="36" t="s">
        <v>7542</v>
      </c>
      <c r="Q4025" s="38"/>
    </row>
    <row r="4026">
      <c r="A4026" s="6" t="s">
        <v>8042</v>
      </c>
      <c r="B4026" s="6" t="s">
        <v>8043</v>
      </c>
      <c r="C4026" s="6">
        <v>415.0</v>
      </c>
      <c r="D4026" s="9" t="str">
        <f>HYPERLINK("https://www.linkedin.com/ad-library/detail/729945224","Open Ad")</f>
        <v>Open Ad</v>
      </c>
      <c r="E4026" s="6" t="s">
        <v>52</v>
      </c>
      <c r="F4026" s="6" t="s">
        <v>8022</v>
      </c>
      <c r="G4026" s="6" t="s">
        <v>8236</v>
      </c>
      <c r="H4026" s="6" t="s">
        <v>55</v>
      </c>
      <c r="I4026" s="6" t="s">
        <v>8025</v>
      </c>
      <c r="J4026" s="6" t="s">
        <v>52</v>
      </c>
      <c r="K4026" s="6" t="s">
        <v>60</v>
      </c>
      <c r="L4026" s="6" t="s">
        <v>62</v>
      </c>
      <c r="M4026" s="6" t="s">
        <v>8042</v>
      </c>
      <c r="N4026" s="6"/>
      <c r="O4026" s="36" t="s">
        <v>7541</v>
      </c>
      <c r="P4026" s="36" t="s">
        <v>7542</v>
      </c>
      <c r="Q4026" s="38"/>
    </row>
    <row r="4027">
      <c r="A4027" s="6" t="s">
        <v>8042</v>
      </c>
      <c r="B4027" s="6" t="s">
        <v>8043</v>
      </c>
      <c r="C4027" s="6">
        <v>416.0</v>
      </c>
      <c r="D4027" s="9" t="str">
        <f>HYPERLINK("https://www.linkedin.com/ad-library/detail/752455523","Open Ad")</f>
        <v>Open Ad</v>
      </c>
      <c r="E4027" s="6" t="s">
        <v>52</v>
      </c>
      <c r="F4027" s="6" t="s">
        <v>8022</v>
      </c>
      <c r="G4027" s="6" t="s">
        <v>8258</v>
      </c>
      <c r="H4027" s="6" t="s">
        <v>55</v>
      </c>
      <c r="I4027" s="6" t="s">
        <v>8025</v>
      </c>
      <c r="J4027" s="6" t="s">
        <v>52</v>
      </c>
      <c r="K4027" s="6" t="s">
        <v>60</v>
      </c>
      <c r="L4027" s="6" t="s">
        <v>62</v>
      </c>
      <c r="M4027" s="6" t="s">
        <v>8042</v>
      </c>
      <c r="N4027" s="6" t="s">
        <v>8259</v>
      </c>
      <c r="O4027" s="36" t="s">
        <v>7541</v>
      </c>
      <c r="P4027" s="36" t="s">
        <v>7542</v>
      </c>
      <c r="Q4027" s="38"/>
    </row>
    <row r="4028">
      <c r="A4028" s="6" t="s">
        <v>8042</v>
      </c>
      <c r="B4028" s="6" t="s">
        <v>8043</v>
      </c>
      <c r="C4028" s="6">
        <v>417.0</v>
      </c>
      <c r="D4028" s="9" t="str">
        <f>HYPERLINK("https://www.linkedin.com/ad-library/detail/813665983","Open Ad")</f>
        <v>Open Ad</v>
      </c>
      <c r="E4028" s="6" t="s">
        <v>52</v>
      </c>
      <c r="F4028" s="6" t="s">
        <v>8022</v>
      </c>
      <c r="G4028" s="6" t="s">
        <v>8009</v>
      </c>
      <c r="H4028" s="6" t="s">
        <v>55</v>
      </c>
      <c r="I4028" s="6" t="s">
        <v>8025</v>
      </c>
      <c r="J4028" s="6" t="s">
        <v>52</v>
      </c>
      <c r="K4028" s="6" t="s">
        <v>60</v>
      </c>
      <c r="L4028" s="6" t="s">
        <v>62</v>
      </c>
      <c r="M4028" s="6" t="s">
        <v>8042</v>
      </c>
      <c r="N4028" s="6" t="s">
        <v>8260</v>
      </c>
      <c r="O4028" s="36" t="s">
        <v>7541</v>
      </c>
      <c r="P4028" s="36" t="s">
        <v>7542</v>
      </c>
      <c r="Q4028" s="38"/>
    </row>
    <row r="4029">
      <c r="A4029" s="6" t="s">
        <v>8042</v>
      </c>
      <c r="B4029" s="6" t="s">
        <v>8043</v>
      </c>
      <c r="C4029" s="6">
        <v>418.0</v>
      </c>
      <c r="D4029" s="9" t="str">
        <f>HYPERLINK("https://www.linkedin.com/ad-library/detail/813586393","Open Ad")</f>
        <v>Open Ad</v>
      </c>
      <c r="E4029" s="6" t="s">
        <v>52</v>
      </c>
      <c r="F4029" s="6" t="s">
        <v>8022</v>
      </c>
      <c r="G4029" s="6" t="s">
        <v>8242</v>
      </c>
      <c r="H4029" s="6" t="s">
        <v>55</v>
      </c>
      <c r="I4029" s="6" t="s">
        <v>8025</v>
      </c>
      <c r="J4029" s="6" t="s">
        <v>52</v>
      </c>
      <c r="K4029" s="6" t="s">
        <v>60</v>
      </c>
      <c r="L4029" s="6" t="s">
        <v>62</v>
      </c>
      <c r="M4029" s="6" t="s">
        <v>8042</v>
      </c>
      <c r="N4029" s="6" t="s">
        <v>8261</v>
      </c>
      <c r="O4029" s="36" t="s">
        <v>7541</v>
      </c>
      <c r="P4029" s="36" t="s">
        <v>7542</v>
      </c>
      <c r="Q4029" s="38"/>
    </row>
    <row r="4030">
      <c r="A4030" s="6" t="s">
        <v>8042</v>
      </c>
      <c r="B4030" s="6" t="s">
        <v>8043</v>
      </c>
      <c r="C4030" s="6">
        <v>419.0</v>
      </c>
      <c r="D4030" s="9" t="str">
        <f>HYPERLINK("https://www.linkedin.com/ad-library/detail/729945244","Open Ad")</f>
        <v>Open Ad</v>
      </c>
      <c r="E4030" s="6" t="s">
        <v>52</v>
      </c>
      <c r="F4030" s="6" t="s">
        <v>8022</v>
      </c>
      <c r="G4030" s="6" t="s">
        <v>8236</v>
      </c>
      <c r="H4030" s="6" t="s">
        <v>55</v>
      </c>
      <c r="I4030" s="6" t="s">
        <v>8025</v>
      </c>
      <c r="J4030" s="6" t="s">
        <v>52</v>
      </c>
      <c r="K4030" s="6" t="s">
        <v>60</v>
      </c>
      <c r="L4030" s="6" t="s">
        <v>62</v>
      </c>
      <c r="M4030" s="6" t="s">
        <v>8042</v>
      </c>
      <c r="N4030" s="6" t="s">
        <v>8262</v>
      </c>
      <c r="O4030" s="36" t="s">
        <v>7541</v>
      </c>
      <c r="P4030" s="36" t="s">
        <v>7542</v>
      </c>
      <c r="Q4030" s="38"/>
    </row>
    <row r="4031">
      <c r="A4031" s="6" t="s">
        <v>8042</v>
      </c>
      <c r="B4031" s="6" t="s">
        <v>8043</v>
      </c>
      <c r="C4031" s="6">
        <v>420.0</v>
      </c>
      <c r="D4031" s="9" t="str">
        <f t="shared" ref="D4031:D4032" si="340">HYPERLINK("https://www.linkedin.com/ad-library/detail/813686063","Open Ad")</f>
        <v>Open Ad</v>
      </c>
      <c r="E4031" s="6" t="s">
        <v>91</v>
      </c>
      <c r="F4031" s="6" t="s">
        <v>8022</v>
      </c>
      <c r="G4031" s="6" t="s">
        <v>8250</v>
      </c>
      <c r="H4031" s="6" t="s">
        <v>55</v>
      </c>
      <c r="I4031" s="6" t="s">
        <v>8025</v>
      </c>
      <c r="J4031" s="6" t="s">
        <v>91</v>
      </c>
      <c r="K4031" s="12" t="str">
        <f t="shared" ref="K4031:K4032" si="341">HYPERLINK("https://media.licdn.com/dms/image/v2/D4D22AQHtB0915GN-xA/feedshare-shrink_1280/B4DZkE3f07HsAs-/0/1756723281899?e=2147483647&amp;v=beta&amp;t=UN_2oo85eqCkfa1YpN6JuYs2z4rNOZwNiXoN3018gg4","View Creative")</f>
        <v>View Creative</v>
      </c>
      <c r="L4031" s="6" t="s">
        <v>62</v>
      </c>
      <c r="M4031" s="6" t="s">
        <v>8042</v>
      </c>
      <c r="N4031" s="6" t="s">
        <v>8263</v>
      </c>
      <c r="O4031" s="36" t="s">
        <v>7541</v>
      </c>
      <c r="P4031" s="36" t="s">
        <v>7542</v>
      </c>
      <c r="Q4031" s="38"/>
    </row>
    <row r="4032">
      <c r="A4032" s="6" t="s">
        <v>8042</v>
      </c>
      <c r="B4032" s="6" t="s">
        <v>8043</v>
      </c>
      <c r="C4032" s="6">
        <v>421.0</v>
      </c>
      <c r="D4032" s="9" t="str">
        <f t="shared" si="340"/>
        <v>Open Ad</v>
      </c>
      <c r="E4032" s="6" t="s">
        <v>91</v>
      </c>
      <c r="F4032" s="6" t="s">
        <v>8022</v>
      </c>
      <c r="G4032" s="6" t="s">
        <v>8250</v>
      </c>
      <c r="H4032" s="6" t="s">
        <v>55</v>
      </c>
      <c r="I4032" s="6" t="s">
        <v>8025</v>
      </c>
      <c r="J4032" s="6" t="s">
        <v>91</v>
      </c>
      <c r="K4032" s="12" t="str">
        <f t="shared" si="341"/>
        <v>View Creative</v>
      </c>
      <c r="L4032" s="6" t="s">
        <v>62</v>
      </c>
      <c r="M4032" s="6" t="s">
        <v>8042</v>
      </c>
      <c r="N4032" s="6" t="s">
        <v>8263</v>
      </c>
      <c r="O4032" s="36" t="s">
        <v>7541</v>
      </c>
      <c r="P4032" s="36" t="s">
        <v>7542</v>
      </c>
      <c r="Q4032" s="38"/>
    </row>
    <row r="4033">
      <c r="A4033" s="6" t="s">
        <v>8042</v>
      </c>
      <c r="B4033" s="6" t="s">
        <v>8043</v>
      </c>
      <c r="C4033" s="6">
        <v>422.0</v>
      </c>
      <c r="D4033" s="9" t="str">
        <f>HYPERLINK("https://www.linkedin.com/ad-library/detail/813695813","Open Ad")</f>
        <v>Open Ad</v>
      </c>
      <c r="E4033" s="6" t="s">
        <v>52</v>
      </c>
      <c r="F4033" s="6" t="s">
        <v>8022</v>
      </c>
      <c r="G4033" s="6" t="s">
        <v>8009</v>
      </c>
      <c r="H4033" s="6" t="s">
        <v>55</v>
      </c>
      <c r="I4033" s="6" t="s">
        <v>8025</v>
      </c>
      <c r="J4033" s="6" t="s">
        <v>52</v>
      </c>
      <c r="K4033" s="6" t="s">
        <v>60</v>
      </c>
      <c r="L4033" s="6" t="s">
        <v>62</v>
      </c>
      <c r="M4033" s="6" t="s">
        <v>8042</v>
      </c>
      <c r="N4033" s="6" t="s">
        <v>8260</v>
      </c>
      <c r="O4033" s="36" t="s">
        <v>7541</v>
      </c>
      <c r="P4033" s="36" t="s">
        <v>7542</v>
      </c>
      <c r="Q4033" s="38"/>
    </row>
    <row r="4034">
      <c r="A4034" s="6" t="s">
        <v>8042</v>
      </c>
      <c r="B4034" s="6" t="s">
        <v>8043</v>
      </c>
      <c r="C4034" s="6">
        <v>423.0</v>
      </c>
      <c r="D4034" s="9" t="str">
        <f t="shared" ref="D4034:D4035" si="342">HYPERLINK("https://www.linkedin.com/ad-library/detail/835297566","Open Ad")</f>
        <v>Open Ad</v>
      </c>
      <c r="E4034" s="6" t="s">
        <v>91</v>
      </c>
      <c r="F4034" s="6" t="s">
        <v>8022</v>
      </c>
      <c r="G4034" s="6" t="s">
        <v>8264</v>
      </c>
      <c r="H4034" s="6" t="s">
        <v>55</v>
      </c>
      <c r="I4034" s="6" t="s">
        <v>8025</v>
      </c>
      <c r="J4034" s="6" t="s">
        <v>91</v>
      </c>
      <c r="K4034" s="12" t="str">
        <f t="shared" ref="K4034:K4035" si="343">HYPERLINK("https://media.licdn.com/dms/image/v2/D5610AQHx9Ml85MWScw/image-shrink_1280/B56ZjLR6qHHkAM-/0/1755757129249/AISVjpg?e=2147483647&amp;v=beta&amp;t=UFkgcAqGKYcczGhp8Zp3cL0Hp7l43mqe0pC-YiU_gtc","View Creative")</f>
        <v>View Creative</v>
      </c>
      <c r="L4034" s="6" t="s">
        <v>62</v>
      </c>
      <c r="M4034" s="6" t="s">
        <v>8042</v>
      </c>
      <c r="N4034" s="6"/>
      <c r="O4034" s="36" t="s">
        <v>7541</v>
      </c>
      <c r="P4034" s="36" t="s">
        <v>7542</v>
      </c>
      <c r="Q4034" s="38"/>
    </row>
    <row r="4035">
      <c r="A4035" s="6" t="s">
        <v>8042</v>
      </c>
      <c r="B4035" s="6" t="s">
        <v>8043</v>
      </c>
      <c r="C4035" s="6">
        <v>424.0</v>
      </c>
      <c r="D4035" s="9" t="str">
        <f t="shared" si="342"/>
        <v>Open Ad</v>
      </c>
      <c r="E4035" s="6" t="s">
        <v>91</v>
      </c>
      <c r="F4035" s="6" t="s">
        <v>8022</v>
      </c>
      <c r="G4035" s="6" t="s">
        <v>8264</v>
      </c>
      <c r="H4035" s="6" t="s">
        <v>55</v>
      </c>
      <c r="I4035" s="6" t="s">
        <v>8025</v>
      </c>
      <c r="J4035" s="6" t="s">
        <v>91</v>
      </c>
      <c r="K4035" s="12" t="str">
        <f t="shared" si="343"/>
        <v>View Creative</v>
      </c>
      <c r="L4035" s="6" t="s">
        <v>62</v>
      </c>
      <c r="M4035" s="6" t="s">
        <v>8042</v>
      </c>
      <c r="N4035" s="6"/>
      <c r="O4035" s="36" t="s">
        <v>7541</v>
      </c>
      <c r="P4035" s="36" t="s">
        <v>7542</v>
      </c>
      <c r="Q4035" s="38"/>
    </row>
    <row r="4036">
      <c r="A4036" s="6" t="s">
        <v>8042</v>
      </c>
      <c r="B4036" s="6" t="s">
        <v>8043</v>
      </c>
      <c r="C4036" s="6">
        <v>425.0</v>
      </c>
      <c r="D4036" s="9" t="str">
        <f t="shared" ref="D4036:D4037" si="344">HYPERLINK("https://www.linkedin.com/ad-library/detail/813586443","Open Ad")</f>
        <v>Open Ad</v>
      </c>
      <c r="E4036" s="6" t="s">
        <v>91</v>
      </c>
      <c r="F4036" s="6" t="s">
        <v>8022</v>
      </c>
      <c r="G4036" s="6" t="s">
        <v>8245</v>
      </c>
      <c r="H4036" s="6" t="s">
        <v>8246</v>
      </c>
      <c r="I4036" s="6" t="s">
        <v>8025</v>
      </c>
      <c r="J4036" s="6" t="s">
        <v>91</v>
      </c>
      <c r="K4036" s="12" t="str">
        <f t="shared" ref="K4036:K4037" si="345">HYPERLINK("https://media.licdn.com/dms/image/v2/D4E22AQFOUH_VQEMYzA/feedshare-shrink_1280/B4EZkEooY4GwAs-/0/1756719385104?e=2147483647&amp;v=beta&amp;t=39XfaDdt1-NAHPDM5HGNhrwQ7KUaPvcN9JuhvfY5f2E","View Creative")</f>
        <v>View Creative</v>
      </c>
      <c r="L4036" s="6" t="s">
        <v>62</v>
      </c>
      <c r="M4036" s="6" t="s">
        <v>8042</v>
      </c>
      <c r="N4036" s="6" t="s">
        <v>8265</v>
      </c>
      <c r="O4036" s="36" t="s">
        <v>7541</v>
      </c>
      <c r="P4036" s="36" t="s">
        <v>7542</v>
      </c>
      <c r="Q4036" s="38"/>
    </row>
    <row r="4037">
      <c r="A4037" s="6" t="s">
        <v>8042</v>
      </c>
      <c r="B4037" s="6" t="s">
        <v>8043</v>
      </c>
      <c r="C4037" s="6">
        <v>426.0</v>
      </c>
      <c r="D4037" s="9" t="str">
        <f t="shared" si="344"/>
        <v>Open Ad</v>
      </c>
      <c r="E4037" s="6" t="s">
        <v>91</v>
      </c>
      <c r="F4037" s="6" t="s">
        <v>8022</v>
      </c>
      <c r="G4037" s="6" t="s">
        <v>8245</v>
      </c>
      <c r="H4037" s="6" t="s">
        <v>8246</v>
      </c>
      <c r="I4037" s="6" t="s">
        <v>8025</v>
      </c>
      <c r="J4037" s="6" t="s">
        <v>91</v>
      </c>
      <c r="K4037" s="12" t="str">
        <f t="shared" si="345"/>
        <v>View Creative</v>
      </c>
      <c r="L4037" s="6" t="s">
        <v>62</v>
      </c>
      <c r="M4037" s="6" t="s">
        <v>8042</v>
      </c>
      <c r="N4037" s="6" t="s">
        <v>8265</v>
      </c>
      <c r="O4037" s="36" t="s">
        <v>7541</v>
      </c>
      <c r="P4037" s="36" t="s">
        <v>7542</v>
      </c>
      <c r="Q4037" s="38"/>
    </row>
    <row r="4038">
      <c r="A4038" s="6" t="s">
        <v>8042</v>
      </c>
      <c r="B4038" s="6" t="s">
        <v>8043</v>
      </c>
      <c r="C4038" s="6">
        <v>427.0</v>
      </c>
      <c r="D4038" s="9" t="str">
        <f t="shared" ref="D4038:D4039" si="346">HYPERLINK("https://www.linkedin.com/ad-library/detail/813656073","Open Ad")</f>
        <v>Open Ad</v>
      </c>
      <c r="E4038" s="6" t="s">
        <v>91</v>
      </c>
      <c r="F4038" s="6" t="s">
        <v>8022</v>
      </c>
      <c r="G4038" s="6" t="s">
        <v>8249</v>
      </c>
      <c r="H4038" s="6" t="s">
        <v>55</v>
      </c>
      <c r="I4038" s="6" t="s">
        <v>8025</v>
      </c>
      <c r="J4038" s="6" t="s">
        <v>91</v>
      </c>
      <c r="K4038" s="12" t="str">
        <f t="shared" ref="K4038:K4039" si="347">HYPERLINK("https://media.licdn.com/dms/image/v2/D4D22AQFSStIZYa_5-g/feedshare-shrink_1280/B4DZkFOTHhHYA4-/0/1756729259383?e=2147483647&amp;v=beta&amp;t=nP11zE2rYG_Hfl-wu8DAbV5Uqs4BIe0d0lkTy82IgAk","View Creative")</f>
        <v>View Creative</v>
      </c>
      <c r="L4038" s="6" t="s">
        <v>62</v>
      </c>
      <c r="M4038" s="6" t="s">
        <v>8042</v>
      </c>
      <c r="N4038" s="6" t="s">
        <v>8265</v>
      </c>
      <c r="O4038" s="36" t="s">
        <v>7541</v>
      </c>
      <c r="P4038" s="36" t="s">
        <v>7542</v>
      </c>
      <c r="Q4038" s="38"/>
    </row>
    <row r="4039">
      <c r="A4039" s="6" t="s">
        <v>8042</v>
      </c>
      <c r="B4039" s="6" t="s">
        <v>8043</v>
      </c>
      <c r="C4039" s="6">
        <v>428.0</v>
      </c>
      <c r="D4039" s="9" t="str">
        <f t="shared" si="346"/>
        <v>Open Ad</v>
      </c>
      <c r="E4039" s="6" t="s">
        <v>91</v>
      </c>
      <c r="F4039" s="6" t="s">
        <v>8022</v>
      </c>
      <c r="G4039" s="6" t="s">
        <v>8249</v>
      </c>
      <c r="H4039" s="6" t="s">
        <v>55</v>
      </c>
      <c r="I4039" s="6" t="s">
        <v>8025</v>
      </c>
      <c r="J4039" s="6" t="s">
        <v>91</v>
      </c>
      <c r="K4039" s="12" t="str">
        <f t="shared" si="347"/>
        <v>View Creative</v>
      </c>
      <c r="L4039" s="6" t="s">
        <v>62</v>
      </c>
      <c r="M4039" s="6" t="s">
        <v>8042</v>
      </c>
      <c r="N4039" s="6" t="s">
        <v>8265</v>
      </c>
      <c r="O4039" s="36" t="s">
        <v>7541</v>
      </c>
      <c r="P4039" s="36" t="s">
        <v>7542</v>
      </c>
      <c r="Q4039" s="38"/>
    </row>
    <row r="4040">
      <c r="A4040" s="6" t="s">
        <v>8042</v>
      </c>
      <c r="B4040" s="6" t="s">
        <v>8043</v>
      </c>
      <c r="C4040" s="6">
        <v>429.0</v>
      </c>
      <c r="D4040" s="9" t="str">
        <f t="shared" ref="D4040:D4041" si="348">HYPERLINK("https://www.linkedin.com/ad-library/detail/822480166","Open Ad")</f>
        <v>Open Ad</v>
      </c>
      <c r="E4040" s="6" t="s">
        <v>91</v>
      </c>
      <c r="F4040" s="6" t="s">
        <v>8022</v>
      </c>
      <c r="G4040" s="6" t="s">
        <v>8234</v>
      </c>
      <c r="H4040" s="6" t="s">
        <v>55</v>
      </c>
      <c r="I4040" s="6" t="s">
        <v>8025</v>
      </c>
      <c r="J4040" s="6" t="s">
        <v>91</v>
      </c>
      <c r="K4040" s="12" t="str">
        <f t="shared" ref="K4040:K4041" si="349">HYPERLINK("https://media.licdn.com/dms/image/v2/D5610AQFkGrh2YkqHOg/image-shrink_1280/B56Zh5kX.HG0AY-/0/1754386236420/image5png?e=2147483647&amp;v=beta&amp;t=u_Vfx2_BKDJnHlCqaZq_XVVYpqKo2eEmLkIQzTAN98c","View Creative")</f>
        <v>View Creative</v>
      </c>
      <c r="L4040" s="6" t="s">
        <v>62</v>
      </c>
      <c r="M4040" s="6" t="s">
        <v>8042</v>
      </c>
      <c r="N4040" s="6" t="s">
        <v>8255</v>
      </c>
      <c r="O4040" s="36" t="s">
        <v>7541</v>
      </c>
      <c r="P4040" s="36" t="s">
        <v>7542</v>
      </c>
      <c r="Q4040" s="38"/>
    </row>
    <row r="4041">
      <c r="A4041" s="6" t="s">
        <v>8042</v>
      </c>
      <c r="B4041" s="6" t="s">
        <v>8043</v>
      </c>
      <c r="C4041" s="6">
        <v>430.0</v>
      </c>
      <c r="D4041" s="9" t="str">
        <f t="shared" si="348"/>
        <v>Open Ad</v>
      </c>
      <c r="E4041" s="6" t="s">
        <v>91</v>
      </c>
      <c r="F4041" s="6" t="s">
        <v>8022</v>
      </c>
      <c r="G4041" s="6" t="s">
        <v>8234</v>
      </c>
      <c r="H4041" s="6" t="s">
        <v>55</v>
      </c>
      <c r="I4041" s="6" t="s">
        <v>8025</v>
      </c>
      <c r="J4041" s="6" t="s">
        <v>91</v>
      </c>
      <c r="K4041" s="12" t="str">
        <f t="shared" si="349"/>
        <v>View Creative</v>
      </c>
      <c r="L4041" s="6" t="s">
        <v>62</v>
      </c>
      <c r="M4041" s="6" t="s">
        <v>8042</v>
      </c>
      <c r="N4041" s="6" t="s">
        <v>8255</v>
      </c>
      <c r="O4041" s="36" t="s">
        <v>7541</v>
      </c>
      <c r="P4041" s="36" t="s">
        <v>7542</v>
      </c>
      <c r="Q4041" s="38"/>
    </row>
    <row r="4042">
      <c r="A4042" s="6" t="s">
        <v>8042</v>
      </c>
      <c r="B4042" s="6" t="s">
        <v>8043</v>
      </c>
      <c r="C4042" s="6">
        <v>431.0</v>
      </c>
      <c r="D4042" s="9" t="str">
        <f>HYPERLINK("https://www.linkedin.com/ad-library/detail/813596193","Open Ad")</f>
        <v>Open Ad</v>
      </c>
      <c r="E4042" s="6" t="s">
        <v>52</v>
      </c>
      <c r="F4042" s="6" t="s">
        <v>8022</v>
      </c>
      <c r="G4042" s="6" t="s">
        <v>8009</v>
      </c>
      <c r="H4042" s="6" t="s">
        <v>55</v>
      </c>
      <c r="I4042" s="6" t="s">
        <v>8025</v>
      </c>
      <c r="J4042" s="6" t="s">
        <v>52</v>
      </c>
      <c r="K4042" s="6" t="s">
        <v>60</v>
      </c>
      <c r="L4042" s="6" t="s">
        <v>62</v>
      </c>
      <c r="M4042" s="6" t="s">
        <v>8042</v>
      </c>
      <c r="N4042" s="6" t="s">
        <v>8260</v>
      </c>
      <c r="O4042" s="36" t="s">
        <v>7541</v>
      </c>
      <c r="P4042" s="36" t="s">
        <v>7542</v>
      </c>
      <c r="Q4042" s="38"/>
    </row>
    <row r="4043">
      <c r="A4043" s="6" t="s">
        <v>8042</v>
      </c>
      <c r="B4043" s="6" t="s">
        <v>8043</v>
      </c>
      <c r="C4043" s="6">
        <v>432.0</v>
      </c>
      <c r="D4043" s="9" t="str">
        <f t="shared" ref="D4043:D4044" si="350">HYPERLINK("https://www.linkedin.com/ad-library/detail/813566913","Open Ad")</f>
        <v>Open Ad</v>
      </c>
      <c r="E4043" s="6" t="s">
        <v>91</v>
      </c>
      <c r="F4043" s="6" t="s">
        <v>8022</v>
      </c>
      <c r="G4043" s="6" t="s">
        <v>8240</v>
      </c>
      <c r="H4043" s="6" t="s">
        <v>55</v>
      </c>
      <c r="I4043" s="6" t="s">
        <v>8025</v>
      </c>
      <c r="J4043" s="6" t="s">
        <v>91</v>
      </c>
      <c r="K4043" s="12" t="str">
        <f t="shared" ref="K4043:K4044" si="351">HYPERLINK("https://media.licdn.com/dms/image/v2/D4D22AQFZnQ5EGUW9Bg/feedshare-shrink_1280/B4DZkEot5OIEAw-/0/1756719407895?e=2147483647&amp;v=beta&amp;t=PoQ1GShkNh05CZn-sJ_nskNmEbkJYeugLNcTmiSLII0","View Creative")</f>
        <v>View Creative</v>
      </c>
      <c r="L4043" s="6" t="s">
        <v>62</v>
      </c>
      <c r="M4043" s="6" t="s">
        <v>8042</v>
      </c>
      <c r="N4043" s="6" t="s">
        <v>8263</v>
      </c>
      <c r="O4043" s="36" t="s">
        <v>7541</v>
      </c>
      <c r="P4043" s="36" t="s">
        <v>7542</v>
      </c>
      <c r="Q4043" s="38"/>
    </row>
    <row r="4044">
      <c r="A4044" s="6" t="s">
        <v>8042</v>
      </c>
      <c r="B4044" s="6" t="s">
        <v>8043</v>
      </c>
      <c r="C4044" s="6">
        <v>433.0</v>
      </c>
      <c r="D4044" s="9" t="str">
        <f t="shared" si="350"/>
        <v>Open Ad</v>
      </c>
      <c r="E4044" s="6" t="s">
        <v>91</v>
      </c>
      <c r="F4044" s="6" t="s">
        <v>8022</v>
      </c>
      <c r="G4044" s="6" t="s">
        <v>8240</v>
      </c>
      <c r="H4044" s="6" t="s">
        <v>55</v>
      </c>
      <c r="I4044" s="6" t="s">
        <v>8025</v>
      </c>
      <c r="J4044" s="6" t="s">
        <v>91</v>
      </c>
      <c r="K4044" s="12" t="str">
        <f t="shared" si="351"/>
        <v>View Creative</v>
      </c>
      <c r="L4044" s="6" t="s">
        <v>62</v>
      </c>
      <c r="M4044" s="6" t="s">
        <v>8042</v>
      </c>
      <c r="N4044" s="6" t="s">
        <v>8263</v>
      </c>
      <c r="O4044" s="36" t="s">
        <v>7541</v>
      </c>
      <c r="P4044" s="36" t="s">
        <v>7542</v>
      </c>
      <c r="Q4044" s="38"/>
    </row>
    <row r="4045">
      <c r="A4045" s="6" t="s">
        <v>8042</v>
      </c>
      <c r="B4045" s="6" t="s">
        <v>8043</v>
      </c>
      <c r="C4045" s="6">
        <v>434.0</v>
      </c>
      <c r="D4045" s="9" t="str">
        <f>HYPERLINK("https://www.linkedin.com/ad-library/detail/767481643","Open Ad")</f>
        <v>Open Ad</v>
      </c>
      <c r="E4045" s="6" t="s">
        <v>52</v>
      </c>
      <c r="F4045" s="6" t="s">
        <v>8022</v>
      </c>
      <c r="G4045" s="6" t="s">
        <v>8242</v>
      </c>
      <c r="H4045" s="6" t="s">
        <v>55</v>
      </c>
      <c r="I4045" s="6" t="s">
        <v>8025</v>
      </c>
      <c r="J4045" s="6" t="s">
        <v>52</v>
      </c>
      <c r="K4045" s="6" t="s">
        <v>60</v>
      </c>
      <c r="L4045" s="6" t="s">
        <v>62</v>
      </c>
      <c r="M4045" s="6" t="s">
        <v>8042</v>
      </c>
      <c r="N4045" s="6" t="s">
        <v>8266</v>
      </c>
      <c r="O4045" s="36" t="s">
        <v>7541</v>
      </c>
      <c r="P4045" s="36" t="s">
        <v>7542</v>
      </c>
      <c r="Q4045" s="38"/>
    </row>
    <row r="4046">
      <c r="A4046" s="6" t="s">
        <v>8042</v>
      </c>
      <c r="B4046" s="6" t="s">
        <v>8043</v>
      </c>
      <c r="C4046" s="6">
        <v>435.0</v>
      </c>
      <c r="D4046" s="9" t="str">
        <f>HYPERLINK("https://www.linkedin.com/ad-library/detail/813596183","Open Ad")</f>
        <v>Open Ad</v>
      </c>
      <c r="E4046" s="6" t="s">
        <v>52</v>
      </c>
      <c r="F4046" s="6" t="s">
        <v>8022</v>
      </c>
      <c r="G4046" s="6" t="s">
        <v>8009</v>
      </c>
      <c r="H4046" s="6" t="s">
        <v>55</v>
      </c>
      <c r="I4046" s="6" t="s">
        <v>8025</v>
      </c>
      <c r="J4046" s="6" t="s">
        <v>52</v>
      </c>
      <c r="K4046" s="6" t="s">
        <v>60</v>
      </c>
      <c r="L4046" s="6" t="s">
        <v>62</v>
      </c>
      <c r="M4046" s="6" t="s">
        <v>8042</v>
      </c>
      <c r="N4046" s="6" t="s">
        <v>8260</v>
      </c>
      <c r="O4046" s="36" t="s">
        <v>7541</v>
      </c>
      <c r="P4046" s="36" t="s">
        <v>7542</v>
      </c>
      <c r="Q4046" s="38"/>
    </row>
    <row r="4047">
      <c r="A4047" s="6" t="s">
        <v>8042</v>
      </c>
      <c r="B4047" s="6" t="s">
        <v>8043</v>
      </c>
      <c r="C4047" s="6">
        <v>436.0</v>
      </c>
      <c r="D4047" s="9" t="str">
        <f t="shared" ref="D4047:D4048" si="352">HYPERLINK("https://www.linkedin.com/ad-library/detail/835316806","Open Ad")</f>
        <v>Open Ad</v>
      </c>
      <c r="E4047" s="6" t="s">
        <v>91</v>
      </c>
      <c r="F4047" s="6" t="s">
        <v>8022</v>
      </c>
      <c r="G4047" s="6" t="s">
        <v>8264</v>
      </c>
      <c r="H4047" s="6" t="s">
        <v>55</v>
      </c>
      <c r="I4047" s="6" t="s">
        <v>8025</v>
      </c>
      <c r="J4047" s="6" t="s">
        <v>91</v>
      </c>
      <c r="K4047" s="12" t="str">
        <f t="shared" ref="K4047:K4048" si="353">HYPERLINK("https://media.licdn.com/dms/image/v2/D5610AQHx9Ml85MWScw/image-shrink_1280/B56ZjLR6qHHkAM-/0/1755757129249/AISVjpg?e=2147483647&amp;v=beta&amp;t=UFkgcAqGKYcczGhp8Zp3cL0Hp7l43mqe0pC-YiU_gtc","View Creative")</f>
        <v>View Creative</v>
      </c>
      <c r="L4047" s="6" t="s">
        <v>62</v>
      </c>
      <c r="M4047" s="6" t="s">
        <v>8042</v>
      </c>
      <c r="N4047" s="6" t="s">
        <v>8267</v>
      </c>
      <c r="O4047" s="36" t="s">
        <v>7541</v>
      </c>
      <c r="P4047" s="36" t="s">
        <v>7542</v>
      </c>
      <c r="Q4047" s="38"/>
    </row>
    <row r="4048">
      <c r="A4048" s="6" t="s">
        <v>8042</v>
      </c>
      <c r="B4048" s="6" t="s">
        <v>8043</v>
      </c>
      <c r="C4048" s="6">
        <v>437.0</v>
      </c>
      <c r="D4048" s="9" t="str">
        <f t="shared" si="352"/>
        <v>Open Ad</v>
      </c>
      <c r="E4048" s="6" t="s">
        <v>91</v>
      </c>
      <c r="F4048" s="6" t="s">
        <v>8022</v>
      </c>
      <c r="G4048" s="6" t="s">
        <v>8264</v>
      </c>
      <c r="H4048" s="6" t="s">
        <v>55</v>
      </c>
      <c r="I4048" s="6" t="s">
        <v>8025</v>
      </c>
      <c r="J4048" s="6" t="s">
        <v>91</v>
      </c>
      <c r="K4048" s="12" t="str">
        <f t="shared" si="353"/>
        <v>View Creative</v>
      </c>
      <c r="L4048" s="6" t="s">
        <v>62</v>
      </c>
      <c r="M4048" s="6" t="s">
        <v>8042</v>
      </c>
      <c r="N4048" s="6" t="s">
        <v>8267</v>
      </c>
      <c r="O4048" s="36" t="s">
        <v>7541</v>
      </c>
      <c r="P4048" s="36" t="s">
        <v>7542</v>
      </c>
      <c r="Q4048" s="38"/>
    </row>
    <row r="4049">
      <c r="A4049" s="6" t="s">
        <v>8042</v>
      </c>
      <c r="B4049" s="6" t="s">
        <v>8043</v>
      </c>
      <c r="C4049" s="6">
        <v>438.0</v>
      </c>
      <c r="D4049" s="9" t="str">
        <f t="shared" ref="D4049:D4050" si="354">HYPERLINK("https://www.linkedin.com/ad-library/detail/822462486","Open Ad")</f>
        <v>Open Ad</v>
      </c>
      <c r="E4049" s="6" t="s">
        <v>91</v>
      </c>
      <c r="F4049" s="6" t="s">
        <v>8022</v>
      </c>
      <c r="G4049" s="6" t="s">
        <v>8268</v>
      </c>
      <c r="H4049" s="6" t="s">
        <v>55</v>
      </c>
      <c r="I4049" s="6" t="s">
        <v>8025</v>
      </c>
      <c r="J4049" s="6" t="s">
        <v>91</v>
      </c>
      <c r="K4049" s="12" t="str">
        <f t="shared" ref="K4049:K4050" si="355">HYPERLINK("https://media.licdn.com/dms/image/v2/D4D10AQFFyg1vRQrScg/image-shrink_1280/B4DZfLdF3yG8AQ-/0/1751465091021/Hostingercasejpg?e=2147483647&amp;v=beta&amp;t=PAU5IjXg7Y-YLWu5SXvSAnf5XMb48_E15oWjWSujWhQ","View Creative")</f>
        <v>View Creative</v>
      </c>
      <c r="L4049" s="6" t="s">
        <v>62</v>
      </c>
      <c r="M4049" s="6" t="s">
        <v>8042</v>
      </c>
      <c r="N4049" s="6" t="s">
        <v>8269</v>
      </c>
      <c r="O4049" s="36" t="s">
        <v>7541</v>
      </c>
      <c r="P4049" s="36" t="s">
        <v>7542</v>
      </c>
      <c r="Q4049" s="38"/>
    </row>
    <row r="4050">
      <c r="A4050" s="6" t="s">
        <v>8042</v>
      </c>
      <c r="B4050" s="6" t="s">
        <v>8043</v>
      </c>
      <c r="C4050" s="6">
        <v>439.0</v>
      </c>
      <c r="D4050" s="9" t="str">
        <f t="shared" si="354"/>
        <v>Open Ad</v>
      </c>
      <c r="E4050" s="6" t="s">
        <v>91</v>
      </c>
      <c r="F4050" s="6" t="s">
        <v>8022</v>
      </c>
      <c r="G4050" s="6" t="s">
        <v>8268</v>
      </c>
      <c r="H4050" s="6" t="s">
        <v>55</v>
      </c>
      <c r="I4050" s="6" t="s">
        <v>8025</v>
      </c>
      <c r="J4050" s="6" t="s">
        <v>91</v>
      </c>
      <c r="K4050" s="12" t="str">
        <f t="shared" si="355"/>
        <v>View Creative</v>
      </c>
      <c r="L4050" s="6" t="s">
        <v>62</v>
      </c>
      <c r="M4050" s="6" t="s">
        <v>8042</v>
      </c>
      <c r="N4050" s="6" t="s">
        <v>8269</v>
      </c>
      <c r="O4050" s="36" t="s">
        <v>7541</v>
      </c>
      <c r="P4050" s="36" t="s">
        <v>7542</v>
      </c>
      <c r="Q4050" s="38"/>
    </row>
    <row r="4051">
      <c r="A4051" s="6"/>
      <c r="B4051" s="6"/>
      <c r="C4051" s="6"/>
      <c r="E4051" s="6"/>
      <c r="F4051" s="6"/>
      <c r="G4051" s="6"/>
      <c r="H4051" s="6"/>
      <c r="I4051" s="6"/>
      <c r="J4051" s="6"/>
      <c r="K4051" s="6"/>
      <c r="L4051" s="6"/>
      <c r="M4051" s="6"/>
      <c r="N4051" s="6"/>
      <c r="O4051" s="36"/>
      <c r="P4051" s="36"/>
      <c r="Q4051" s="38"/>
    </row>
    <row r="4052">
      <c r="A4052" s="6" t="s">
        <v>8270</v>
      </c>
      <c r="B4052" s="6" t="s">
        <v>8271</v>
      </c>
      <c r="C4052" s="6">
        <v>1.0</v>
      </c>
      <c r="D4052" s="9" t="str">
        <f t="shared" ref="D4052:D4053" si="356">HYPERLINK("https://www.linkedin.com/ad-library/detail/1463821364","Open Ad")</f>
        <v>Open Ad</v>
      </c>
      <c r="E4052" s="6" t="s">
        <v>154</v>
      </c>
      <c r="F4052" s="6" t="s">
        <v>8022</v>
      </c>
      <c r="G4052" s="6" t="s">
        <v>8272</v>
      </c>
      <c r="H4052" s="6" t="s">
        <v>55</v>
      </c>
      <c r="I4052" s="6" t="s">
        <v>8273</v>
      </c>
      <c r="J4052" s="6" t="s">
        <v>154</v>
      </c>
      <c r="K4052" s="12" t="str">
        <f t="shared" ref="K4052:K4053" si="357">HYPERLINK("https://dms.licdn.com/playlist/vid/v2/D4E10AQG5aIPvxpk1Xg/mp4-640p-30fp-crf28/B4EZ8FHD2kH8Bo-/0/1782497167264?e=2147483647&amp;v=beta&amp;t=v6VcUFI-VG4dylvX-9i1QCfgclDAlQIVCY6ZiiHqUBQ","View Creative")</f>
        <v>View Creative</v>
      </c>
      <c r="L4052" s="6" t="s">
        <v>62</v>
      </c>
      <c r="M4052" s="6" t="s">
        <v>8270</v>
      </c>
      <c r="N4052" s="6" t="s">
        <v>8274</v>
      </c>
      <c r="O4052" s="36" t="s">
        <v>7541</v>
      </c>
      <c r="P4052" s="36" t="s">
        <v>7542</v>
      </c>
      <c r="Q4052" s="38"/>
    </row>
    <row r="4053">
      <c r="A4053" s="6" t="s">
        <v>8270</v>
      </c>
      <c r="B4053" s="6" t="s">
        <v>8271</v>
      </c>
      <c r="C4053" s="6">
        <v>2.0</v>
      </c>
      <c r="D4053" s="9" t="str">
        <f t="shared" si="356"/>
        <v>Open Ad</v>
      </c>
      <c r="E4053" s="6" t="s">
        <v>154</v>
      </c>
      <c r="F4053" s="6" t="s">
        <v>8022</v>
      </c>
      <c r="G4053" s="6" t="s">
        <v>8272</v>
      </c>
      <c r="H4053" s="6" t="s">
        <v>55</v>
      </c>
      <c r="I4053" s="6" t="s">
        <v>8273</v>
      </c>
      <c r="J4053" s="6" t="s">
        <v>154</v>
      </c>
      <c r="K4053" s="12" t="str">
        <f t="shared" si="357"/>
        <v>View Creative</v>
      </c>
      <c r="L4053" s="6" t="s">
        <v>62</v>
      </c>
      <c r="M4053" s="6" t="s">
        <v>8270</v>
      </c>
      <c r="N4053" s="6" t="s">
        <v>8274</v>
      </c>
      <c r="O4053" s="36" t="s">
        <v>7541</v>
      </c>
      <c r="P4053" s="36" t="s">
        <v>7542</v>
      </c>
      <c r="Q4053" s="38"/>
    </row>
    <row r="4054">
      <c r="A4054" s="6" t="s">
        <v>8270</v>
      </c>
      <c r="B4054" s="6" t="s">
        <v>8271</v>
      </c>
      <c r="C4054" s="6">
        <v>3.0</v>
      </c>
      <c r="D4054" s="9" t="str">
        <f t="shared" ref="D4054:D4055" si="358">HYPERLINK("https://www.linkedin.com/ad-library/detail/1461805154","Open Ad")</f>
        <v>Open Ad</v>
      </c>
      <c r="E4054" s="6" t="s">
        <v>91</v>
      </c>
      <c r="F4054" s="6" t="s">
        <v>8022</v>
      </c>
      <c r="G4054" s="6" t="s">
        <v>8275</v>
      </c>
      <c r="H4054" s="6" t="s">
        <v>55</v>
      </c>
      <c r="I4054" s="6" t="s">
        <v>8273</v>
      </c>
      <c r="J4054" s="6" t="s">
        <v>91</v>
      </c>
      <c r="K4054" s="12" t="str">
        <f t="shared" ref="K4054:K4055" si="359">HYPERLINK("https://media.licdn.com/dms/image/v2/D4E10AQGKueCfWHuNkg/image-shrink_1280/B4EZ7PBKXZJYAc-/0/1781589649194/A2-C5jpg?e=2147483647&amp;v=beta&amp;t=QmYtHSy_ICSJ76MwsGAlNWrT6Yc_kTWrDq9iNJSaLPw","View Creative")</f>
        <v>View Creative</v>
      </c>
      <c r="L4054" s="6" t="s">
        <v>62</v>
      </c>
      <c r="M4054" s="6" t="s">
        <v>8270</v>
      </c>
      <c r="N4054" s="6" t="s">
        <v>8276</v>
      </c>
      <c r="O4054" s="36" t="s">
        <v>7541</v>
      </c>
      <c r="P4054" s="36" t="s">
        <v>7542</v>
      </c>
      <c r="Q4054" s="38"/>
    </row>
    <row r="4055">
      <c r="A4055" s="6" t="s">
        <v>8270</v>
      </c>
      <c r="B4055" s="6" t="s">
        <v>8271</v>
      </c>
      <c r="C4055" s="6">
        <v>4.0</v>
      </c>
      <c r="D4055" s="9" t="str">
        <f t="shared" si="358"/>
        <v>Open Ad</v>
      </c>
      <c r="E4055" s="6" t="s">
        <v>91</v>
      </c>
      <c r="F4055" s="6" t="s">
        <v>8022</v>
      </c>
      <c r="G4055" s="6" t="s">
        <v>8275</v>
      </c>
      <c r="H4055" s="6" t="s">
        <v>55</v>
      </c>
      <c r="I4055" s="6" t="s">
        <v>8273</v>
      </c>
      <c r="J4055" s="6" t="s">
        <v>91</v>
      </c>
      <c r="K4055" s="12" t="str">
        <f t="shared" si="359"/>
        <v>View Creative</v>
      </c>
      <c r="L4055" s="6" t="s">
        <v>62</v>
      </c>
      <c r="M4055" s="6" t="s">
        <v>8270</v>
      </c>
      <c r="N4055" s="6" t="s">
        <v>8276</v>
      </c>
      <c r="O4055" s="36" t="s">
        <v>7541</v>
      </c>
      <c r="P4055" s="36" t="s">
        <v>7542</v>
      </c>
      <c r="Q4055" s="38"/>
    </row>
    <row r="4056">
      <c r="A4056" s="6" t="s">
        <v>8270</v>
      </c>
      <c r="B4056" s="6" t="s">
        <v>8271</v>
      </c>
      <c r="C4056" s="6">
        <v>5.0</v>
      </c>
      <c r="D4056" s="9" t="str">
        <f t="shared" ref="D4056:D4057" si="360">HYPERLINK("https://www.linkedin.com/ad-library/detail/1461805354","Open Ad")</f>
        <v>Open Ad</v>
      </c>
      <c r="E4056" s="6" t="s">
        <v>154</v>
      </c>
      <c r="F4056" s="6" t="s">
        <v>8022</v>
      </c>
      <c r="G4056" s="6" t="s">
        <v>8277</v>
      </c>
      <c r="H4056" s="6" t="s">
        <v>55</v>
      </c>
      <c r="I4056" s="6" t="s">
        <v>8273</v>
      </c>
      <c r="J4056" s="6" t="s">
        <v>154</v>
      </c>
      <c r="K4056" s="12" t="str">
        <f t="shared" ref="K4056:K4057" si="361">HYPERLINK("https://dms.licdn.com/playlist/vid/v2/D4D05AQEIf9NwdY28Aw/mp4-640p-30fp-crf28/B4DZ7UjqlwIsBk-/0/1781682586823?e=2147483647&amp;v=beta&amp;t=tBZ48iwqTXeGZnyWtdMDmH2-gats8SVb3dfrwWwiWBA","View Creative")</f>
        <v>View Creative</v>
      </c>
      <c r="L4056" s="6" t="s">
        <v>62</v>
      </c>
      <c r="M4056" s="6" t="s">
        <v>8270</v>
      </c>
      <c r="N4056" s="6" t="s">
        <v>8276</v>
      </c>
      <c r="O4056" s="36" t="s">
        <v>7541</v>
      </c>
      <c r="P4056" s="36" t="s">
        <v>7542</v>
      </c>
      <c r="Q4056" s="38"/>
    </row>
    <row r="4057">
      <c r="A4057" s="6" t="s">
        <v>8270</v>
      </c>
      <c r="B4057" s="6" t="s">
        <v>8271</v>
      </c>
      <c r="C4057" s="6">
        <v>6.0</v>
      </c>
      <c r="D4057" s="9" t="str">
        <f t="shared" si="360"/>
        <v>Open Ad</v>
      </c>
      <c r="E4057" s="6" t="s">
        <v>154</v>
      </c>
      <c r="F4057" s="6" t="s">
        <v>8022</v>
      </c>
      <c r="G4057" s="6" t="s">
        <v>8277</v>
      </c>
      <c r="H4057" s="6" t="s">
        <v>55</v>
      </c>
      <c r="I4057" s="6" t="s">
        <v>8273</v>
      </c>
      <c r="J4057" s="6" t="s">
        <v>154</v>
      </c>
      <c r="K4057" s="12" t="str">
        <f t="shared" si="361"/>
        <v>View Creative</v>
      </c>
      <c r="L4057" s="6" t="s">
        <v>62</v>
      </c>
      <c r="M4057" s="6" t="s">
        <v>8270</v>
      </c>
      <c r="N4057" s="6" t="s">
        <v>8276</v>
      </c>
      <c r="O4057" s="36" t="s">
        <v>7541</v>
      </c>
      <c r="P4057" s="36" t="s">
        <v>7542</v>
      </c>
      <c r="Q4057" s="38"/>
    </row>
    <row r="4058">
      <c r="A4058" s="6" t="s">
        <v>8270</v>
      </c>
      <c r="B4058" s="6" t="s">
        <v>8271</v>
      </c>
      <c r="C4058" s="6">
        <v>7.0</v>
      </c>
      <c r="D4058" s="9" t="str">
        <f t="shared" ref="D4058:D4059" si="362">HYPERLINK("https://www.linkedin.com/ad-library/detail/1541319404","Open Ad")</f>
        <v>Open Ad</v>
      </c>
      <c r="E4058" s="6" t="s">
        <v>91</v>
      </c>
      <c r="F4058" s="6" t="s">
        <v>8022</v>
      </c>
      <c r="G4058" s="6" t="s">
        <v>8278</v>
      </c>
      <c r="H4058" s="6" t="s">
        <v>55</v>
      </c>
      <c r="I4058" s="6" t="s">
        <v>8273</v>
      </c>
      <c r="J4058" s="6" t="s">
        <v>91</v>
      </c>
      <c r="K4058" s="12" t="str">
        <f t="shared" ref="K4058:K4061" si="363">HYPERLINK("https://media.licdn.com/dms/image/v2/D4E22AQFuX_Bi_VHIsw/feedshare-shrink_1280/B4EaBbyQUFGoAM-/0/1788246296327?e=2147483647&amp;v=beta&amp;t=YN5Q8G0UqOBq9Zp_Ss3o08ZiEogxg1yTMo2G4cPkRC4","View Creative")</f>
        <v>View Creative</v>
      </c>
      <c r="L4058" s="6" t="s">
        <v>62</v>
      </c>
      <c r="M4058" s="6" t="s">
        <v>8270</v>
      </c>
      <c r="N4058" s="6"/>
      <c r="O4058" s="36" t="s">
        <v>7541</v>
      </c>
      <c r="P4058" s="36" t="s">
        <v>7542</v>
      </c>
      <c r="Q4058" s="38"/>
    </row>
    <row r="4059">
      <c r="A4059" s="6" t="s">
        <v>8270</v>
      </c>
      <c r="B4059" s="6" t="s">
        <v>8271</v>
      </c>
      <c r="C4059" s="6">
        <v>8.0</v>
      </c>
      <c r="D4059" s="9" t="str">
        <f t="shared" si="362"/>
        <v>Open Ad</v>
      </c>
      <c r="E4059" s="6" t="s">
        <v>91</v>
      </c>
      <c r="F4059" s="6" t="s">
        <v>8022</v>
      </c>
      <c r="G4059" s="6" t="s">
        <v>8278</v>
      </c>
      <c r="H4059" s="6" t="s">
        <v>55</v>
      </c>
      <c r="I4059" s="6" t="s">
        <v>8273</v>
      </c>
      <c r="J4059" s="6" t="s">
        <v>91</v>
      </c>
      <c r="K4059" s="12" t="str">
        <f t="shared" si="363"/>
        <v>View Creative</v>
      </c>
      <c r="L4059" s="6" t="s">
        <v>62</v>
      </c>
      <c r="M4059" s="6" t="s">
        <v>8270</v>
      </c>
      <c r="N4059" s="6"/>
      <c r="O4059" s="36" t="s">
        <v>7541</v>
      </c>
      <c r="P4059" s="36" t="s">
        <v>7542</v>
      </c>
      <c r="Q4059" s="38"/>
    </row>
    <row r="4060">
      <c r="A4060" s="6" t="s">
        <v>8270</v>
      </c>
      <c r="B4060" s="6" t="s">
        <v>8271</v>
      </c>
      <c r="C4060" s="6">
        <v>9.0</v>
      </c>
      <c r="D4060" s="9" t="str">
        <f t="shared" ref="D4060:D4061" si="364">HYPERLINK("https://www.linkedin.com/ad-library/detail/1541279364","Open Ad")</f>
        <v>Open Ad</v>
      </c>
      <c r="E4060" s="6" t="s">
        <v>91</v>
      </c>
      <c r="F4060" s="6" t="s">
        <v>8022</v>
      </c>
      <c r="G4060" s="6" t="s">
        <v>8278</v>
      </c>
      <c r="H4060" s="6" t="s">
        <v>55</v>
      </c>
      <c r="I4060" s="6" t="s">
        <v>8273</v>
      </c>
      <c r="J4060" s="6" t="s">
        <v>91</v>
      </c>
      <c r="K4060" s="12" t="str">
        <f t="shared" si="363"/>
        <v>View Creative</v>
      </c>
      <c r="L4060" s="6" t="s">
        <v>62</v>
      </c>
      <c r="M4060" s="6" t="s">
        <v>8270</v>
      </c>
      <c r="N4060" s="6"/>
      <c r="O4060" s="36" t="s">
        <v>7541</v>
      </c>
      <c r="P4060" s="36" t="s">
        <v>7542</v>
      </c>
      <c r="Q4060" s="38"/>
    </row>
    <row r="4061">
      <c r="A4061" s="6" t="s">
        <v>8270</v>
      </c>
      <c r="B4061" s="6" t="s">
        <v>8271</v>
      </c>
      <c r="C4061" s="6">
        <v>10.0</v>
      </c>
      <c r="D4061" s="9" t="str">
        <f t="shared" si="364"/>
        <v>Open Ad</v>
      </c>
      <c r="E4061" s="6" t="s">
        <v>91</v>
      </c>
      <c r="F4061" s="6" t="s">
        <v>8022</v>
      </c>
      <c r="G4061" s="6" t="s">
        <v>8278</v>
      </c>
      <c r="H4061" s="6" t="s">
        <v>55</v>
      </c>
      <c r="I4061" s="6" t="s">
        <v>8273</v>
      </c>
      <c r="J4061" s="6" t="s">
        <v>91</v>
      </c>
      <c r="K4061" s="12" t="str">
        <f t="shared" si="363"/>
        <v>View Creative</v>
      </c>
      <c r="L4061" s="6" t="s">
        <v>62</v>
      </c>
      <c r="M4061" s="6" t="s">
        <v>8270</v>
      </c>
      <c r="N4061" s="6"/>
      <c r="O4061" s="36" t="s">
        <v>7541</v>
      </c>
      <c r="P4061" s="36" t="s">
        <v>7542</v>
      </c>
      <c r="Q4061" s="38"/>
    </row>
    <row r="4062">
      <c r="A4062" s="6" t="s">
        <v>8270</v>
      </c>
      <c r="B4062" s="6" t="s">
        <v>8271</v>
      </c>
      <c r="C4062" s="6">
        <v>11.0</v>
      </c>
      <c r="D4062" s="9" t="str">
        <f t="shared" ref="D4062:D4063" si="365">HYPERLINK("https://www.linkedin.com/ad-library/detail/1460337384","Open Ad")</f>
        <v>Open Ad</v>
      </c>
      <c r="E4062" s="6" t="s">
        <v>91</v>
      </c>
      <c r="F4062" s="6" t="s">
        <v>8022</v>
      </c>
      <c r="G4062" s="6" t="s">
        <v>8272</v>
      </c>
      <c r="H4062" s="6" t="s">
        <v>55</v>
      </c>
      <c r="I4062" s="6" t="s">
        <v>8273</v>
      </c>
      <c r="J4062" s="6" t="s">
        <v>91</v>
      </c>
      <c r="K4062" s="12" t="str">
        <f t="shared" ref="K4062:K4063" si="366">HYPERLINK("https://media.licdn.com/dms/image/v2/D4E10AQH3OzCdZHf2Rg/image-shrink_1280/B4EZ7PAtc6HsAc-/0/1781589530762/A1-C2jpg?e=2147483647&amp;v=beta&amp;t=jvEEtQo8Ew8RgeBlebDqOzIFj4JMGRWuQ9VpaUwXuGc","View Creative")</f>
        <v>View Creative</v>
      </c>
      <c r="L4062" s="6" t="s">
        <v>62</v>
      </c>
      <c r="M4062" s="6" t="s">
        <v>8270</v>
      </c>
      <c r="N4062" s="6" t="s">
        <v>8279</v>
      </c>
      <c r="O4062" s="36" t="s">
        <v>7541</v>
      </c>
      <c r="P4062" s="36" t="s">
        <v>7542</v>
      </c>
      <c r="Q4062" s="38"/>
    </row>
    <row r="4063">
      <c r="A4063" s="6" t="s">
        <v>8270</v>
      </c>
      <c r="B4063" s="6" t="s">
        <v>8271</v>
      </c>
      <c r="C4063" s="6">
        <v>12.0</v>
      </c>
      <c r="D4063" s="9" t="str">
        <f t="shared" si="365"/>
        <v>Open Ad</v>
      </c>
      <c r="E4063" s="6" t="s">
        <v>91</v>
      </c>
      <c r="F4063" s="6" t="s">
        <v>8022</v>
      </c>
      <c r="G4063" s="6" t="s">
        <v>8272</v>
      </c>
      <c r="H4063" s="6" t="s">
        <v>55</v>
      </c>
      <c r="I4063" s="6" t="s">
        <v>8273</v>
      </c>
      <c r="J4063" s="6" t="s">
        <v>91</v>
      </c>
      <c r="K4063" s="12" t="str">
        <f t="shared" si="366"/>
        <v>View Creative</v>
      </c>
      <c r="L4063" s="6" t="s">
        <v>62</v>
      </c>
      <c r="M4063" s="6" t="s">
        <v>8270</v>
      </c>
      <c r="N4063" s="6" t="s">
        <v>8279</v>
      </c>
      <c r="O4063" s="36" t="s">
        <v>7541</v>
      </c>
      <c r="P4063" s="36" t="s">
        <v>7542</v>
      </c>
      <c r="Q4063" s="38"/>
    </row>
    <row r="4064">
      <c r="A4064" s="6" t="s">
        <v>8270</v>
      </c>
      <c r="B4064" s="6" t="s">
        <v>8271</v>
      </c>
      <c r="C4064" s="6">
        <v>13.0</v>
      </c>
      <c r="D4064" s="9" t="str">
        <f t="shared" ref="D4064:D4065" si="367">HYPERLINK("https://www.linkedin.com/ad-library/detail/1461991144","Open Ad")</f>
        <v>Open Ad</v>
      </c>
      <c r="E4064" s="6" t="s">
        <v>91</v>
      </c>
      <c r="F4064" s="6" t="s">
        <v>8022</v>
      </c>
      <c r="G4064" s="6" t="s">
        <v>8280</v>
      </c>
      <c r="H4064" s="6" t="s">
        <v>55</v>
      </c>
      <c r="I4064" s="6" t="s">
        <v>8273</v>
      </c>
      <c r="J4064" s="6" t="s">
        <v>91</v>
      </c>
      <c r="K4064" s="12" t="str">
        <f t="shared" ref="K4064:K4065" si="368">HYPERLINK("https://media.licdn.com/dms/image/v2/D4E10AQF2ktfInfNdRA/image-shrink_1280/B4EZ7PAwycKkAc-/0/1781589544471/A1-C3jpg?e=2147483647&amp;v=beta&amp;t=4ZB7lsD7pClowz17nBscZmQ9yX3zLhyBGjzU36FpmnA","View Creative")</f>
        <v>View Creative</v>
      </c>
      <c r="L4064" s="6" t="s">
        <v>62</v>
      </c>
      <c r="M4064" s="6" t="s">
        <v>8270</v>
      </c>
      <c r="N4064" s="6" t="s">
        <v>8276</v>
      </c>
      <c r="O4064" s="36" t="s">
        <v>7541</v>
      </c>
      <c r="P4064" s="36" t="s">
        <v>7542</v>
      </c>
      <c r="Q4064" s="38"/>
    </row>
    <row r="4065">
      <c r="A4065" s="6" t="s">
        <v>8270</v>
      </c>
      <c r="B4065" s="6" t="s">
        <v>8271</v>
      </c>
      <c r="C4065" s="6">
        <v>14.0</v>
      </c>
      <c r="D4065" s="9" t="str">
        <f t="shared" si="367"/>
        <v>Open Ad</v>
      </c>
      <c r="E4065" s="6" t="s">
        <v>91</v>
      </c>
      <c r="F4065" s="6" t="s">
        <v>8022</v>
      </c>
      <c r="G4065" s="6" t="s">
        <v>8280</v>
      </c>
      <c r="H4065" s="6" t="s">
        <v>55</v>
      </c>
      <c r="I4065" s="6" t="s">
        <v>8273</v>
      </c>
      <c r="J4065" s="6" t="s">
        <v>91</v>
      </c>
      <c r="K4065" s="12" t="str">
        <f t="shared" si="368"/>
        <v>View Creative</v>
      </c>
      <c r="L4065" s="6" t="s">
        <v>62</v>
      </c>
      <c r="M4065" s="6" t="s">
        <v>8270</v>
      </c>
      <c r="N4065" s="6" t="s">
        <v>8276</v>
      </c>
      <c r="O4065" s="36" t="s">
        <v>7541</v>
      </c>
      <c r="P4065" s="36" t="s">
        <v>7542</v>
      </c>
      <c r="Q4065" s="38"/>
    </row>
    <row r="4066">
      <c r="A4066" s="6" t="s">
        <v>8270</v>
      </c>
      <c r="B4066" s="6" t="s">
        <v>8271</v>
      </c>
      <c r="C4066" s="6">
        <v>15.0</v>
      </c>
      <c r="D4066" s="9" t="str">
        <f t="shared" ref="D4066:D4067" si="369">HYPERLINK("https://www.linkedin.com/ad-library/detail/1461823274","Open Ad")</f>
        <v>Open Ad</v>
      </c>
      <c r="E4066" s="6" t="s">
        <v>91</v>
      </c>
      <c r="F4066" s="6" t="s">
        <v>8022</v>
      </c>
      <c r="G4066" s="6" t="s">
        <v>8281</v>
      </c>
      <c r="H4066" s="6" t="s">
        <v>55</v>
      </c>
      <c r="I4066" s="6" t="s">
        <v>8273</v>
      </c>
      <c r="J4066" s="6" t="s">
        <v>91</v>
      </c>
      <c r="K4066" s="12" t="str">
        <f t="shared" ref="K4066:K4067" si="370">HYPERLINK("https://media.licdn.com/dms/image/v2/D4E10AQE-9lDIBMB7ow/image-shrink_1280/B4EZ7PB6fVHkAc-/0/1781589846302/A3-C3jpg?e=2147483647&amp;v=beta&amp;t=VzXZ0xKb8Cn-eOV6wgC2UKL8s8P_uVXnTsOkNB8-WY0","View Creative")</f>
        <v>View Creative</v>
      </c>
      <c r="L4066" s="6" t="s">
        <v>62</v>
      </c>
      <c r="M4066" s="6" t="s">
        <v>8270</v>
      </c>
      <c r="N4066" s="6" t="s">
        <v>8276</v>
      </c>
      <c r="O4066" s="36" t="s">
        <v>7541</v>
      </c>
      <c r="P4066" s="36" t="s">
        <v>7542</v>
      </c>
      <c r="Q4066" s="38"/>
    </row>
    <row r="4067">
      <c r="A4067" s="6" t="s">
        <v>8270</v>
      </c>
      <c r="B4067" s="6" t="s">
        <v>8271</v>
      </c>
      <c r="C4067" s="6">
        <v>16.0</v>
      </c>
      <c r="D4067" s="9" t="str">
        <f t="shared" si="369"/>
        <v>Open Ad</v>
      </c>
      <c r="E4067" s="6" t="s">
        <v>91</v>
      </c>
      <c r="F4067" s="6" t="s">
        <v>8022</v>
      </c>
      <c r="G4067" s="6" t="s">
        <v>8281</v>
      </c>
      <c r="H4067" s="6" t="s">
        <v>55</v>
      </c>
      <c r="I4067" s="6" t="s">
        <v>8273</v>
      </c>
      <c r="J4067" s="6" t="s">
        <v>91</v>
      </c>
      <c r="K4067" s="12" t="str">
        <f t="shared" si="370"/>
        <v>View Creative</v>
      </c>
      <c r="L4067" s="6" t="s">
        <v>62</v>
      </c>
      <c r="M4067" s="6" t="s">
        <v>8270</v>
      </c>
      <c r="N4067" s="6" t="s">
        <v>8276</v>
      </c>
      <c r="O4067" s="36" t="s">
        <v>7541</v>
      </c>
      <c r="P4067" s="36" t="s">
        <v>7542</v>
      </c>
      <c r="Q4067" s="38"/>
    </row>
    <row r="4068">
      <c r="A4068" s="6" t="s">
        <v>8270</v>
      </c>
      <c r="B4068" s="6" t="s">
        <v>8271</v>
      </c>
      <c r="C4068" s="6">
        <v>17.0</v>
      </c>
      <c r="D4068" s="9" t="str">
        <f t="shared" ref="D4068:D4069" si="371">HYPERLINK("https://www.linkedin.com/ad-library/detail/1461873934","Open Ad")</f>
        <v>Open Ad</v>
      </c>
      <c r="E4068" s="6" t="s">
        <v>154</v>
      </c>
      <c r="F4068" s="6" t="s">
        <v>8022</v>
      </c>
      <c r="G4068" s="6" t="s">
        <v>8282</v>
      </c>
      <c r="H4068" s="6" t="s">
        <v>55</v>
      </c>
      <c r="I4068" s="6" t="s">
        <v>8273</v>
      </c>
      <c r="J4068" s="6" t="s">
        <v>154</v>
      </c>
      <c r="K4068" s="12" t="str">
        <f t="shared" ref="K4068:K4069" si="372">HYPERLINK("https://dms.licdn.com/playlist/vid/v2/D4E10AQGVR5Jkuz5k7Q/progressive-servable-video/B4EZ8FHsvYIwAY-/0/1782497333364?e=2147483647&amp;v=beta&amp;t=Ujdv20Z3XG7SdfMbXDMG-TRqCsBxqC5FJt5bzXovMK0","View Creative")</f>
        <v>View Creative</v>
      </c>
      <c r="L4068" s="6" t="s">
        <v>62</v>
      </c>
      <c r="M4068" s="6" t="s">
        <v>8270</v>
      </c>
      <c r="N4068" s="6" t="s">
        <v>8283</v>
      </c>
      <c r="O4068" s="36" t="s">
        <v>7541</v>
      </c>
      <c r="P4068" s="36" t="s">
        <v>7542</v>
      </c>
      <c r="Q4068" s="38"/>
    </row>
    <row r="4069">
      <c r="A4069" s="6" t="s">
        <v>8270</v>
      </c>
      <c r="B4069" s="6" t="s">
        <v>8271</v>
      </c>
      <c r="C4069" s="6">
        <v>18.0</v>
      </c>
      <c r="D4069" s="9" t="str">
        <f t="shared" si="371"/>
        <v>Open Ad</v>
      </c>
      <c r="E4069" s="6" t="s">
        <v>154</v>
      </c>
      <c r="F4069" s="6" t="s">
        <v>8022</v>
      </c>
      <c r="G4069" s="6" t="s">
        <v>8282</v>
      </c>
      <c r="H4069" s="6" t="s">
        <v>55</v>
      </c>
      <c r="I4069" s="6" t="s">
        <v>8273</v>
      </c>
      <c r="J4069" s="6" t="s">
        <v>154</v>
      </c>
      <c r="K4069" s="12" t="str">
        <f t="shared" si="372"/>
        <v>View Creative</v>
      </c>
      <c r="L4069" s="6" t="s">
        <v>62</v>
      </c>
      <c r="M4069" s="6" t="s">
        <v>8270</v>
      </c>
      <c r="N4069" s="6" t="s">
        <v>8283</v>
      </c>
      <c r="O4069" s="36" t="s">
        <v>7541</v>
      </c>
      <c r="P4069" s="36" t="s">
        <v>7542</v>
      </c>
      <c r="Q4069" s="38"/>
    </row>
    <row r="4070">
      <c r="A4070" s="6" t="s">
        <v>8270</v>
      </c>
      <c r="B4070" s="6" t="s">
        <v>8271</v>
      </c>
      <c r="C4070" s="6">
        <v>19.0</v>
      </c>
      <c r="D4070" s="9" t="str">
        <f t="shared" ref="D4070:D4071" si="373">HYPERLINK("https://www.linkedin.com/ad-library/detail/1461951564","Open Ad")</f>
        <v>Open Ad</v>
      </c>
      <c r="E4070" s="6" t="s">
        <v>91</v>
      </c>
      <c r="F4070" s="6" t="s">
        <v>8022</v>
      </c>
      <c r="G4070" s="6" t="s">
        <v>8284</v>
      </c>
      <c r="H4070" s="6" t="s">
        <v>55</v>
      </c>
      <c r="I4070" s="6" t="s">
        <v>8273</v>
      </c>
      <c r="J4070" s="6" t="s">
        <v>91</v>
      </c>
      <c r="K4070" s="12" t="str">
        <f t="shared" ref="K4070:K4071" si="374">HYPERLINK("https://media.licdn.com/dms/image/v2/D4E10AQFefpbzB6Wrnw/image-shrink_1280/B4EZ7PCAamJYAc-/0/1781589870601/A3-C5jpg?e=2147483647&amp;v=beta&amp;t=LtNfPNfoiA2rJgVNC5pKv8gEDmKG_4iO3tCU_G77JNQ","View Creative")</f>
        <v>View Creative</v>
      </c>
      <c r="L4070" s="6" t="s">
        <v>62</v>
      </c>
      <c r="M4070" s="6" t="s">
        <v>8270</v>
      </c>
      <c r="N4070" s="6" t="s">
        <v>8276</v>
      </c>
      <c r="O4070" s="36" t="s">
        <v>7541</v>
      </c>
      <c r="P4070" s="36" t="s">
        <v>7542</v>
      </c>
      <c r="Q4070" s="38"/>
    </row>
    <row r="4071">
      <c r="A4071" s="6" t="s">
        <v>8270</v>
      </c>
      <c r="B4071" s="6" t="s">
        <v>8271</v>
      </c>
      <c r="C4071" s="6">
        <v>20.0</v>
      </c>
      <c r="D4071" s="9" t="str">
        <f t="shared" si="373"/>
        <v>Open Ad</v>
      </c>
      <c r="E4071" s="6" t="s">
        <v>91</v>
      </c>
      <c r="F4071" s="6" t="s">
        <v>8022</v>
      </c>
      <c r="G4071" s="6" t="s">
        <v>8284</v>
      </c>
      <c r="H4071" s="6" t="s">
        <v>55</v>
      </c>
      <c r="I4071" s="6" t="s">
        <v>8273</v>
      </c>
      <c r="J4071" s="6" t="s">
        <v>91</v>
      </c>
      <c r="K4071" s="12" t="str">
        <f t="shared" si="374"/>
        <v>View Creative</v>
      </c>
      <c r="L4071" s="6" t="s">
        <v>62</v>
      </c>
      <c r="M4071" s="6" t="s">
        <v>8270</v>
      </c>
      <c r="N4071" s="6" t="s">
        <v>8276</v>
      </c>
      <c r="O4071" s="36" t="s">
        <v>7541</v>
      </c>
      <c r="P4071" s="36" t="s">
        <v>7542</v>
      </c>
      <c r="Q4071" s="38"/>
    </row>
    <row r="4072">
      <c r="A4072" s="6" t="s">
        <v>8270</v>
      </c>
      <c r="B4072" s="6" t="s">
        <v>8271</v>
      </c>
      <c r="C4072" s="6">
        <v>21.0</v>
      </c>
      <c r="D4072" s="9" t="str">
        <f t="shared" ref="D4072:D4073" si="375">HYPERLINK("https://www.linkedin.com/ad-library/detail/1463695334","Open Ad")</f>
        <v>Open Ad</v>
      </c>
      <c r="E4072" s="6" t="s">
        <v>154</v>
      </c>
      <c r="F4072" s="6" t="s">
        <v>8022</v>
      </c>
      <c r="G4072" s="6" t="s">
        <v>8282</v>
      </c>
      <c r="H4072" s="6" t="s">
        <v>55</v>
      </c>
      <c r="I4072" s="6" t="s">
        <v>8273</v>
      </c>
      <c r="J4072" s="6" t="s">
        <v>154</v>
      </c>
      <c r="K4072" s="12" t="str">
        <f t="shared" ref="K4072:K4073" si="376">HYPERLINK("https://dms.licdn.com/playlist/vid/v2/D4E10AQGVR5Jkuz5k7Q/progressive-servable-video/B4EZ8FHsvYIwAY-/0/1782497333364?e=2147483647&amp;v=beta&amp;t=Ujdv20Z3XG7SdfMbXDMG-TRqCsBxqC5FJt5bzXovMK0","View Creative")</f>
        <v>View Creative</v>
      </c>
      <c r="L4072" s="6" t="s">
        <v>62</v>
      </c>
      <c r="M4072" s="6" t="s">
        <v>8270</v>
      </c>
      <c r="N4072" s="6" t="s">
        <v>8274</v>
      </c>
      <c r="O4072" s="36" t="s">
        <v>7541</v>
      </c>
      <c r="P4072" s="36" t="s">
        <v>7542</v>
      </c>
      <c r="Q4072" s="38"/>
    </row>
    <row r="4073">
      <c r="A4073" s="6" t="s">
        <v>8270</v>
      </c>
      <c r="B4073" s="6" t="s">
        <v>8271</v>
      </c>
      <c r="C4073" s="6">
        <v>22.0</v>
      </c>
      <c r="D4073" s="9" t="str">
        <f t="shared" si="375"/>
        <v>Open Ad</v>
      </c>
      <c r="E4073" s="6" t="s">
        <v>154</v>
      </c>
      <c r="F4073" s="6" t="s">
        <v>8022</v>
      </c>
      <c r="G4073" s="6" t="s">
        <v>8282</v>
      </c>
      <c r="H4073" s="6" t="s">
        <v>55</v>
      </c>
      <c r="I4073" s="6" t="s">
        <v>8273</v>
      </c>
      <c r="J4073" s="6" t="s">
        <v>154</v>
      </c>
      <c r="K4073" s="12" t="str">
        <f t="shared" si="376"/>
        <v>View Creative</v>
      </c>
      <c r="L4073" s="6" t="s">
        <v>62</v>
      </c>
      <c r="M4073" s="6" t="s">
        <v>8270</v>
      </c>
      <c r="N4073" s="6" t="s">
        <v>8274</v>
      </c>
      <c r="O4073" s="36" t="s">
        <v>7541</v>
      </c>
      <c r="P4073" s="36" t="s">
        <v>7542</v>
      </c>
      <c r="Q4073" s="38"/>
    </row>
    <row r="4074">
      <c r="A4074" s="6" t="s">
        <v>8270</v>
      </c>
      <c r="B4074" s="6" t="s">
        <v>8271</v>
      </c>
      <c r="C4074" s="6">
        <v>23.0</v>
      </c>
      <c r="D4074" s="9" t="str">
        <f t="shared" ref="D4074:D4075" si="377">HYPERLINK("https://www.linkedin.com/ad-library/detail/1461852804","Open Ad")</f>
        <v>Open Ad</v>
      </c>
      <c r="E4074" s="6" t="s">
        <v>91</v>
      </c>
      <c r="F4074" s="6" t="s">
        <v>8022</v>
      </c>
      <c r="G4074" s="6" t="s">
        <v>8282</v>
      </c>
      <c r="H4074" s="6" t="s">
        <v>55</v>
      </c>
      <c r="I4074" s="6" t="s">
        <v>8273</v>
      </c>
      <c r="J4074" s="6" t="s">
        <v>91</v>
      </c>
      <c r="K4074" s="12" t="str">
        <f t="shared" ref="K4074:K4075" si="378">HYPERLINK("https://media.licdn.com/dms/image/v2/D4E10AQEsenA2dN72-Q/image-shrink_1280/B4EZ7PAqDDHwAc-/0/1781589516809/A1-C1jpg?e=2147483647&amp;v=beta&amp;t=OLJIKQzNXYF585Cu545nuOPmx2JH_ffgToA-fniP23U","View Creative")</f>
        <v>View Creative</v>
      </c>
      <c r="L4074" s="6" t="s">
        <v>62</v>
      </c>
      <c r="M4074" s="6" t="s">
        <v>8270</v>
      </c>
      <c r="N4074" s="6" t="s">
        <v>8276</v>
      </c>
      <c r="O4074" s="36" t="s">
        <v>7541</v>
      </c>
      <c r="P4074" s="36" t="s">
        <v>7542</v>
      </c>
      <c r="Q4074" s="38"/>
    </row>
    <row r="4075">
      <c r="A4075" s="6" t="s">
        <v>8270</v>
      </c>
      <c r="B4075" s="6" t="s">
        <v>8271</v>
      </c>
      <c r="C4075" s="6">
        <v>24.0</v>
      </c>
      <c r="D4075" s="9" t="str">
        <f t="shared" si="377"/>
        <v>Open Ad</v>
      </c>
      <c r="E4075" s="6" t="s">
        <v>91</v>
      </c>
      <c r="F4075" s="6" t="s">
        <v>8022</v>
      </c>
      <c r="G4075" s="6" t="s">
        <v>8282</v>
      </c>
      <c r="H4075" s="6" t="s">
        <v>55</v>
      </c>
      <c r="I4075" s="6" t="s">
        <v>8273</v>
      </c>
      <c r="J4075" s="6" t="s">
        <v>91</v>
      </c>
      <c r="K4075" s="12" t="str">
        <f t="shared" si="378"/>
        <v>View Creative</v>
      </c>
      <c r="L4075" s="6" t="s">
        <v>62</v>
      </c>
      <c r="M4075" s="6" t="s">
        <v>8270</v>
      </c>
      <c r="N4075" s="6" t="s">
        <v>8276</v>
      </c>
      <c r="O4075" s="36" t="s">
        <v>7541</v>
      </c>
      <c r="P4075" s="36" t="s">
        <v>7542</v>
      </c>
      <c r="Q4075" s="38"/>
    </row>
    <row r="4076">
      <c r="A4076" s="6" t="s">
        <v>8270</v>
      </c>
      <c r="B4076" s="6" t="s">
        <v>8271</v>
      </c>
      <c r="C4076" s="6">
        <v>25.0</v>
      </c>
      <c r="D4076" s="9" t="str">
        <f t="shared" ref="D4076:D4077" si="379">HYPERLINK("https://www.linkedin.com/ad-library/detail/1541333894","Open Ad")</f>
        <v>Open Ad</v>
      </c>
      <c r="E4076" s="6" t="s">
        <v>91</v>
      </c>
      <c r="F4076" s="6" t="s">
        <v>8022</v>
      </c>
      <c r="G4076" s="6" t="s">
        <v>8278</v>
      </c>
      <c r="H4076" s="6" t="s">
        <v>55</v>
      </c>
      <c r="I4076" s="6" t="s">
        <v>8273</v>
      </c>
      <c r="J4076" s="6" t="s">
        <v>91</v>
      </c>
      <c r="K4076" s="12" t="str">
        <f t="shared" ref="K4076:K4077" si="380">HYPERLINK("https://media.licdn.com/dms/image/v2/D4E22AQFuX_Bi_VHIsw/feedshare-shrink_1280/B4EaBbyQUFGoAM-/0/1788246296327?e=2147483647&amp;v=beta&amp;t=YN5Q8G0UqOBq9Zp_Ss3o08ZiEogxg1yTMo2G4cPkRC4","View Creative")</f>
        <v>View Creative</v>
      </c>
      <c r="L4076" s="6" t="s">
        <v>62</v>
      </c>
      <c r="M4076" s="6" t="s">
        <v>8270</v>
      </c>
      <c r="N4076" s="6" t="s">
        <v>8285</v>
      </c>
      <c r="O4076" s="36" t="s">
        <v>7541</v>
      </c>
      <c r="P4076" s="36" t="s">
        <v>7542</v>
      </c>
      <c r="Q4076" s="38"/>
    </row>
    <row r="4077">
      <c r="A4077" s="6" t="s">
        <v>8270</v>
      </c>
      <c r="B4077" s="6" t="s">
        <v>8271</v>
      </c>
      <c r="C4077" s="6">
        <v>26.0</v>
      </c>
      <c r="D4077" s="9" t="str">
        <f t="shared" si="379"/>
        <v>Open Ad</v>
      </c>
      <c r="E4077" s="6" t="s">
        <v>91</v>
      </c>
      <c r="F4077" s="6" t="s">
        <v>8022</v>
      </c>
      <c r="G4077" s="6" t="s">
        <v>8278</v>
      </c>
      <c r="H4077" s="6" t="s">
        <v>55</v>
      </c>
      <c r="I4077" s="6" t="s">
        <v>8273</v>
      </c>
      <c r="J4077" s="6" t="s">
        <v>91</v>
      </c>
      <c r="K4077" s="12" t="str">
        <f t="shared" si="380"/>
        <v>View Creative</v>
      </c>
      <c r="L4077" s="6" t="s">
        <v>62</v>
      </c>
      <c r="M4077" s="6" t="s">
        <v>8270</v>
      </c>
      <c r="N4077" s="6" t="s">
        <v>8285</v>
      </c>
      <c r="O4077" s="36" t="s">
        <v>7541</v>
      </c>
      <c r="P4077" s="36" t="s">
        <v>7542</v>
      </c>
      <c r="Q4077" s="38"/>
    </row>
    <row r="4078">
      <c r="A4078" s="6" t="s">
        <v>8270</v>
      </c>
      <c r="B4078" s="6" t="s">
        <v>8271</v>
      </c>
      <c r="C4078" s="6">
        <v>27.0</v>
      </c>
      <c r="D4078" s="9" t="str">
        <f t="shared" ref="D4078:D4079" si="381">HYPERLINK("https://www.linkedin.com/ad-library/detail/1460608944","Open Ad")</f>
        <v>Open Ad</v>
      </c>
      <c r="E4078" s="6" t="s">
        <v>91</v>
      </c>
      <c r="F4078" s="6" t="s">
        <v>8022</v>
      </c>
      <c r="G4078" s="6" t="s">
        <v>8286</v>
      </c>
      <c r="H4078" s="6" t="s">
        <v>55</v>
      </c>
      <c r="I4078" s="6" t="s">
        <v>8273</v>
      </c>
      <c r="J4078" s="6" t="s">
        <v>91</v>
      </c>
      <c r="K4078" s="12" t="str">
        <f t="shared" ref="K4078:K4079" si="382">HYPERLINK("https://media.licdn.com/dms/image/v2/D4D22AQEvIB2u0gFk3g/feedshare-shrink_1280/B4DZ7veYpdKsAM-/0/1782134181139?e=2147483647&amp;v=beta&amp;t=wxwaYRCPzKE8_MP0gqxind08qahgrueBY5QK59jkvjI","View Creative")</f>
        <v>View Creative</v>
      </c>
      <c r="L4078" s="6" t="s">
        <v>62</v>
      </c>
      <c r="M4078" s="6" t="s">
        <v>8270</v>
      </c>
      <c r="N4078" s="6" t="s">
        <v>8287</v>
      </c>
      <c r="O4078" s="36" t="s">
        <v>7541</v>
      </c>
      <c r="P4078" s="36" t="s">
        <v>7542</v>
      </c>
      <c r="Q4078" s="38"/>
    </row>
    <row r="4079">
      <c r="A4079" s="6" t="s">
        <v>8270</v>
      </c>
      <c r="B4079" s="6" t="s">
        <v>8271</v>
      </c>
      <c r="C4079" s="6">
        <v>28.0</v>
      </c>
      <c r="D4079" s="9" t="str">
        <f t="shared" si="381"/>
        <v>Open Ad</v>
      </c>
      <c r="E4079" s="6" t="s">
        <v>91</v>
      </c>
      <c r="F4079" s="6" t="s">
        <v>8022</v>
      </c>
      <c r="G4079" s="6" t="s">
        <v>8286</v>
      </c>
      <c r="H4079" s="6" t="s">
        <v>55</v>
      </c>
      <c r="I4079" s="6" t="s">
        <v>8273</v>
      </c>
      <c r="J4079" s="6" t="s">
        <v>91</v>
      </c>
      <c r="K4079" s="12" t="str">
        <f t="shared" si="382"/>
        <v>View Creative</v>
      </c>
      <c r="L4079" s="6" t="s">
        <v>62</v>
      </c>
      <c r="M4079" s="6" t="s">
        <v>8270</v>
      </c>
      <c r="N4079" s="6" t="s">
        <v>8287</v>
      </c>
      <c r="O4079" s="36" t="s">
        <v>7541</v>
      </c>
      <c r="P4079" s="36" t="s">
        <v>7542</v>
      </c>
      <c r="Q4079" s="38"/>
    </row>
    <row r="4080">
      <c r="A4080" s="6" t="s">
        <v>8270</v>
      </c>
      <c r="B4080" s="6" t="s">
        <v>8271</v>
      </c>
      <c r="C4080" s="6">
        <v>29.0</v>
      </c>
      <c r="D4080" s="9" t="str">
        <f t="shared" ref="D4080:D4081" si="383">HYPERLINK("https://www.linkedin.com/ad-library/detail/1461852814","Open Ad")</f>
        <v>Open Ad</v>
      </c>
      <c r="E4080" s="6" t="s">
        <v>91</v>
      </c>
      <c r="F4080" s="6" t="s">
        <v>8022</v>
      </c>
      <c r="G4080" s="6" t="s">
        <v>8288</v>
      </c>
      <c r="H4080" s="6" t="s">
        <v>55</v>
      </c>
      <c r="I4080" s="6" t="s">
        <v>8273</v>
      </c>
      <c r="J4080" s="6" t="s">
        <v>91</v>
      </c>
      <c r="K4080" s="12" t="str">
        <f t="shared" ref="K4080:K4081" si="384">HYPERLINK("https://media.licdn.com/dms/image/v2/D4E10AQExh4rmJC5IEA/image-shrink_1280/B4EZ7PBG8LJYAc-/0/1781589635154/A2-C4jpg?e=2147483647&amp;v=beta&amp;t=zuMWFlvEIhGikYjrPhKmomgSrR5Nx39hHN-pslXHZ_Q","View Creative")</f>
        <v>View Creative</v>
      </c>
      <c r="L4080" s="6" t="s">
        <v>62</v>
      </c>
      <c r="M4080" s="6" t="s">
        <v>8270</v>
      </c>
      <c r="N4080" s="6" t="s">
        <v>8276</v>
      </c>
      <c r="O4080" s="36" t="s">
        <v>7541</v>
      </c>
      <c r="P4080" s="36" t="s">
        <v>7542</v>
      </c>
      <c r="Q4080" s="38"/>
    </row>
    <row r="4081">
      <c r="A4081" s="6" t="s">
        <v>8270</v>
      </c>
      <c r="B4081" s="6" t="s">
        <v>8271</v>
      </c>
      <c r="C4081" s="6">
        <v>30.0</v>
      </c>
      <c r="D4081" s="9" t="str">
        <f t="shared" si="383"/>
        <v>Open Ad</v>
      </c>
      <c r="E4081" s="6" t="s">
        <v>91</v>
      </c>
      <c r="F4081" s="6" t="s">
        <v>8022</v>
      </c>
      <c r="G4081" s="6" t="s">
        <v>8288</v>
      </c>
      <c r="H4081" s="6" t="s">
        <v>55</v>
      </c>
      <c r="I4081" s="6" t="s">
        <v>8273</v>
      </c>
      <c r="J4081" s="6" t="s">
        <v>91</v>
      </c>
      <c r="K4081" s="12" t="str">
        <f t="shared" si="384"/>
        <v>View Creative</v>
      </c>
      <c r="L4081" s="6" t="s">
        <v>62</v>
      </c>
      <c r="M4081" s="6" t="s">
        <v>8270</v>
      </c>
      <c r="N4081" s="6" t="s">
        <v>8276</v>
      </c>
      <c r="O4081" s="36" t="s">
        <v>7541</v>
      </c>
      <c r="P4081" s="36" t="s">
        <v>7542</v>
      </c>
      <c r="Q4081" s="38"/>
    </row>
    <row r="4082">
      <c r="A4082" s="6" t="s">
        <v>8270</v>
      </c>
      <c r="B4082" s="6" t="s">
        <v>8271</v>
      </c>
      <c r="C4082" s="6">
        <v>31.0</v>
      </c>
      <c r="D4082" s="9" t="str">
        <f t="shared" ref="D4082:D4083" si="385">HYPERLINK("https://www.linkedin.com/ad-library/detail/1461951534","Open Ad")</f>
        <v>Open Ad</v>
      </c>
      <c r="E4082" s="6" t="s">
        <v>91</v>
      </c>
      <c r="F4082" s="6" t="s">
        <v>8022</v>
      </c>
      <c r="G4082" s="6" t="s">
        <v>8289</v>
      </c>
      <c r="H4082" s="6" t="s">
        <v>55</v>
      </c>
      <c r="I4082" s="6" t="s">
        <v>8273</v>
      </c>
      <c r="J4082" s="6" t="s">
        <v>91</v>
      </c>
      <c r="K4082" s="12" t="str">
        <f t="shared" ref="K4082:K4083" si="386">HYPERLINK("https://media.licdn.com/dms/image/v2/D4E10AQHSAAAf506Y2g/image-shrink_1280/B4EZ7PBpgcJYAc-/0/1781589776758/B1-C1B1-C2jpg?e=2147483647&amp;v=beta&amp;t=kV0bdf50OmBqVi4j6BFJ1WNqYLzEWf-hvx95hn9cfIU","View Creative")</f>
        <v>View Creative</v>
      </c>
      <c r="L4082" s="6" t="s">
        <v>62</v>
      </c>
      <c r="M4082" s="6" t="s">
        <v>8270</v>
      </c>
      <c r="N4082" s="6" t="s">
        <v>8276</v>
      </c>
      <c r="O4082" s="36" t="s">
        <v>7541</v>
      </c>
      <c r="P4082" s="36" t="s">
        <v>7542</v>
      </c>
      <c r="Q4082" s="38"/>
    </row>
    <row r="4083">
      <c r="A4083" s="6" t="s">
        <v>8270</v>
      </c>
      <c r="B4083" s="6" t="s">
        <v>8271</v>
      </c>
      <c r="C4083" s="6">
        <v>32.0</v>
      </c>
      <c r="D4083" s="9" t="str">
        <f t="shared" si="385"/>
        <v>Open Ad</v>
      </c>
      <c r="E4083" s="6" t="s">
        <v>91</v>
      </c>
      <c r="F4083" s="6" t="s">
        <v>8022</v>
      </c>
      <c r="G4083" s="6" t="s">
        <v>8289</v>
      </c>
      <c r="H4083" s="6" t="s">
        <v>55</v>
      </c>
      <c r="I4083" s="6" t="s">
        <v>8273</v>
      </c>
      <c r="J4083" s="6" t="s">
        <v>91</v>
      </c>
      <c r="K4083" s="12" t="str">
        <f t="shared" si="386"/>
        <v>View Creative</v>
      </c>
      <c r="L4083" s="6" t="s">
        <v>62</v>
      </c>
      <c r="M4083" s="6" t="s">
        <v>8270</v>
      </c>
      <c r="N4083" s="6" t="s">
        <v>8276</v>
      </c>
      <c r="O4083" s="36" t="s">
        <v>7541</v>
      </c>
      <c r="P4083" s="36" t="s">
        <v>7542</v>
      </c>
      <c r="Q4083" s="38"/>
    </row>
    <row r="4084">
      <c r="A4084" s="6" t="s">
        <v>8270</v>
      </c>
      <c r="B4084" s="6" t="s">
        <v>8271</v>
      </c>
      <c r="C4084" s="6">
        <v>33.0</v>
      </c>
      <c r="D4084" s="9" t="str">
        <f t="shared" ref="D4084:D4085" si="387">HYPERLINK("https://www.linkedin.com/ad-library/detail/1461951544","Open Ad")</f>
        <v>Open Ad</v>
      </c>
      <c r="E4084" s="6" t="s">
        <v>91</v>
      </c>
      <c r="F4084" s="6" t="s">
        <v>8022</v>
      </c>
      <c r="G4084" s="19" t="s">
        <v>8290</v>
      </c>
      <c r="H4084" s="6" t="s">
        <v>55</v>
      </c>
      <c r="I4084" s="6" t="s">
        <v>8273</v>
      </c>
      <c r="J4084" s="6" t="s">
        <v>91</v>
      </c>
      <c r="K4084" s="12" t="str">
        <f t="shared" ref="K4084:K4085" si="388">HYPERLINK("https://media.licdn.com/dms/image/v2/D4E10AQEtxr4fqT8NfQ/image-shrink_1280/B4EZ7PB3YvHMAc-/0/1781589833590/A3-C2jpg?e=2147483647&amp;v=beta&amp;t=AjlKWqgFYZfgDAV3dSPU-C_p1yWfgHI_ZLz-ENvzT4s","View Creative")</f>
        <v>View Creative</v>
      </c>
      <c r="L4084" s="6" t="s">
        <v>62</v>
      </c>
      <c r="M4084" s="6" t="s">
        <v>8270</v>
      </c>
      <c r="N4084" s="6" t="s">
        <v>8276</v>
      </c>
      <c r="O4084" s="36" t="s">
        <v>7541</v>
      </c>
      <c r="P4084" s="36" t="s">
        <v>7542</v>
      </c>
      <c r="Q4084" s="38"/>
    </row>
    <row r="4085">
      <c r="A4085" s="6" t="s">
        <v>8270</v>
      </c>
      <c r="B4085" s="6" t="s">
        <v>8271</v>
      </c>
      <c r="C4085" s="6">
        <v>34.0</v>
      </c>
      <c r="D4085" s="9" t="str">
        <f t="shared" si="387"/>
        <v>Open Ad</v>
      </c>
      <c r="E4085" s="6" t="s">
        <v>91</v>
      </c>
      <c r="F4085" s="6" t="s">
        <v>8022</v>
      </c>
      <c r="G4085" s="19" t="s">
        <v>8290</v>
      </c>
      <c r="H4085" s="6" t="s">
        <v>55</v>
      </c>
      <c r="I4085" s="6" t="s">
        <v>8273</v>
      </c>
      <c r="J4085" s="6" t="s">
        <v>91</v>
      </c>
      <c r="K4085" s="12" t="str">
        <f t="shared" si="388"/>
        <v>View Creative</v>
      </c>
      <c r="L4085" s="6" t="s">
        <v>62</v>
      </c>
      <c r="M4085" s="6" t="s">
        <v>8270</v>
      </c>
      <c r="N4085" s="6" t="s">
        <v>8276</v>
      </c>
      <c r="O4085" s="36" t="s">
        <v>7541</v>
      </c>
      <c r="P4085" s="36" t="s">
        <v>7542</v>
      </c>
      <c r="Q4085" s="38"/>
    </row>
    <row r="4086">
      <c r="A4086" s="6" t="s">
        <v>8270</v>
      </c>
      <c r="B4086" s="6" t="s">
        <v>8271</v>
      </c>
      <c r="C4086" s="6">
        <v>35.0</v>
      </c>
      <c r="D4086" s="9" t="str">
        <f t="shared" ref="D4086:D4087" si="389">HYPERLINK("https://www.linkedin.com/ad-library/detail/1541288994","Open Ad")</f>
        <v>Open Ad</v>
      </c>
      <c r="E4086" s="6" t="s">
        <v>91</v>
      </c>
      <c r="F4086" s="6" t="s">
        <v>8022</v>
      </c>
      <c r="G4086" s="6" t="s">
        <v>8278</v>
      </c>
      <c r="H4086" s="6" t="s">
        <v>55</v>
      </c>
      <c r="I4086" s="6" t="s">
        <v>8273</v>
      </c>
      <c r="J4086" s="6" t="s">
        <v>91</v>
      </c>
      <c r="K4086" s="12" t="str">
        <f t="shared" ref="K4086:K4087" si="390">HYPERLINK("https://media.licdn.com/dms/image/v2/D4E22AQFuX_Bi_VHIsw/feedshare-shrink_1280/B4EaBbyQUFGoAM-/0/1788246296327?e=2147483647&amp;v=beta&amp;t=YN5Q8G0UqOBq9Zp_Ss3o08ZiEogxg1yTMo2G4cPkRC4","View Creative")</f>
        <v>View Creative</v>
      </c>
      <c r="L4086" s="6" t="s">
        <v>62</v>
      </c>
      <c r="M4086" s="6" t="s">
        <v>8270</v>
      </c>
      <c r="N4086" s="6" t="s">
        <v>8285</v>
      </c>
      <c r="O4086" s="36" t="s">
        <v>7541</v>
      </c>
      <c r="P4086" s="36" t="s">
        <v>7542</v>
      </c>
      <c r="Q4086" s="38"/>
    </row>
    <row r="4087">
      <c r="A4087" s="6" t="s">
        <v>8270</v>
      </c>
      <c r="B4087" s="6" t="s">
        <v>8271</v>
      </c>
      <c r="C4087" s="6">
        <v>36.0</v>
      </c>
      <c r="D4087" s="9" t="str">
        <f t="shared" si="389"/>
        <v>Open Ad</v>
      </c>
      <c r="E4087" s="6" t="s">
        <v>91</v>
      </c>
      <c r="F4087" s="6" t="s">
        <v>8022</v>
      </c>
      <c r="G4087" s="6" t="s">
        <v>8278</v>
      </c>
      <c r="H4087" s="6" t="s">
        <v>55</v>
      </c>
      <c r="I4087" s="6" t="s">
        <v>8273</v>
      </c>
      <c r="J4087" s="6" t="s">
        <v>91</v>
      </c>
      <c r="K4087" s="12" t="str">
        <f t="shared" si="390"/>
        <v>View Creative</v>
      </c>
      <c r="L4087" s="6" t="s">
        <v>62</v>
      </c>
      <c r="M4087" s="6" t="s">
        <v>8270</v>
      </c>
      <c r="N4087" s="6" t="s">
        <v>8285</v>
      </c>
      <c r="O4087" s="36" t="s">
        <v>7541</v>
      </c>
      <c r="P4087" s="36" t="s">
        <v>7542</v>
      </c>
      <c r="Q4087" s="38"/>
    </row>
    <row r="4088">
      <c r="A4088" s="6" t="s">
        <v>8270</v>
      </c>
      <c r="B4088" s="6" t="s">
        <v>8271</v>
      </c>
      <c r="C4088" s="6">
        <v>37.0</v>
      </c>
      <c r="D4088" s="9" t="str">
        <f t="shared" ref="D4088:D4089" si="391">HYPERLINK("https://www.linkedin.com/ad-library/detail/1462020474","Open Ad")</f>
        <v>Open Ad</v>
      </c>
      <c r="E4088" s="6" t="s">
        <v>91</v>
      </c>
      <c r="F4088" s="6" t="s">
        <v>8022</v>
      </c>
      <c r="G4088" s="6" t="s">
        <v>8291</v>
      </c>
      <c r="H4088" s="6" t="s">
        <v>55</v>
      </c>
      <c r="I4088" s="6" t="s">
        <v>8273</v>
      </c>
      <c r="J4088" s="6" t="s">
        <v>91</v>
      </c>
      <c r="K4088" s="12" t="str">
        <f t="shared" ref="K4088:K4089" si="392">HYPERLINK("https://media.licdn.com/dms/image/v2/D4E10AQEESvpqPP5YhA/image-shrink_1280/B4EZ7PB0Y_JYAc-/0/1781589821408/A3-C1jpg?e=2147483647&amp;v=beta&amp;t=5WJ19AWOyib21SFxVma_vc-ZkbdM5W57TXOC4lK0g3c","View Creative")</f>
        <v>View Creative</v>
      </c>
      <c r="L4088" s="6" t="s">
        <v>62</v>
      </c>
      <c r="M4088" s="6" t="s">
        <v>8270</v>
      </c>
      <c r="N4088" s="6" t="s">
        <v>8276</v>
      </c>
      <c r="O4088" s="36" t="s">
        <v>7541</v>
      </c>
      <c r="P4088" s="36" t="s">
        <v>7542</v>
      </c>
      <c r="Q4088" s="38"/>
    </row>
    <row r="4089">
      <c r="A4089" s="6" t="s">
        <v>8270</v>
      </c>
      <c r="B4089" s="6" t="s">
        <v>8271</v>
      </c>
      <c r="C4089" s="6">
        <v>38.0</v>
      </c>
      <c r="D4089" s="9" t="str">
        <f t="shared" si="391"/>
        <v>Open Ad</v>
      </c>
      <c r="E4089" s="6" t="s">
        <v>91</v>
      </c>
      <c r="F4089" s="6" t="s">
        <v>8022</v>
      </c>
      <c r="G4089" s="6" t="s">
        <v>8291</v>
      </c>
      <c r="H4089" s="6" t="s">
        <v>55</v>
      </c>
      <c r="I4089" s="6" t="s">
        <v>8273</v>
      </c>
      <c r="J4089" s="6" t="s">
        <v>91</v>
      </c>
      <c r="K4089" s="12" t="str">
        <f t="shared" si="392"/>
        <v>View Creative</v>
      </c>
      <c r="L4089" s="6" t="s">
        <v>62</v>
      </c>
      <c r="M4089" s="6" t="s">
        <v>8270</v>
      </c>
      <c r="N4089" s="6" t="s">
        <v>8276</v>
      </c>
      <c r="O4089" s="36" t="s">
        <v>7541</v>
      </c>
      <c r="P4089" s="36" t="s">
        <v>7542</v>
      </c>
      <c r="Q4089" s="38"/>
    </row>
    <row r="4090">
      <c r="A4090" s="6" t="s">
        <v>8270</v>
      </c>
      <c r="B4090" s="6" t="s">
        <v>8271</v>
      </c>
      <c r="C4090" s="6">
        <v>39.0</v>
      </c>
      <c r="D4090" s="9" t="str">
        <f t="shared" ref="D4090:D4091" si="393">HYPERLINK("https://www.linkedin.com/ad-library/detail/1461951514","Open Ad")</f>
        <v>Open Ad</v>
      </c>
      <c r="E4090" s="6" t="s">
        <v>91</v>
      </c>
      <c r="F4090" s="6" t="s">
        <v>8022</v>
      </c>
      <c r="G4090" s="6" t="s">
        <v>8292</v>
      </c>
      <c r="H4090" s="6" t="s">
        <v>55</v>
      </c>
      <c r="I4090" s="6" t="s">
        <v>8273</v>
      </c>
      <c r="J4090" s="6" t="s">
        <v>91</v>
      </c>
      <c r="K4090" s="12" t="str">
        <f t="shared" ref="K4090:K4091" si="394">HYPERLINK("https://media.licdn.com/dms/image/v2/D4E10AQEzBiIWRJhvlg/image-shrink_1280/B4EZ7PBmmsIcAg-/0/1781589764812/B1-C1B1-C2jpg?e=2147483647&amp;v=beta&amp;t=dJLRC4MZ_Khzio0RkH-Q67LXt6hP0DW9MkpDWtFRX7s","View Creative")</f>
        <v>View Creative</v>
      </c>
      <c r="L4090" s="6" t="s">
        <v>62</v>
      </c>
      <c r="M4090" s="6" t="s">
        <v>8270</v>
      </c>
      <c r="N4090" s="6" t="s">
        <v>8276</v>
      </c>
      <c r="O4090" s="36" t="s">
        <v>7541</v>
      </c>
      <c r="P4090" s="36" t="s">
        <v>7542</v>
      </c>
      <c r="Q4090" s="38"/>
    </row>
    <row r="4091">
      <c r="A4091" s="6" t="s">
        <v>8270</v>
      </c>
      <c r="B4091" s="6" t="s">
        <v>8271</v>
      </c>
      <c r="C4091" s="6">
        <v>40.0</v>
      </c>
      <c r="D4091" s="9" t="str">
        <f t="shared" si="393"/>
        <v>Open Ad</v>
      </c>
      <c r="E4091" s="6" t="s">
        <v>91</v>
      </c>
      <c r="F4091" s="6" t="s">
        <v>8022</v>
      </c>
      <c r="G4091" s="6" t="s">
        <v>8292</v>
      </c>
      <c r="H4091" s="6" t="s">
        <v>55</v>
      </c>
      <c r="I4091" s="6" t="s">
        <v>8273</v>
      </c>
      <c r="J4091" s="6" t="s">
        <v>91</v>
      </c>
      <c r="K4091" s="12" t="str">
        <f t="shared" si="394"/>
        <v>View Creative</v>
      </c>
      <c r="L4091" s="6" t="s">
        <v>62</v>
      </c>
      <c r="M4091" s="6" t="s">
        <v>8270</v>
      </c>
      <c r="N4091" s="6" t="s">
        <v>8276</v>
      </c>
      <c r="O4091" s="36" t="s">
        <v>7541</v>
      </c>
      <c r="P4091" s="36" t="s">
        <v>7542</v>
      </c>
      <c r="Q4091" s="38"/>
    </row>
    <row r="4092">
      <c r="A4092" s="6" t="s">
        <v>8270</v>
      </c>
      <c r="B4092" s="6" t="s">
        <v>8271</v>
      </c>
      <c r="C4092" s="6">
        <v>41.0</v>
      </c>
      <c r="D4092" s="9" t="str">
        <f t="shared" ref="D4092:D4093" si="395">HYPERLINK("https://www.linkedin.com/ad-library/detail/1461963184","Open Ad")</f>
        <v>Open Ad</v>
      </c>
      <c r="E4092" s="6" t="s">
        <v>154</v>
      </c>
      <c r="F4092" s="6" t="s">
        <v>8022</v>
      </c>
      <c r="G4092" s="6" t="s">
        <v>8272</v>
      </c>
      <c r="H4092" s="6" t="s">
        <v>55</v>
      </c>
      <c r="I4092" s="6" t="s">
        <v>8273</v>
      </c>
      <c r="J4092" s="6" t="s">
        <v>154</v>
      </c>
      <c r="K4092" s="12" t="str">
        <f t="shared" ref="K4092:K4093" si="396">HYPERLINK("https://dms.licdn.com/playlist/vid/v2/D4E10AQG5aIPvxpk1Xg/mp4-640p-30fp-crf28/B4EZ8FHD2kH8Bo-/0/1782497167264?e=2147483647&amp;v=beta&amp;t=v6VcUFI-VG4dylvX-9i1QCfgclDAlQIVCY6ZiiHqUBQ","View Creative")</f>
        <v>View Creative</v>
      </c>
      <c r="L4092" s="6" t="s">
        <v>62</v>
      </c>
      <c r="M4092" s="6" t="s">
        <v>8270</v>
      </c>
      <c r="N4092" s="6" t="s">
        <v>8293</v>
      </c>
      <c r="O4092" s="36" t="s">
        <v>7541</v>
      </c>
      <c r="P4092" s="36" t="s">
        <v>7542</v>
      </c>
      <c r="Q4092" s="38"/>
    </row>
    <row r="4093">
      <c r="A4093" s="6" t="s">
        <v>8270</v>
      </c>
      <c r="B4093" s="6" t="s">
        <v>8271</v>
      </c>
      <c r="C4093" s="6">
        <v>42.0</v>
      </c>
      <c r="D4093" s="9" t="str">
        <f t="shared" si="395"/>
        <v>Open Ad</v>
      </c>
      <c r="E4093" s="6" t="s">
        <v>154</v>
      </c>
      <c r="F4093" s="6" t="s">
        <v>8022</v>
      </c>
      <c r="G4093" s="6" t="s">
        <v>8272</v>
      </c>
      <c r="H4093" s="6" t="s">
        <v>55</v>
      </c>
      <c r="I4093" s="6" t="s">
        <v>8273</v>
      </c>
      <c r="J4093" s="6" t="s">
        <v>154</v>
      </c>
      <c r="K4093" s="12" t="str">
        <f t="shared" si="396"/>
        <v>View Creative</v>
      </c>
      <c r="L4093" s="6" t="s">
        <v>62</v>
      </c>
      <c r="M4093" s="6" t="s">
        <v>8270</v>
      </c>
      <c r="N4093" s="6" t="s">
        <v>8293</v>
      </c>
      <c r="O4093" s="36" t="s">
        <v>7541</v>
      </c>
      <c r="P4093" s="36" t="s">
        <v>7542</v>
      </c>
      <c r="Q4093" s="38"/>
    </row>
    <row r="4094">
      <c r="A4094" s="6" t="s">
        <v>8270</v>
      </c>
      <c r="B4094" s="6" t="s">
        <v>8271</v>
      </c>
      <c r="C4094" s="6">
        <v>43.0</v>
      </c>
      <c r="D4094" s="9" t="str">
        <f t="shared" ref="D4094:D4095" si="397">HYPERLINK("https://www.linkedin.com/ad-library/detail/1461981044","Open Ad")</f>
        <v>Open Ad</v>
      </c>
      <c r="E4094" s="6" t="s">
        <v>91</v>
      </c>
      <c r="F4094" s="6" t="s">
        <v>8022</v>
      </c>
      <c r="G4094" s="6" t="s">
        <v>8272</v>
      </c>
      <c r="H4094" s="6" t="s">
        <v>55</v>
      </c>
      <c r="I4094" s="6" t="s">
        <v>8273</v>
      </c>
      <c r="J4094" s="6" t="s">
        <v>91</v>
      </c>
      <c r="K4094" s="12" t="str">
        <f t="shared" ref="K4094:K4095" si="398">HYPERLINK("https://media.licdn.com/dms/image/v2/D4E10AQH3OzCdZHf2Rg/image-shrink_1280/B4EZ7PAtc6HsAc-/0/1781589530762/A1-C2jpg?e=2147483647&amp;v=beta&amp;t=jvEEtQo8Ew8RgeBlebDqOzIFj4JMGRWuQ9VpaUwXuGc","View Creative")</f>
        <v>View Creative</v>
      </c>
      <c r="L4094" s="6" t="s">
        <v>62</v>
      </c>
      <c r="M4094" s="6" t="s">
        <v>8270</v>
      </c>
      <c r="N4094" s="6" t="s">
        <v>8276</v>
      </c>
      <c r="O4094" s="36" t="s">
        <v>7541</v>
      </c>
      <c r="P4094" s="36" t="s">
        <v>7542</v>
      </c>
      <c r="Q4094" s="38"/>
    </row>
    <row r="4095">
      <c r="A4095" s="6" t="s">
        <v>8270</v>
      </c>
      <c r="B4095" s="6" t="s">
        <v>8271</v>
      </c>
      <c r="C4095" s="6">
        <v>44.0</v>
      </c>
      <c r="D4095" s="9" t="str">
        <f t="shared" si="397"/>
        <v>Open Ad</v>
      </c>
      <c r="E4095" s="6" t="s">
        <v>91</v>
      </c>
      <c r="F4095" s="6" t="s">
        <v>8022</v>
      </c>
      <c r="G4095" s="6" t="s">
        <v>8272</v>
      </c>
      <c r="H4095" s="6" t="s">
        <v>55</v>
      </c>
      <c r="I4095" s="6" t="s">
        <v>8273</v>
      </c>
      <c r="J4095" s="6" t="s">
        <v>91</v>
      </c>
      <c r="K4095" s="12" t="str">
        <f t="shared" si="398"/>
        <v>View Creative</v>
      </c>
      <c r="L4095" s="6" t="s">
        <v>62</v>
      </c>
      <c r="M4095" s="6" t="s">
        <v>8270</v>
      </c>
      <c r="N4095" s="6" t="s">
        <v>8276</v>
      </c>
      <c r="O4095" s="36" t="s">
        <v>7541</v>
      </c>
      <c r="P4095" s="36" t="s">
        <v>7542</v>
      </c>
      <c r="Q4095" s="38"/>
    </row>
    <row r="4096">
      <c r="A4096" s="6" t="s">
        <v>8270</v>
      </c>
      <c r="B4096" s="6" t="s">
        <v>8271</v>
      </c>
      <c r="C4096" s="6">
        <v>45.0</v>
      </c>
      <c r="D4096" s="9" t="str">
        <f t="shared" ref="D4096:D4097" si="399">HYPERLINK("https://www.linkedin.com/ad-library/detail/1460258364","Open Ad")</f>
        <v>Open Ad</v>
      </c>
      <c r="E4096" s="6" t="s">
        <v>91</v>
      </c>
      <c r="F4096" s="6" t="s">
        <v>8022</v>
      </c>
      <c r="G4096" s="6" t="s">
        <v>8282</v>
      </c>
      <c r="H4096" s="6" t="s">
        <v>55</v>
      </c>
      <c r="I4096" s="6" t="s">
        <v>8273</v>
      </c>
      <c r="J4096" s="6" t="s">
        <v>91</v>
      </c>
      <c r="K4096" s="12" t="str">
        <f t="shared" ref="K4096:K4097" si="400">HYPERLINK("https://media.licdn.com/dms/image/v2/D4E10AQEsenA2dN72-Q/image-shrink_1280/B4EZ7PAqDDHwAc-/0/1781589516809/A1-C1jpg?e=2147483647&amp;v=beta&amp;t=OLJIKQzNXYF585Cu545nuOPmx2JH_ffgToA-fniP23U","View Creative")</f>
        <v>View Creative</v>
      </c>
      <c r="L4096" s="6" t="s">
        <v>62</v>
      </c>
      <c r="M4096" s="6" t="s">
        <v>8270</v>
      </c>
      <c r="N4096" s="6" t="s">
        <v>8279</v>
      </c>
      <c r="O4096" s="36" t="s">
        <v>7541</v>
      </c>
      <c r="P4096" s="36" t="s">
        <v>7542</v>
      </c>
      <c r="Q4096" s="38"/>
    </row>
    <row r="4097">
      <c r="A4097" s="6" t="s">
        <v>8270</v>
      </c>
      <c r="B4097" s="6" t="s">
        <v>8271</v>
      </c>
      <c r="C4097" s="6">
        <v>46.0</v>
      </c>
      <c r="D4097" s="9" t="str">
        <f t="shared" si="399"/>
        <v>Open Ad</v>
      </c>
      <c r="E4097" s="6" t="s">
        <v>91</v>
      </c>
      <c r="F4097" s="6" t="s">
        <v>8022</v>
      </c>
      <c r="G4097" s="6" t="s">
        <v>8282</v>
      </c>
      <c r="H4097" s="6" t="s">
        <v>55</v>
      </c>
      <c r="I4097" s="6" t="s">
        <v>8273</v>
      </c>
      <c r="J4097" s="6" t="s">
        <v>91</v>
      </c>
      <c r="K4097" s="12" t="str">
        <f t="shared" si="400"/>
        <v>View Creative</v>
      </c>
      <c r="L4097" s="6" t="s">
        <v>62</v>
      </c>
      <c r="M4097" s="6" t="s">
        <v>8270</v>
      </c>
      <c r="N4097" s="6" t="s">
        <v>8279</v>
      </c>
      <c r="O4097" s="36" t="s">
        <v>7541</v>
      </c>
      <c r="P4097" s="36" t="s">
        <v>7542</v>
      </c>
      <c r="Q4097" s="38"/>
    </row>
    <row r="4098">
      <c r="A4098" s="6" t="s">
        <v>8270</v>
      </c>
      <c r="B4098" s="6" t="s">
        <v>8271</v>
      </c>
      <c r="C4098" s="6">
        <v>47.0</v>
      </c>
      <c r="D4098" s="9" t="str">
        <f t="shared" ref="D4098:D4099" si="401">HYPERLINK("https://www.linkedin.com/ad-library/detail/1460258354","Open Ad")</f>
        <v>Open Ad</v>
      </c>
      <c r="E4098" s="6" t="s">
        <v>91</v>
      </c>
      <c r="F4098" s="6" t="s">
        <v>8022</v>
      </c>
      <c r="G4098" s="6" t="s">
        <v>8280</v>
      </c>
      <c r="H4098" s="6" t="s">
        <v>55</v>
      </c>
      <c r="I4098" s="6" t="s">
        <v>8273</v>
      </c>
      <c r="J4098" s="6" t="s">
        <v>91</v>
      </c>
      <c r="K4098" s="12" t="str">
        <f t="shared" ref="K4098:K4099" si="402">HYPERLINK("https://media.licdn.com/dms/image/v2/D4E10AQF2ktfInfNdRA/image-shrink_1280/B4EZ7PAwycKkAc-/0/1781589544471/A1-C3jpg?e=2147483647&amp;v=beta&amp;t=4ZB7lsD7pClowz17nBscZmQ9yX3zLhyBGjzU36FpmnA","View Creative")</f>
        <v>View Creative</v>
      </c>
      <c r="L4098" s="6" t="s">
        <v>62</v>
      </c>
      <c r="M4098" s="6" t="s">
        <v>8270</v>
      </c>
      <c r="N4098" s="6" t="s">
        <v>8279</v>
      </c>
      <c r="O4098" s="36" t="s">
        <v>7541</v>
      </c>
      <c r="P4098" s="36" t="s">
        <v>7542</v>
      </c>
      <c r="Q4098" s="38"/>
    </row>
    <row r="4099">
      <c r="A4099" s="6" t="s">
        <v>8270</v>
      </c>
      <c r="B4099" s="6" t="s">
        <v>8271</v>
      </c>
      <c r="C4099" s="6">
        <v>48.0</v>
      </c>
      <c r="D4099" s="9" t="str">
        <f t="shared" si="401"/>
        <v>Open Ad</v>
      </c>
      <c r="E4099" s="6" t="s">
        <v>91</v>
      </c>
      <c r="F4099" s="6" t="s">
        <v>8022</v>
      </c>
      <c r="G4099" s="6" t="s">
        <v>8280</v>
      </c>
      <c r="H4099" s="6" t="s">
        <v>55</v>
      </c>
      <c r="I4099" s="6" t="s">
        <v>8273</v>
      </c>
      <c r="J4099" s="6" t="s">
        <v>91</v>
      </c>
      <c r="K4099" s="12" t="str">
        <f t="shared" si="402"/>
        <v>View Creative</v>
      </c>
      <c r="L4099" s="6" t="s">
        <v>62</v>
      </c>
      <c r="M4099" s="6" t="s">
        <v>8270</v>
      </c>
      <c r="N4099" s="6" t="s">
        <v>8279</v>
      </c>
      <c r="O4099" s="36" t="s">
        <v>7541</v>
      </c>
      <c r="P4099" s="36" t="s">
        <v>7542</v>
      </c>
      <c r="Q4099" s="38"/>
    </row>
    <row r="4100">
      <c r="A4100" s="6" t="s">
        <v>8270</v>
      </c>
      <c r="B4100" s="6" t="s">
        <v>8271</v>
      </c>
      <c r="C4100" s="6">
        <v>49.0</v>
      </c>
      <c r="D4100" s="9" t="str">
        <f t="shared" ref="D4100:D4101" si="403">HYPERLINK("https://www.linkedin.com/ad-library/detail/1458827374","Open Ad")</f>
        <v>Open Ad</v>
      </c>
      <c r="E4100" s="6" t="s">
        <v>91</v>
      </c>
      <c r="F4100" s="6" t="s">
        <v>8022</v>
      </c>
      <c r="G4100" s="6" t="s">
        <v>8294</v>
      </c>
      <c r="H4100" s="6" t="s">
        <v>55</v>
      </c>
      <c r="I4100" s="6" t="s">
        <v>8273</v>
      </c>
      <c r="J4100" s="6" t="s">
        <v>91</v>
      </c>
      <c r="K4100" s="12" t="str">
        <f t="shared" ref="K4100:K4101" si="404">HYPERLINK("https://media.licdn.com/dms/image/v2/D4E10AQE4pC45aYPR7g/image-shrink_1280/B4EZ7PBDR1HkAg-/0/1781589620129/A2-C3jpg?e=2147483647&amp;v=beta&amp;t=irAG_z469IUA5tn6BMvjaobhZGaB4yooO_oS-HBc0w4","View Creative")</f>
        <v>View Creative</v>
      </c>
      <c r="L4100" s="6" t="s">
        <v>62</v>
      </c>
      <c r="M4100" s="6" t="s">
        <v>8270</v>
      </c>
      <c r="N4100" s="6" t="s">
        <v>8295</v>
      </c>
      <c r="O4100" s="36" t="s">
        <v>7541</v>
      </c>
      <c r="P4100" s="36" t="s">
        <v>7542</v>
      </c>
      <c r="Q4100" s="38"/>
    </row>
    <row r="4101">
      <c r="A4101" s="6" t="s">
        <v>8270</v>
      </c>
      <c r="B4101" s="6" t="s">
        <v>8271</v>
      </c>
      <c r="C4101" s="6">
        <v>50.0</v>
      </c>
      <c r="D4101" s="9" t="str">
        <f t="shared" si="403"/>
        <v>Open Ad</v>
      </c>
      <c r="E4101" s="6" t="s">
        <v>91</v>
      </c>
      <c r="F4101" s="6" t="s">
        <v>8022</v>
      </c>
      <c r="G4101" s="6" t="s">
        <v>8294</v>
      </c>
      <c r="H4101" s="6" t="s">
        <v>55</v>
      </c>
      <c r="I4101" s="6" t="s">
        <v>8273</v>
      </c>
      <c r="J4101" s="6" t="s">
        <v>91</v>
      </c>
      <c r="K4101" s="12" t="str">
        <f t="shared" si="404"/>
        <v>View Creative</v>
      </c>
      <c r="L4101" s="6" t="s">
        <v>62</v>
      </c>
      <c r="M4101" s="6" t="s">
        <v>8270</v>
      </c>
      <c r="N4101" s="6" t="s">
        <v>8295</v>
      </c>
      <c r="O4101" s="36" t="s">
        <v>7541</v>
      </c>
      <c r="P4101" s="36" t="s">
        <v>7542</v>
      </c>
      <c r="Q4101" s="38"/>
    </row>
    <row r="4102">
      <c r="A4102" s="6" t="s">
        <v>8270</v>
      </c>
      <c r="B4102" s="6" t="s">
        <v>8271</v>
      </c>
      <c r="C4102" s="6">
        <v>51.0</v>
      </c>
      <c r="D4102" s="9" t="str">
        <f t="shared" ref="D4102:D4103" si="405">HYPERLINK("https://www.linkedin.com/ad-library/detail/1458664364","Open Ad")</f>
        <v>Open Ad</v>
      </c>
      <c r="E4102" s="6" t="s">
        <v>91</v>
      </c>
      <c r="F4102" s="6" t="s">
        <v>8022</v>
      </c>
      <c r="G4102" s="19" t="s">
        <v>8290</v>
      </c>
      <c r="H4102" s="6" t="s">
        <v>55</v>
      </c>
      <c r="I4102" s="6" t="s">
        <v>8273</v>
      </c>
      <c r="J4102" s="6" t="s">
        <v>91</v>
      </c>
      <c r="K4102" s="12" t="str">
        <f t="shared" ref="K4102:K4103" si="406">HYPERLINK("https://media.licdn.com/dms/image/v2/D4E10AQEtxr4fqT8NfQ/image-shrink_1280/B4EZ7PB3YvHMAc-/0/1781589833590/A3-C2jpg?e=2147483647&amp;v=beta&amp;t=AjlKWqgFYZfgDAV3dSPU-C_p1yWfgHI_ZLz-ENvzT4s","View Creative")</f>
        <v>View Creative</v>
      </c>
      <c r="L4102" s="6" t="s">
        <v>62</v>
      </c>
      <c r="M4102" s="6" t="s">
        <v>8270</v>
      </c>
      <c r="N4102" s="6" t="s">
        <v>8296</v>
      </c>
      <c r="O4102" s="36" t="s">
        <v>7541</v>
      </c>
      <c r="P4102" s="36" t="s">
        <v>7542</v>
      </c>
      <c r="Q4102" s="38"/>
    </row>
    <row r="4103">
      <c r="A4103" s="6" t="s">
        <v>8270</v>
      </c>
      <c r="B4103" s="6" t="s">
        <v>8271</v>
      </c>
      <c r="C4103" s="6">
        <v>52.0</v>
      </c>
      <c r="D4103" s="9" t="str">
        <f t="shared" si="405"/>
        <v>Open Ad</v>
      </c>
      <c r="E4103" s="6" t="s">
        <v>91</v>
      </c>
      <c r="F4103" s="6" t="s">
        <v>8022</v>
      </c>
      <c r="G4103" s="19" t="s">
        <v>8290</v>
      </c>
      <c r="H4103" s="6" t="s">
        <v>55</v>
      </c>
      <c r="I4103" s="6" t="s">
        <v>8273</v>
      </c>
      <c r="J4103" s="6" t="s">
        <v>91</v>
      </c>
      <c r="K4103" s="12" t="str">
        <f t="shared" si="406"/>
        <v>View Creative</v>
      </c>
      <c r="L4103" s="6" t="s">
        <v>62</v>
      </c>
      <c r="M4103" s="6" t="s">
        <v>8270</v>
      </c>
      <c r="N4103" s="6" t="s">
        <v>8296</v>
      </c>
      <c r="O4103" s="36" t="s">
        <v>7541</v>
      </c>
      <c r="P4103" s="36" t="s">
        <v>7542</v>
      </c>
      <c r="Q4103" s="38"/>
    </row>
    <row r="4104">
      <c r="A4104" s="6" t="s">
        <v>8270</v>
      </c>
      <c r="B4104" s="6" t="s">
        <v>8271</v>
      </c>
      <c r="C4104" s="6">
        <v>53.0</v>
      </c>
      <c r="D4104" s="9" t="str">
        <f t="shared" ref="D4104:D4105" si="407">HYPERLINK("https://www.linkedin.com/ad-library/detail/1458827414","Open Ad")</f>
        <v>Open Ad</v>
      </c>
      <c r="E4104" s="6" t="s">
        <v>91</v>
      </c>
      <c r="F4104" s="6" t="s">
        <v>8022</v>
      </c>
      <c r="G4104" s="6" t="s">
        <v>8281</v>
      </c>
      <c r="H4104" s="6" t="s">
        <v>55</v>
      </c>
      <c r="I4104" s="6" t="s">
        <v>8273</v>
      </c>
      <c r="J4104" s="6" t="s">
        <v>91</v>
      </c>
      <c r="K4104" s="12" t="str">
        <f t="shared" ref="K4104:K4105" si="408">HYPERLINK("https://media.licdn.com/dms/image/v2/D4E10AQE-9lDIBMB7ow/image-shrink_1280/B4EZ7PB6fVHkAc-/0/1781589846302/A3-C3jpg?e=2147483647&amp;v=beta&amp;t=VzXZ0xKb8Cn-eOV6wgC2UKL8s8P_uVXnTsOkNB8-WY0","View Creative")</f>
        <v>View Creative</v>
      </c>
      <c r="L4104" s="6" t="s">
        <v>62</v>
      </c>
      <c r="M4104" s="6" t="s">
        <v>8270</v>
      </c>
      <c r="N4104" s="6" t="s">
        <v>8295</v>
      </c>
      <c r="O4104" s="36" t="s">
        <v>7541</v>
      </c>
      <c r="P4104" s="36" t="s">
        <v>7542</v>
      </c>
      <c r="Q4104" s="38"/>
    </row>
    <row r="4105">
      <c r="A4105" s="6" t="s">
        <v>8270</v>
      </c>
      <c r="B4105" s="6" t="s">
        <v>8271</v>
      </c>
      <c r="C4105" s="6">
        <v>54.0</v>
      </c>
      <c r="D4105" s="9" t="str">
        <f t="shared" si="407"/>
        <v>Open Ad</v>
      </c>
      <c r="E4105" s="6" t="s">
        <v>91</v>
      </c>
      <c r="F4105" s="6" t="s">
        <v>8022</v>
      </c>
      <c r="G4105" s="6" t="s">
        <v>8281</v>
      </c>
      <c r="H4105" s="6" t="s">
        <v>55</v>
      </c>
      <c r="I4105" s="6" t="s">
        <v>8273</v>
      </c>
      <c r="J4105" s="6" t="s">
        <v>91</v>
      </c>
      <c r="K4105" s="12" t="str">
        <f t="shared" si="408"/>
        <v>View Creative</v>
      </c>
      <c r="L4105" s="6" t="s">
        <v>62</v>
      </c>
      <c r="M4105" s="6" t="s">
        <v>8270</v>
      </c>
      <c r="N4105" s="6" t="s">
        <v>8295</v>
      </c>
      <c r="O4105" s="36" t="s">
        <v>7541</v>
      </c>
      <c r="P4105" s="36" t="s">
        <v>7542</v>
      </c>
      <c r="Q4105" s="38"/>
    </row>
    <row r="4106">
      <c r="A4106" s="6" t="s">
        <v>8270</v>
      </c>
      <c r="B4106" s="6" t="s">
        <v>8271</v>
      </c>
      <c r="C4106" s="6">
        <v>55.0</v>
      </c>
      <c r="D4106" s="9" t="str">
        <f t="shared" ref="D4106:D4107" si="409">HYPERLINK("https://www.linkedin.com/ad-library/detail/1458837304","Open Ad")</f>
        <v>Open Ad</v>
      </c>
      <c r="E4106" s="6" t="s">
        <v>91</v>
      </c>
      <c r="F4106" s="6" t="s">
        <v>8022</v>
      </c>
      <c r="G4106" s="6" t="s">
        <v>8275</v>
      </c>
      <c r="H4106" s="6" t="s">
        <v>55</v>
      </c>
      <c r="I4106" s="6" t="s">
        <v>8273</v>
      </c>
      <c r="J4106" s="6" t="s">
        <v>91</v>
      </c>
      <c r="K4106" s="12" t="str">
        <f t="shared" ref="K4106:K4107" si="410">HYPERLINK("https://media.licdn.com/dms/image/v2/D4E10AQGKueCfWHuNkg/image-shrink_1280/B4EZ7PBKXZJYAc-/0/1781589649194/A2-C5jpg?e=2147483647&amp;v=beta&amp;t=QmYtHSy_ICSJ76MwsGAlNWrT6Yc_kTWrDq9iNJSaLPw","View Creative")</f>
        <v>View Creative</v>
      </c>
      <c r="L4106" s="6" t="s">
        <v>62</v>
      </c>
      <c r="M4106" s="6" t="s">
        <v>8270</v>
      </c>
      <c r="N4106" s="6" t="s">
        <v>8295</v>
      </c>
      <c r="O4106" s="36" t="s">
        <v>7541</v>
      </c>
      <c r="P4106" s="36" t="s">
        <v>7542</v>
      </c>
      <c r="Q4106" s="38"/>
    </row>
    <row r="4107">
      <c r="A4107" s="6" t="s">
        <v>8270</v>
      </c>
      <c r="B4107" s="6" t="s">
        <v>8271</v>
      </c>
      <c r="C4107" s="6">
        <v>56.0</v>
      </c>
      <c r="D4107" s="9" t="str">
        <f t="shared" si="409"/>
        <v>Open Ad</v>
      </c>
      <c r="E4107" s="6" t="s">
        <v>91</v>
      </c>
      <c r="F4107" s="6" t="s">
        <v>8022</v>
      </c>
      <c r="G4107" s="6" t="s">
        <v>8275</v>
      </c>
      <c r="H4107" s="6" t="s">
        <v>55</v>
      </c>
      <c r="I4107" s="6" t="s">
        <v>8273</v>
      </c>
      <c r="J4107" s="6" t="s">
        <v>91</v>
      </c>
      <c r="K4107" s="12" t="str">
        <f t="shared" si="410"/>
        <v>View Creative</v>
      </c>
      <c r="L4107" s="6" t="s">
        <v>62</v>
      </c>
      <c r="M4107" s="6" t="s">
        <v>8270</v>
      </c>
      <c r="N4107" s="6" t="s">
        <v>8295</v>
      </c>
      <c r="O4107" s="36" t="s">
        <v>7541</v>
      </c>
      <c r="P4107" s="36" t="s">
        <v>7542</v>
      </c>
      <c r="Q4107" s="38"/>
    </row>
    <row r="4108">
      <c r="A4108" s="6" t="s">
        <v>8270</v>
      </c>
      <c r="B4108" s="6" t="s">
        <v>8271</v>
      </c>
      <c r="C4108" s="6">
        <v>57.0</v>
      </c>
      <c r="D4108" s="9" t="str">
        <f t="shared" ref="D4108:D4109" si="411">HYPERLINK("https://www.linkedin.com/ad-library/detail/1458728004","Open Ad")</f>
        <v>Open Ad</v>
      </c>
      <c r="E4108" s="6" t="s">
        <v>91</v>
      </c>
      <c r="F4108" s="6" t="s">
        <v>8022</v>
      </c>
      <c r="G4108" s="6" t="s">
        <v>8291</v>
      </c>
      <c r="H4108" s="6" t="s">
        <v>55</v>
      </c>
      <c r="I4108" s="6" t="s">
        <v>8273</v>
      </c>
      <c r="J4108" s="6" t="s">
        <v>91</v>
      </c>
      <c r="K4108" s="12" t="str">
        <f t="shared" ref="K4108:K4109" si="412">HYPERLINK("https://media.licdn.com/dms/image/v2/D4E10AQEESvpqPP5YhA/image-shrink_1280/B4EZ7PB0Y_JYAc-/0/1781589821408/A3-C1jpg?e=2147483647&amp;v=beta&amp;t=5WJ19AWOyib21SFxVma_vc-ZkbdM5W57TXOC4lK0g3c","View Creative")</f>
        <v>View Creative</v>
      </c>
      <c r="L4108" s="6" t="s">
        <v>62</v>
      </c>
      <c r="M4108" s="6" t="s">
        <v>8270</v>
      </c>
      <c r="N4108" s="6" t="s">
        <v>8295</v>
      </c>
      <c r="O4108" s="36" t="s">
        <v>7541</v>
      </c>
      <c r="P4108" s="36" t="s">
        <v>7542</v>
      </c>
      <c r="Q4108" s="38"/>
    </row>
    <row r="4109">
      <c r="A4109" s="6" t="s">
        <v>8270</v>
      </c>
      <c r="B4109" s="6" t="s">
        <v>8271</v>
      </c>
      <c r="C4109" s="6">
        <v>58.0</v>
      </c>
      <c r="D4109" s="9" t="str">
        <f t="shared" si="411"/>
        <v>Open Ad</v>
      </c>
      <c r="E4109" s="6" t="s">
        <v>91</v>
      </c>
      <c r="F4109" s="6" t="s">
        <v>8022</v>
      </c>
      <c r="G4109" s="6" t="s">
        <v>8291</v>
      </c>
      <c r="H4109" s="6" t="s">
        <v>55</v>
      </c>
      <c r="I4109" s="6" t="s">
        <v>8273</v>
      </c>
      <c r="J4109" s="6" t="s">
        <v>91</v>
      </c>
      <c r="K4109" s="12" t="str">
        <f t="shared" si="412"/>
        <v>View Creative</v>
      </c>
      <c r="L4109" s="6" t="s">
        <v>62</v>
      </c>
      <c r="M4109" s="6" t="s">
        <v>8270</v>
      </c>
      <c r="N4109" s="6" t="s">
        <v>8295</v>
      </c>
      <c r="O4109" s="36" t="s">
        <v>7541</v>
      </c>
      <c r="P4109" s="36" t="s">
        <v>7542</v>
      </c>
      <c r="Q4109" s="38"/>
    </row>
    <row r="4110">
      <c r="A4110" s="6" t="s">
        <v>8270</v>
      </c>
      <c r="B4110" s="6" t="s">
        <v>8271</v>
      </c>
      <c r="C4110" s="6">
        <v>59.0</v>
      </c>
      <c r="D4110" s="9" t="str">
        <f t="shared" ref="D4110:D4111" si="413">HYPERLINK("https://www.linkedin.com/ad-library/detail/1458727994","Open Ad")</f>
        <v>Open Ad</v>
      </c>
      <c r="E4110" s="6" t="s">
        <v>91</v>
      </c>
      <c r="F4110" s="6" t="s">
        <v>8022</v>
      </c>
      <c r="G4110" s="6" t="s">
        <v>8288</v>
      </c>
      <c r="H4110" s="6" t="s">
        <v>55</v>
      </c>
      <c r="I4110" s="6" t="s">
        <v>8273</v>
      </c>
      <c r="J4110" s="6" t="s">
        <v>91</v>
      </c>
      <c r="K4110" s="12" t="str">
        <f t="shared" ref="K4110:K4111" si="414">HYPERLINK("https://media.licdn.com/dms/image/v2/D4E10AQExh4rmJC5IEA/image-shrink_1280/B4EZ7PBG8LJYAc-/0/1781589635154/A2-C4jpg?e=2147483647&amp;v=beta&amp;t=zuMWFlvEIhGikYjrPhKmomgSrR5Nx39hHN-pslXHZ_Q","View Creative")</f>
        <v>View Creative</v>
      </c>
      <c r="L4110" s="6" t="s">
        <v>62</v>
      </c>
      <c r="M4110" s="6" t="s">
        <v>8270</v>
      </c>
      <c r="N4110" s="6" t="s">
        <v>8295</v>
      </c>
      <c r="O4110" s="36" t="s">
        <v>7541</v>
      </c>
      <c r="P4110" s="36" t="s">
        <v>7542</v>
      </c>
      <c r="Q4110" s="38"/>
    </row>
    <row r="4111">
      <c r="A4111" s="6" t="s">
        <v>8270</v>
      </c>
      <c r="B4111" s="6" t="s">
        <v>8271</v>
      </c>
      <c r="C4111" s="6">
        <v>60.0</v>
      </c>
      <c r="D4111" s="9" t="str">
        <f t="shared" si="413"/>
        <v>Open Ad</v>
      </c>
      <c r="E4111" s="6" t="s">
        <v>91</v>
      </c>
      <c r="F4111" s="6" t="s">
        <v>8022</v>
      </c>
      <c r="G4111" s="6" t="s">
        <v>8288</v>
      </c>
      <c r="H4111" s="6" t="s">
        <v>55</v>
      </c>
      <c r="I4111" s="6" t="s">
        <v>8273</v>
      </c>
      <c r="J4111" s="6" t="s">
        <v>91</v>
      </c>
      <c r="K4111" s="12" t="str">
        <f t="shared" si="414"/>
        <v>View Creative</v>
      </c>
      <c r="L4111" s="6" t="s">
        <v>62</v>
      </c>
      <c r="M4111" s="6" t="s">
        <v>8270</v>
      </c>
      <c r="N4111" s="6" t="s">
        <v>8295</v>
      </c>
      <c r="O4111" s="36" t="s">
        <v>7541</v>
      </c>
      <c r="P4111" s="36" t="s">
        <v>7542</v>
      </c>
      <c r="Q4111" s="38"/>
    </row>
    <row r="4112">
      <c r="A4112" s="6" t="s">
        <v>8270</v>
      </c>
      <c r="B4112" s="6" t="s">
        <v>8271</v>
      </c>
      <c r="C4112" s="6">
        <v>61.0</v>
      </c>
      <c r="D4112" s="9" t="str">
        <f t="shared" ref="D4112:D4113" si="415">HYPERLINK("https://www.linkedin.com/ad-library/detail/1458713804","Open Ad")</f>
        <v>Open Ad</v>
      </c>
      <c r="E4112" s="6" t="s">
        <v>91</v>
      </c>
      <c r="F4112" s="6" t="s">
        <v>8022</v>
      </c>
      <c r="G4112" s="6" t="s">
        <v>8292</v>
      </c>
      <c r="H4112" s="6" t="s">
        <v>55</v>
      </c>
      <c r="I4112" s="6" t="s">
        <v>8273</v>
      </c>
      <c r="J4112" s="6" t="s">
        <v>91</v>
      </c>
      <c r="K4112" s="12" t="str">
        <f t="shared" ref="K4112:K4113" si="416">HYPERLINK("https://media.licdn.com/dms/image/v2/D4E10AQEzBiIWRJhvlg/image-shrink_1280/B4EZ7PBmmsIcAg-/0/1781589764812/B1-C1B1-C2jpg?e=2147483647&amp;v=beta&amp;t=dJLRC4MZ_Khzio0RkH-Q67LXt6hP0DW9MkpDWtFRX7s","View Creative")</f>
        <v>View Creative</v>
      </c>
      <c r="L4112" s="6" t="s">
        <v>62</v>
      </c>
      <c r="M4112" s="6" t="s">
        <v>8270</v>
      </c>
      <c r="N4112" s="6" t="s">
        <v>8297</v>
      </c>
      <c r="O4112" s="36" t="s">
        <v>7541</v>
      </c>
      <c r="P4112" s="36" t="s">
        <v>7542</v>
      </c>
      <c r="Q4112" s="38"/>
    </row>
    <row r="4113">
      <c r="A4113" s="6" t="s">
        <v>8270</v>
      </c>
      <c r="B4113" s="6" t="s">
        <v>8271</v>
      </c>
      <c r="C4113" s="6">
        <v>62.0</v>
      </c>
      <c r="D4113" s="9" t="str">
        <f t="shared" si="415"/>
        <v>Open Ad</v>
      </c>
      <c r="E4113" s="6" t="s">
        <v>91</v>
      </c>
      <c r="F4113" s="6" t="s">
        <v>8022</v>
      </c>
      <c r="G4113" s="6" t="s">
        <v>8292</v>
      </c>
      <c r="H4113" s="6" t="s">
        <v>55</v>
      </c>
      <c r="I4113" s="6" t="s">
        <v>8273</v>
      </c>
      <c r="J4113" s="6" t="s">
        <v>91</v>
      </c>
      <c r="K4113" s="12" t="str">
        <f t="shared" si="416"/>
        <v>View Creative</v>
      </c>
      <c r="L4113" s="6" t="s">
        <v>62</v>
      </c>
      <c r="M4113" s="6" t="s">
        <v>8270</v>
      </c>
      <c r="N4113" s="6" t="s">
        <v>8297</v>
      </c>
      <c r="O4113" s="36" t="s">
        <v>7541</v>
      </c>
      <c r="P4113" s="36" t="s">
        <v>7542</v>
      </c>
      <c r="Q4113" s="38"/>
    </row>
    <row r="4114">
      <c r="A4114" s="6" t="s">
        <v>8270</v>
      </c>
      <c r="B4114" s="6" t="s">
        <v>8271</v>
      </c>
      <c r="C4114" s="6">
        <v>63.0</v>
      </c>
      <c r="D4114" s="9" t="str">
        <f t="shared" ref="D4114:D4115" si="417">HYPERLINK("https://www.linkedin.com/ad-library/detail/1458822924","Open Ad")</f>
        <v>Open Ad</v>
      </c>
      <c r="E4114" s="6" t="s">
        <v>91</v>
      </c>
      <c r="F4114" s="6" t="s">
        <v>8022</v>
      </c>
      <c r="G4114" s="6" t="s">
        <v>8291</v>
      </c>
      <c r="H4114" s="6" t="s">
        <v>55</v>
      </c>
      <c r="I4114" s="6" t="s">
        <v>8273</v>
      </c>
      <c r="J4114" s="6" t="s">
        <v>91</v>
      </c>
      <c r="K4114" s="12" t="str">
        <f t="shared" ref="K4114:K4115" si="418">HYPERLINK("https://media.licdn.com/dms/image/v2/D4E10AQEESvpqPP5YhA/image-shrink_1280/B4EZ7PB0Y_JYAc-/0/1781589821408/A3-C1jpg?e=2147483647&amp;v=beta&amp;t=5WJ19AWOyib21SFxVma_vc-ZkbdM5W57TXOC4lK0g3c","View Creative")</f>
        <v>View Creative</v>
      </c>
      <c r="L4114" s="6" t="s">
        <v>62</v>
      </c>
      <c r="M4114" s="6" t="s">
        <v>8270</v>
      </c>
      <c r="N4114" s="6" t="s">
        <v>8297</v>
      </c>
      <c r="O4114" s="36" t="s">
        <v>7541</v>
      </c>
      <c r="P4114" s="36" t="s">
        <v>7542</v>
      </c>
      <c r="Q4114" s="38"/>
    </row>
    <row r="4115">
      <c r="A4115" s="6" t="s">
        <v>8270</v>
      </c>
      <c r="B4115" s="6" t="s">
        <v>8271</v>
      </c>
      <c r="C4115" s="6">
        <v>64.0</v>
      </c>
      <c r="D4115" s="9" t="str">
        <f t="shared" si="417"/>
        <v>Open Ad</v>
      </c>
      <c r="E4115" s="6" t="s">
        <v>91</v>
      </c>
      <c r="F4115" s="6" t="s">
        <v>8022</v>
      </c>
      <c r="G4115" s="6" t="s">
        <v>8291</v>
      </c>
      <c r="H4115" s="6" t="s">
        <v>55</v>
      </c>
      <c r="I4115" s="6" t="s">
        <v>8273</v>
      </c>
      <c r="J4115" s="6" t="s">
        <v>91</v>
      </c>
      <c r="K4115" s="12" t="str">
        <f t="shared" si="418"/>
        <v>View Creative</v>
      </c>
      <c r="L4115" s="6" t="s">
        <v>62</v>
      </c>
      <c r="M4115" s="6" t="s">
        <v>8270</v>
      </c>
      <c r="N4115" s="6" t="s">
        <v>8297</v>
      </c>
      <c r="O4115" s="36" t="s">
        <v>7541</v>
      </c>
      <c r="P4115" s="36" t="s">
        <v>7542</v>
      </c>
      <c r="Q4115" s="38"/>
    </row>
    <row r="4116">
      <c r="A4116" s="6" t="s">
        <v>8270</v>
      </c>
      <c r="B4116" s="6" t="s">
        <v>8271</v>
      </c>
      <c r="C4116" s="6">
        <v>65.0</v>
      </c>
      <c r="D4116" s="9" t="str">
        <f t="shared" ref="D4116:D4117" si="419">HYPERLINK("https://www.linkedin.com/ad-library/detail/1458633804","Open Ad")</f>
        <v>Open Ad</v>
      </c>
      <c r="E4116" s="6" t="s">
        <v>91</v>
      </c>
      <c r="F4116" s="6" t="s">
        <v>8022</v>
      </c>
      <c r="G4116" s="6" t="s">
        <v>8298</v>
      </c>
      <c r="H4116" s="6" t="s">
        <v>55</v>
      </c>
      <c r="I4116" s="6" t="s">
        <v>8273</v>
      </c>
      <c r="J4116" s="6" t="s">
        <v>91</v>
      </c>
      <c r="K4116" s="12" t="str">
        <f t="shared" ref="K4116:K4117" si="420">HYPERLINK("https://media.licdn.com/dms/image/v2/D4E10AQHMra8bcCHO0A/image-shrink_1280/B4EZ7PB9xfJgAc-/0/1781589859722/A3-C4jpg?e=2147483647&amp;v=beta&amp;t=nCAppK4YstfRrJE6gsQvbsQ_Vn64cbuwRRghD0DqzSQ","View Creative")</f>
        <v>View Creative</v>
      </c>
      <c r="L4116" s="6" t="s">
        <v>62</v>
      </c>
      <c r="M4116" s="6" t="s">
        <v>8270</v>
      </c>
      <c r="N4116" s="6" t="s">
        <v>8299</v>
      </c>
      <c r="O4116" s="36" t="s">
        <v>7541</v>
      </c>
      <c r="P4116" s="36" t="s">
        <v>7542</v>
      </c>
      <c r="Q4116" s="38"/>
    </row>
    <row r="4117">
      <c r="A4117" s="6" t="s">
        <v>8270</v>
      </c>
      <c r="B4117" s="6" t="s">
        <v>8271</v>
      </c>
      <c r="C4117" s="6">
        <v>66.0</v>
      </c>
      <c r="D4117" s="9" t="str">
        <f t="shared" si="419"/>
        <v>Open Ad</v>
      </c>
      <c r="E4117" s="6" t="s">
        <v>91</v>
      </c>
      <c r="F4117" s="6" t="s">
        <v>8022</v>
      </c>
      <c r="G4117" s="6" t="s">
        <v>8298</v>
      </c>
      <c r="H4117" s="6" t="s">
        <v>55</v>
      </c>
      <c r="I4117" s="6" t="s">
        <v>8273</v>
      </c>
      <c r="J4117" s="6" t="s">
        <v>91</v>
      </c>
      <c r="K4117" s="12" t="str">
        <f t="shared" si="420"/>
        <v>View Creative</v>
      </c>
      <c r="L4117" s="6" t="s">
        <v>62</v>
      </c>
      <c r="M4117" s="6" t="s">
        <v>8270</v>
      </c>
      <c r="N4117" s="6" t="s">
        <v>8299</v>
      </c>
      <c r="O4117" s="36" t="s">
        <v>7541</v>
      </c>
      <c r="P4117" s="36" t="s">
        <v>7542</v>
      </c>
      <c r="Q4117" s="38"/>
    </row>
    <row r="4118">
      <c r="A4118" s="6" t="s">
        <v>8270</v>
      </c>
      <c r="B4118" s="6" t="s">
        <v>8271</v>
      </c>
      <c r="C4118" s="6">
        <v>67.0</v>
      </c>
      <c r="D4118" s="9" t="str">
        <f t="shared" ref="D4118:D4119" si="421">HYPERLINK("https://www.linkedin.com/ad-library/detail/1458648354","Open Ad")</f>
        <v>Open Ad</v>
      </c>
      <c r="E4118" s="6" t="s">
        <v>91</v>
      </c>
      <c r="F4118" s="6" t="s">
        <v>8022</v>
      </c>
      <c r="G4118" s="6" t="s">
        <v>8292</v>
      </c>
      <c r="H4118" s="6" t="s">
        <v>55</v>
      </c>
      <c r="I4118" s="6" t="s">
        <v>8273</v>
      </c>
      <c r="J4118" s="6" t="s">
        <v>91</v>
      </c>
      <c r="K4118" s="12" t="str">
        <f t="shared" ref="K4118:K4119" si="422">HYPERLINK("https://media.licdn.com/dms/image/v2/D4E10AQEzBiIWRJhvlg/image-shrink_1280/B4EZ7PBmmsIcAg-/0/1781589764812/B1-C1B1-C2jpg?e=2147483647&amp;v=beta&amp;t=dJLRC4MZ_Khzio0RkH-Q67LXt6hP0DW9MkpDWtFRX7s","View Creative")</f>
        <v>View Creative</v>
      </c>
      <c r="L4118" s="6" t="s">
        <v>62</v>
      </c>
      <c r="M4118" s="6" t="s">
        <v>8270</v>
      </c>
      <c r="N4118" s="6" t="s">
        <v>8295</v>
      </c>
      <c r="O4118" s="36" t="s">
        <v>7541</v>
      </c>
      <c r="P4118" s="36" t="s">
        <v>7542</v>
      </c>
      <c r="Q4118" s="38"/>
    </row>
    <row r="4119">
      <c r="A4119" s="6" t="s">
        <v>8270</v>
      </c>
      <c r="B4119" s="6" t="s">
        <v>8271</v>
      </c>
      <c r="C4119" s="6">
        <v>68.0</v>
      </c>
      <c r="D4119" s="9" t="str">
        <f t="shared" si="421"/>
        <v>Open Ad</v>
      </c>
      <c r="E4119" s="6" t="s">
        <v>91</v>
      </c>
      <c r="F4119" s="6" t="s">
        <v>8022</v>
      </c>
      <c r="G4119" s="6" t="s">
        <v>8292</v>
      </c>
      <c r="H4119" s="6" t="s">
        <v>55</v>
      </c>
      <c r="I4119" s="6" t="s">
        <v>8273</v>
      </c>
      <c r="J4119" s="6" t="s">
        <v>91</v>
      </c>
      <c r="K4119" s="12" t="str">
        <f t="shared" si="422"/>
        <v>View Creative</v>
      </c>
      <c r="L4119" s="6" t="s">
        <v>62</v>
      </c>
      <c r="M4119" s="6" t="s">
        <v>8270</v>
      </c>
      <c r="N4119" s="6" t="s">
        <v>8295</v>
      </c>
      <c r="O4119" s="36" t="s">
        <v>7541</v>
      </c>
      <c r="P4119" s="36" t="s">
        <v>7542</v>
      </c>
      <c r="Q4119" s="38"/>
    </row>
    <row r="4120">
      <c r="A4120" s="6" t="s">
        <v>8270</v>
      </c>
      <c r="B4120" s="6" t="s">
        <v>8271</v>
      </c>
      <c r="C4120" s="6">
        <v>69.0</v>
      </c>
      <c r="D4120" s="9" t="str">
        <f t="shared" ref="D4120:D4121" si="423">HYPERLINK("https://www.linkedin.com/ad-library/detail/1458694054","Open Ad")</f>
        <v>Open Ad</v>
      </c>
      <c r="E4120" s="6" t="s">
        <v>91</v>
      </c>
      <c r="F4120" s="6" t="s">
        <v>8022</v>
      </c>
      <c r="G4120" s="6" t="s">
        <v>8281</v>
      </c>
      <c r="H4120" s="6" t="s">
        <v>55</v>
      </c>
      <c r="I4120" s="6" t="s">
        <v>8273</v>
      </c>
      <c r="J4120" s="6" t="s">
        <v>91</v>
      </c>
      <c r="K4120" s="12" t="str">
        <f t="shared" ref="K4120:K4121" si="424">HYPERLINK("https://media.licdn.com/dms/image/v2/D4E10AQE-9lDIBMB7ow/image-shrink_1280/B4EZ7PB6fVHkAc-/0/1781589846302/A3-C3jpg?e=2147483647&amp;v=beta&amp;t=VzXZ0xKb8Cn-eOV6wgC2UKL8s8P_uVXnTsOkNB8-WY0","View Creative")</f>
        <v>View Creative</v>
      </c>
      <c r="L4120" s="6" t="s">
        <v>62</v>
      </c>
      <c r="M4120" s="6" t="s">
        <v>8270</v>
      </c>
      <c r="N4120" s="6" t="s">
        <v>8296</v>
      </c>
      <c r="O4120" s="36" t="s">
        <v>7541</v>
      </c>
      <c r="P4120" s="36" t="s">
        <v>7542</v>
      </c>
      <c r="Q4120" s="38"/>
    </row>
    <row r="4121">
      <c r="A4121" s="6" t="s">
        <v>8270</v>
      </c>
      <c r="B4121" s="6" t="s">
        <v>8271</v>
      </c>
      <c r="C4121" s="6">
        <v>70.0</v>
      </c>
      <c r="D4121" s="9" t="str">
        <f t="shared" si="423"/>
        <v>Open Ad</v>
      </c>
      <c r="E4121" s="6" t="s">
        <v>91</v>
      </c>
      <c r="F4121" s="6" t="s">
        <v>8022</v>
      </c>
      <c r="G4121" s="6" t="s">
        <v>8281</v>
      </c>
      <c r="H4121" s="6" t="s">
        <v>55</v>
      </c>
      <c r="I4121" s="6" t="s">
        <v>8273</v>
      </c>
      <c r="J4121" s="6" t="s">
        <v>91</v>
      </c>
      <c r="K4121" s="12" t="str">
        <f t="shared" si="424"/>
        <v>View Creative</v>
      </c>
      <c r="L4121" s="6" t="s">
        <v>62</v>
      </c>
      <c r="M4121" s="6" t="s">
        <v>8270</v>
      </c>
      <c r="N4121" s="6" t="s">
        <v>8296</v>
      </c>
      <c r="O4121" s="36" t="s">
        <v>7541</v>
      </c>
      <c r="P4121" s="36" t="s">
        <v>7542</v>
      </c>
      <c r="Q4121" s="38"/>
    </row>
    <row r="4122">
      <c r="A4122" s="6" t="s">
        <v>8270</v>
      </c>
      <c r="B4122" s="6" t="s">
        <v>8271</v>
      </c>
      <c r="C4122" s="6">
        <v>71.0</v>
      </c>
      <c r="D4122" s="9" t="str">
        <f t="shared" ref="D4122:D4123" si="425">HYPERLINK("https://www.linkedin.com/ad-library/detail/1458757714","Open Ad")</f>
        <v>Open Ad</v>
      </c>
      <c r="E4122" s="6" t="s">
        <v>91</v>
      </c>
      <c r="F4122" s="6" t="s">
        <v>8022</v>
      </c>
      <c r="G4122" s="6" t="s">
        <v>8289</v>
      </c>
      <c r="H4122" s="6" t="s">
        <v>55</v>
      </c>
      <c r="I4122" s="6" t="s">
        <v>8273</v>
      </c>
      <c r="J4122" s="6" t="s">
        <v>91</v>
      </c>
      <c r="K4122" s="12" t="str">
        <f t="shared" ref="K4122:K4123" si="426">HYPERLINK("https://media.licdn.com/dms/image/v2/D4E10AQHSAAAf506Y2g/image-shrink_1280/B4EZ7PBpgcJYAc-/0/1781589776758/B1-C1B1-C2jpg?e=2147483647&amp;v=beta&amp;t=kV0bdf50OmBqVi4j6BFJ1WNqYLzEWf-hvx95hn9cfIU","View Creative")</f>
        <v>View Creative</v>
      </c>
      <c r="L4122" s="6" t="s">
        <v>62</v>
      </c>
      <c r="M4122" s="6" t="s">
        <v>8270</v>
      </c>
      <c r="N4122" s="6" t="s">
        <v>8295</v>
      </c>
      <c r="O4122" s="36" t="s">
        <v>7541</v>
      </c>
      <c r="P4122" s="36" t="s">
        <v>7542</v>
      </c>
      <c r="Q4122" s="38"/>
    </row>
    <row r="4123">
      <c r="A4123" s="6" t="s">
        <v>8270</v>
      </c>
      <c r="B4123" s="6" t="s">
        <v>8271</v>
      </c>
      <c r="C4123" s="6">
        <v>72.0</v>
      </c>
      <c r="D4123" s="9" t="str">
        <f t="shared" si="425"/>
        <v>Open Ad</v>
      </c>
      <c r="E4123" s="6" t="s">
        <v>91</v>
      </c>
      <c r="F4123" s="6" t="s">
        <v>8022</v>
      </c>
      <c r="G4123" s="6" t="s">
        <v>8289</v>
      </c>
      <c r="H4123" s="6" t="s">
        <v>55</v>
      </c>
      <c r="I4123" s="6" t="s">
        <v>8273</v>
      </c>
      <c r="J4123" s="6" t="s">
        <v>91</v>
      </c>
      <c r="K4123" s="12" t="str">
        <f t="shared" si="426"/>
        <v>View Creative</v>
      </c>
      <c r="L4123" s="6" t="s">
        <v>62</v>
      </c>
      <c r="M4123" s="6" t="s">
        <v>8270</v>
      </c>
      <c r="N4123" s="6" t="s">
        <v>8295</v>
      </c>
      <c r="O4123" s="36" t="s">
        <v>7541</v>
      </c>
      <c r="P4123" s="36" t="s">
        <v>7542</v>
      </c>
      <c r="Q4123" s="38"/>
    </row>
    <row r="4124">
      <c r="A4124" s="6" t="s">
        <v>8270</v>
      </c>
      <c r="B4124" s="6" t="s">
        <v>8271</v>
      </c>
      <c r="C4124" s="6">
        <v>73.0</v>
      </c>
      <c r="D4124" s="9" t="str">
        <f t="shared" ref="D4124:D4125" si="427">HYPERLINK("https://www.linkedin.com/ad-library/detail/1458757704","Open Ad")</f>
        <v>Open Ad</v>
      </c>
      <c r="E4124" s="6" t="s">
        <v>91</v>
      </c>
      <c r="F4124" s="6" t="s">
        <v>8022</v>
      </c>
      <c r="G4124" s="6" t="s">
        <v>8298</v>
      </c>
      <c r="H4124" s="6" t="s">
        <v>55</v>
      </c>
      <c r="I4124" s="6" t="s">
        <v>8273</v>
      </c>
      <c r="J4124" s="6" t="s">
        <v>91</v>
      </c>
      <c r="K4124" s="12" t="str">
        <f t="shared" ref="K4124:K4125" si="428">HYPERLINK("https://media.licdn.com/dms/image/v2/D4E10AQHMra8bcCHO0A/image-shrink_1280/B4EZ7PB9xfJgAc-/0/1781589859722/A3-C4jpg?e=2147483647&amp;v=beta&amp;t=nCAppK4YstfRrJE6gsQvbsQ_Vn64cbuwRRghD0DqzSQ","View Creative")</f>
        <v>View Creative</v>
      </c>
      <c r="L4124" s="6" t="s">
        <v>62</v>
      </c>
      <c r="M4124" s="6" t="s">
        <v>8270</v>
      </c>
      <c r="N4124" s="6" t="s">
        <v>8295</v>
      </c>
      <c r="O4124" s="36" t="s">
        <v>7541</v>
      </c>
      <c r="P4124" s="36" t="s">
        <v>7542</v>
      </c>
      <c r="Q4124" s="38"/>
    </row>
    <row r="4125">
      <c r="A4125" s="6" t="s">
        <v>8270</v>
      </c>
      <c r="B4125" s="6" t="s">
        <v>8271</v>
      </c>
      <c r="C4125" s="6">
        <v>74.0</v>
      </c>
      <c r="D4125" s="9" t="str">
        <f t="shared" si="427"/>
        <v>Open Ad</v>
      </c>
      <c r="E4125" s="6" t="s">
        <v>91</v>
      </c>
      <c r="F4125" s="6" t="s">
        <v>8022</v>
      </c>
      <c r="G4125" s="6" t="s">
        <v>8298</v>
      </c>
      <c r="H4125" s="6" t="s">
        <v>55</v>
      </c>
      <c r="I4125" s="6" t="s">
        <v>8273</v>
      </c>
      <c r="J4125" s="6" t="s">
        <v>91</v>
      </c>
      <c r="K4125" s="12" t="str">
        <f t="shared" si="428"/>
        <v>View Creative</v>
      </c>
      <c r="L4125" s="6" t="s">
        <v>62</v>
      </c>
      <c r="M4125" s="6" t="s">
        <v>8270</v>
      </c>
      <c r="N4125" s="6" t="s">
        <v>8295</v>
      </c>
      <c r="O4125" s="36" t="s">
        <v>7541</v>
      </c>
      <c r="P4125" s="36" t="s">
        <v>7542</v>
      </c>
      <c r="Q4125" s="38"/>
    </row>
    <row r="4126">
      <c r="A4126" s="6" t="s">
        <v>8270</v>
      </c>
      <c r="B4126" s="6" t="s">
        <v>8271</v>
      </c>
      <c r="C4126" s="6">
        <v>75.0</v>
      </c>
      <c r="D4126" s="9" t="str">
        <f t="shared" ref="D4126:D4127" si="429">HYPERLINK("https://www.linkedin.com/ad-library/detail/1458738494","Open Ad")</f>
        <v>Open Ad</v>
      </c>
      <c r="E4126" s="6" t="s">
        <v>91</v>
      </c>
      <c r="F4126" s="6" t="s">
        <v>8022</v>
      </c>
      <c r="G4126" s="6" t="s">
        <v>8300</v>
      </c>
      <c r="H4126" s="6" t="s">
        <v>55</v>
      </c>
      <c r="I4126" s="6" t="s">
        <v>8273</v>
      </c>
      <c r="J4126" s="6" t="s">
        <v>91</v>
      </c>
      <c r="K4126" s="12" t="str">
        <f t="shared" ref="K4126:K4127" si="430">HYPERLINK("https://media.licdn.com/dms/image/v2/D4E10AQH5erc-NuEEKQ/image-shrink_1280/B4EZ7PA_r0JMAc-/0/1781589605441/A2-C2jpg?e=2147483647&amp;v=beta&amp;t=sPrbyOYJTOjJb56F-cYbGQFpzyWZ2jHq64xjz8NHl8A","View Creative")</f>
        <v>View Creative</v>
      </c>
      <c r="L4126" s="6" t="s">
        <v>62</v>
      </c>
      <c r="M4126" s="6" t="s">
        <v>8270</v>
      </c>
      <c r="N4126" s="6" t="s">
        <v>8295</v>
      </c>
      <c r="O4126" s="36" t="s">
        <v>7541</v>
      </c>
      <c r="P4126" s="36" t="s">
        <v>7542</v>
      </c>
      <c r="Q4126" s="38"/>
    </row>
    <row r="4127">
      <c r="A4127" s="6" t="s">
        <v>8270</v>
      </c>
      <c r="B4127" s="6" t="s">
        <v>8271</v>
      </c>
      <c r="C4127" s="6">
        <v>76.0</v>
      </c>
      <c r="D4127" s="9" t="str">
        <f t="shared" si="429"/>
        <v>Open Ad</v>
      </c>
      <c r="E4127" s="6" t="s">
        <v>91</v>
      </c>
      <c r="F4127" s="6" t="s">
        <v>8022</v>
      </c>
      <c r="G4127" s="6" t="s">
        <v>8300</v>
      </c>
      <c r="H4127" s="6" t="s">
        <v>55</v>
      </c>
      <c r="I4127" s="6" t="s">
        <v>8273</v>
      </c>
      <c r="J4127" s="6" t="s">
        <v>91</v>
      </c>
      <c r="K4127" s="12" t="str">
        <f t="shared" si="430"/>
        <v>View Creative</v>
      </c>
      <c r="L4127" s="6" t="s">
        <v>62</v>
      </c>
      <c r="M4127" s="6" t="s">
        <v>8270</v>
      </c>
      <c r="N4127" s="6" t="s">
        <v>8295</v>
      </c>
      <c r="O4127" s="36" t="s">
        <v>7541</v>
      </c>
      <c r="P4127" s="36" t="s">
        <v>7542</v>
      </c>
      <c r="Q4127" s="38"/>
    </row>
    <row r="4128">
      <c r="A4128" s="6" t="s">
        <v>8270</v>
      </c>
      <c r="B4128" s="6" t="s">
        <v>8271</v>
      </c>
      <c r="C4128" s="6">
        <v>77.0</v>
      </c>
      <c r="D4128" s="9" t="str">
        <f t="shared" ref="D4128:D4129" si="431">HYPERLINK("https://www.linkedin.com/ad-library/detail/1458678174","Open Ad")</f>
        <v>Open Ad</v>
      </c>
      <c r="E4128" s="6" t="s">
        <v>91</v>
      </c>
      <c r="F4128" s="6" t="s">
        <v>8022</v>
      </c>
      <c r="G4128" s="6" t="s">
        <v>8275</v>
      </c>
      <c r="H4128" s="6" t="s">
        <v>55</v>
      </c>
      <c r="I4128" s="6" t="s">
        <v>8273</v>
      </c>
      <c r="J4128" s="6" t="s">
        <v>91</v>
      </c>
      <c r="K4128" s="12" t="str">
        <f t="shared" ref="K4128:K4129" si="432">HYPERLINK("https://media.licdn.com/dms/image/v2/D4E10AQFAWEb03BKmkQ/image-shrink_1280/B4EZ7PBRrnJYAc-/0/1781589679153/A2-C51jpg?e=2147483647&amp;v=beta&amp;t=29yYRCvE0Xy_c8MdBNhs9SEpNJJYeiwz0ANimtFoYmo","View Creative")</f>
        <v>View Creative</v>
      </c>
      <c r="L4128" s="6" t="s">
        <v>62</v>
      </c>
      <c r="M4128" s="6" t="s">
        <v>8270</v>
      </c>
      <c r="N4128" s="6" t="s">
        <v>8295</v>
      </c>
      <c r="O4128" s="36" t="s">
        <v>7541</v>
      </c>
      <c r="P4128" s="36" t="s">
        <v>7542</v>
      </c>
      <c r="Q4128" s="38"/>
    </row>
    <row r="4129">
      <c r="A4129" s="6" t="s">
        <v>8270</v>
      </c>
      <c r="B4129" s="6" t="s">
        <v>8271</v>
      </c>
      <c r="C4129" s="6">
        <v>78.0</v>
      </c>
      <c r="D4129" s="9" t="str">
        <f t="shared" si="431"/>
        <v>Open Ad</v>
      </c>
      <c r="E4129" s="6" t="s">
        <v>91</v>
      </c>
      <c r="F4129" s="6" t="s">
        <v>8022</v>
      </c>
      <c r="G4129" s="6" t="s">
        <v>8275</v>
      </c>
      <c r="H4129" s="6" t="s">
        <v>55</v>
      </c>
      <c r="I4129" s="6" t="s">
        <v>8273</v>
      </c>
      <c r="J4129" s="6" t="s">
        <v>91</v>
      </c>
      <c r="K4129" s="12" t="str">
        <f t="shared" si="432"/>
        <v>View Creative</v>
      </c>
      <c r="L4129" s="6" t="s">
        <v>62</v>
      </c>
      <c r="M4129" s="6" t="s">
        <v>8270</v>
      </c>
      <c r="N4129" s="6" t="s">
        <v>8295</v>
      </c>
      <c r="O4129" s="36" t="s">
        <v>7541</v>
      </c>
      <c r="P4129" s="36" t="s">
        <v>7542</v>
      </c>
      <c r="Q4129" s="38"/>
    </row>
    <row r="4130">
      <c r="A4130" s="6" t="s">
        <v>8270</v>
      </c>
      <c r="B4130" s="6" t="s">
        <v>8271</v>
      </c>
      <c r="C4130" s="6">
        <v>79.0</v>
      </c>
      <c r="D4130" s="9" t="str">
        <f t="shared" ref="D4130:D4131" si="433">HYPERLINK("https://www.linkedin.com/ad-library/detail/1458668644","Open Ad")</f>
        <v>Open Ad</v>
      </c>
      <c r="E4130" s="6" t="s">
        <v>91</v>
      </c>
      <c r="F4130" s="6" t="s">
        <v>8022</v>
      </c>
      <c r="G4130" s="19" t="s">
        <v>8290</v>
      </c>
      <c r="H4130" s="6" t="s">
        <v>55</v>
      </c>
      <c r="I4130" s="6" t="s">
        <v>8273</v>
      </c>
      <c r="J4130" s="6" t="s">
        <v>91</v>
      </c>
      <c r="K4130" s="12" t="str">
        <f t="shared" ref="K4130:K4131" si="434">HYPERLINK("https://media.licdn.com/dms/image/v2/D4E10AQEtxr4fqT8NfQ/image-shrink_1280/B4EZ7PB3YvHMAc-/0/1781589833590/A3-C2jpg?e=2147483647&amp;v=beta&amp;t=AjlKWqgFYZfgDAV3dSPU-C_p1yWfgHI_ZLz-ENvzT4s","View Creative")</f>
        <v>View Creative</v>
      </c>
      <c r="L4130" s="6" t="s">
        <v>62</v>
      </c>
      <c r="M4130" s="6" t="s">
        <v>8270</v>
      </c>
      <c r="N4130" s="6" t="s">
        <v>8295</v>
      </c>
      <c r="O4130" s="36" t="s">
        <v>7541</v>
      </c>
      <c r="P4130" s="36" t="s">
        <v>7542</v>
      </c>
      <c r="Q4130" s="38"/>
    </row>
    <row r="4131">
      <c r="A4131" s="6" t="s">
        <v>8270</v>
      </c>
      <c r="B4131" s="6" t="s">
        <v>8271</v>
      </c>
      <c r="C4131" s="6">
        <v>80.0</v>
      </c>
      <c r="D4131" s="9" t="str">
        <f t="shared" si="433"/>
        <v>Open Ad</v>
      </c>
      <c r="E4131" s="6" t="s">
        <v>91</v>
      </c>
      <c r="F4131" s="6" t="s">
        <v>8022</v>
      </c>
      <c r="G4131" s="19" t="s">
        <v>8290</v>
      </c>
      <c r="H4131" s="6" t="s">
        <v>55</v>
      </c>
      <c r="I4131" s="6" t="s">
        <v>8273</v>
      </c>
      <c r="J4131" s="6" t="s">
        <v>91</v>
      </c>
      <c r="K4131" s="12" t="str">
        <f t="shared" si="434"/>
        <v>View Creative</v>
      </c>
      <c r="L4131" s="6" t="s">
        <v>62</v>
      </c>
      <c r="M4131" s="6" t="s">
        <v>8270</v>
      </c>
      <c r="N4131" s="6" t="s">
        <v>8295</v>
      </c>
      <c r="O4131" s="36" t="s">
        <v>7541</v>
      </c>
      <c r="P4131" s="36" t="s">
        <v>7542</v>
      </c>
      <c r="Q4131" s="38"/>
    </row>
    <row r="4132">
      <c r="A4132" s="6" t="s">
        <v>8270</v>
      </c>
      <c r="B4132" s="6" t="s">
        <v>8271</v>
      </c>
      <c r="C4132" s="6">
        <v>81.0</v>
      </c>
      <c r="D4132" s="9" t="str">
        <f t="shared" ref="D4132:D4133" si="435">HYPERLINK("https://www.linkedin.com/ad-library/detail/1458847224","Open Ad")</f>
        <v>Open Ad</v>
      </c>
      <c r="E4132" s="6" t="s">
        <v>91</v>
      </c>
      <c r="F4132" s="6" t="s">
        <v>8022</v>
      </c>
      <c r="G4132" s="6" t="s">
        <v>8272</v>
      </c>
      <c r="H4132" s="6" t="s">
        <v>55</v>
      </c>
      <c r="I4132" s="6" t="s">
        <v>8273</v>
      </c>
      <c r="J4132" s="6" t="s">
        <v>91</v>
      </c>
      <c r="K4132" s="12" t="str">
        <f t="shared" ref="K4132:K4133" si="436">HYPERLINK("https://media.licdn.com/dms/image/v2/D4E10AQH3OzCdZHf2Rg/image-shrink_1280/B4EZ7PAtc6HsAc-/0/1781589530762/A1-C2jpg?e=2147483647&amp;v=beta&amp;t=jvEEtQo8Ew8RgeBlebDqOzIFj4JMGRWuQ9VpaUwXuGc","View Creative")</f>
        <v>View Creative</v>
      </c>
      <c r="L4132" s="6" t="s">
        <v>62</v>
      </c>
      <c r="M4132" s="6" t="s">
        <v>8270</v>
      </c>
      <c r="N4132" s="6" t="s">
        <v>8295</v>
      </c>
      <c r="O4132" s="36" t="s">
        <v>7541</v>
      </c>
      <c r="P4132" s="36" t="s">
        <v>7542</v>
      </c>
      <c r="Q4132" s="38"/>
    </row>
    <row r="4133">
      <c r="A4133" s="6" t="s">
        <v>8270</v>
      </c>
      <c r="B4133" s="6" t="s">
        <v>8271</v>
      </c>
      <c r="C4133" s="6">
        <v>82.0</v>
      </c>
      <c r="D4133" s="9" t="str">
        <f t="shared" si="435"/>
        <v>Open Ad</v>
      </c>
      <c r="E4133" s="6" t="s">
        <v>91</v>
      </c>
      <c r="F4133" s="6" t="s">
        <v>8022</v>
      </c>
      <c r="G4133" s="6" t="s">
        <v>8272</v>
      </c>
      <c r="H4133" s="6" t="s">
        <v>55</v>
      </c>
      <c r="I4133" s="6" t="s">
        <v>8273</v>
      </c>
      <c r="J4133" s="6" t="s">
        <v>91</v>
      </c>
      <c r="K4133" s="12" t="str">
        <f t="shared" si="436"/>
        <v>View Creative</v>
      </c>
      <c r="L4133" s="6" t="s">
        <v>62</v>
      </c>
      <c r="M4133" s="6" t="s">
        <v>8270</v>
      </c>
      <c r="N4133" s="6" t="s">
        <v>8295</v>
      </c>
      <c r="O4133" s="36" t="s">
        <v>7541</v>
      </c>
      <c r="P4133" s="36" t="s">
        <v>7542</v>
      </c>
      <c r="Q4133" s="38"/>
    </row>
    <row r="4134">
      <c r="A4134" s="6" t="s">
        <v>8270</v>
      </c>
      <c r="B4134" s="6" t="s">
        <v>8271</v>
      </c>
      <c r="C4134" s="6">
        <v>83.0</v>
      </c>
      <c r="D4134" s="9" t="str">
        <f t="shared" ref="D4134:D4135" si="437">HYPERLINK("https://www.linkedin.com/ad-library/detail/1458713784","Open Ad")</f>
        <v>Open Ad</v>
      </c>
      <c r="E4134" s="6" t="s">
        <v>91</v>
      </c>
      <c r="F4134" s="6" t="s">
        <v>8022</v>
      </c>
      <c r="G4134" s="6" t="s">
        <v>8300</v>
      </c>
      <c r="H4134" s="6" t="s">
        <v>55</v>
      </c>
      <c r="I4134" s="6" t="s">
        <v>8273</v>
      </c>
      <c r="J4134" s="6" t="s">
        <v>91</v>
      </c>
      <c r="K4134" s="12" t="str">
        <f t="shared" ref="K4134:K4135" si="438">HYPERLINK("https://media.licdn.com/dms/image/v2/D4E10AQH5erc-NuEEKQ/image-shrink_1280/B4EZ7PA_r0JMAc-/0/1781589605441/A2-C2jpg?e=2147483647&amp;v=beta&amp;t=sPrbyOYJTOjJb56F-cYbGQFpzyWZ2jHq64xjz8NHl8A","View Creative")</f>
        <v>View Creative</v>
      </c>
      <c r="L4134" s="6" t="s">
        <v>62</v>
      </c>
      <c r="M4134" s="6" t="s">
        <v>8270</v>
      </c>
      <c r="N4134" s="6" t="s">
        <v>8297</v>
      </c>
      <c r="O4134" s="36" t="s">
        <v>7541</v>
      </c>
      <c r="P4134" s="36" t="s">
        <v>7542</v>
      </c>
      <c r="Q4134" s="38"/>
    </row>
    <row r="4135">
      <c r="A4135" s="6" t="s">
        <v>8270</v>
      </c>
      <c r="B4135" s="6" t="s">
        <v>8271</v>
      </c>
      <c r="C4135" s="6">
        <v>84.0</v>
      </c>
      <c r="D4135" s="9" t="str">
        <f t="shared" si="437"/>
        <v>Open Ad</v>
      </c>
      <c r="E4135" s="6" t="s">
        <v>91</v>
      </c>
      <c r="F4135" s="6" t="s">
        <v>8022</v>
      </c>
      <c r="G4135" s="6" t="s">
        <v>8300</v>
      </c>
      <c r="H4135" s="6" t="s">
        <v>55</v>
      </c>
      <c r="I4135" s="6" t="s">
        <v>8273</v>
      </c>
      <c r="J4135" s="6" t="s">
        <v>91</v>
      </c>
      <c r="K4135" s="12" t="str">
        <f t="shared" si="438"/>
        <v>View Creative</v>
      </c>
      <c r="L4135" s="6" t="s">
        <v>62</v>
      </c>
      <c r="M4135" s="6" t="s">
        <v>8270</v>
      </c>
      <c r="N4135" s="6" t="s">
        <v>8297</v>
      </c>
      <c r="O4135" s="36" t="s">
        <v>7541</v>
      </c>
      <c r="P4135" s="36" t="s">
        <v>7542</v>
      </c>
      <c r="Q4135" s="38"/>
    </row>
    <row r="4136">
      <c r="A4136" s="6" t="s">
        <v>8270</v>
      </c>
      <c r="B4136" s="6" t="s">
        <v>8271</v>
      </c>
      <c r="C4136" s="6">
        <v>85.0</v>
      </c>
      <c r="D4136" s="9" t="str">
        <f t="shared" ref="D4136:D4137" si="439">HYPERLINK("https://www.linkedin.com/ad-library/detail/1458648324","Open Ad")</f>
        <v>Open Ad</v>
      </c>
      <c r="E4136" s="6" t="s">
        <v>91</v>
      </c>
      <c r="F4136" s="6" t="s">
        <v>8022</v>
      </c>
      <c r="G4136" s="6" t="s">
        <v>8301</v>
      </c>
      <c r="H4136" s="6" t="s">
        <v>55</v>
      </c>
      <c r="I4136" s="6" t="s">
        <v>8273</v>
      </c>
      <c r="J4136" s="6" t="s">
        <v>91</v>
      </c>
      <c r="K4136" s="12" t="str">
        <f t="shared" ref="K4136:K4137" si="440">HYPERLINK("https://media.licdn.com/dms/image/v2/D4E10AQGrpDCaK6FnSw/image-shrink_1280/B4EZ7PA8SFKwAc-/0/1781589591488/A2-C1jpg?e=2147483647&amp;v=beta&amp;t=CD7sAzsJi4BrhyeJe2LdRZ2uzTXkLNtfFX3hvNtbosQ","View Creative")</f>
        <v>View Creative</v>
      </c>
      <c r="L4136" s="6" t="s">
        <v>62</v>
      </c>
      <c r="M4136" s="6" t="s">
        <v>8270</v>
      </c>
      <c r="N4136" s="6" t="s">
        <v>8295</v>
      </c>
      <c r="O4136" s="36" t="s">
        <v>7541</v>
      </c>
      <c r="P4136" s="36" t="s">
        <v>7542</v>
      </c>
      <c r="Q4136" s="38"/>
    </row>
    <row r="4137">
      <c r="A4137" s="6" t="s">
        <v>8270</v>
      </c>
      <c r="B4137" s="6" t="s">
        <v>8271</v>
      </c>
      <c r="C4137" s="6">
        <v>86.0</v>
      </c>
      <c r="D4137" s="9" t="str">
        <f t="shared" si="439"/>
        <v>Open Ad</v>
      </c>
      <c r="E4137" s="6" t="s">
        <v>91</v>
      </c>
      <c r="F4137" s="6" t="s">
        <v>8022</v>
      </c>
      <c r="G4137" s="6" t="s">
        <v>8301</v>
      </c>
      <c r="H4137" s="6" t="s">
        <v>55</v>
      </c>
      <c r="I4137" s="6" t="s">
        <v>8273</v>
      </c>
      <c r="J4137" s="6" t="s">
        <v>91</v>
      </c>
      <c r="K4137" s="12" t="str">
        <f t="shared" si="440"/>
        <v>View Creative</v>
      </c>
      <c r="L4137" s="6" t="s">
        <v>62</v>
      </c>
      <c r="M4137" s="6" t="s">
        <v>8270</v>
      </c>
      <c r="N4137" s="6" t="s">
        <v>8295</v>
      </c>
      <c r="O4137" s="36" t="s">
        <v>7541</v>
      </c>
      <c r="P4137" s="36" t="s">
        <v>7542</v>
      </c>
      <c r="Q4137" s="38"/>
    </row>
    <row r="4138">
      <c r="A4138" s="6" t="s">
        <v>8270</v>
      </c>
      <c r="B4138" s="6" t="s">
        <v>8271</v>
      </c>
      <c r="C4138" s="6">
        <v>87.0</v>
      </c>
      <c r="D4138" s="9" t="str">
        <f t="shared" ref="D4138:D4139" si="441">HYPERLINK("https://www.linkedin.com/ad-library/detail/1458777834","Open Ad")</f>
        <v>Open Ad</v>
      </c>
      <c r="E4138" s="6" t="s">
        <v>91</v>
      </c>
      <c r="F4138" s="6" t="s">
        <v>8022</v>
      </c>
      <c r="G4138" s="6" t="s">
        <v>8284</v>
      </c>
      <c r="H4138" s="6" t="s">
        <v>55</v>
      </c>
      <c r="I4138" s="6" t="s">
        <v>8273</v>
      </c>
      <c r="J4138" s="6" t="s">
        <v>91</v>
      </c>
      <c r="K4138" s="12" t="str">
        <f t="shared" ref="K4138:K4139" si="442">HYPERLINK("https://media.licdn.com/dms/image/v2/D4E10AQFefpbzB6Wrnw/image-shrink_1280/B4EZ7PCAamJYAc-/0/1781589870601/A3-C5jpg?e=2147483647&amp;v=beta&amp;t=LtNfPNfoiA2rJgVNC5pKv8gEDmKG_4iO3tCU_G77JNQ","View Creative")</f>
        <v>View Creative</v>
      </c>
      <c r="L4138" s="6" t="s">
        <v>62</v>
      </c>
      <c r="M4138" s="6" t="s">
        <v>8270</v>
      </c>
      <c r="N4138" s="6" t="s">
        <v>8295</v>
      </c>
      <c r="O4138" s="36" t="s">
        <v>7541</v>
      </c>
      <c r="P4138" s="36" t="s">
        <v>7542</v>
      </c>
      <c r="Q4138" s="38"/>
    </row>
    <row r="4139">
      <c r="A4139" s="6" t="s">
        <v>8270</v>
      </c>
      <c r="B4139" s="6" t="s">
        <v>8271</v>
      </c>
      <c r="C4139" s="6">
        <v>88.0</v>
      </c>
      <c r="D4139" s="9" t="str">
        <f t="shared" si="441"/>
        <v>Open Ad</v>
      </c>
      <c r="E4139" s="6" t="s">
        <v>91</v>
      </c>
      <c r="F4139" s="6" t="s">
        <v>8022</v>
      </c>
      <c r="G4139" s="6" t="s">
        <v>8284</v>
      </c>
      <c r="H4139" s="6" t="s">
        <v>55</v>
      </c>
      <c r="I4139" s="6" t="s">
        <v>8273</v>
      </c>
      <c r="J4139" s="6" t="s">
        <v>91</v>
      </c>
      <c r="K4139" s="12" t="str">
        <f t="shared" si="442"/>
        <v>View Creative</v>
      </c>
      <c r="L4139" s="6" t="s">
        <v>62</v>
      </c>
      <c r="M4139" s="6" t="s">
        <v>8270</v>
      </c>
      <c r="N4139" s="6" t="s">
        <v>8295</v>
      </c>
      <c r="O4139" s="36" t="s">
        <v>7541</v>
      </c>
      <c r="P4139" s="36" t="s">
        <v>7542</v>
      </c>
      <c r="Q4139" s="38"/>
    </row>
    <row r="4140">
      <c r="A4140" s="6" t="s">
        <v>8270</v>
      </c>
      <c r="B4140" s="6" t="s">
        <v>8271</v>
      </c>
      <c r="C4140" s="6">
        <v>89.0</v>
      </c>
      <c r="D4140" s="9" t="str">
        <f t="shared" ref="D4140:D4141" si="443">HYPERLINK("https://www.linkedin.com/ad-library/detail/1458698194","Open Ad")</f>
        <v>Open Ad</v>
      </c>
      <c r="E4140" s="6" t="s">
        <v>91</v>
      </c>
      <c r="F4140" s="6" t="s">
        <v>8022</v>
      </c>
      <c r="G4140" s="6" t="s">
        <v>8282</v>
      </c>
      <c r="H4140" s="6" t="s">
        <v>55</v>
      </c>
      <c r="I4140" s="6" t="s">
        <v>8273</v>
      </c>
      <c r="J4140" s="6" t="s">
        <v>91</v>
      </c>
      <c r="K4140" s="12" t="str">
        <f t="shared" ref="K4140:K4141" si="444">HYPERLINK("https://media.licdn.com/dms/image/v2/D4E10AQEsenA2dN72-Q/image-shrink_1280/B4EZ7PAqDDHwAc-/0/1781589516809/A1-C1jpg?e=2147483647&amp;v=beta&amp;t=OLJIKQzNXYF585Cu545nuOPmx2JH_ffgToA-fniP23U","View Creative")</f>
        <v>View Creative</v>
      </c>
      <c r="L4140" s="6" t="s">
        <v>62</v>
      </c>
      <c r="M4140" s="6" t="s">
        <v>8270</v>
      </c>
      <c r="N4140" s="6" t="s">
        <v>8295</v>
      </c>
      <c r="O4140" s="36" t="s">
        <v>7541</v>
      </c>
      <c r="P4140" s="36" t="s">
        <v>7542</v>
      </c>
      <c r="Q4140" s="38"/>
    </row>
    <row r="4141">
      <c r="A4141" s="6" t="s">
        <v>8270</v>
      </c>
      <c r="B4141" s="6" t="s">
        <v>8271</v>
      </c>
      <c r="C4141" s="6">
        <v>90.0</v>
      </c>
      <c r="D4141" s="9" t="str">
        <f t="shared" si="443"/>
        <v>Open Ad</v>
      </c>
      <c r="E4141" s="6" t="s">
        <v>91</v>
      </c>
      <c r="F4141" s="6" t="s">
        <v>8022</v>
      </c>
      <c r="G4141" s="6" t="s">
        <v>8282</v>
      </c>
      <c r="H4141" s="6" t="s">
        <v>55</v>
      </c>
      <c r="I4141" s="6" t="s">
        <v>8273</v>
      </c>
      <c r="J4141" s="6" t="s">
        <v>91</v>
      </c>
      <c r="K4141" s="12" t="str">
        <f t="shared" si="444"/>
        <v>View Creative</v>
      </c>
      <c r="L4141" s="6" t="s">
        <v>62</v>
      </c>
      <c r="M4141" s="6" t="s">
        <v>8270</v>
      </c>
      <c r="N4141" s="6" t="s">
        <v>8295</v>
      </c>
      <c r="O4141" s="36" t="s">
        <v>7541</v>
      </c>
      <c r="P4141" s="36" t="s">
        <v>7542</v>
      </c>
      <c r="Q4141" s="38"/>
    </row>
    <row r="4142">
      <c r="A4142" s="6" t="s">
        <v>8270</v>
      </c>
      <c r="B4142" s="6" t="s">
        <v>8271</v>
      </c>
      <c r="C4142" s="6">
        <v>91.0</v>
      </c>
      <c r="D4142" s="9" t="str">
        <f t="shared" ref="D4142:D4143" si="445">HYPERLINK("https://www.linkedin.com/ad-library/detail/1458832904","Open Ad")</f>
        <v>Open Ad</v>
      </c>
      <c r="E4142" s="6" t="s">
        <v>91</v>
      </c>
      <c r="F4142" s="6" t="s">
        <v>8022</v>
      </c>
      <c r="G4142" s="6" t="s">
        <v>8284</v>
      </c>
      <c r="H4142" s="6" t="s">
        <v>55</v>
      </c>
      <c r="I4142" s="6" t="s">
        <v>8273</v>
      </c>
      <c r="J4142" s="6" t="s">
        <v>91</v>
      </c>
      <c r="K4142" s="12" t="str">
        <f t="shared" ref="K4142:K4143" si="446">HYPERLINK("https://media.licdn.com/dms/image/v2/D4E10AQFefpbzB6Wrnw/image-shrink_1280/B4EZ7PCAamJYAc-/0/1781589870601/A3-C5jpg?e=2147483647&amp;v=beta&amp;t=LtNfPNfoiA2rJgVNC5pKv8gEDmKG_4iO3tCU_G77JNQ","View Creative")</f>
        <v>View Creative</v>
      </c>
      <c r="L4142" s="6" t="s">
        <v>62</v>
      </c>
      <c r="M4142" s="6" t="s">
        <v>8270</v>
      </c>
      <c r="N4142" s="6" t="s">
        <v>8302</v>
      </c>
      <c r="O4142" s="36" t="s">
        <v>7541</v>
      </c>
      <c r="P4142" s="36" t="s">
        <v>7542</v>
      </c>
      <c r="Q4142" s="38"/>
    </row>
    <row r="4143">
      <c r="A4143" s="6" t="s">
        <v>8270</v>
      </c>
      <c r="B4143" s="6" t="s">
        <v>8271</v>
      </c>
      <c r="C4143" s="6">
        <v>92.0</v>
      </c>
      <c r="D4143" s="9" t="str">
        <f t="shared" si="445"/>
        <v>Open Ad</v>
      </c>
      <c r="E4143" s="6" t="s">
        <v>91</v>
      </c>
      <c r="F4143" s="6" t="s">
        <v>8022</v>
      </c>
      <c r="G4143" s="6" t="s">
        <v>8284</v>
      </c>
      <c r="H4143" s="6" t="s">
        <v>55</v>
      </c>
      <c r="I4143" s="6" t="s">
        <v>8273</v>
      </c>
      <c r="J4143" s="6" t="s">
        <v>91</v>
      </c>
      <c r="K4143" s="12" t="str">
        <f t="shared" si="446"/>
        <v>View Creative</v>
      </c>
      <c r="L4143" s="6" t="s">
        <v>62</v>
      </c>
      <c r="M4143" s="6" t="s">
        <v>8270</v>
      </c>
      <c r="N4143" s="6" t="s">
        <v>8302</v>
      </c>
      <c r="O4143" s="36" t="s">
        <v>7541</v>
      </c>
      <c r="P4143" s="36" t="s">
        <v>7542</v>
      </c>
      <c r="Q4143" s="38"/>
    </row>
    <row r="4144">
      <c r="A4144" s="6" t="s">
        <v>8270</v>
      </c>
      <c r="B4144" s="6" t="s">
        <v>8271</v>
      </c>
      <c r="C4144" s="6">
        <v>93.0</v>
      </c>
      <c r="D4144" s="9" t="str">
        <f t="shared" ref="D4144:D4145" si="447">HYPERLINK("https://www.linkedin.com/ad-library/detail/1458827394","Open Ad")</f>
        <v>Open Ad</v>
      </c>
      <c r="E4144" s="6" t="s">
        <v>91</v>
      </c>
      <c r="F4144" s="6" t="s">
        <v>8022</v>
      </c>
      <c r="G4144" s="6" t="s">
        <v>8280</v>
      </c>
      <c r="H4144" s="6" t="s">
        <v>55</v>
      </c>
      <c r="I4144" s="6" t="s">
        <v>8273</v>
      </c>
      <c r="J4144" s="6" t="s">
        <v>91</v>
      </c>
      <c r="K4144" s="12" t="str">
        <f t="shared" ref="K4144:K4145" si="448">HYPERLINK("https://media.licdn.com/dms/image/v2/D4E10AQF2ktfInfNdRA/image-shrink_1280/B4EZ7PAwycKkAc-/0/1781589544471/A1-C3jpg?e=2147483647&amp;v=beta&amp;t=4ZB7lsD7pClowz17nBscZmQ9yX3zLhyBGjzU36FpmnA","View Creative")</f>
        <v>View Creative</v>
      </c>
      <c r="L4144" s="6" t="s">
        <v>62</v>
      </c>
      <c r="M4144" s="6" t="s">
        <v>8270</v>
      </c>
      <c r="N4144" s="6" t="s">
        <v>8295</v>
      </c>
      <c r="O4144" s="36" t="s">
        <v>7541</v>
      </c>
      <c r="P4144" s="36" t="s">
        <v>7542</v>
      </c>
      <c r="Q4144" s="38"/>
    </row>
    <row r="4145">
      <c r="A4145" s="6" t="s">
        <v>8270</v>
      </c>
      <c r="B4145" s="6" t="s">
        <v>8271</v>
      </c>
      <c r="C4145" s="6">
        <v>94.0</v>
      </c>
      <c r="D4145" s="9" t="str">
        <f t="shared" si="447"/>
        <v>Open Ad</v>
      </c>
      <c r="E4145" s="6" t="s">
        <v>91</v>
      </c>
      <c r="F4145" s="6" t="s">
        <v>8022</v>
      </c>
      <c r="G4145" s="6" t="s">
        <v>8280</v>
      </c>
      <c r="H4145" s="6" t="s">
        <v>55</v>
      </c>
      <c r="I4145" s="6" t="s">
        <v>8273</v>
      </c>
      <c r="J4145" s="6" t="s">
        <v>91</v>
      </c>
      <c r="K4145" s="12" t="str">
        <f t="shared" si="448"/>
        <v>View Creative</v>
      </c>
      <c r="L4145" s="6" t="s">
        <v>62</v>
      </c>
      <c r="M4145" s="6" t="s">
        <v>8270</v>
      </c>
      <c r="N4145" s="6" t="s">
        <v>8295</v>
      </c>
      <c r="O4145" s="36" t="s">
        <v>7541</v>
      </c>
      <c r="P4145" s="36" t="s">
        <v>7542</v>
      </c>
      <c r="Q4145" s="38"/>
    </row>
    <row r="4146">
      <c r="A4146" s="6" t="s">
        <v>8270</v>
      </c>
      <c r="B4146" s="6" t="s">
        <v>8271</v>
      </c>
      <c r="C4146" s="6">
        <v>95.0</v>
      </c>
      <c r="D4146" s="9" t="str">
        <f t="shared" ref="D4146:D4147" si="449">HYPERLINK("https://www.linkedin.com/ad-library/detail/1458832914","Open Ad")</f>
        <v>Open Ad</v>
      </c>
      <c r="E4146" s="6" t="s">
        <v>91</v>
      </c>
      <c r="F4146" s="6" t="s">
        <v>8022</v>
      </c>
      <c r="G4146" s="6" t="s">
        <v>8289</v>
      </c>
      <c r="H4146" s="6" t="s">
        <v>55</v>
      </c>
      <c r="I4146" s="6" t="s">
        <v>8273</v>
      </c>
      <c r="J4146" s="6" t="s">
        <v>91</v>
      </c>
      <c r="K4146" s="12" t="str">
        <f t="shared" ref="K4146:K4147" si="450">HYPERLINK("https://media.licdn.com/dms/image/v2/D4E10AQHSAAAf506Y2g/image-shrink_1280/B4EZ7PBpgcJYAc-/0/1781589776758/B1-C1B1-C2jpg?e=2147483647&amp;v=beta&amp;t=kV0bdf50OmBqVi4j6BFJ1WNqYLzEWf-hvx95hn9cfIU","View Creative")</f>
        <v>View Creative</v>
      </c>
      <c r="L4146" s="6" t="s">
        <v>62</v>
      </c>
      <c r="M4146" s="6" t="s">
        <v>8270</v>
      </c>
      <c r="N4146" s="6" t="s">
        <v>8297</v>
      </c>
      <c r="O4146" s="36" t="s">
        <v>7541</v>
      </c>
      <c r="P4146" s="36" t="s">
        <v>7542</v>
      </c>
      <c r="Q4146" s="38"/>
    </row>
    <row r="4147">
      <c r="A4147" s="6" t="s">
        <v>8270</v>
      </c>
      <c r="B4147" s="6" t="s">
        <v>8271</v>
      </c>
      <c r="C4147" s="6">
        <v>96.0</v>
      </c>
      <c r="D4147" s="9" t="str">
        <f t="shared" si="449"/>
        <v>Open Ad</v>
      </c>
      <c r="E4147" s="6" t="s">
        <v>91</v>
      </c>
      <c r="F4147" s="6" t="s">
        <v>8022</v>
      </c>
      <c r="G4147" s="6" t="s">
        <v>8289</v>
      </c>
      <c r="H4147" s="6" t="s">
        <v>55</v>
      </c>
      <c r="I4147" s="6" t="s">
        <v>8273</v>
      </c>
      <c r="J4147" s="6" t="s">
        <v>91</v>
      </c>
      <c r="K4147" s="12" t="str">
        <f t="shared" si="450"/>
        <v>View Creative</v>
      </c>
      <c r="L4147" s="6" t="s">
        <v>62</v>
      </c>
      <c r="M4147" s="6" t="s">
        <v>8270</v>
      </c>
      <c r="N4147" s="6" t="s">
        <v>8297</v>
      </c>
      <c r="O4147" s="36" t="s">
        <v>7541</v>
      </c>
      <c r="P4147" s="36" t="s">
        <v>7542</v>
      </c>
      <c r="Q4147" s="38"/>
    </row>
    <row r="4148">
      <c r="A4148" s="6" t="s">
        <v>8270</v>
      </c>
      <c r="B4148" s="6" t="s">
        <v>8271</v>
      </c>
      <c r="C4148" s="6">
        <v>97.0</v>
      </c>
      <c r="D4148" s="9" t="str">
        <f t="shared" ref="D4148:D4149" si="451">HYPERLINK("https://www.linkedin.com/ad-library/detail/1457588714","Open Ad")</f>
        <v>Open Ad</v>
      </c>
      <c r="E4148" s="6" t="s">
        <v>91</v>
      </c>
      <c r="F4148" s="6" t="s">
        <v>8022</v>
      </c>
      <c r="G4148" s="6" t="s">
        <v>8272</v>
      </c>
      <c r="H4148" s="6" t="s">
        <v>55</v>
      </c>
      <c r="I4148" s="6" t="s">
        <v>8273</v>
      </c>
      <c r="J4148" s="6" t="s">
        <v>91</v>
      </c>
      <c r="K4148" s="12" t="str">
        <f t="shared" ref="K4148:K4149" si="452">HYPERLINK("https://media.licdn.com/dms/image/v2/D4E10AQH3OzCdZHf2Rg/image-shrink_1280/B4EZ7PAtc6HsAc-/0/1781589530762/A1-C2jpg?e=2147483647&amp;v=beta&amp;t=jvEEtQo8Ew8RgeBlebDqOzIFj4JMGRWuQ9VpaUwXuGc","View Creative")</f>
        <v>View Creative</v>
      </c>
      <c r="L4148" s="6" t="s">
        <v>62</v>
      </c>
      <c r="M4148" s="6" t="s">
        <v>8270</v>
      </c>
      <c r="N4148" s="6" t="s">
        <v>8303</v>
      </c>
      <c r="O4148" s="36" t="s">
        <v>7541</v>
      </c>
      <c r="P4148" s="36" t="s">
        <v>7542</v>
      </c>
      <c r="Q4148" s="38"/>
    </row>
    <row r="4149">
      <c r="A4149" s="6" t="s">
        <v>8270</v>
      </c>
      <c r="B4149" s="6" t="s">
        <v>8271</v>
      </c>
      <c r="C4149" s="6">
        <v>98.0</v>
      </c>
      <c r="D4149" s="9" t="str">
        <f t="shared" si="451"/>
        <v>Open Ad</v>
      </c>
      <c r="E4149" s="6" t="s">
        <v>91</v>
      </c>
      <c r="F4149" s="6" t="s">
        <v>8022</v>
      </c>
      <c r="G4149" s="6" t="s">
        <v>8272</v>
      </c>
      <c r="H4149" s="6" t="s">
        <v>55</v>
      </c>
      <c r="I4149" s="6" t="s">
        <v>8273</v>
      </c>
      <c r="J4149" s="6" t="s">
        <v>91</v>
      </c>
      <c r="K4149" s="12" t="str">
        <f t="shared" si="452"/>
        <v>View Creative</v>
      </c>
      <c r="L4149" s="6" t="s">
        <v>62</v>
      </c>
      <c r="M4149" s="6" t="s">
        <v>8270</v>
      </c>
      <c r="N4149" s="6" t="s">
        <v>8303</v>
      </c>
      <c r="O4149" s="36" t="s">
        <v>7541</v>
      </c>
      <c r="P4149" s="36" t="s">
        <v>7542</v>
      </c>
      <c r="Q4149" s="38"/>
    </row>
    <row r="4150">
      <c r="A4150" s="6" t="s">
        <v>8270</v>
      </c>
      <c r="B4150" s="6" t="s">
        <v>8271</v>
      </c>
      <c r="C4150" s="6">
        <v>99.0</v>
      </c>
      <c r="D4150" s="9" t="str">
        <f t="shared" ref="D4150:D4153" si="453">HYPERLINK("https://www.linkedin.com/ad-library/detail/1445225834","Open Ad")</f>
        <v>Open Ad</v>
      </c>
      <c r="E4150" s="6" t="s">
        <v>52</v>
      </c>
      <c r="F4150" s="6" t="s">
        <v>8022</v>
      </c>
      <c r="G4150" s="6" t="s">
        <v>8304</v>
      </c>
      <c r="H4150" s="6" t="s">
        <v>55</v>
      </c>
      <c r="I4150" s="6" t="s">
        <v>8273</v>
      </c>
      <c r="J4150" s="6" t="s">
        <v>52</v>
      </c>
      <c r="K4150" s="6" t="s">
        <v>60</v>
      </c>
      <c r="L4150" s="6" t="s">
        <v>62</v>
      </c>
      <c r="M4150" s="6" t="s">
        <v>8270</v>
      </c>
      <c r="N4150" s="6" t="s">
        <v>8305</v>
      </c>
      <c r="O4150" s="36" t="s">
        <v>7541</v>
      </c>
      <c r="P4150" s="36" t="s">
        <v>7542</v>
      </c>
      <c r="Q4150" s="38"/>
    </row>
    <row r="4151">
      <c r="A4151" s="6" t="s">
        <v>8270</v>
      </c>
      <c r="B4151" s="6" t="s">
        <v>8271</v>
      </c>
      <c r="C4151" s="6">
        <v>100.0</v>
      </c>
      <c r="D4151" s="9" t="str">
        <f t="shared" si="453"/>
        <v>Open Ad</v>
      </c>
      <c r="E4151" s="6" t="s">
        <v>52</v>
      </c>
      <c r="F4151" s="6" t="s">
        <v>8022</v>
      </c>
      <c r="G4151" s="6" t="s">
        <v>8304</v>
      </c>
      <c r="H4151" s="6" t="s">
        <v>55</v>
      </c>
      <c r="I4151" s="6" t="s">
        <v>8273</v>
      </c>
      <c r="J4151" s="6" t="s">
        <v>52</v>
      </c>
      <c r="K4151" s="6" t="s">
        <v>60</v>
      </c>
      <c r="L4151" s="6" t="s">
        <v>62</v>
      </c>
      <c r="M4151" s="6" t="s">
        <v>8270</v>
      </c>
      <c r="N4151" s="6" t="s">
        <v>8305</v>
      </c>
      <c r="O4151" s="36" t="s">
        <v>7541</v>
      </c>
      <c r="P4151" s="36" t="s">
        <v>7542</v>
      </c>
      <c r="Q4151" s="38"/>
    </row>
    <row r="4152">
      <c r="A4152" s="6" t="s">
        <v>8270</v>
      </c>
      <c r="B4152" s="6" t="s">
        <v>8271</v>
      </c>
      <c r="C4152" s="6">
        <v>101.0</v>
      </c>
      <c r="D4152" s="9" t="str">
        <f t="shared" si="453"/>
        <v>Open Ad</v>
      </c>
      <c r="E4152" s="6" t="s">
        <v>52</v>
      </c>
      <c r="F4152" s="6" t="s">
        <v>8022</v>
      </c>
      <c r="G4152" s="6" t="s">
        <v>8304</v>
      </c>
      <c r="H4152" s="6" t="s">
        <v>55</v>
      </c>
      <c r="I4152" s="6" t="s">
        <v>8273</v>
      </c>
      <c r="J4152" s="6" t="s">
        <v>52</v>
      </c>
      <c r="K4152" s="6" t="s">
        <v>60</v>
      </c>
      <c r="L4152" s="6" t="s">
        <v>62</v>
      </c>
      <c r="M4152" s="6" t="s">
        <v>8270</v>
      </c>
      <c r="N4152" s="6" t="s">
        <v>8305</v>
      </c>
      <c r="O4152" s="36" t="s">
        <v>7541</v>
      </c>
      <c r="P4152" s="36" t="s">
        <v>7542</v>
      </c>
      <c r="Q4152" s="38"/>
    </row>
    <row r="4153">
      <c r="A4153" s="6" t="s">
        <v>8270</v>
      </c>
      <c r="B4153" s="6" t="s">
        <v>8271</v>
      </c>
      <c r="C4153" s="6">
        <v>102.0</v>
      </c>
      <c r="D4153" s="9" t="str">
        <f t="shared" si="453"/>
        <v>Open Ad</v>
      </c>
      <c r="E4153" s="6" t="s">
        <v>52</v>
      </c>
      <c r="F4153" s="6" t="s">
        <v>8022</v>
      </c>
      <c r="G4153" s="6" t="s">
        <v>8304</v>
      </c>
      <c r="H4153" s="6" t="s">
        <v>55</v>
      </c>
      <c r="I4153" s="6" t="s">
        <v>8273</v>
      </c>
      <c r="J4153" s="6" t="s">
        <v>52</v>
      </c>
      <c r="K4153" s="6" t="s">
        <v>60</v>
      </c>
      <c r="L4153" s="6" t="s">
        <v>62</v>
      </c>
      <c r="M4153" s="6" t="s">
        <v>8270</v>
      </c>
      <c r="N4153" s="6" t="s">
        <v>8305</v>
      </c>
      <c r="O4153" s="36" t="s">
        <v>7541</v>
      </c>
      <c r="P4153" s="36" t="s">
        <v>7542</v>
      </c>
      <c r="Q4153" s="38"/>
    </row>
    <row r="4154">
      <c r="A4154" s="6" t="s">
        <v>8270</v>
      </c>
      <c r="B4154" s="6" t="s">
        <v>8271</v>
      </c>
      <c r="C4154" s="6">
        <v>103.0</v>
      </c>
      <c r="D4154" s="9" t="str">
        <f t="shared" ref="D4154:D4155" si="454">HYPERLINK("https://www.linkedin.com/ad-library/detail/1457588834","Open Ad")</f>
        <v>Open Ad</v>
      </c>
      <c r="E4154" s="6" t="s">
        <v>91</v>
      </c>
      <c r="F4154" s="6" t="s">
        <v>8022</v>
      </c>
      <c r="G4154" s="6" t="s">
        <v>8281</v>
      </c>
      <c r="H4154" s="6" t="s">
        <v>55</v>
      </c>
      <c r="I4154" s="6" t="s">
        <v>8273</v>
      </c>
      <c r="J4154" s="6" t="s">
        <v>91</v>
      </c>
      <c r="K4154" s="12" t="str">
        <f t="shared" ref="K4154:K4155" si="455">HYPERLINK("https://media.licdn.com/dms/image/v2/D4E10AQE-9lDIBMB7ow/image-shrink_1280/B4EZ7PB6fVHkAc-/0/1781589846302/A3-C3jpg?e=2147483647&amp;v=beta&amp;t=VzXZ0xKb8Cn-eOV6wgC2UKL8s8P_uVXnTsOkNB8-WY0","View Creative")</f>
        <v>View Creative</v>
      </c>
      <c r="L4154" s="6" t="s">
        <v>62</v>
      </c>
      <c r="M4154" s="6" t="s">
        <v>8270</v>
      </c>
      <c r="N4154" s="6" t="s">
        <v>8306</v>
      </c>
      <c r="O4154" s="36" t="s">
        <v>7541</v>
      </c>
      <c r="P4154" s="36" t="s">
        <v>7542</v>
      </c>
      <c r="Q4154" s="38"/>
    </row>
    <row r="4155">
      <c r="A4155" s="6" t="s">
        <v>8270</v>
      </c>
      <c r="B4155" s="6" t="s">
        <v>8271</v>
      </c>
      <c r="C4155" s="6">
        <v>104.0</v>
      </c>
      <c r="D4155" s="9" t="str">
        <f t="shared" si="454"/>
        <v>Open Ad</v>
      </c>
      <c r="E4155" s="6" t="s">
        <v>91</v>
      </c>
      <c r="F4155" s="6" t="s">
        <v>8022</v>
      </c>
      <c r="G4155" s="6" t="s">
        <v>8281</v>
      </c>
      <c r="H4155" s="6" t="s">
        <v>55</v>
      </c>
      <c r="I4155" s="6" t="s">
        <v>8273</v>
      </c>
      <c r="J4155" s="6" t="s">
        <v>91</v>
      </c>
      <c r="K4155" s="12" t="str">
        <f t="shared" si="455"/>
        <v>View Creative</v>
      </c>
      <c r="L4155" s="6" t="s">
        <v>62</v>
      </c>
      <c r="M4155" s="6" t="s">
        <v>8270</v>
      </c>
      <c r="N4155" s="6" t="s">
        <v>8306</v>
      </c>
      <c r="O4155" s="36" t="s">
        <v>7541</v>
      </c>
      <c r="P4155" s="36" t="s">
        <v>7542</v>
      </c>
      <c r="Q4155" s="38"/>
    </row>
    <row r="4156">
      <c r="A4156" s="6" t="s">
        <v>8270</v>
      </c>
      <c r="B4156" s="6" t="s">
        <v>8271</v>
      </c>
      <c r="C4156" s="6">
        <v>105.0</v>
      </c>
      <c r="D4156" s="9" t="str">
        <f t="shared" ref="D4156:D4157" si="456">HYPERLINK("https://www.linkedin.com/ad-library/detail/1457579024","Open Ad")</f>
        <v>Open Ad</v>
      </c>
      <c r="E4156" s="6" t="s">
        <v>91</v>
      </c>
      <c r="F4156" s="6" t="s">
        <v>8022</v>
      </c>
      <c r="G4156" s="6" t="s">
        <v>8284</v>
      </c>
      <c r="H4156" s="6" t="s">
        <v>55</v>
      </c>
      <c r="I4156" s="6" t="s">
        <v>8273</v>
      </c>
      <c r="J4156" s="6" t="s">
        <v>91</v>
      </c>
      <c r="K4156" s="12" t="str">
        <f t="shared" ref="K4156:K4157" si="457">HYPERLINK("https://media.licdn.com/dms/image/v2/D4E10AQFefpbzB6Wrnw/image-shrink_1280/B4EZ7PCAamJYAc-/0/1781589870601/A3-C5jpg?e=2147483647&amp;v=beta&amp;t=LtNfPNfoiA2rJgVNC5pKv8gEDmKG_4iO3tCU_G77JNQ","View Creative")</f>
        <v>View Creative</v>
      </c>
      <c r="L4156" s="6" t="s">
        <v>62</v>
      </c>
      <c r="M4156" s="6" t="s">
        <v>8270</v>
      </c>
      <c r="N4156" s="6" t="s">
        <v>8303</v>
      </c>
      <c r="O4156" s="36" t="s">
        <v>7541</v>
      </c>
      <c r="P4156" s="36" t="s">
        <v>7542</v>
      </c>
      <c r="Q4156" s="38"/>
    </row>
    <row r="4157">
      <c r="A4157" s="6" t="s">
        <v>8270</v>
      </c>
      <c r="B4157" s="6" t="s">
        <v>8271</v>
      </c>
      <c r="C4157" s="6">
        <v>106.0</v>
      </c>
      <c r="D4157" s="9" t="str">
        <f t="shared" si="456"/>
        <v>Open Ad</v>
      </c>
      <c r="E4157" s="6" t="s">
        <v>91</v>
      </c>
      <c r="F4157" s="6" t="s">
        <v>8022</v>
      </c>
      <c r="G4157" s="6" t="s">
        <v>8284</v>
      </c>
      <c r="H4157" s="6" t="s">
        <v>55</v>
      </c>
      <c r="I4157" s="6" t="s">
        <v>8273</v>
      </c>
      <c r="J4157" s="6" t="s">
        <v>91</v>
      </c>
      <c r="K4157" s="12" t="str">
        <f t="shared" si="457"/>
        <v>View Creative</v>
      </c>
      <c r="L4157" s="6" t="s">
        <v>62</v>
      </c>
      <c r="M4157" s="6" t="s">
        <v>8270</v>
      </c>
      <c r="N4157" s="6" t="s">
        <v>8303</v>
      </c>
      <c r="O4157" s="36" t="s">
        <v>7541</v>
      </c>
      <c r="P4157" s="36" t="s">
        <v>7542</v>
      </c>
      <c r="Q4157" s="38"/>
    </row>
    <row r="4158">
      <c r="A4158" s="6" t="s">
        <v>8270</v>
      </c>
      <c r="B4158" s="6" t="s">
        <v>8271</v>
      </c>
      <c r="C4158" s="6">
        <v>107.0</v>
      </c>
      <c r="D4158" s="9" t="str">
        <f t="shared" ref="D4158:D4159" si="458">HYPERLINK("https://www.linkedin.com/ad-library/detail/1458664354","Open Ad")</f>
        <v>Open Ad</v>
      </c>
      <c r="E4158" s="6" t="s">
        <v>91</v>
      </c>
      <c r="F4158" s="6" t="s">
        <v>8022</v>
      </c>
      <c r="G4158" s="6" t="s">
        <v>8288</v>
      </c>
      <c r="H4158" s="6" t="s">
        <v>55</v>
      </c>
      <c r="I4158" s="6" t="s">
        <v>8273</v>
      </c>
      <c r="J4158" s="6" t="s">
        <v>91</v>
      </c>
      <c r="K4158" s="12" t="str">
        <f t="shared" ref="K4158:K4159" si="459">HYPERLINK("https://media.licdn.com/dms/image/v2/D4E10AQExh4rmJC5IEA/image-shrink_1280/B4EZ7PBG8LJYAc-/0/1781589635154/A2-C4jpg?e=2147483647&amp;v=beta&amp;t=zuMWFlvEIhGikYjrPhKmomgSrR5Nx39hHN-pslXHZ_Q","View Creative")</f>
        <v>View Creative</v>
      </c>
      <c r="L4158" s="6" t="s">
        <v>62</v>
      </c>
      <c r="M4158" s="6" t="s">
        <v>8270</v>
      </c>
      <c r="N4158" s="6" t="s">
        <v>8297</v>
      </c>
      <c r="O4158" s="36" t="s">
        <v>7541</v>
      </c>
      <c r="P4158" s="36" t="s">
        <v>7542</v>
      </c>
      <c r="Q4158" s="38"/>
    </row>
    <row r="4159">
      <c r="A4159" s="6" t="s">
        <v>8270</v>
      </c>
      <c r="B4159" s="6" t="s">
        <v>8271</v>
      </c>
      <c r="C4159" s="6">
        <v>108.0</v>
      </c>
      <c r="D4159" s="9" t="str">
        <f t="shared" si="458"/>
        <v>Open Ad</v>
      </c>
      <c r="E4159" s="6" t="s">
        <v>91</v>
      </c>
      <c r="F4159" s="6" t="s">
        <v>8022</v>
      </c>
      <c r="G4159" s="6" t="s">
        <v>8288</v>
      </c>
      <c r="H4159" s="6" t="s">
        <v>55</v>
      </c>
      <c r="I4159" s="6" t="s">
        <v>8273</v>
      </c>
      <c r="J4159" s="6" t="s">
        <v>91</v>
      </c>
      <c r="K4159" s="12" t="str">
        <f t="shared" si="459"/>
        <v>View Creative</v>
      </c>
      <c r="L4159" s="6" t="s">
        <v>62</v>
      </c>
      <c r="M4159" s="6" t="s">
        <v>8270</v>
      </c>
      <c r="N4159" s="6" t="s">
        <v>8297</v>
      </c>
      <c r="O4159" s="36" t="s">
        <v>7541</v>
      </c>
      <c r="P4159" s="36" t="s">
        <v>7542</v>
      </c>
      <c r="Q4159" s="38"/>
    </row>
    <row r="4160">
      <c r="A4160" s="6" t="s">
        <v>8270</v>
      </c>
      <c r="B4160" s="6" t="s">
        <v>8271</v>
      </c>
      <c r="C4160" s="6">
        <v>109.0</v>
      </c>
      <c r="D4160" s="9" t="str">
        <f t="shared" ref="D4160:D4161" si="460">HYPERLINK("https://www.linkedin.com/ad-library/detail/1458633774","Open Ad")</f>
        <v>Open Ad</v>
      </c>
      <c r="E4160" s="6" t="s">
        <v>91</v>
      </c>
      <c r="F4160" s="6" t="s">
        <v>8022</v>
      </c>
      <c r="G4160" s="6" t="s">
        <v>8275</v>
      </c>
      <c r="H4160" s="6" t="s">
        <v>55</v>
      </c>
      <c r="I4160" s="6" t="s">
        <v>8273</v>
      </c>
      <c r="J4160" s="6" t="s">
        <v>91</v>
      </c>
      <c r="K4160" s="12" t="str">
        <f t="shared" ref="K4160:K4163" si="461">HYPERLINK("https://media.licdn.com/dms/image/v2/D4E10AQGKueCfWHuNkg/image-shrink_1280/B4EZ7PBKXZJYAc-/0/1781589649194/A2-C5jpg?e=2147483647&amp;v=beta&amp;t=QmYtHSy_ICSJ76MwsGAlNWrT6Yc_kTWrDq9iNJSaLPw","View Creative")</f>
        <v>View Creative</v>
      </c>
      <c r="L4160" s="6" t="s">
        <v>62</v>
      </c>
      <c r="M4160" s="6" t="s">
        <v>8270</v>
      </c>
      <c r="N4160" s="6" t="s">
        <v>8297</v>
      </c>
      <c r="O4160" s="36" t="s">
        <v>7541</v>
      </c>
      <c r="P4160" s="36" t="s">
        <v>7542</v>
      </c>
      <c r="Q4160" s="38"/>
    </row>
    <row r="4161">
      <c r="A4161" s="6" t="s">
        <v>8270</v>
      </c>
      <c r="B4161" s="6" t="s">
        <v>8271</v>
      </c>
      <c r="C4161" s="6">
        <v>110.0</v>
      </c>
      <c r="D4161" s="9" t="str">
        <f t="shared" si="460"/>
        <v>Open Ad</v>
      </c>
      <c r="E4161" s="6" t="s">
        <v>91</v>
      </c>
      <c r="F4161" s="6" t="s">
        <v>8022</v>
      </c>
      <c r="G4161" s="6" t="s">
        <v>8275</v>
      </c>
      <c r="H4161" s="6" t="s">
        <v>55</v>
      </c>
      <c r="I4161" s="6" t="s">
        <v>8273</v>
      </c>
      <c r="J4161" s="6" t="s">
        <v>91</v>
      </c>
      <c r="K4161" s="12" t="str">
        <f t="shared" si="461"/>
        <v>View Creative</v>
      </c>
      <c r="L4161" s="6" t="s">
        <v>62</v>
      </c>
      <c r="M4161" s="6" t="s">
        <v>8270</v>
      </c>
      <c r="N4161" s="6" t="s">
        <v>8297</v>
      </c>
      <c r="O4161" s="36" t="s">
        <v>7541</v>
      </c>
      <c r="P4161" s="36" t="s">
        <v>7542</v>
      </c>
      <c r="Q4161" s="38"/>
    </row>
    <row r="4162">
      <c r="A4162" s="6" t="s">
        <v>8270</v>
      </c>
      <c r="B4162" s="6" t="s">
        <v>8271</v>
      </c>
      <c r="C4162" s="6">
        <v>111.0</v>
      </c>
      <c r="D4162" s="9" t="str">
        <f t="shared" ref="D4162:D4163" si="462">HYPERLINK("https://www.linkedin.com/ad-library/detail/1457518974","Open Ad")</f>
        <v>Open Ad</v>
      </c>
      <c r="E4162" s="6" t="s">
        <v>91</v>
      </c>
      <c r="F4162" s="6" t="s">
        <v>8022</v>
      </c>
      <c r="G4162" s="6" t="s">
        <v>8275</v>
      </c>
      <c r="H4162" s="6" t="s">
        <v>55</v>
      </c>
      <c r="I4162" s="6" t="s">
        <v>8273</v>
      </c>
      <c r="J4162" s="6" t="s">
        <v>91</v>
      </c>
      <c r="K4162" s="12" t="str">
        <f t="shared" si="461"/>
        <v>View Creative</v>
      </c>
      <c r="L4162" s="6" t="s">
        <v>62</v>
      </c>
      <c r="M4162" s="6" t="s">
        <v>8270</v>
      </c>
      <c r="N4162" s="6" t="s">
        <v>8303</v>
      </c>
      <c r="O4162" s="36" t="s">
        <v>7541</v>
      </c>
      <c r="P4162" s="36" t="s">
        <v>7542</v>
      </c>
      <c r="Q4162" s="38"/>
    </row>
    <row r="4163">
      <c r="A4163" s="6" t="s">
        <v>8270</v>
      </c>
      <c r="B4163" s="6" t="s">
        <v>8271</v>
      </c>
      <c r="C4163" s="6">
        <v>112.0</v>
      </c>
      <c r="D4163" s="9" t="str">
        <f t="shared" si="462"/>
        <v>Open Ad</v>
      </c>
      <c r="E4163" s="6" t="s">
        <v>91</v>
      </c>
      <c r="F4163" s="6" t="s">
        <v>8022</v>
      </c>
      <c r="G4163" s="6" t="s">
        <v>8275</v>
      </c>
      <c r="H4163" s="6" t="s">
        <v>55</v>
      </c>
      <c r="I4163" s="6" t="s">
        <v>8273</v>
      </c>
      <c r="J4163" s="6" t="s">
        <v>91</v>
      </c>
      <c r="K4163" s="12" t="str">
        <f t="shared" si="461"/>
        <v>View Creative</v>
      </c>
      <c r="L4163" s="6" t="s">
        <v>62</v>
      </c>
      <c r="M4163" s="6" t="s">
        <v>8270</v>
      </c>
      <c r="N4163" s="6" t="s">
        <v>8303</v>
      </c>
      <c r="O4163" s="36" t="s">
        <v>7541</v>
      </c>
      <c r="P4163" s="36" t="s">
        <v>7542</v>
      </c>
      <c r="Q4163" s="38"/>
    </row>
    <row r="4164">
      <c r="A4164" s="6" t="s">
        <v>8270</v>
      </c>
      <c r="B4164" s="6" t="s">
        <v>8271</v>
      </c>
      <c r="C4164" s="6">
        <v>113.0</v>
      </c>
      <c r="D4164" s="9" t="str">
        <f t="shared" ref="D4164:D4165" si="463">HYPERLINK("https://www.linkedin.com/ad-library/detail/1457539024","Open Ad")</f>
        <v>Open Ad</v>
      </c>
      <c r="E4164" s="6" t="s">
        <v>91</v>
      </c>
      <c r="F4164" s="6" t="s">
        <v>8022</v>
      </c>
      <c r="G4164" s="6" t="s">
        <v>8282</v>
      </c>
      <c r="H4164" s="6" t="s">
        <v>55</v>
      </c>
      <c r="I4164" s="6" t="s">
        <v>8273</v>
      </c>
      <c r="J4164" s="6" t="s">
        <v>91</v>
      </c>
      <c r="K4164" s="12" t="str">
        <f t="shared" ref="K4164:K4165" si="464">HYPERLINK("https://media.licdn.com/dms/image/v2/D4E10AQEsenA2dN72-Q/image-shrink_1280/B4EZ7PAqDDHwAc-/0/1781589516809/A1-C1jpg?e=2147483647&amp;v=beta&amp;t=OLJIKQzNXYF585Cu545nuOPmx2JH_ffgToA-fniP23U","View Creative")</f>
        <v>View Creative</v>
      </c>
      <c r="L4164" s="6" t="s">
        <v>62</v>
      </c>
      <c r="M4164" s="6" t="s">
        <v>8270</v>
      </c>
      <c r="N4164" s="6" t="s">
        <v>8303</v>
      </c>
      <c r="O4164" s="36" t="s">
        <v>7541</v>
      </c>
      <c r="P4164" s="36" t="s">
        <v>7542</v>
      </c>
      <c r="Q4164" s="38"/>
    </row>
    <row r="4165">
      <c r="A4165" s="6" t="s">
        <v>8270</v>
      </c>
      <c r="B4165" s="6" t="s">
        <v>8271</v>
      </c>
      <c r="C4165" s="6">
        <v>114.0</v>
      </c>
      <c r="D4165" s="9" t="str">
        <f t="shared" si="463"/>
        <v>Open Ad</v>
      </c>
      <c r="E4165" s="6" t="s">
        <v>91</v>
      </c>
      <c r="F4165" s="6" t="s">
        <v>8022</v>
      </c>
      <c r="G4165" s="6" t="s">
        <v>8282</v>
      </c>
      <c r="H4165" s="6" t="s">
        <v>55</v>
      </c>
      <c r="I4165" s="6" t="s">
        <v>8273</v>
      </c>
      <c r="J4165" s="6" t="s">
        <v>91</v>
      </c>
      <c r="K4165" s="12" t="str">
        <f t="shared" si="464"/>
        <v>View Creative</v>
      </c>
      <c r="L4165" s="6" t="s">
        <v>62</v>
      </c>
      <c r="M4165" s="6" t="s">
        <v>8270</v>
      </c>
      <c r="N4165" s="6" t="s">
        <v>8303</v>
      </c>
      <c r="O4165" s="36" t="s">
        <v>7541</v>
      </c>
      <c r="P4165" s="36" t="s">
        <v>7542</v>
      </c>
      <c r="Q4165" s="38"/>
    </row>
    <row r="4166">
      <c r="A4166" s="6" t="s">
        <v>8270</v>
      </c>
      <c r="B4166" s="6" t="s">
        <v>8271</v>
      </c>
      <c r="C4166" s="6">
        <v>115.0</v>
      </c>
      <c r="D4166" s="9" t="str">
        <f t="shared" ref="D4166:D4167" si="465">HYPERLINK("https://www.linkedin.com/ad-library/detail/1458693994","Open Ad")</f>
        <v>Open Ad</v>
      </c>
      <c r="E4166" s="6" t="s">
        <v>91</v>
      </c>
      <c r="F4166" s="6" t="s">
        <v>8022</v>
      </c>
      <c r="G4166" s="6" t="s">
        <v>8272</v>
      </c>
      <c r="H4166" s="6" t="s">
        <v>55</v>
      </c>
      <c r="I4166" s="6" t="s">
        <v>8273</v>
      </c>
      <c r="J4166" s="6" t="s">
        <v>91</v>
      </c>
      <c r="K4166" s="12" t="str">
        <f t="shared" ref="K4166:K4167" si="466">HYPERLINK("https://media.licdn.com/dms/image/v2/D4E10AQH3OzCdZHf2Rg/image-shrink_1280/B4EZ7PAtc6HsAc-/0/1781589530762/A1-C2jpg?e=2147483647&amp;v=beta&amp;t=jvEEtQo8Ew8RgeBlebDqOzIFj4JMGRWuQ9VpaUwXuGc","View Creative")</f>
        <v>View Creative</v>
      </c>
      <c r="L4166" s="6" t="s">
        <v>62</v>
      </c>
      <c r="M4166" s="6" t="s">
        <v>8270</v>
      </c>
      <c r="N4166" s="6" t="s">
        <v>8297</v>
      </c>
      <c r="O4166" s="36" t="s">
        <v>7541</v>
      </c>
      <c r="P4166" s="36" t="s">
        <v>7542</v>
      </c>
      <c r="Q4166" s="38"/>
    </row>
    <row r="4167">
      <c r="A4167" s="6" t="s">
        <v>8270</v>
      </c>
      <c r="B4167" s="6" t="s">
        <v>8271</v>
      </c>
      <c r="C4167" s="6">
        <v>116.0</v>
      </c>
      <c r="D4167" s="9" t="str">
        <f t="shared" si="465"/>
        <v>Open Ad</v>
      </c>
      <c r="E4167" s="6" t="s">
        <v>91</v>
      </c>
      <c r="F4167" s="6" t="s">
        <v>8022</v>
      </c>
      <c r="G4167" s="6" t="s">
        <v>8272</v>
      </c>
      <c r="H4167" s="6" t="s">
        <v>55</v>
      </c>
      <c r="I4167" s="6" t="s">
        <v>8273</v>
      </c>
      <c r="J4167" s="6" t="s">
        <v>91</v>
      </c>
      <c r="K4167" s="12" t="str">
        <f t="shared" si="466"/>
        <v>View Creative</v>
      </c>
      <c r="L4167" s="6" t="s">
        <v>62</v>
      </c>
      <c r="M4167" s="6" t="s">
        <v>8270</v>
      </c>
      <c r="N4167" s="6" t="s">
        <v>8297</v>
      </c>
      <c r="O4167" s="36" t="s">
        <v>7541</v>
      </c>
      <c r="P4167" s="36" t="s">
        <v>7542</v>
      </c>
      <c r="Q4167" s="38"/>
    </row>
    <row r="4168">
      <c r="A4168" s="6" t="s">
        <v>8270</v>
      </c>
      <c r="B4168" s="6" t="s">
        <v>8271</v>
      </c>
      <c r="C4168" s="6">
        <v>117.0</v>
      </c>
      <c r="D4168" s="9" t="str">
        <f t="shared" ref="D4168:D4169" si="467">HYPERLINK("https://www.linkedin.com/ad-library/detail/1457448944","Open Ad")</f>
        <v>Open Ad</v>
      </c>
      <c r="E4168" s="6" t="s">
        <v>91</v>
      </c>
      <c r="F4168" s="6" t="s">
        <v>8022</v>
      </c>
      <c r="G4168" s="6" t="s">
        <v>8289</v>
      </c>
      <c r="H4168" s="6" t="s">
        <v>55</v>
      </c>
      <c r="I4168" s="6" t="s">
        <v>8273</v>
      </c>
      <c r="J4168" s="6" t="s">
        <v>91</v>
      </c>
      <c r="K4168" s="12" t="str">
        <f t="shared" ref="K4168:K4169" si="468">HYPERLINK("https://media.licdn.com/dms/image/v2/D4E10AQHSAAAf506Y2g/image-shrink_1280/B4EZ7PBpgcJYAc-/0/1781589776758/B1-C1B1-C2jpg?e=2147483647&amp;v=beta&amp;t=kV0bdf50OmBqVi4j6BFJ1WNqYLzEWf-hvx95hn9cfIU","View Creative")</f>
        <v>View Creative</v>
      </c>
      <c r="L4168" s="6" t="s">
        <v>62</v>
      </c>
      <c r="M4168" s="6" t="s">
        <v>8270</v>
      </c>
      <c r="N4168" s="6" t="s">
        <v>8303</v>
      </c>
      <c r="O4168" s="36" t="s">
        <v>7541</v>
      </c>
      <c r="P4168" s="36" t="s">
        <v>7542</v>
      </c>
      <c r="Q4168" s="38"/>
    </row>
    <row r="4169">
      <c r="A4169" s="6" t="s">
        <v>8270</v>
      </c>
      <c r="B4169" s="6" t="s">
        <v>8271</v>
      </c>
      <c r="C4169" s="6">
        <v>118.0</v>
      </c>
      <c r="D4169" s="9" t="str">
        <f t="shared" si="467"/>
        <v>Open Ad</v>
      </c>
      <c r="E4169" s="6" t="s">
        <v>91</v>
      </c>
      <c r="F4169" s="6" t="s">
        <v>8022</v>
      </c>
      <c r="G4169" s="6" t="s">
        <v>8289</v>
      </c>
      <c r="H4169" s="6" t="s">
        <v>55</v>
      </c>
      <c r="I4169" s="6" t="s">
        <v>8273</v>
      </c>
      <c r="J4169" s="6" t="s">
        <v>91</v>
      </c>
      <c r="K4169" s="12" t="str">
        <f t="shared" si="468"/>
        <v>View Creative</v>
      </c>
      <c r="L4169" s="6" t="s">
        <v>62</v>
      </c>
      <c r="M4169" s="6" t="s">
        <v>8270</v>
      </c>
      <c r="N4169" s="6" t="s">
        <v>8303</v>
      </c>
      <c r="O4169" s="36" t="s">
        <v>7541</v>
      </c>
      <c r="P4169" s="36" t="s">
        <v>7542</v>
      </c>
      <c r="Q4169" s="38"/>
    </row>
    <row r="4170">
      <c r="A4170" s="6" t="s">
        <v>8270</v>
      </c>
      <c r="B4170" s="6" t="s">
        <v>8271</v>
      </c>
      <c r="C4170" s="6">
        <v>119.0</v>
      </c>
      <c r="D4170" s="9" t="str">
        <f t="shared" ref="D4170:D4171" si="469">HYPERLINK("https://www.linkedin.com/ad-library/detail/1457518964","Open Ad")</f>
        <v>Open Ad</v>
      </c>
      <c r="E4170" s="6" t="s">
        <v>91</v>
      </c>
      <c r="F4170" s="6" t="s">
        <v>8022</v>
      </c>
      <c r="G4170" s="6" t="s">
        <v>8301</v>
      </c>
      <c r="H4170" s="6" t="s">
        <v>55</v>
      </c>
      <c r="I4170" s="6" t="s">
        <v>8273</v>
      </c>
      <c r="J4170" s="6" t="s">
        <v>91</v>
      </c>
      <c r="K4170" s="12" t="str">
        <f t="shared" ref="K4170:K4171" si="470">HYPERLINK("https://media.licdn.com/dms/image/v2/D4E10AQGrpDCaK6FnSw/image-shrink_1280/B4EZ7PA8SFKwAc-/0/1781589591488/A2-C1jpg?e=2147483647&amp;v=beta&amp;t=CD7sAzsJi4BrhyeJe2LdRZ2uzTXkLNtfFX3hvNtbosQ","View Creative")</f>
        <v>View Creative</v>
      </c>
      <c r="L4170" s="6" t="s">
        <v>62</v>
      </c>
      <c r="M4170" s="6" t="s">
        <v>8270</v>
      </c>
      <c r="N4170" s="6" t="s">
        <v>8306</v>
      </c>
      <c r="O4170" s="36" t="s">
        <v>7541</v>
      </c>
      <c r="P4170" s="36" t="s">
        <v>7542</v>
      </c>
      <c r="Q4170" s="38"/>
    </row>
    <row r="4171">
      <c r="A4171" s="6" t="s">
        <v>8270</v>
      </c>
      <c r="B4171" s="6" t="s">
        <v>8271</v>
      </c>
      <c r="C4171" s="6">
        <v>120.0</v>
      </c>
      <c r="D4171" s="9" t="str">
        <f t="shared" si="469"/>
        <v>Open Ad</v>
      </c>
      <c r="E4171" s="6" t="s">
        <v>91</v>
      </c>
      <c r="F4171" s="6" t="s">
        <v>8022</v>
      </c>
      <c r="G4171" s="6" t="s">
        <v>8301</v>
      </c>
      <c r="H4171" s="6" t="s">
        <v>55</v>
      </c>
      <c r="I4171" s="6" t="s">
        <v>8273</v>
      </c>
      <c r="J4171" s="6" t="s">
        <v>91</v>
      </c>
      <c r="K4171" s="12" t="str">
        <f t="shared" si="470"/>
        <v>View Creative</v>
      </c>
      <c r="L4171" s="6" t="s">
        <v>62</v>
      </c>
      <c r="M4171" s="6" t="s">
        <v>8270</v>
      </c>
      <c r="N4171" s="6" t="s">
        <v>8306</v>
      </c>
      <c r="O4171" s="36" t="s">
        <v>7541</v>
      </c>
      <c r="P4171" s="36" t="s">
        <v>7542</v>
      </c>
      <c r="Q4171" s="38"/>
    </row>
    <row r="4172">
      <c r="A4172" s="6" t="s">
        <v>8270</v>
      </c>
      <c r="B4172" s="6" t="s">
        <v>8271</v>
      </c>
      <c r="C4172" s="6">
        <v>121.0</v>
      </c>
      <c r="D4172" s="9" t="str">
        <f t="shared" ref="D4172:D4173" si="471">HYPERLINK("https://www.linkedin.com/ad-library/detail/1457559504","Open Ad")</f>
        <v>Open Ad</v>
      </c>
      <c r="E4172" s="6" t="s">
        <v>91</v>
      </c>
      <c r="F4172" s="6" t="s">
        <v>8022</v>
      </c>
      <c r="G4172" s="6" t="s">
        <v>8294</v>
      </c>
      <c r="H4172" s="6" t="s">
        <v>55</v>
      </c>
      <c r="I4172" s="6" t="s">
        <v>8273</v>
      </c>
      <c r="J4172" s="6" t="s">
        <v>91</v>
      </c>
      <c r="K4172" s="12" t="str">
        <f t="shared" ref="K4172:K4173" si="472">HYPERLINK("https://media.licdn.com/dms/image/v2/D4E10AQE4pC45aYPR7g/image-shrink_1280/B4EZ7PBDR1HkAg-/0/1781589620129/A2-C3jpg?e=2147483647&amp;v=beta&amp;t=irAG_z469IUA5tn6BMvjaobhZGaB4yooO_oS-HBc0w4","View Creative")</f>
        <v>View Creative</v>
      </c>
      <c r="L4172" s="6" t="s">
        <v>62</v>
      </c>
      <c r="M4172" s="6" t="s">
        <v>8270</v>
      </c>
      <c r="N4172" s="6" t="s">
        <v>8306</v>
      </c>
      <c r="O4172" s="36" t="s">
        <v>7541</v>
      </c>
      <c r="P4172" s="36" t="s">
        <v>7542</v>
      </c>
      <c r="Q4172" s="38"/>
    </row>
    <row r="4173">
      <c r="A4173" s="6" t="s">
        <v>8270</v>
      </c>
      <c r="B4173" s="6" t="s">
        <v>8271</v>
      </c>
      <c r="C4173" s="6">
        <v>122.0</v>
      </c>
      <c r="D4173" s="9" t="str">
        <f t="shared" si="471"/>
        <v>Open Ad</v>
      </c>
      <c r="E4173" s="6" t="s">
        <v>91</v>
      </c>
      <c r="F4173" s="6" t="s">
        <v>8022</v>
      </c>
      <c r="G4173" s="6" t="s">
        <v>8294</v>
      </c>
      <c r="H4173" s="6" t="s">
        <v>55</v>
      </c>
      <c r="I4173" s="6" t="s">
        <v>8273</v>
      </c>
      <c r="J4173" s="6" t="s">
        <v>91</v>
      </c>
      <c r="K4173" s="12" t="str">
        <f t="shared" si="472"/>
        <v>View Creative</v>
      </c>
      <c r="L4173" s="6" t="s">
        <v>62</v>
      </c>
      <c r="M4173" s="6" t="s">
        <v>8270</v>
      </c>
      <c r="N4173" s="6" t="s">
        <v>8306</v>
      </c>
      <c r="O4173" s="36" t="s">
        <v>7541</v>
      </c>
      <c r="P4173" s="36" t="s">
        <v>7542</v>
      </c>
      <c r="Q4173" s="38"/>
    </row>
    <row r="4174">
      <c r="A4174" s="6" t="s">
        <v>8270</v>
      </c>
      <c r="B4174" s="6" t="s">
        <v>8271</v>
      </c>
      <c r="C4174" s="6">
        <v>123.0</v>
      </c>
      <c r="D4174" s="9" t="str">
        <f t="shared" ref="D4174:D4175" si="473">HYPERLINK("https://www.linkedin.com/ad-library/detail/1457706644","Open Ad")</f>
        <v>Open Ad</v>
      </c>
      <c r="E4174" s="6" t="s">
        <v>91</v>
      </c>
      <c r="F4174" s="6" t="s">
        <v>8022</v>
      </c>
      <c r="G4174" s="6" t="s">
        <v>8275</v>
      </c>
      <c r="H4174" s="6" t="s">
        <v>55</v>
      </c>
      <c r="I4174" s="6" t="s">
        <v>8273</v>
      </c>
      <c r="J4174" s="6" t="s">
        <v>91</v>
      </c>
      <c r="K4174" s="12" t="str">
        <f t="shared" ref="K4174:K4175" si="474">HYPERLINK("https://media.licdn.com/dms/image/v2/D4E10AQFAWEb03BKmkQ/image-shrink_1280/B4EZ7PBRrnJYAc-/0/1781589679153/A2-C51jpg?e=2147483647&amp;v=beta&amp;t=29yYRCvE0Xy_c8MdBNhs9SEpNJJYeiwz0ANimtFoYmo","View Creative")</f>
        <v>View Creative</v>
      </c>
      <c r="L4174" s="6" t="s">
        <v>62</v>
      </c>
      <c r="M4174" s="6" t="s">
        <v>8270</v>
      </c>
      <c r="N4174" s="6" t="s">
        <v>8306</v>
      </c>
      <c r="O4174" s="36" t="s">
        <v>7541</v>
      </c>
      <c r="P4174" s="36" t="s">
        <v>7542</v>
      </c>
      <c r="Q4174" s="38"/>
    </row>
    <row r="4175">
      <c r="A4175" s="6" t="s">
        <v>8270</v>
      </c>
      <c r="B4175" s="6" t="s">
        <v>8271</v>
      </c>
      <c r="C4175" s="6">
        <v>124.0</v>
      </c>
      <c r="D4175" s="9" t="str">
        <f t="shared" si="473"/>
        <v>Open Ad</v>
      </c>
      <c r="E4175" s="6" t="s">
        <v>91</v>
      </c>
      <c r="F4175" s="6" t="s">
        <v>8022</v>
      </c>
      <c r="G4175" s="6" t="s">
        <v>8275</v>
      </c>
      <c r="H4175" s="6" t="s">
        <v>55</v>
      </c>
      <c r="I4175" s="6" t="s">
        <v>8273</v>
      </c>
      <c r="J4175" s="6" t="s">
        <v>91</v>
      </c>
      <c r="K4175" s="12" t="str">
        <f t="shared" si="474"/>
        <v>View Creative</v>
      </c>
      <c r="L4175" s="6" t="s">
        <v>62</v>
      </c>
      <c r="M4175" s="6" t="s">
        <v>8270</v>
      </c>
      <c r="N4175" s="6" t="s">
        <v>8306</v>
      </c>
      <c r="O4175" s="36" t="s">
        <v>7541</v>
      </c>
      <c r="P4175" s="36" t="s">
        <v>7542</v>
      </c>
      <c r="Q4175" s="38"/>
    </row>
    <row r="4176">
      <c r="A4176" s="6" t="s">
        <v>8270</v>
      </c>
      <c r="B4176" s="6" t="s">
        <v>8271</v>
      </c>
      <c r="C4176" s="6">
        <v>125.0</v>
      </c>
      <c r="D4176" s="9" t="str">
        <f t="shared" ref="D4176:D4177" si="475">HYPERLINK("https://www.linkedin.com/ad-library/detail/1457559534","Open Ad")</f>
        <v>Open Ad</v>
      </c>
      <c r="E4176" s="6" t="s">
        <v>91</v>
      </c>
      <c r="F4176" s="6" t="s">
        <v>8022</v>
      </c>
      <c r="G4176" s="6" t="s">
        <v>8292</v>
      </c>
      <c r="H4176" s="6" t="s">
        <v>55</v>
      </c>
      <c r="I4176" s="6" t="s">
        <v>8273</v>
      </c>
      <c r="J4176" s="6" t="s">
        <v>91</v>
      </c>
      <c r="K4176" s="12" t="str">
        <f t="shared" ref="K4176:K4177" si="476">HYPERLINK("https://media.licdn.com/dms/image/v2/D4E10AQEzBiIWRJhvlg/image-shrink_1280/B4EZ7PBmmsIcAg-/0/1781589764812/B1-C1B1-C2jpg?e=2147483647&amp;v=beta&amp;t=dJLRC4MZ_Khzio0RkH-Q67LXt6hP0DW9MkpDWtFRX7s","View Creative")</f>
        <v>View Creative</v>
      </c>
      <c r="L4176" s="6" t="s">
        <v>62</v>
      </c>
      <c r="M4176" s="6" t="s">
        <v>8270</v>
      </c>
      <c r="N4176" s="6" t="s">
        <v>8303</v>
      </c>
      <c r="O4176" s="36" t="s">
        <v>7541</v>
      </c>
      <c r="P4176" s="36" t="s">
        <v>7542</v>
      </c>
      <c r="Q4176" s="38"/>
    </row>
    <row r="4177">
      <c r="A4177" s="6" t="s">
        <v>8270</v>
      </c>
      <c r="B4177" s="6" t="s">
        <v>8271</v>
      </c>
      <c r="C4177" s="6">
        <v>126.0</v>
      </c>
      <c r="D4177" s="9" t="str">
        <f t="shared" si="475"/>
        <v>Open Ad</v>
      </c>
      <c r="E4177" s="6" t="s">
        <v>91</v>
      </c>
      <c r="F4177" s="6" t="s">
        <v>8022</v>
      </c>
      <c r="G4177" s="6" t="s">
        <v>8292</v>
      </c>
      <c r="H4177" s="6" t="s">
        <v>55</v>
      </c>
      <c r="I4177" s="6" t="s">
        <v>8273</v>
      </c>
      <c r="J4177" s="6" t="s">
        <v>91</v>
      </c>
      <c r="K4177" s="12" t="str">
        <f t="shared" si="476"/>
        <v>View Creative</v>
      </c>
      <c r="L4177" s="6" t="s">
        <v>62</v>
      </c>
      <c r="M4177" s="6" t="s">
        <v>8270</v>
      </c>
      <c r="N4177" s="6" t="s">
        <v>8303</v>
      </c>
      <c r="O4177" s="36" t="s">
        <v>7541</v>
      </c>
      <c r="P4177" s="36" t="s">
        <v>7542</v>
      </c>
      <c r="Q4177" s="38"/>
    </row>
    <row r="4178">
      <c r="A4178" s="6" t="s">
        <v>8270</v>
      </c>
      <c r="B4178" s="6" t="s">
        <v>8271</v>
      </c>
      <c r="C4178" s="6">
        <v>127.0</v>
      </c>
      <c r="D4178" s="9" t="str">
        <f t="shared" ref="D4178:D4179" si="477">HYPERLINK("https://www.linkedin.com/ad-library/detail/1457578964","Open Ad")</f>
        <v>Open Ad</v>
      </c>
      <c r="E4178" s="6" t="s">
        <v>91</v>
      </c>
      <c r="F4178" s="6" t="s">
        <v>8022</v>
      </c>
      <c r="G4178" s="6" t="s">
        <v>8300</v>
      </c>
      <c r="H4178" s="6" t="s">
        <v>55</v>
      </c>
      <c r="I4178" s="6" t="s">
        <v>8273</v>
      </c>
      <c r="J4178" s="6" t="s">
        <v>91</v>
      </c>
      <c r="K4178" s="12" t="str">
        <f t="shared" ref="K4178:K4179" si="478">HYPERLINK("https://media.licdn.com/dms/image/v2/D4E10AQH5erc-NuEEKQ/image-shrink_1280/B4EZ7PA_r0JMAc-/0/1781589605441/A2-C2jpg?e=2147483647&amp;v=beta&amp;t=sPrbyOYJTOjJb56F-cYbGQFpzyWZ2jHq64xjz8NHl8A","View Creative")</f>
        <v>View Creative</v>
      </c>
      <c r="L4178" s="6" t="s">
        <v>62</v>
      </c>
      <c r="M4178" s="6" t="s">
        <v>8270</v>
      </c>
      <c r="N4178" s="6" t="s">
        <v>8303</v>
      </c>
      <c r="O4178" s="36" t="s">
        <v>7541</v>
      </c>
      <c r="P4178" s="36" t="s">
        <v>7542</v>
      </c>
      <c r="Q4178" s="38"/>
    </row>
    <row r="4179">
      <c r="A4179" s="6" t="s">
        <v>8270</v>
      </c>
      <c r="B4179" s="6" t="s">
        <v>8271</v>
      </c>
      <c r="C4179" s="6">
        <v>128.0</v>
      </c>
      <c r="D4179" s="9" t="str">
        <f t="shared" si="477"/>
        <v>Open Ad</v>
      </c>
      <c r="E4179" s="6" t="s">
        <v>91</v>
      </c>
      <c r="F4179" s="6" t="s">
        <v>8022</v>
      </c>
      <c r="G4179" s="6" t="s">
        <v>8300</v>
      </c>
      <c r="H4179" s="6" t="s">
        <v>55</v>
      </c>
      <c r="I4179" s="6" t="s">
        <v>8273</v>
      </c>
      <c r="J4179" s="6" t="s">
        <v>91</v>
      </c>
      <c r="K4179" s="12" t="str">
        <f t="shared" si="478"/>
        <v>View Creative</v>
      </c>
      <c r="L4179" s="6" t="s">
        <v>62</v>
      </c>
      <c r="M4179" s="6" t="s">
        <v>8270</v>
      </c>
      <c r="N4179" s="6" t="s">
        <v>8303</v>
      </c>
      <c r="O4179" s="36" t="s">
        <v>7541</v>
      </c>
      <c r="P4179" s="36" t="s">
        <v>7542</v>
      </c>
      <c r="Q4179" s="38"/>
    </row>
    <row r="4180">
      <c r="A4180" s="6" t="s">
        <v>8270</v>
      </c>
      <c r="B4180" s="6" t="s">
        <v>8271</v>
      </c>
      <c r="C4180" s="6">
        <v>129.0</v>
      </c>
      <c r="D4180" s="9" t="str">
        <f t="shared" ref="D4180:D4181" si="479">HYPERLINK("https://www.linkedin.com/ad-library/detail/1458763334","Open Ad")</f>
        <v>Open Ad</v>
      </c>
      <c r="E4180" s="6" t="s">
        <v>91</v>
      </c>
      <c r="F4180" s="6" t="s">
        <v>8022</v>
      </c>
      <c r="G4180" s="6" t="s">
        <v>8282</v>
      </c>
      <c r="H4180" s="6" t="s">
        <v>55</v>
      </c>
      <c r="I4180" s="6" t="s">
        <v>8273</v>
      </c>
      <c r="J4180" s="6" t="s">
        <v>91</v>
      </c>
      <c r="K4180" s="12" t="str">
        <f t="shared" ref="K4180:K4181" si="480">HYPERLINK("https://media.licdn.com/dms/image/v2/D4E10AQEsenA2dN72-Q/image-shrink_1280/B4EZ7PAqDDHwAc-/0/1781589516809/A1-C1jpg?e=2147483647&amp;v=beta&amp;t=OLJIKQzNXYF585Cu545nuOPmx2JH_ffgToA-fniP23U","View Creative")</f>
        <v>View Creative</v>
      </c>
      <c r="L4180" s="6" t="s">
        <v>62</v>
      </c>
      <c r="M4180" s="6" t="s">
        <v>8270</v>
      </c>
      <c r="N4180" s="6" t="s">
        <v>8297</v>
      </c>
      <c r="O4180" s="36" t="s">
        <v>7541</v>
      </c>
      <c r="P4180" s="36" t="s">
        <v>7542</v>
      </c>
      <c r="Q4180" s="38"/>
    </row>
    <row r="4181">
      <c r="A4181" s="6" t="s">
        <v>8270</v>
      </c>
      <c r="B4181" s="6" t="s">
        <v>8271</v>
      </c>
      <c r="C4181" s="6">
        <v>130.0</v>
      </c>
      <c r="D4181" s="9" t="str">
        <f t="shared" si="479"/>
        <v>Open Ad</v>
      </c>
      <c r="E4181" s="6" t="s">
        <v>91</v>
      </c>
      <c r="F4181" s="6" t="s">
        <v>8022</v>
      </c>
      <c r="G4181" s="6" t="s">
        <v>8282</v>
      </c>
      <c r="H4181" s="6" t="s">
        <v>55</v>
      </c>
      <c r="I4181" s="6" t="s">
        <v>8273</v>
      </c>
      <c r="J4181" s="6" t="s">
        <v>91</v>
      </c>
      <c r="K4181" s="12" t="str">
        <f t="shared" si="480"/>
        <v>View Creative</v>
      </c>
      <c r="L4181" s="6" t="s">
        <v>62</v>
      </c>
      <c r="M4181" s="6" t="s">
        <v>8270</v>
      </c>
      <c r="N4181" s="6" t="s">
        <v>8297</v>
      </c>
      <c r="O4181" s="36" t="s">
        <v>7541</v>
      </c>
      <c r="P4181" s="36" t="s">
        <v>7542</v>
      </c>
      <c r="Q4181" s="38"/>
    </row>
    <row r="4182">
      <c r="A4182" s="6" t="s">
        <v>8270</v>
      </c>
      <c r="B4182" s="6" t="s">
        <v>8271</v>
      </c>
      <c r="C4182" s="6">
        <v>131.0</v>
      </c>
      <c r="D4182" s="9" t="str">
        <f t="shared" ref="D4182:D4183" si="481">HYPERLINK("https://www.linkedin.com/ad-library/detail/1458653934","Open Ad")</f>
        <v>Open Ad</v>
      </c>
      <c r="E4182" s="6" t="s">
        <v>91</v>
      </c>
      <c r="F4182" s="6" t="s">
        <v>8022</v>
      </c>
      <c r="G4182" s="6" t="s">
        <v>8275</v>
      </c>
      <c r="H4182" s="6" t="s">
        <v>55</v>
      </c>
      <c r="I4182" s="6" t="s">
        <v>8273</v>
      </c>
      <c r="J4182" s="6" t="s">
        <v>91</v>
      </c>
      <c r="K4182" s="12" t="str">
        <f t="shared" ref="K4182:K4183" si="482">HYPERLINK("https://media.licdn.com/dms/image/v2/D4E10AQFAWEb03BKmkQ/image-shrink_1280/B4EZ7PBRrnJYAc-/0/1781589679153/A2-C51jpg?e=2147483647&amp;v=beta&amp;t=29yYRCvE0Xy_c8MdBNhs9SEpNJJYeiwz0ANimtFoYmo","View Creative")</f>
        <v>View Creative</v>
      </c>
      <c r="L4182" s="6" t="s">
        <v>62</v>
      </c>
      <c r="M4182" s="6" t="s">
        <v>8270</v>
      </c>
      <c r="N4182" s="6" t="s">
        <v>8297</v>
      </c>
      <c r="O4182" s="36" t="s">
        <v>7541</v>
      </c>
      <c r="P4182" s="36" t="s">
        <v>7542</v>
      </c>
      <c r="Q4182" s="38"/>
    </row>
    <row r="4183">
      <c r="A4183" s="6" t="s">
        <v>8270</v>
      </c>
      <c r="B4183" s="6" t="s">
        <v>8271</v>
      </c>
      <c r="C4183" s="6">
        <v>132.0</v>
      </c>
      <c r="D4183" s="9" t="str">
        <f t="shared" si="481"/>
        <v>Open Ad</v>
      </c>
      <c r="E4183" s="6" t="s">
        <v>91</v>
      </c>
      <c r="F4183" s="6" t="s">
        <v>8022</v>
      </c>
      <c r="G4183" s="6" t="s">
        <v>8275</v>
      </c>
      <c r="H4183" s="6" t="s">
        <v>55</v>
      </c>
      <c r="I4183" s="6" t="s">
        <v>8273</v>
      </c>
      <c r="J4183" s="6" t="s">
        <v>91</v>
      </c>
      <c r="K4183" s="12" t="str">
        <f t="shared" si="482"/>
        <v>View Creative</v>
      </c>
      <c r="L4183" s="6" t="s">
        <v>62</v>
      </c>
      <c r="M4183" s="6" t="s">
        <v>8270</v>
      </c>
      <c r="N4183" s="6" t="s">
        <v>8297</v>
      </c>
      <c r="O4183" s="36" t="s">
        <v>7541</v>
      </c>
      <c r="P4183" s="36" t="s">
        <v>7542</v>
      </c>
      <c r="Q4183" s="38"/>
    </row>
    <row r="4184">
      <c r="A4184" s="6" t="s">
        <v>8270</v>
      </c>
      <c r="B4184" s="6" t="s">
        <v>8271</v>
      </c>
      <c r="C4184" s="6">
        <v>133.0</v>
      </c>
      <c r="D4184" s="9" t="str">
        <f t="shared" ref="D4184:D4185" si="483">HYPERLINK("https://www.linkedin.com/ad-library/detail/1457419614","Open Ad")</f>
        <v>Open Ad</v>
      </c>
      <c r="E4184" s="6" t="s">
        <v>91</v>
      </c>
      <c r="F4184" s="6" t="s">
        <v>8022</v>
      </c>
      <c r="G4184" s="6" t="s">
        <v>8288</v>
      </c>
      <c r="H4184" s="6" t="s">
        <v>55</v>
      </c>
      <c r="I4184" s="6" t="s">
        <v>8273</v>
      </c>
      <c r="J4184" s="6" t="s">
        <v>91</v>
      </c>
      <c r="K4184" s="12" t="str">
        <f t="shared" ref="K4184:K4185" si="484">HYPERLINK("https://media.licdn.com/dms/image/v2/D4E10AQExh4rmJC5IEA/image-shrink_1280/B4EZ7PBG8LJYAc-/0/1781589635154/A2-C4jpg?e=2147483647&amp;v=beta&amp;t=zuMWFlvEIhGikYjrPhKmomgSrR5Nx39hHN-pslXHZ_Q","View Creative")</f>
        <v>View Creative</v>
      </c>
      <c r="L4184" s="6" t="s">
        <v>62</v>
      </c>
      <c r="M4184" s="6" t="s">
        <v>8270</v>
      </c>
      <c r="N4184" s="6" t="s">
        <v>8306</v>
      </c>
      <c r="O4184" s="36" t="s">
        <v>7541</v>
      </c>
      <c r="P4184" s="36" t="s">
        <v>7542</v>
      </c>
      <c r="Q4184" s="38"/>
    </row>
    <row r="4185">
      <c r="A4185" s="6" t="s">
        <v>8270</v>
      </c>
      <c r="B4185" s="6" t="s">
        <v>8271</v>
      </c>
      <c r="C4185" s="6">
        <v>134.0</v>
      </c>
      <c r="D4185" s="9" t="str">
        <f t="shared" si="483"/>
        <v>Open Ad</v>
      </c>
      <c r="E4185" s="6" t="s">
        <v>91</v>
      </c>
      <c r="F4185" s="6" t="s">
        <v>8022</v>
      </c>
      <c r="G4185" s="6" t="s">
        <v>8288</v>
      </c>
      <c r="H4185" s="6" t="s">
        <v>55</v>
      </c>
      <c r="I4185" s="6" t="s">
        <v>8273</v>
      </c>
      <c r="J4185" s="6" t="s">
        <v>91</v>
      </c>
      <c r="K4185" s="12" t="str">
        <f t="shared" si="484"/>
        <v>View Creative</v>
      </c>
      <c r="L4185" s="6" t="s">
        <v>62</v>
      </c>
      <c r="M4185" s="6" t="s">
        <v>8270</v>
      </c>
      <c r="N4185" s="6" t="s">
        <v>8306</v>
      </c>
      <c r="O4185" s="36" t="s">
        <v>7541</v>
      </c>
      <c r="P4185" s="36" t="s">
        <v>7542</v>
      </c>
      <c r="Q4185" s="38"/>
    </row>
    <row r="4186">
      <c r="A4186" s="6" t="s">
        <v>8270</v>
      </c>
      <c r="B4186" s="6" t="s">
        <v>8271</v>
      </c>
      <c r="C4186" s="6">
        <v>135.0</v>
      </c>
      <c r="D4186" s="9" t="str">
        <f t="shared" ref="D4186:D4187" si="485">HYPERLINK("https://www.linkedin.com/ad-library/detail/1458653924","Open Ad")</f>
        <v>Open Ad</v>
      </c>
      <c r="E4186" s="6" t="s">
        <v>91</v>
      </c>
      <c r="F4186" s="6" t="s">
        <v>8022</v>
      </c>
      <c r="G4186" s="6" t="s">
        <v>8301</v>
      </c>
      <c r="H4186" s="6" t="s">
        <v>55</v>
      </c>
      <c r="I4186" s="6" t="s">
        <v>8273</v>
      </c>
      <c r="J4186" s="6" t="s">
        <v>91</v>
      </c>
      <c r="K4186" s="12" t="str">
        <f t="shared" ref="K4186:K4187" si="486">HYPERLINK("https://media.licdn.com/dms/image/v2/D4E10AQGrpDCaK6FnSw/image-shrink_1280/B4EZ7PA8SFKwAc-/0/1781589591488/A2-C1jpg?e=2147483647&amp;v=beta&amp;t=CD7sAzsJi4BrhyeJe2LdRZ2uzTXkLNtfFX3hvNtbosQ","View Creative")</f>
        <v>View Creative</v>
      </c>
      <c r="L4186" s="6" t="s">
        <v>62</v>
      </c>
      <c r="M4186" s="6" t="s">
        <v>8270</v>
      </c>
      <c r="N4186" s="6" t="s">
        <v>8297</v>
      </c>
      <c r="O4186" s="36" t="s">
        <v>7541</v>
      </c>
      <c r="P4186" s="36" t="s">
        <v>7542</v>
      </c>
      <c r="Q4186" s="38"/>
    </row>
    <row r="4187">
      <c r="A4187" s="6" t="s">
        <v>8270</v>
      </c>
      <c r="B4187" s="6" t="s">
        <v>8271</v>
      </c>
      <c r="C4187" s="6">
        <v>136.0</v>
      </c>
      <c r="D4187" s="9" t="str">
        <f t="shared" si="485"/>
        <v>Open Ad</v>
      </c>
      <c r="E4187" s="6" t="s">
        <v>91</v>
      </c>
      <c r="F4187" s="6" t="s">
        <v>8022</v>
      </c>
      <c r="G4187" s="6" t="s">
        <v>8301</v>
      </c>
      <c r="H4187" s="6" t="s">
        <v>55</v>
      </c>
      <c r="I4187" s="6" t="s">
        <v>8273</v>
      </c>
      <c r="J4187" s="6" t="s">
        <v>91</v>
      </c>
      <c r="K4187" s="12" t="str">
        <f t="shared" si="486"/>
        <v>View Creative</v>
      </c>
      <c r="L4187" s="6" t="s">
        <v>62</v>
      </c>
      <c r="M4187" s="6" t="s">
        <v>8270</v>
      </c>
      <c r="N4187" s="6" t="s">
        <v>8297</v>
      </c>
      <c r="O4187" s="36" t="s">
        <v>7541</v>
      </c>
      <c r="P4187" s="36" t="s">
        <v>7542</v>
      </c>
      <c r="Q4187" s="38"/>
    </row>
    <row r="4188">
      <c r="A4188" s="6" t="s">
        <v>8270</v>
      </c>
      <c r="B4188" s="6" t="s">
        <v>8271</v>
      </c>
      <c r="C4188" s="6">
        <v>137.0</v>
      </c>
      <c r="D4188" s="9" t="str">
        <f t="shared" ref="D4188:D4189" si="487">HYPERLINK("https://www.linkedin.com/ad-library/detail/1458653904","Open Ad")</f>
        <v>Open Ad</v>
      </c>
      <c r="E4188" s="6" t="s">
        <v>91</v>
      </c>
      <c r="F4188" s="6" t="s">
        <v>8022</v>
      </c>
      <c r="G4188" s="6" t="s">
        <v>8280</v>
      </c>
      <c r="H4188" s="6" t="s">
        <v>55</v>
      </c>
      <c r="I4188" s="6" t="s">
        <v>8273</v>
      </c>
      <c r="J4188" s="6" t="s">
        <v>91</v>
      </c>
      <c r="K4188" s="12" t="str">
        <f t="shared" ref="K4188:K4189" si="488">HYPERLINK("https://media.licdn.com/dms/image/v2/D4E10AQF2ktfInfNdRA/image-shrink_1280/B4EZ7PAwycKkAc-/0/1781589544471/A1-C3jpg?e=2147483647&amp;v=beta&amp;t=4ZB7lsD7pClowz17nBscZmQ9yX3zLhyBGjzU36FpmnA","View Creative")</f>
        <v>View Creative</v>
      </c>
      <c r="L4188" s="6" t="s">
        <v>62</v>
      </c>
      <c r="M4188" s="6" t="s">
        <v>8270</v>
      </c>
      <c r="N4188" s="6" t="s">
        <v>8297</v>
      </c>
      <c r="O4188" s="36" t="s">
        <v>7541</v>
      </c>
      <c r="P4188" s="36" t="s">
        <v>7542</v>
      </c>
      <c r="Q4188" s="38"/>
    </row>
    <row r="4189">
      <c r="A4189" s="6" t="s">
        <v>8270</v>
      </c>
      <c r="B4189" s="6" t="s">
        <v>8271</v>
      </c>
      <c r="C4189" s="6">
        <v>138.0</v>
      </c>
      <c r="D4189" s="9" t="str">
        <f t="shared" si="487"/>
        <v>Open Ad</v>
      </c>
      <c r="E4189" s="6" t="s">
        <v>91</v>
      </c>
      <c r="F4189" s="6" t="s">
        <v>8022</v>
      </c>
      <c r="G4189" s="6" t="s">
        <v>8280</v>
      </c>
      <c r="H4189" s="6" t="s">
        <v>55</v>
      </c>
      <c r="I4189" s="6" t="s">
        <v>8273</v>
      </c>
      <c r="J4189" s="6" t="s">
        <v>91</v>
      </c>
      <c r="K4189" s="12" t="str">
        <f t="shared" si="488"/>
        <v>View Creative</v>
      </c>
      <c r="L4189" s="6" t="s">
        <v>62</v>
      </c>
      <c r="M4189" s="6" t="s">
        <v>8270</v>
      </c>
      <c r="N4189" s="6" t="s">
        <v>8297</v>
      </c>
      <c r="O4189" s="36" t="s">
        <v>7541</v>
      </c>
      <c r="P4189" s="36" t="s">
        <v>7542</v>
      </c>
      <c r="Q4189" s="38"/>
    </row>
    <row r="4190">
      <c r="A4190" s="6" t="s">
        <v>8270</v>
      </c>
      <c r="B4190" s="6" t="s">
        <v>8271</v>
      </c>
      <c r="C4190" s="6">
        <v>139.0</v>
      </c>
      <c r="D4190" s="9" t="str">
        <f t="shared" ref="D4190:D4191" si="489">HYPERLINK("https://www.linkedin.com/ad-library/detail/1458733834","Open Ad")</f>
        <v>Open Ad</v>
      </c>
      <c r="E4190" s="6" t="s">
        <v>91</v>
      </c>
      <c r="F4190" s="6" t="s">
        <v>8022</v>
      </c>
      <c r="G4190" s="6" t="s">
        <v>8294</v>
      </c>
      <c r="H4190" s="6" t="s">
        <v>55</v>
      </c>
      <c r="I4190" s="6" t="s">
        <v>8273</v>
      </c>
      <c r="J4190" s="6" t="s">
        <v>91</v>
      </c>
      <c r="K4190" s="12" t="str">
        <f t="shared" ref="K4190:K4191" si="490">HYPERLINK("https://media.licdn.com/dms/image/v2/D4E10AQE4pC45aYPR7g/image-shrink_1280/B4EZ7PBDR1HkAg-/0/1781589620129/A2-C3jpg?e=2147483647&amp;v=beta&amp;t=irAG_z469IUA5tn6BMvjaobhZGaB4yooO_oS-HBc0w4","View Creative")</f>
        <v>View Creative</v>
      </c>
      <c r="L4190" s="6" t="s">
        <v>62</v>
      </c>
      <c r="M4190" s="6" t="s">
        <v>8270</v>
      </c>
      <c r="N4190" s="6" t="s">
        <v>8297</v>
      </c>
      <c r="O4190" s="36" t="s">
        <v>7541</v>
      </c>
      <c r="P4190" s="36" t="s">
        <v>7542</v>
      </c>
      <c r="Q4190" s="38"/>
    </row>
    <row r="4191">
      <c r="A4191" s="6" t="s">
        <v>8270</v>
      </c>
      <c r="B4191" s="6" t="s">
        <v>8271</v>
      </c>
      <c r="C4191" s="6">
        <v>140.0</v>
      </c>
      <c r="D4191" s="9" t="str">
        <f t="shared" si="489"/>
        <v>Open Ad</v>
      </c>
      <c r="E4191" s="6" t="s">
        <v>91</v>
      </c>
      <c r="F4191" s="6" t="s">
        <v>8022</v>
      </c>
      <c r="G4191" s="6" t="s">
        <v>8294</v>
      </c>
      <c r="H4191" s="6" t="s">
        <v>55</v>
      </c>
      <c r="I4191" s="6" t="s">
        <v>8273</v>
      </c>
      <c r="J4191" s="6" t="s">
        <v>91</v>
      </c>
      <c r="K4191" s="12" t="str">
        <f t="shared" si="490"/>
        <v>View Creative</v>
      </c>
      <c r="L4191" s="6" t="s">
        <v>62</v>
      </c>
      <c r="M4191" s="6" t="s">
        <v>8270</v>
      </c>
      <c r="N4191" s="6" t="s">
        <v>8297</v>
      </c>
      <c r="O4191" s="36" t="s">
        <v>7541</v>
      </c>
      <c r="P4191" s="36" t="s">
        <v>7542</v>
      </c>
      <c r="Q4191" s="38"/>
    </row>
    <row r="4192">
      <c r="A4192" s="6" t="s">
        <v>8270</v>
      </c>
      <c r="B4192" s="6" t="s">
        <v>8271</v>
      </c>
      <c r="C4192" s="6">
        <v>141.0</v>
      </c>
      <c r="D4192" s="9" t="str">
        <f t="shared" ref="D4192:D4193" si="491">HYPERLINK("https://www.linkedin.com/ad-library/detail/1457458544","Open Ad")</f>
        <v>Open Ad</v>
      </c>
      <c r="E4192" s="6" t="s">
        <v>91</v>
      </c>
      <c r="F4192" s="6" t="s">
        <v>8022</v>
      </c>
      <c r="G4192" s="19" t="s">
        <v>8290</v>
      </c>
      <c r="H4192" s="6" t="s">
        <v>55</v>
      </c>
      <c r="I4192" s="6" t="s">
        <v>8273</v>
      </c>
      <c r="J4192" s="6" t="s">
        <v>91</v>
      </c>
      <c r="K4192" s="12" t="str">
        <f t="shared" ref="K4192:K4193" si="492">HYPERLINK("https://media.licdn.com/dms/image/v2/D4E10AQEtxr4fqT8NfQ/image-shrink_1280/B4EZ7PB3YvHMAc-/0/1781589833590/A3-C2jpg?e=2147483647&amp;v=beta&amp;t=AjlKWqgFYZfgDAV3dSPU-C_p1yWfgHI_ZLz-ENvzT4s","View Creative")</f>
        <v>View Creative</v>
      </c>
      <c r="L4192" s="6" t="s">
        <v>62</v>
      </c>
      <c r="M4192" s="6" t="s">
        <v>8270</v>
      </c>
      <c r="N4192" s="6" t="s">
        <v>8307</v>
      </c>
      <c r="O4192" s="36" t="s">
        <v>7541</v>
      </c>
      <c r="P4192" s="36" t="s">
        <v>7542</v>
      </c>
      <c r="Q4192" s="38"/>
    </row>
    <row r="4193">
      <c r="A4193" s="6" t="s">
        <v>8270</v>
      </c>
      <c r="B4193" s="6" t="s">
        <v>8271</v>
      </c>
      <c r="C4193" s="6">
        <v>142.0</v>
      </c>
      <c r="D4193" s="9" t="str">
        <f t="shared" si="491"/>
        <v>Open Ad</v>
      </c>
      <c r="E4193" s="6" t="s">
        <v>91</v>
      </c>
      <c r="F4193" s="6" t="s">
        <v>8022</v>
      </c>
      <c r="G4193" s="19" t="s">
        <v>8290</v>
      </c>
      <c r="H4193" s="6" t="s">
        <v>55</v>
      </c>
      <c r="I4193" s="6" t="s">
        <v>8273</v>
      </c>
      <c r="J4193" s="6" t="s">
        <v>91</v>
      </c>
      <c r="K4193" s="12" t="str">
        <f t="shared" si="492"/>
        <v>View Creative</v>
      </c>
      <c r="L4193" s="6" t="s">
        <v>62</v>
      </c>
      <c r="M4193" s="6" t="s">
        <v>8270</v>
      </c>
      <c r="N4193" s="6" t="s">
        <v>8307</v>
      </c>
      <c r="O4193" s="36" t="s">
        <v>7541</v>
      </c>
      <c r="P4193" s="36" t="s">
        <v>7542</v>
      </c>
      <c r="Q4193" s="38"/>
    </row>
    <row r="4194">
      <c r="A4194" s="6" t="s">
        <v>8270</v>
      </c>
      <c r="B4194" s="6" t="s">
        <v>8271</v>
      </c>
      <c r="C4194" s="6">
        <v>143.0</v>
      </c>
      <c r="D4194" s="9" t="str">
        <f t="shared" ref="D4194:D4195" si="493">HYPERLINK("https://www.linkedin.com/ad-library/detail/1457509074","Open Ad")</f>
        <v>Open Ad</v>
      </c>
      <c r="E4194" s="6" t="s">
        <v>91</v>
      </c>
      <c r="F4194" s="6" t="s">
        <v>8022</v>
      </c>
      <c r="G4194" s="6" t="s">
        <v>8280</v>
      </c>
      <c r="H4194" s="6" t="s">
        <v>55</v>
      </c>
      <c r="I4194" s="6" t="s">
        <v>8273</v>
      </c>
      <c r="J4194" s="6" t="s">
        <v>91</v>
      </c>
      <c r="K4194" s="12" t="str">
        <f t="shared" ref="K4194:K4195" si="494">HYPERLINK("https://media.licdn.com/dms/image/v2/D4E10AQF2ktfInfNdRA/image-shrink_1280/B4EZ7PAwycKkAc-/0/1781589544471/A1-C3jpg?e=2147483647&amp;v=beta&amp;t=4ZB7lsD7pClowz17nBscZmQ9yX3zLhyBGjzU36FpmnA","View Creative")</f>
        <v>View Creative</v>
      </c>
      <c r="L4194" s="6" t="s">
        <v>62</v>
      </c>
      <c r="M4194" s="6" t="s">
        <v>8270</v>
      </c>
      <c r="N4194" s="6" t="s">
        <v>8303</v>
      </c>
      <c r="O4194" s="36" t="s">
        <v>7541</v>
      </c>
      <c r="P4194" s="36" t="s">
        <v>7542</v>
      </c>
      <c r="Q4194" s="38"/>
    </row>
    <row r="4195">
      <c r="A4195" s="6" t="s">
        <v>8270</v>
      </c>
      <c r="B4195" s="6" t="s">
        <v>8271</v>
      </c>
      <c r="C4195" s="6">
        <v>144.0</v>
      </c>
      <c r="D4195" s="9" t="str">
        <f t="shared" si="493"/>
        <v>Open Ad</v>
      </c>
      <c r="E4195" s="6" t="s">
        <v>91</v>
      </c>
      <c r="F4195" s="6" t="s">
        <v>8022</v>
      </c>
      <c r="G4195" s="6" t="s">
        <v>8280</v>
      </c>
      <c r="H4195" s="6" t="s">
        <v>55</v>
      </c>
      <c r="I4195" s="6" t="s">
        <v>8273</v>
      </c>
      <c r="J4195" s="6" t="s">
        <v>91</v>
      </c>
      <c r="K4195" s="12" t="str">
        <f t="shared" si="494"/>
        <v>View Creative</v>
      </c>
      <c r="L4195" s="6" t="s">
        <v>62</v>
      </c>
      <c r="M4195" s="6" t="s">
        <v>8270</v>
      </c>
      <c r="N4195" s="6" t="s">
        <v>8303</v>
      </c>
      <c r="O4195" s="36" t="s">
        <v>7541</v>
      </c>
      <c r="P4195" s="36" t="s">
        <v>7542</v>
      </c>
      <c r="Q4195" s="38"/>
    </row>
    <row r="4196">
      <c r="A4196" s="6" t="s">
        <v>8270</v>
      </c>
      <c r="B4196" s="6" t="s">
        <v>8271</v>
      </c>
      <c r="C4196" s="6">
        <v>145.0</v>
      </c>
      <c r="D4196" s="9" t="str">
        <f t="shared" ref="D4196:D4197" si="495">HYPERLINK("https://www.linkedin.com/ad-library/detail/1457419644","Open Ad")</f>
        <v>Open Ad</v>
      </c>
      <c r="E4196" s="6" t="s">
        <v>91</v>
      </c>
      <c r="F4196" s="6" t="s">
        <v>8022</v>
      </c>
      <c r="G4196" s="6" t="s">
        <v>8298</v>
      </c>
      <c r="H4196" s="6" t="s">
        <v>55</v>
      </c>
      <c r="I4196" s="6" t="s">
        <v>8273</v>
      </c>
      <c r="J4196" s="6" t="s">
        <v>91</v>
      </c>
      <c r="K4196" s="12" t="str">
        <f t="shared" ref="K4196:K4197" si="496">HYPERLINK("https://media.licdn.com/dms/image/v2/D4E10AQHMra8bcCHO0A/image-shrink_1280/B4EZ7PB9xfJgAc-/0/1781589859722/A3-C4jpg?e=2147483647&amp;v=beta&amp;t=nCAppK4YstfRrJE6gsQvbsQ_Vn64cbuwRRghD0DqzSQ","View Creative")</f>
        <v>View Creative</v>
      </c>
      <c r="L4196" s="6" t="s">
        <v>62</v>
      </c>
      <c r="M4196" s="6" t="s">
        <v>8270</v>
      </c>
      <c r="N4196" s="6" t="s">
        <v>8306</v>
      </c>
      <c r="O4196" s="36" t="s">
        <v>7541</v>
      </c>
      <c r="P4196" s="36" t="s">
        <v>7542</v>
      </c>
      <c r="Q4196" s="38"/>
    </row>
    <row r="4197">
      <c r="A4197" s="6" t="s">
        <v>8270</v>
      </c>
      <c r="B4197" s="6" t="s">
        <v>8271</v>
      </c>
      <c r="C4197" s="6">
        <v>146.0</v>
      </c>
      <c r="D4197" s="9" t="str">
        <f t="shared" si="495"/>
        <v>Open Ad</v>
      </c>
      <c r="E4197" s="6" t="s">
        <v>91</v>
      </c>
      <c r="F4197" s="6" t="s">
        <v>8022</v>
      </c>
      <c r="G4197" s="6" t="s">
        <v>8298</v>
      </c>
      <c r="H4197" s="6" t="s">
        <v>55</v>
      </c>
      <c r="I4197" s="6" t="s">
        <v>8273</v>
      </c>
      <c r="J4197" s="6" t="s">
        <v>91</v>
      </c>
      <c r="K4197" s="12" t="str">
        <f t="shared" si="496"/>
        <v>View Creative</v>
      </c>
      <c r="L4197" s="6" t="s">
        <v>62</v>
      </c>
      <c r="M4197" s="6" t="s">
        <v>8270</v>
      </c>
      <c r="N4197" s="6" t="s">
        <v>8306</v>
      </c>
      <c r="O4197" s="36" t="s">
        <v>7541</v>
      </c>
      <c r="P4197" s="36" t="s">
        <v>7542</v>
      </c>
      <c r="Q4197" s="38"/>
    </row>
    <row r="4198">
      <c r="A4198" s="6" t="s">
        <v>8270</v>
      </c>
      <c r="B4198" s="6" t="s">
        <v>8271</v>
      </c>
      <c r="C4198" s="6">
        <v>147.0</v>
      </c>
      <c r="D4198" s="9" t="str">
        <f t="shared" ref="D4198:D4199" si="497">HYPERLINK("https://www.linkedin.com/ad-library/detail/1304480744","Open Ad")</f>
        <v>Open Ad</v>
      </c>
      <c r="E4198" s="6" t="s">
        <v>91</v>
      </c>
      <c r="F4198" s="6" t="s">
        <v>8022</v>
      </c>
      <c r="G4198" s="6" t="s">
        <v>8308</v>
      </c>
      <c r="H4198" s="6" t="s">
        <v>55</v>
      </c>
      <c r="I4198" s="6" t="s">
        <v>8273</v>
      </c>
      <c r="J4198" s="6" t="s">
        <v>91</v>
      </c>
      <c r="K4198" s="12" t="str">
        <f t="shared" ref="K4198:K4199" si="498">HYPERLINK("https://media.licdn.com/dms/image/v2/D4E10AQFaB0_BgVCVgg/image-shrink_1280/B4EZ4jRoiLGYAc-/0/1778708285885/ICP1_AdSetB_Lightjpg?e=2147483647&amp;v=beta&amp;t=zwdjCOeHo1DaveDtjS6srhNEN-1p8X9khzHo4lm_e4s","View Creative")</f>
        <v>View Creative</v>
      </c>
      <c r="L4198" s="6" t="s">
        <v>62</v>
      </c>
      <c r="M4198" s="6" t="s">
        <v>8270</v>
      </c>
      <c r="N4198" s="6" t="s">
        <v>8309</v>
      </c>
      <c r="O4198" s="36" t="s">
        <v>7541</v>
      </c>
      <c r="P4198" s="36" t="s">
        <v>7542</v>
      </c>
      <c r="Q4198" s="38"/>
    </row>
    <row r="4199">
      <c r="A4199" s="6" t="s">
        <v>8270</v>
      </c>
      <c r="B4199" s="6" t="s">
        <v>8271</v>
      </c>
      <c r="C4199" s="6">
        <v>148.0</v>
      </c>
      <c r="D4199" s="9" t="str">
        <f t="shared" si="497"/>
        <v>Open Ad</v>
      </c>
      <c r="E4199" s="6" t="s">
        <v>91</v>
      </c>
      <c r="F4199" s="6" t="s">
        <v>8022</v>
      </c>
      <c r="G4199" s="6" t="s">
        <v>8308</v>
      </c>
      <c r="H4199" s="6" t="s">
        <v>55</v>
      </c>
      <c r="I4199" s="6" t="s">
        <v>8273</v>
      </c>
      <c r="J4199" s="6" t="s">
        <v>91</v>
      </c>
      <c r="K4199" s="12" t="str">
        <f t="shared" si="498"/>
        <v>View Creative</v>
      </c>
      <c r="L4199" s="6" t="s">
        <v>62</v>
      </c>
      <c r="M4199" s="6" t="s">
        <v>8270</v>
      </c>
      <c r="N4199" s="6" t="s">
        <v>8309</v>
      </c>
      <c r="O4199" s="36" t="s">
        <v>7541</v>
      </c>
      <c r="P4199" s="36" t="s">
        <v>7542</v>
      </c>
      <c r="Q4199" s="38"/>
    </row>
    <row r="4200">
      <c r="A4200" s="6" t="s">
        <v>8270</v>
      </c>
      <c r="B4200" s="6" t="s">
        <v>8271</v>
      </c>
      <c r="C4200" s="6">
        <v>149.0</v>
      </c>
      <c r="D4200" s="9" t="str">
        <f t="shared" ref="D4200:D4201" si="499">HYPERLINK("https://www.linkedin.com/ad-library/detail/1294293084","Open Ad")</f>
        <v>Open Ad</v>
      </c>
      <c r="E4200" s="6" t="s">
        <v>91</v>
      </c>
      <c r="F4200" s="6" t="s">
        <v>8022</v>
      </c>
      <c r="G4200" s="6" t="s">
        <v>8310</v>
      </c>
      <c r="H4200" s="6" t="s">
        <v>55</v>
      </c>
      <c r="I4200" s="6" t="s">
        <v>8273</v>
      </c>
      <c r="J4200" s="6" t="s">
        <v>91</v>
      </c>
      <c r="K4200" s="12" t="str">
        <f t="shared" ref="K4200:K4201" si="500">HYPERLINK("https://media.licdn.com/dms/image/v2/D4E10AQHKYlK6J-77jg/image-shrink_1280/B4EZ4g1dr1HcAc-/0/1778667347056/ICP1_AdSetB_Lightjpg?e=2147483647&amp;v=beta&amp;t=NEyKJ8uwbqc1QBE7fYM8RB9xj9_-xmlis5h05iaibNw","View Creative")</f>
        <v>View Creative</v>
      </c>
      <c r="L4200" s="6" t="s">
        <v>62</v>
      </c>
      <c r="M4200" s="6" t="s">
        <v>8270</v>
      </c>
      <c r="N4200" s="6" t="s">
        <v>8311</v>
      </c>
      <c r="O4200" s="36" t="s">
        <v>7541</v>
      </c>
      <c r="P4200" s="36" t="s">
        <v>7542</v>
      </c>
      <c r="Q4200" s="38"/>
    </row>
    <row r="4201">
      <c r="A4201" s="6" t="s">
        <v>8270</v>
      </c>
      <c r="B4201" s="6" t="s">
        <v>8271</v>
      </c>
      <c r="C4201" s="6">
        <v>150.0</v>
      </c>
      <c r="D4201" s="9" t="str">
        <f t="shared" si="499"/>
        <v>Open Ad</v>
      </c>
      <c r="E4201" s="6" t="s">
        <v>91</v>
      </c>
      <c r="F4201" s="6" t="s">
        <v>8022</v>
      </c>
      <c r="G4201" s="6" t="s">
        <v>8310</v>
      </c>
      <c r="H4201" s="6" t="s">
        <v>55</v>
      </c>
      <c r="I4201" s="6" t="s">
        <v>8273</v>
      </c>
      <c r="J4201" s="6" t="s">
        <v>91</v>
      </c>
      <c r="K4201" s="12" t="str">
        <f t="shared" si="500"/>
        <v>View Creative</v>
      </c>
      <c r="L4201" s="6" t="s">
        <v>62</v>
      </c>
      <c r="M4201" s="6" t="s">
        <v>8270</v>
      </c>
      <c r="N4201" s="6" t="s">
        <v>8311</v>
      </c>
      <c r="O4201" s="36" t="s">
        <v>7541</v>
      </c>
      <c r="P4201" s="36" t="s">
        <v>7542</v>
      </c>
      <c r="Q4201" s="38"/>
    </row>
    <row r="4202">
      <c r="A4202" s="6" t="s">
        <v>8270</v>
      </c>
      <c r="B4202" s="6" t="s">
        <v>8271</v>
      </c>
      <c r="C4202" s="6">
        <v>151.0</v>
      </c>
      <c r="D4202" s="9" t="str">
        <f t="shared" ref="D4202:D4203" si="501">HYPERLINK("https://www.linkedin.com/ad-library/detail/1295293244","Open Ad")</f>
        <v>Open Ad</v>
      </c>
      <c r="E4202" s="6" t="s">
        <v>91</v>
      </c>
      <c r="F4202" s="6" t="s">
        <v>8022</v>
      </c>
      <c r="G4202" s="6" t="s">
        <v>8312</v>
      </c>
      <c r="H4202" s="6" t="s">
        <v>55</v>
      </c>
      <c r="I4202" s="6" t="s">
        <v>8273</v>
      </c>
      <c r="J4202" s="6" t="s">
        <v>91</v>
      </c>
      <c r="K4202" s="12" t="str">
        <f t="shared" ref="K4202:K4203" si="502">HYPERLINK("https://media.licdn.com/dms/image/v2/D4E10AQG43wfMm1PRag/image-shrink_1280/B4EZ4gx_D8J4Ac-/0/1778666435167/ICP3_AdSetC_Lightjpg?e=2147483647&amp;v=beta&amp;t=ENJsR-mmxAIw0-L7588ziH1tXVY8GJ5daC4rLljvtFU","View Creative")</f>
        <v>View Creative</v>
      </c>
      <c r="L4202" s="6" t="s">
        <v>62</v>
      </c>
      <c r="M4202" s="6" t="s">
        <v>8270</v>
      </c>
      <c r="N4202" s="6"/>
      <c r="O4202" s="36" t="s">
        <v>7541</v>
      </c>
      <c r="P4202" s="36" t="s">
        <v>7542</v>
      </c>
      <c r="Q4202" s="38"/>
    </row>
    <row r="4203">
      <c r="A4203" s="6" t="s">
        <v>8270</v>
      </c>
      <c r="B4203" s="6" t="s">
        <v>8271</v>
      </c>
      <c r="C4203" s="6">
        <v>152.0</v>
      </c>
      <c r="D4203" s="9" t="str">
        <f t="shared" si="501"/>
        <v>Open Ad</v>
      </c>
      <c r="E4203" s="6" t="s">
        <v>91</v>
      </c>
      <c r="F4203" s="6" t="s">
        <v>8022</v>
      </c>
      <c r="G4203" s="6" t="s">
        <v>8312</v>
      </c>
      <c r="H4203" s="6" t="s">
        <v>55</v>
      </c>
      <c r="I4203" s="6" t="s">
        <v>8273</v>
      </c>
      <c r="J4203" s="6" t="s">
        <v>91</v>
      </c>
      <c r="K4203" s="12" t="str">
        <f t="shared" si="502"/>
        <v>View Creative</v>
      </c>
      <c r="L4203" s="6" t="s">
        <v>62</v>
      </c>
      <c r="M4203" s="6" t="s">
        <v>8270</v>
      </c>
      <c r="N4203" s="6"/>
      <c r="O4203" s="36" t="s">
        <v>7541</v>
      </c>
      <c r="P4203" s="36" t="s">
        <v>7542</v>
      </c>
      <c r="Q4203" s="38"/>
    </row>
    <row r="4204">
      <c r="A4204" s="6" t="s">
        <v>8270</v>
      </c>
      <c r="B4204" s="6" t="s">
        <v>8271</v>
      </c>
      <c r="C4204" s="6">
        <v>153.0</v>
      </c>
      <c r="D4204" s="9" t="str">
        <f t="shared" ref="D4204:D4205" si="503">HYPERLINK("https://www.linkedin.com/ad-library/detail/1295693464","Open Ad")</f>
        <v>Open Ad</v>
      </c>
      <c r="E4204" s="6" t="s">
        <v>91</v>
      </c>
      <c r="F4204" s="6" t="s">
        <v>8022</v>
      </c>
      <c r="G4204" s="6" t="s">
        <v>8310</v>
      </c>
      <c r="H4204" s="6" t="s">
        <v>55</v>
      </c>
      <c r="I4204" s="6" t="s">
        <v>8273</v>
      </c>
      <c r="J4204" s="6" t="s">
        <v>91</v>
      </c>
      <c r="K4204" s="12" t="str">
        <f t="shared" ref="K4204:K4205" si="504">HYPERLINK("https://media.licdn.com/dms/image/v2/D4E10AQHKYlK6J-77jg/image-shrink_1280/B4EZ4g1dr1HcAc-/0/1778667347056/ICP1_AdSetB_Lightjpg?e=2147483647&amp;v=beta&amp;t=NEyKJ8uwbqc1QBE7fYM8RB9xj9_-xmlis5h05iaibNw","View Creative")</f>
        <v>View Creative</v>
      </c>
      <c r="L4204" s="6" t="s">
        <v>62</v>
      </c>
      <c r="M4204" s="6" t="s">
        <v>8270</v>
      </c>
      <c r="N4204" s="6"/>
      <c r="O4204" s="36" t="s">
        <v>7541</v>
      </c>
      <c r="P4204" s="36" t="s">
        <v>7542</v>
      </c>
      <c r="Q4204" s="38"/>
    </row>
    <row r="4205">
      <c r="A4205" s="6" t="s">
        <v>8270</v>
      </c>
      <c r="B4205" s="6" t="s">
        <v>8271</v>
      </c>
      <c r="C4205" s="6">
        <v>154.0</v>
      </c>
      <c r="D4205" s="9" t="str">
        <f t="shared" si="503"/>
        <v>Open Ad</v>
      </c>
      <c r="E4205" s="6" t="s">
        <v>91</v>
      </c>
      <c r="F4205" s="6" t="s">
        <v>8022</v>
      </c>
      <c r="G4205" s="6" t="s">
        <v>8310</v>
      </c>
      <c r="H4205" s="6" t="s">
        <v>55</v>
      </c>
      <c r="I4205" s="6" t="s">
        <v>8273</v>
      </c>
      <c r="J4205" s="6" t="s">
        <v>91</v>
      </c>
      <c r="K4205" s="12" t="str">
        <f t="shared" si="504"/>
        <v>View Creative</v>
      </c>
      <c r="L4205" s="6" t="s">
        <v>62</v>
      </c>
      <c r="M4205" s="6" t="s">
        <v>8270</v>
      </c>
      <c r="N4205" s="6"/>
      <c r="O4205" s="36" t="s">
        <v>7541</v>
      </c>
      <c r="P4205" s="36" t="s">
        <v>7542</v>
      </c>
      <c r="Q4205" s="38"/>
    </row>
    <row r="4206">
      <c r="A4206" s="6" t="s">
        <v>8270</v>
      </c>
      <c r="B4206" s="6" t="s">
        <v>8271</v>
      </c>
      <c r="C4206" s="6">
        <v>155.0</v>
      </c>
      <c r="D4206" s="9" t="str">
        <f t="shared" ref="D4206:D4207" si="505">HYPERLINK("https://www.linkedin.com/ad-library/detail/1295593164","Open Ad")</f>
        <v>Open Ad</v>
      </c>
      <c r="E4206" s="6" t="s">
        <v>91</v>
      </c>
      <c r="F4206" s="6" t="s">
        <v>8022</v>
      </c>
      <c r="G4206" s="6" t="s">
        <v>8313</v>
      </c>
      <c r="H4206" s="6" t="s">
        <v>55</v>
      </c>
      <c r="I4206" s="6" t="s">
        <v>8273</v>
      </c>
      <c r="J4206" s="6" t="s">
        <v>91</v>
      </c>
      <c r="K4206" s="12" t="str">
        <f t="shared" ref="K4206:K4207" si="506">HYPERLINK("https://media.licdn.com/dms/image/v2/D4E10AQExnssFHT2gXw/image-shrink_1280/B4EZ4g0B.cIcAc-/0/1778666971401/ICP2_AdSetB_Lightjpg?e=2147483647&amp;v=beta&amp;t=8MFQWCH_KTuEAs4MpfH4kFaEM5JtgUvpzQUZVlD8pBk","View Creative")</f>
        <v>View Creative</v>
      </c>
      <c r="L4206" s="6" t="s">
        <v>62</v>
      </c>
      <c r="M4206" s="6" t="s">
        <v>8270</v>
      </c>
      <c r="N4206" s="6" t="s">
        <v>8311</v>
      </c>
      <c r="O4206" s="36" t="s">
        <v>7541</v>
      </c>
      <c r="P4206" s="36" t="s">
        <v>7542</v>
      </c>
      <c r="Q4206" s="38"/>
    </row>
    <row r="4207">
      <c r="A4207" s="6" t="s">
        <v>8270</v>
      </c>
      <c r="B4207" s="6" t="s">
        <v>8271</v>
      </c>
      <c r="C4207" s="6">
        <v>156.0</v>
      </c>
      <c r="D4207" s="9" t="str">
        <f t="shared" si="505"/>
        <v>Open Ad</v>
      </c>
      <c r="E4207" s="6" t="s">
        <v>91</v>
      </c>
      <c r="F4207" s="6" t="s">
        <v>8022</v>
      </c>
      <c r="G4207" s="6" t="s">
        <v>8313</v>
      </c>
      <c r="H4207" s="6" t="s">
        <v>55</v>
      </c>
      <c r="I4207" s="6" t="s">
        <v>8273</v>
      </c>
      <c r="J4207" s="6" t="s">
        <v>91</v>
      </c>
      <c r="K4207" s="12" t="str">
        <f t="shared" si="506"/>
        <v>View Creative</v>
      </c>
      <c r="L4207" s="6" t="s">
        <v>62</v>
      </c>
      <c r="M4207" s="6" t="s">
        <v>8270</v>
      </c>
      <c r="N4207" s="6" t="s">
        <v>8311</v>
      </c>
      <c r="O4207" s="36" t="s">
        <v>7541</v>
      </c>
      <c r="P4207" s="36" t="s">
        <v>7542</v>
      </c>
      <c r="Q4207" s="38"/>
    </row>
    <row r="4208">
      <c r="A4208" s="6" t="s">
        <v>8270</v>
      </c>
      <c r="B4208" s="6" t="s">
        <v>8271</v>
      </c>
      <c r="C4208" s="6">
        <v>157.0</v>
      </c>
      <c r="D4208" s="9" t="str">
        <f t="shared" ref="D4208:D4209" si="507">HYPERLINK("https://www.linkedin.com/ad-library/detail/1295202774","Open Ad")</f>
        <v>Open Ad</v>
      </c>
      <c r="E4208" s="6" t="s">
        <v>91</v>
      </c>
      <c r="F4208" s="6" t="s">
        <v>8022</v>
      </c>
      <c r="G4208" s="6" t="s">
        <v>8310</v>
      </c>
      <c r="H4208" s="6" t="s">
        <v>55</v>
      </c>
      <c r="I4208" s="6" t="s">
        <v>8273</v>
      </c>
      <c r="J4208" s="6" t="s">
        <v>91</v>
      </c>
      <c r="K4208" s="12" t="str">
        <f t="shared" ref="K4208:K4209" si="508">HYPERLINK("https://media.licdn.com/dms/image/v2/D4E10AQHKYlK6J-77jg/image-shrink_1280/B4EZ4g1dr1HcAc-/0/1778667347056/ICP1_AdSetB_Lightjpg?e=2147483647&amp;v=beta&amp;t=NEyKJ8uwbqc1QBE7fYM8RB9xj9_-xmlis5h05iaibNw","View Creative")</f>
        <v>View Creative</v>
      </c>
      <c r="L4208" s="6" t="s">
        <v>62</v>
      </c>
      <c r="M4208" s="6" t="s">
        <v>8270</v>
      </c>
      <c r="N4208" s="6" t="s">
        <v>8314</v>
      </c>
      <c r="O4208" s="36" t="s">
        <v>7541</v>
      </c>
      <c r="P4208" s="36" t="s">
        <v>7542</v>
      </c>
      <c r="Q4208" s="38"/>
    </row>
    <row r="4209">
      <c r="A4209" s="6" t="s">
        <v>8270</v>
      </c>
      <c r="B4209" s="6" t="s">
        <v>8271</v>
      </c>
      <c r="C4209" s="6">
        <v>158.0</v>
      </c>
      <c r="D4209" s="9" t="str">
        <f t="shared" si="507"/>
        <v>Open Ad</v>
      </c>
      <c r="E4209" s="6" t="s">
        <v>91</v>
      </c>
      <c r="F4209" s="6" t="s">
        <v>8022</v>
      </c>
      <c r="G4209" s="6" t="s">
        <v>8310</v>
      </c>
      <c r="H4209" s="6" t="s">
        <v>55</v>
      </c>
      <c r="I4209" s="6" t="s">
        <v>8273</v>
      </c>
      <c r="J4209" s="6" t="s">
        <v>91</v>
      </c>
      <c r="K4209" s="12" t="str">
        <f t="shared" si="508"/>
        <v>View Creative</v>
      </c>
      <c r="L4209" s="6" t="s">
        <v>62</v>
      </c>
      <c r="M4209" s="6" t="s">
        <v>8270</v>
      </c>
      <c r="N4209" s="6" t="s">
        <v>8314</v>
      </c>
      <c r="O4209" s="36" t="s">
        <v>7541</v>
      </c>
      <c r="P4209" s="36" t="s">
        <v>7542</v>
      </c>
      <c r="Q4209" s="38"/>
    </row>
    <row r="4210">
      <c r="A4210" s="6" t="s">
        <v>8270</v>
      </c>
      <c r="B4210" s="6" t="s">
        <v>8271</v>
      </c>
      <c r="C4210" s="6">
        <v>159.0</v>
      </c>
      <c r="D4210" s="9" t="str">
        <f t="shared" ref="D4210:D4211" si="509">HYPERLINK("https://www.linkedin.com/ad-library/detail/1295002904","Open Ad")</f>
        <v>Open Ad</v>
      </c>
      <c r="E4210" s="6" t="s">
        <v>91</v>
      </c>
      <c r="F4210" s="6" t="s">
        <v>8022</v>
      </c>
      <c r="G4210" s="6" t="s">
        <v>8313</v>
      </c>
      <c r="H4210" s="6" t="s">
        <v>55</v>
      </c>
      <c r="I4210" s="6" t="s">
        <v>8273</v>
      </c>
      <c r="J4210" s="6" t="s">
        <v>91</v>
      </c>
      <c r="K4210" s="12" t="str">
        <f t="shared" ref="K4210:K4211" si="510">HYPERLINK("https://media.licdn.com/dms/image/v2/D4E10AQExnssFHT2gXw/image-shrink_1280/B4EZ4g0B.cIcAc-/0/1778666971401/ICP2_AdSetB_Lightjpg?e=2147483647&amp;v=beta&amp;t=8MFQWCH_KTuEAs4MpfH4kFaEM5JtgUvpzQUZVlD8pBk","View Creative")</f>
        <v>View Creative</v>
      </c>
      <c r="L4210" s="6" t="s">
        <v>62</v>
      </c>
      <c r="M4210" s="6" t="s">
        <v>8270</v>
      </c>
      <c r="N4210" s="6" t="s">
        <v>8314</v>
      </c>
      <c r="O4210" s="36" t="s">
        <v>7541</v>
      </c>
      <c r="P4210" s="36" t="s">
        <v>7542</v>
      </c>
      <c r="Q4210" s="38"/>
    </row>
    <row r="4211">
      <c r="A4211" s="6" t="s">
        <v>8270</v>
      </c>
      <c r="B4211" s="6" t="s">
        <v>8271</v>
      </c>
      <c r="C4211" s="6">
        <v>160.0</v>
      </c>
      <c r="D4211" s="9" t="str">
        <f t="shared" si="509"/>
        <v>Open Ad</v>
      </c>
      <c r="E4211" s="6" t="s">
        <v>91</v>
      </c>
      <c r="F4211" s="6" t="s">
        <v>8022</v>
      </c>
      <c r="G4211" s="6" t="s">
        <v>8313</v>
      </c>
      <c r="H4211" s="6" t="s">
        <v>55</v>
      </c>
      <c r="I4211" s="6" t="s">
        <v>8273</v>
      </c>
      <c r="J4211" s="6" t="s">
        <v>91</v>
      </c>
      <c r="K4211" s="12" t="str">
        <f t="shared" si="510"/>
        <v>View Creative</v>
      </c>
      <c r="L4211" s="6" t="s">
        <v>62</v>
      </c>
      <c r="M4211" s="6" t="s">
        <v>8270</v>
      </c>
      <c r="N4211" s="6" t="s">
        <v>8314</v>
      </c>
      <c r="O4211" s="36" t="s">
        <v>7541</v>
      </c>
      <c r="P4211" s="36" t="s">
        <v>7542</v>
      </c>
      <c r="Q4211" s="38"/>
    </row>
    <row r="4212">
      <c r="A4212" s="6" t="s">
        <v>8270</v>
      </c>
      <c r="B4212" s="6" t="s">
        <v>8271</v>
      </c>
      <c r="C4212" s="6">
        <v>161.0</v>
      </c>
      <c r="D4212" s="9" t="str">
        <f t="shared" ref="D4212:D4213" si="511">HYPERLINK("https://www.linkedin.com/ad-library/detail/1295703044","Open Ad")</f>
        <v>Open Ad</v>
      </c>
      <c r="E4212" s="6" t="s">
        <v>91</v>
      </c>
      <c r="F4212" s="6" t="s">
        <v>8022</v>
      </c>
      <c r="G4212" s="6" t="s">
        <v>8308</v>
      </c>
      <c r="H4212" s="6" t="s">
        <v>55</v>
      </c>
      <c r="I4212" s="6" t="s">
        <v>8273</v>
      </c>
      <c r="J4212" s="6" t="s">
        <v>91</v>
      </c>
      <c r="K4212" s="12" t="str">
        <f t="shared" ref="K4212:K4213" si="512">HYPERLINK("https://media.licdn.com/dms/image/v2/D4E10AQFaB0_BgVCVgg/image-shrink_1280/B4EZ4jRoiLGYAc-/0/1778708285885/ICP1_AdSetB_Lightjpg?e=2147483647&amp;v=beta&amp;t=zwdjCOeHo1DaveDtjS6srhNEN-1p8X9khzHo4lm_e4s","View Creative")</f>
        <v>View Creative</v>
      </c>
      <c r="L4212" s="6" t="s">
        <v>62</v>
      </c>
      <c r="M4212" s="6" t="s">
        <v>8270</v>
      </c>
      <c r="N4212" s="6" t="s">
        <v>8315</v>
      </c>
      <c r="O4212" s="36" t="s">
        <v>7541</v>
      </c>
      <c r="P4212" s="36" t="s">
        <v>7542</v>
      </c>
      <c r="Q4212" s="38"/>
    </row>
    <row r="4213">
      <c r="A4213" s="6" t="s">
        <v>8270</v>
      </c>
      <c r="B4213" s="6" t="s">
        <v>8271</v>
      </c>
      <c r="C4213" s="6">
        <v>162.0</v>
      </c>
      <c r="D4213" s="9" t="str">
        <f t="shared" si="511"/>
        <v>Open Ad</v>
      </c>
      <c r="E4213" s="6" t="s">
        <v>91</v>
      </c>
      <c r="F4213" s="6" t="s">
        <v>8022</v>
      </c>
      <c r="G4213" s="6" t="s">
        <v>8308</v>
      </c>
      <c r="H4213" s="6" t="s">
        <v>55</v>
      </c>
      <c r="I4213" s="6" t="s">
        <v>8273</v>
      </c>
      <c r="J4213" s="6" t="s">
        <v>91</v>
      </c>
      <c r="K4213" s="12" t="str">
        <f t="shared" si="512"/>
        <v>View Creative</v>
      </c>
      <c r="L4213" s="6" t="s">
        <v>62</v>
      </c>
      <c r="M4213" s="6" t="s">
        <v>8270</v>
      </c>
      <c r="N4213" s="6" t="s">
        <v>8315</v>
      </c>
      <c r="O4213" s="36" t="s">
        <v>7541</v>
      </c>
      <c r="P4213" s="36" t="s">
        <v>7542</v>
      </c>
      <c r="Q4213" s="38"/>
    </row>
    <row r="4214">
      <c r="A4214" s="6" t="s">
        <v>8270</v>
      </c>
      <c r="B4214" s="6" t="s">
        <v>8271</v>
      </c>
      <c r="C4214" s="6">
        <v>163.0</v>
      </c>
      <c r="D4214" s="9" t="str">
        <f t="shared" ref="D4214:D4215" si="513">HYPERLINK("https://www.linkedin.com/ad-library/detail/1294092944","Open Ad")</f>
        <v>Open Ad</v>
      </c>
      <c r="E4214" s="6" t="s">
        <v>91</v>
      </c>
      <c r="F4214" s="6" t="s">
        <v>8022</v>
      </c>
      <c r="G4214" s="6" t="s">
        <v>8310</v>
      </c>
      <c r="H4214" s="6" t="s">
        <v>55</v>
      </c>
      <c r="I4214" s="6" t="s">
        <v>8273</v>
      </c>
      <c r="J4214" s="6" t="s">
        <v>91</v>
      </c>
      <c r="K4214" s="12" t="str">
        <f t="shared" ref="K4214:K4215" si="514">HYPERLINK("https://media.licdn.com/dms/image/v2/D4E10AQHKYlK6J-77jg/image-shrink_1280/B4EZ4g1dr1HcAc-/0/1778667347056/ICP1_AdSetB_Lightjpg?e=2147483647&amp;v=beta&amp;t=NEyKJ8uwbqc1QBE7fYM8RB9xj9_-xmlis5h05iaibNw","View Creative")</f>
        <v>View Creative</v>
      </c>
      <c r="L4214" s="6" t="s">
        <v>62</v>
      </c>
      <c r="M4214" s="6" t="s">
        <v>8270</v>
      </c>
      <c r="N4214" s="6" t="s">
        <v>8311</v>
      </c>
      <c r="O4214" s="36" t="s">
        <v>7541</v>
      </c>
      <c r="P4214" s="36" t="s">
        <v>7542</v>
      </c>
      <c r="Q4214" s="38"/>
    </row>
    <row r="4215">
      <c r="A4215" s="6" t="s">
        <v>8270</v>
      </c>
      <c r="B4215" s="6" t="s">
        <v>8271</v>
      </c>
      <c r="C4215" s="6">
        <v>164.0</v>
      </c>
      <c r="D4215" s="9" t="str">
        <f t="shared" si="513"/>
        <v>Open Ad</v>
      </c>
      <c r="E4215" s="6" t="s">
        <v>91</v>
      </c>
      <c r="F4215" s="6" t="s">
        <v>8022</v>
      </c>
      <c r="G4215" s="6" t="s">
        <v>8310</v>
      </c>
      <c r="H4215" s="6" t="s">
        <v>55</v>
      </c>
      <c r="I4215" s="6" t="s">
        <v>8273</v>
      </c>
      <c r="J4215" s="6" t="s">
        <v>91</v>
      </c>
      <c r="K4215" s="12" t="str">
        <f t="shared" si="514"/>
        <v>View Creative</v>
      </c>
      <c r="L4215" s="6" t="s">
        <v>62</v>
      </c>
      <c r="M4215" s="6" t="s">
        <v>8270</v>
      </c>
      <c r="N4215" s="6" t="s">
        <v>8311</v>
      </c>
      <c r="O4215" s="36" t="s">
        <v>7541</v>
      </c>
      <c r="P4215" s="36" t="s">
        <v>7542</v>
      </c>
      <c r="Q4215" s="38"/>
    </row>
    <row r="4216">
      <c r="A4216" s="6" t="s">
        <v>8270</v>
      </c>
      <c r="B4216" s="6" t="s">
        <v>8271</v>
      </c>
      <c r="C4216" s="6">
        <v>165.0</v>
      </c>
      <c r="D4216" s="9" t="str">
        <f t="shared" ref="D4216:D4217" si="515">HYPERLINK("https://www.linkedin.com/ad-library/detail/1296293074","Open Ad")</f>
        <v>Open Ad</v>
      </c>
      <c r="E4216" s="6" t="s">
        <v>91</v>
      </c>
      <c r="F4216" s="6" t="s">
        <v>8022</v>
      </c>
      <c r="G4216" s="6" t="s">
        <v>8313</v>
      </c>
      <c r="H4216" s="6" t="s">
        <v>55</v>
      </c>
      <c r="I4216" s="6" t="s">
        <v>8273</v>
      </c>
      <c r="J4216" s="6" t="s">
        <v>91</v>
      </c>
      <c r="K4216" s="12" t="str">
        <f t="shared" ref="K4216:K4217" si="516">HYPERLINK("https://media.licdn.com/dms/image/v2/D4E10AQExnssFHT2gXw/image-shrink_1280/B4EZ4g0B.cIcAc-/0/1778666971401/ICP2_AdSetB_Lightjpg?e=2147483647&amp;v=beta&amp;t=8MFQWCH_KTuEAs4MpfH4kFaEM5JtgUvpzQUZVlD8pBk","View Creative")</f>
        <v>View Creative</v>
      </c>
      <c r="L4216" s="6" t="s">
        <v>62</v>
      </c>
      <c r="M4216" s="6" t="s">
        <v>8270</v>
      </c>
      <c r="N4216" s="6" t="s">
        <v>8311</v>
      </c>
      <c r="O4216" s="36" t="s">
        <v>7541</v>
      </c>
      <c r="P4216" s="36" t="s">
        <v>7542</v>
      </c>
      <c r="Q4216" s="38"/>
    </row>
    <row r="4217">
      <c r="A4217" s="6" t="s">
        <v>8270</v>
      </c>
      <c r="B4217" s="6" t="s">
        <v>8271</v>
      </c>
      <c r="C4217" s="6">
        <v>166.0</v>
      </c>
      <c r="D4217" s="9" t="str">
        <f t="shared" si="515"/>
        <v>Open Ad</v>
      </c>
      <c r="E4217" s="6" t="s">
        <v>91</v>
      </c>
      <c r="F4217" s="6" t="s">
        <v>8022</v>
      </c>
      <c r="G4217" s="6" t="s">
        <v>8313</v>
      </c>
      <c r="H4217" s="6" t="s">
        <v>55</v>
      </c>
      <c r="I4217" s="6" t="s">
        <v>8273</v>
      </c>
      <c r="J4217" s="6" t="s">
        <v>91</v>
      </c>
      <c r="K4217" s="12" t="str">
        <f t="shared" si="516"/>
        <v>View Creative</v>
      </c>
      <c r="L4217" s="6" t="s">
        <v>62</v>
      </c>
      <c r="M4217" s="6" t="s">
        <v>8270</v>
      </c>
      <c r="N4217" s="6" t="s">
        <v>8311</v>
      </c>
      <c r="O4217" s="36" t="s">
        <v>7541</v>
      </c>
      <c r="P4217" s="36" t="s">
        <v>7542</v>
      </c>
      <c r="Q4217" s="38"/>
    </row>
    <row r="4218">
      <c r="A4218" s="6" t="s">
        <v>8270</v>
      </c>
      <c r="B4218" s="6" t="s">
        <v>8271</v>
      </c>
      <c r="C4218" s="6">
        <v>167.0</v>
      </c>
      <c r="D4218" s="9" t="str">
        <f t="shared" ref="D4218:D4219" si="517">HYPERLINK("https://www.linkedin.com/ad-library/detail/1295103944","Open Ad")</f>
        <v>Open Ad</v>
      </c>
      <c r="E4218" s="6" t="s">
        <v>91</v>
      </c>
      <c r="F4218" s="6" t="s">
        <v>8022</v>
      </c>
      <c r="G4218" s="6" t="s">
        <v>8316</v>
      </c>
      <c r="H4218" s="6" t="s">
        <v>55</v>
      </c>
      <c r="I4218" s="6" t="s">
        <v>8273</v>
      </c>
      <c r="J4218" s="6" t="s">
        <v>91</v>
      </c>
      <c r="K4218" s="12" t="str">
        <f t="shared" ref="K4218:K4221" si="518">HYPERLINK("https://media.licdn.com/dms/image/v2/D4E10AQEfdfeLHtAn4w/image-shrink_1280/B4EZ4jQsSeJ4Ac-/0/1778708039127/ICP2_AdSetA_Lightjpg?e=2147483647&amp;v=beta&amp;t=hFalY3yWK8E5_kiUoAj0uN0WZ3d_xQbVnUSvAyp1gsQ","View Creative")</f>
        <v>View Creative</v>
      </c>
      <c r="L4218" s="6" t="s">
        <v>62</v>
      </c>
      <c r="M4218" s="6" t="s">
        <v>8270</v>
      </c>
      <c r="N4218" s="6" t="s">
        <v>8314</v>
      </c>
      <c r="O4218" s="36" t="s">
        <v>7541</v>
      </c>
      <c r="P4218" s="36" t="s">
        <v>7542</v>
      </c>
      <c r="Q4218" s="38"/>
    </row>
    <row r="4219">
      <c r="A4219" s="6" t="s">
        <v>8270</v>
      </c>
      <c r="B4219" s="6" t="s">
        <v>8271</v>
      </c>
      <c r="C4219" s="6">
        <v>168.0</v>
      </c>
      <c r="D4219" s="9" t="str">
        <f t="shared" si="517"/>
        <v>Open Ad</v>
      </c>
      <c r="E4219" s="6" t="s">
        <v>91</v>
      </c>
      <c r="F4219" s="6" t="s">
        <v>8022</v>
      </c>
      <c r="G4219" s="6" t="s">
        <v>8316</v>
      </c>
      <c r="H4219" s="6" t="s">
        <v>55</v>
      </c>
      <c r="I4219" s="6" t="s">
        <v>8273</v>
      </c>
      <c r="J4219" s="6" t="s">
        <v>91</v>
      </c>
      <c r="K4219" s="12" t="str">
        <f t="shared" si="518"/>
        <v>View Creative</v>
      </c>
      <c r="L4219" s="6" t="s">
        <v>62</v>
      </c>
      <c r="M4219" s="6" t="s">
        <v>8270</v>
      </c>
      <c r="N4219" s="6" t="s">
        <v>8314</v>
      </c>
      <c r="O4219" s="36" t="s">
        <v>7541</v>
      </c>
      <c r="P4219" s="36" t="s">
        <v>7542</v>
      </c>
      <c r="Q4219" s="38"/>
    </row>
    <row r="4220">
      <c r="A4220" s="6" t="s">
        <v>8270</v>
      </c>
      <c r="B4220" s="6" t="s">
        <v>8271</v>
      </c>
      <c r="C4220" s="6">
        <v>169.0</v>
      </c>
      <c r="D4220" s="9" t="str">
        <f t="shared" ref="D4220:D4221" si="519">HYPERLINK("https://www.linkedin.com/ad-library/detail/1294303804","Open Ad")</f>
        <v>Open Ad</v>
      </c>
      <c r="E4220" s="6" t="s">
        <v>91</v>
      </c>
      <c r="F4220" s="6" t="s">
        <v>8022</v>
      </c>
      <c r="G4220" s="6" t="s">
        <v>8316</v>
      </c>
      <c r="H4220" s="6" t="s">
        <v>55</v>
      </c>
      <c r="I4220" s="6" t="s">
        <v>8273</v>
      </c>
      <c r="J4220" s="6" t="s">
        <v>91</v>
      </c>
      <c r="K4220" s="12" t="str">
        <f t="shared" si="518"/>
        <v>View Creative</v>
      </c>
      <c r="L4220" s="6" t="s">
        <v>62</v>
      </c>
      <c r="M4220" s="6" t="s">
        <v>8270</v>
      </c>
      <c r="N4220" s="6"/>
      <c r="O4220" s="36" t="s">
        <v>7541</v>
      </c>
      <c r="P4220" s="36" t="s">
        <v>7542</v>
      </c>
      <c r="Q4220" s="38"/>
    </row>
    <row r="4221">
      <c r="A4221" s="6" t="s">
        <v>8270</v>
      </c>
      <c r="B4221" s="6" t="s">
        <v>8271</v>
      </c>
      <c r="C4221" s="6">
        <v>170.0</v>
      </c>
      <c r="D4221" s="9" t="str">
        <f t="shared" si="519"/>
        <v>Open Ad</v>
      </c>
      <c r="E4221" s="6" t="s">
        <v>91</v>
      </c>
      <c r="F4221" s="6" t="s">
        <v>8022</v>
      </c>
      <c r="G4221" s="6" t="s">
        <v>8316</v>
      </c>
      <c r="H4221" s="6" t="s">
        <v>55</v>
      </c>
      <c r="I4221" s="6" t="s">
        <v>8273</v>
      </c>
      <c r="J4221" s="6" t="s">
        <v>91</v>
      </c>
      <c r="K4221" s="12" t="str">
        <f t="shared" si="518"/>
        <v>View Creative</v>
      </c>
      <c r="L4221" s="6" t="s">
        <v>62</v>
      </c>
      <c r="M4221" s="6" t="s">
        <v>8270</v>
      </c>
      <c r="N4221" s="6"/>
      <c r="O4221" s="36" t="s">
        <v>7541</v>
      </c>
      <c r="P4221" s="36" t="s">
        <v>7542</v>
      </c>
      <c r="Q4221" s="38"/>
    </row>
    <row r="4222">
      <c r="A4222" s="6" t="s">
        <v>8270</v>
      </c>
      <c r="B4222" s="6" t="s">
        <v>8271</v>
      </c>
      <c r="C4222" s="6">
        <v>171.0</v>
      </c>
      <c r="D4222" s="9" t="str">
        <f t="shared" ref="D4222:D4223" si="520">HYPERLINK("https://www.linkedin.com/ad-library/detail/1294103014","Open Ad")</f>
        <v>Open Ad</v>
      </c>
      <c r="E4222" s="6" t="s">
        <v>91</v>
      </c>
      <c r="F4222" s="6" t="s">
        <v>8022</v>
      </c>
      <c r="G4222" s="6" t="s">
        <v>8310</v>
      </c>
      <c r="H4222" s="6" t="s">
        <v>55</v>
      </c>
      <c r="I4222" s="6" t="s">
        <v>8273</v>
      </c>
      <c r="J4222" s="6" t="s">
        <v>91</v>
      </c>
      <c r="K4222" s="12" t="str">
        <f t="shared" ref="K4222:K4223" si="521">HYPERLINK("https://media.licdn.com/dms/image/v2/D4E10AQHKYlK6J-77jg/image-shrink_1280/B4EZ4g1dr1HcAc-/0/1778667347056/ICP1_AdSetB_Lightjpg?e=2147483647&amp;v=beta&amp;t=NEyKJ8uwbqc1QBE7fYM8RB9xj9_-xmlis5h05iaibNw","View Creative")</f>
        <v>View Creative</v>
      </c>
      <c r="L4222" s="6" t="s">
        <v>62</v>
      </c>
      <c r="M4222" s="6" t="s">
        <v>8270</v>
      </c>
      <c r="N4222" s="6"/>
      <c r="O4222" s="36" t="s">
        <v>7541</v>
      </c>
      <c r="P4222" s="36" t="s">
        <v>7542</v>
      </c>
      <c r="Q4222" s="38"/>
    </row>
    <row r="4223">
      <c r="A4223" s="6" t="s">
        <v>8270</v>
      </c>
      <c r="B4223" s="6" t="s">
        <v>8271</v>
      </c>
      <c r="C4223" s="6">
        <v>172.0</v>
      </c>
      <c r="D4223" s="9" t="str">
        <f t="shared" si="520"/>
        <v>Open Ad</v>
      </c>
      <c r="E4223" s="6" t="s">
        <v>91</v>
      </c>
      <c r="F4223" s="6" t="s">
        <v>8022</v>
      </c>
      <c r="G4223" s="6" t="s">
        <v>8310</v>
      </c>
      <c r="H4223" s="6" t="s">
        <v>55</v>
      </c>
      <c r="I4223" s="6" t="s">
        <v>8273</v>
      </c>
      <c r="J4223" s="6" t="s">
        <v>91</v>
      </c>
      <c r="K4223" s="12" t="str">
        <f t="shared" si="521"/>
        <v>View Creative</v>
      </c>
      <c r="L4223" s="6" t="s">
        <v>62</v>
      </c>
      <c r="M4223" s="6" t="s">
        <v>8270</v>
      </c>
      <c r="N4223" s="6"/>
      <c r="O4223" s="36" t="s">
        <v>7541</v>
      </c>
      <c r="P4223" s="36" t="s">
        <v>7542</v>
      </c>
      <c r="Q4223" s="38"/>
    </row>
    <row r="4224">
      <c r="A4224" s="6" t="s">
        <v>8270</v>
      </c>
      <c r="B4224" s="6" t="s">
        <v>8271</v>
      </c>
      <c r="C4224" s="6">
        <v>173.0</v>
      </c>
      <c r="D4224" s="9" t="str">
        <f t="shared" ref="D4224:D4225" si="522">HYPERLINK("https://www.linkedin.com/ad-library/detail/1296402834","Open Ad")</f>
        <v>Open Ad</v>
      </c>
      <c r="E4224" s="6" t="s">
        <v>91</v>
      </c>
      <c r="F4224" s="6" t="s">
        <v>8022</v>
      </c>
      <c r="G4224" s="6" t="s">
        <v>8312</v>
      </c>
      <c r="H4224" s="6" t="s">
        <v>55</v>
      </c>
      <c r="I4224" s="6" t="s">
        <v>8273</v>
      </c>
      <c r="J4224" s="6" t="s">
        <v>91</v>
      </c>
      <c r="K4224" s="12" t="str">
        <f t="shared" ref="K4224:K4225" si="523">HYPERLINK("https://media.licdn.com/dms/image/v2/D4E10AQG43wfMm1PRag/image-shrink_1280/B4EZ4gx_D8J4Ac-/0/1778666435167/ICP3_AdSetC_Lightjpg?e=2147483647&amp;v=beta&amp;t=ENJsR-mmxAIw0-L7588ziH1tXVY8GJ5daC4rLljvtFU","View Creative")</f>
        <v>View Creative</v>
      </c>
      <c r="L4224" s="6" t="s">
        <v>62</v>
      </c>
      <c r="M4224" s="6" t="s">
        <v>8270</v>
      </c>
      <c r="N4224" s="6" t="s">
        <v>8317</v>
      </c>
      <c r="O4224" s="36" t="s">
        <v>7541</v>
      </c>
      <c r="P4224" s="36" t="s">
        <v>7542</v>
      </c>
      <c r="Q4224" s="38"/>
    </row>
    <row r="4225">
      <c r="A4225" s="6" t="s">
        <v>8270</v>
      </c>
      <c r="B4225" s="6" t="s">
        <v>8271</v>
      </c>
      <c r="C4225" s="6">
        <v>174.0</v>
      </c>
      <c r="D4225" s="9" t="str">
        <f t="shared" si="522"/>
        <v>Open Ad</v>
      </c>
      <c r="E4225" s="6" t="s">
        <v>91</v>
      </c>
      <c r="F4225" s="6" t="s">
        <v>8022</v>
      </c>
      <c r="G4225" s="6" t="s">
        <v>8312</v>
      </c>
      <c r="H4225" s="6" t="s">
        <v>55</v>
      </c>
      <c r="I4225" s="6" t="s">
        <v>8273</v>
      </c>
      <c r="J4225" s="6" t="s">
        <v>91</v>
      </c>
      <c r="K4225" s="12" t="str">
        <f t="shared" si="523"/>
        <v>View Creative</v>
      </c>
      <c r="L4225" s="6" t="s">
        <v>62</v>
      </c>
      <c r="M4225" s="6" t="s">
        <v>8270</v>
      </c>
      <c r="N4225" s="6" t="s">
        <v>8317</v>
      </c>
      <c r="O4225" s="36" t="s">
        <v>7541</v>
      </c>
      <c r="P4225" s="36" t="s">
        <v>7542</v>
      </c>
      <c r="Q4225" s="38"/>
    </row>
    <row r="4226">
      <c r="A4226" s="6" t="s">
        <v>8270</v>
      </c>
      <c r="B4226" s="6" t="s">
        <v>8271</v>
      </c>
      <c r="C4226" s="6">
        <v>175.0</v>
      </c>
      <c r="D4226" s="9" t="str">
        <f t="shared" ref="D4226:D4227" si="524">HYPERLINK("https://www.linkedin.com/ad-library/detail/1296303284","Open Ad")</f>
        <v>Open Ad</v>
      </c>
      <c r="E4226" s="6" t="s">
        <v>91</v>
      </c>
      <c r="F4226" s="6" t="s">
        <v>8022</v>
      </c>
      <c r="G4226" s="6" t="s">
        <v>8313</v>
      </c>
      <c r="H4226" s="6" t="s">
        <v>55</v>
      </c>
      <c r="I4226" s="6" t="s">
        <v>8273</v>
      </c>
      <c r="J4226" s="6" t="s">
        <v>91</v>
      </c>
      <c r="K4226" s="12" t="str">
        <f t="shared" ref="K4226:K4227" si="525">HYPERLINK("https://media.licdn.com/dms/image/v2/D4E10AQExnssFHT2gXw/image-shrink_1280/B4EZ4g0B.cIcAc-/0/1778666971401/ICP2_AdSetB_Lightjpg?e=2147483647&amp;v=beta&amp;t=8MFQWCH_KTuEAs4MpfH4kFaEM5JtgUvpzQUZVlD8pBk","View Creative")</f>
        <v>View Creative</v>
      </c>
      <c r="L4226" s="6" t="s">
        <v>62</v>
      </c>
      <c r="M4226" s="6" t="s">
        <v>8270</v>
      </c>
      <c r="N4226" s="6"/>
      <c r="O4226" s="36" t="s">
        <v>7541</v>
      </c>
      <c r="P4226" s="36" t="s">
        <v>7542</v>
      </c>
      <c r="Q4226" s="38"/>
    </row>
    <row r="4227">
      <c r="A4227" s="6" t="s">
        <v>8270</v>
      </c>
      <c r="B4227" s="6" t="s">
        <v>8271</v>
      </c>
      <c r="C4227" s="6">
        <v>176.0</v>
      </c>
      <c r="D4227" s="9" t="str">
        <f t="shared" si="524"/>
        <v>Open Ad</v>
      </c>
      <c r="E4227" s="6" t="s">
        <v>91</v>
      </c>
      <c r="F4227" s="6" t="s">
        <v>8022</v>
      </c>
      <c r="G4227" s="6" t="s">
        <v>8313</v>
      </c>
      <c r="H4227" s="6" t="s">
        <v>55</v>
      </c>
      <c r="I4227" s="6" t="s">
        <v>8273</v>
      </c>
      <c r="J4227" s="6" t="s">
        <v>91</v>
      </c>
      <c r="K4227" s="12" t="str">
        <f t="shared" si="525"/>
        <v>View Creative</v>
      </c>
      <c r="L4227" s="6" t="s">
        <v>62</v>
      </c>
      <c r="M4227" s="6" t="s">
        <v>8270</v>
      </c>
      <c r="N4227" s="6"/>
      <c r="O4227" s="36" t="s">
        <v>7541</v>
      </c>
      <c r="P4227" s="36" t="s">
        <v>7542</v>
      </c>
      <c r="Q4227" s="38"/>
    </row>
    <row r="4228">
      <c r="A4228" s="6" t="s">
        <v>8270</v>
      </c>
      <c r="B4228" s="6" t="s">
        <v>8271</v>
      </c>
      <c r="C4228" s="6">
        <v>177.0</v>
      </c>
      <c r="D4228" s="9" t="str">
        <f t="shared" ref="D4228:D4229" si="526">HYPERLINK("https://www.linkedin.com/ad-library/detail/1294103004","Open Ad")</f>
        <v>Open Ad</v>
      </c>
      <c r="E4228" s="6" t="s">
        <v>91</v>
      </c>
      <c r="F4228" s="6" t="s">
        <v>8022</v>
      </c>
      <c r="G4228" s="6" t="s">
        <v>8312</v>
      </c>
      <c r="H4228" s="6" t="s">
        <v>55</v>
      </c>
      <c r="I4228" s="6" t="s">
        <v>8273</v>
      </c>
      <c r="J4228" s="6" t="s">
        <v>91</v>
      </c>
      <c r="K4228" s="12" t="str">
        <f t="shared" ref="K4228:K4229" si="527">HYPERLINK("https://media.licdn.com/dms/image/v2/D4E10AQG43wfMm1PRag/image-shrink_1280/B4EZ4gx_D8J4Ac-/0/1778666435167/ICP3_AdSetC_Lightjpg?e=2147483647&amp;v=beta&amp;t=ENJsR-mmxAIw0-L7588ziH1tXVY8GJ5daC4rLljvtFU","View Creative")</f>
        <v>View Creative</v>
      </c>
      <c r="L4228" s="6" t="s">
        <v>62</v>
      </c>
      <c r="M4228" s="6" t="s">
        <v>8270</v>
      </c>
      <c r="N4228" s="6"/>
      <c r="O4228" s="36" t="s">
        <v>7541</v>
      </c>
      <c r="P4228" s="36" t="s">
        <v>7542</v>
      </c>
      <c r="Q4228" s="38"/>
    </row>
    <row r="4229">
      <c r="A4229" s="6" t="s">
        <v>8270</v>
      </c>
      <c r="B4229" s="6" t="s">
        <v>8271</v>
      </c>
      <c r="C4229" s="6">
        <v>178.0</v>
      </c>
      <c r="D4229" s="9" t="str">
        <f t="shared" si="526"/>
        <v>Open Ad</v>
      </c>
      <c r="E4229" s="6" t="s">
        <v>91</v>
      </c>
      <c r="F4229" s="6" t="s">
        <v>8022</v>
      </c>
      <c r="G4229" s="6" t="s">
        <v>8312</v>
      </c>
      <c r="H4229" s="6" t="s">
        <v>55</v>
      </c>
      <c r="I4229" s="6" t="s">
        <v>8273</v>
      </c>
      <c r="J4229" s="6" t="s">
        <v>91</v>
      </c>
      <c r="K4229" s="12" t="str">
        <f t="shared" si="527"/>
        <v>View Creative</v>
      </c>
      <c r="L4229" s="6" t="s">
        <v>62</v>
      </c>
      <c r="M4229" s="6" t="s">
        <v>8270</v>
      </c>
      <c r="N4229" s="6"/>
      <c r="O4229" s="36" t="s">
        <v>7541</v>
      </c>
      <c r="P4229" s="36" t="s">
        <v>7542</v>
      </c>
      <c r="Q4229" s="38"/>
    </row>
    <row r="4230">
      <c r="A4230" s="6" t="s">
        <v>8270</v>
      </c>
      <c r="B4230" s="6" t="s">
        <v>8271</v>
      </c>
      <c r="C4230" s="6">
        <v>179.0</v>
      </c>
      <c r="D4230" s="9" t="str">
        <f t="shared" ref="D4230:D4231" si="528">HYPERLINK("https://www.linkedin.com/ad-library/detail/1294401514","Open Ad")</f>
        <v>Open Ad</v>
      </c>
      <c r="E4230" s="6" t="s">
        <v>91</v>
      </c>
      <c r="F4230" s="6" t="s">
        <v>8022</v>
      </c>
      <c r="G4230" s="6" t="s">
        <v>8313</v>
      </c>
      <c r="H4230" s="6" t="s">
        <v>55</v>
      </c>
      <c r="I4230" s="6" t="s">
        <v>8273</v>
      </c>
      <c r="J4230" s="6" t="s">
        <v>91</v>
      </c>
      <c r="K4230" s="12" t="str">
        <f t="shared" ref="K4230:K4231" si="529">HYPERLINK("https://media.licdn.com/dms/image/v2/D4E10AQExnssFHT2gXw/image-shrink_1280/B4EZ4g0B.cIcAc-/0/1778666971401/ICP2_AdSetB_Lightjpg?e=2147483647&amp;v=beta&amp;t=8MFQWCH_KTuEAs4MpfH4kFaEM5JtgUvpzQUZVlD8pBk","View Creative")</f>
        <v>View Creative</v>
      </c>
      <c r="L4230" s="6" t="s">
        <v>62</v>
      </c>
      <c r="M4230" s="6" t="s">
        <v>8270</v>
      </c>
      <c r="N4230" s="6" t="s">
        <v>8318</v>
      </c>
      <c r="O4230" s="36" t="s">
        <v>7541</v>
      </c>
      <c r="P4230" s="36" t="s">
        <v>7542</v>
      </c>
      <c r="Q4230" s="38"/>
    </row>
    <row r="4231">
      <c r="A4231" s="6" t="s">
        <v>8270</v>
      </c>
      <c r="B4231" s="6" t="s">
        <v>8271</v>
      </c>
      <c r="C4231" s="6">
        <v>180.0</v>
      </c>
      <c r="D4231" s="9" t="str">
        <f t="shared" si="528"/>
        <v>Open Ad</v>
      </c>
      <c r="E4231" s="6" t="s">
        <v>91</v>
      </c>
      <c r="F4231" s="6" t="s">
        <v>8022</v>
      </c>
      <c r="G4231" s="6" t="s">
        <v>8313</v>
      </c>
      <c r="H4231" s="6" t="s">
        <v>55</v>
      </c>
      <c r="I4231" s="6" t="s">
        <v>8273</v>
      </c>
      <c r="J4231" s="6" t="s">
        <v>91</v>
      </c>
      <c r="K4231" s="12" t="str">
        <f t="shared" si="529"/>
        <v>View Creative</v>
      </c>
      <c r="L4231" s="6" t="s">
        <v>62</v>
      </c>
      <c r="M4231" s="6" t="s">
        <v>8270</v>
      </c>
      <c r="N4231" s="6" t="s">
        <v>8318</v>
      </c>
      <c r="O4231" s="36" t="s">
        <v>7541</v>
      </c>
      <c r="P4231" s="36" t="s">
        <v>7542</v>
      </c>
      <c r="Q4231" s="38"/>
    </row>
    <row r="4232">
      <c r="A4232" s="6" t="s">
        <v>8270</v>
      </c>
      <c r="B4232" s="6" t="s">
        <v>8271</v>
      </c>
      <c r="C4232" s="6">
        <v>181.0</v>
      </c>
      <c r="D4232" s="9" t="str">
        <f t="shared" ref="D4232:D4233" si="530">HYPERLINK("https://www.linkedin.com/ad-library/detail/1294502014","Open Ad")</f>
        <v>Open Ad</v>
      </c>
      <c r="E4232" s="6" t="s">
        <v>91</v>
      </c>
      <c r="F4232" s="6" t="s">
        <v>8022</v>
      </c>
      <c r="G4232" s="6" t="s">
        <v>8308</v>
      </c>
      <c r="H4232" s="6" t="s">
        <v>55</v>
      </c>
      <c r="I4232" s="6" t="s">
        <v>8273</v>
      </c>
      <c r="J4232" s="6" t="s">
        <v>91</v>
      </c>
      <c r="K4232" s="12" t="str">
        <f t="shared" ref="K4232:K4233" si="531">HYPERLINK("https://media.licdn.com/dms/image/v2/D4E10AQFaB0_BgVCVgg/image-shrink_1280/B4EZ4jRoiLGYAc-/0/1778708285885/ICP1_AdSetB_Lightjpg?e=2147483647&amp;v=beta&amp;t=zwdjCOeHo1DaveDtjS6srhNEN-1p8X9khzHo4lm_e4s","View Creative")</f>
        <v>View Creative</v>
      </c>
      <c r="L4232" s="6" t="s">
        <v>62</v>
      </c>
      <c r="M4232" s="6" t="s">
        <v>8270</v>
      </c>
      <c r="N4232" s="6" t="s">
        <v>8319</v>
      </c>
      <c r="O4232" s="36" t="s">
        <v>7541</v>
      </c>
      <c r="P4232" s="36" t="s">
        <v>7542</v>
      </c>
      <c r="Q4232" s="38"/>
    </row>
    <row r="4233">
      <c r="A4233" s="6" t="s">
        <v>8270</v>
      </c>
      <c r="B4233" s="6" t="s">
        <v>8271</v>
      </c>
      <c r="C4233" s="6">
        <v>182.0</v>
      </c>
      <c r="D4233" s="9" t="str">
        <f t="shared" si="530"/>
        <v>Open Ad</v>
      </c>
      <c r="E4233" s="6" t="s">
        <v>91</v>
      </c>
      <c r="F4233" s="6" t="s">
        <v>8022</v>
      </c>
      <c r="G4233" s="6" t="s">
        <v>8308</v>
      </c>
      <c r="H4233" s="6" t="s">
        <v>55</v>
      </c>
      <c r="I4233" s="6" t="s">
        <v>8273</v>
      </c>
      <c r="J4233" s="6" t="s">
        <v>91</v>
      </c>
      <c r="K4233" s="12" t="str">
        <f t="shared" si="531"/>
        <v>View Creative</v>
      </c>
      <c r="L4233" s="6" t="s">
        <v>62</v>
      </c>
      <c r="M4233" s="6" t="s">
        <v>8270</v>
      </c>
      <c r="N4233" s="6" t="s">
        <v>8319</v>
      </c>
      <c r="O4233" s="36" t="s">
        <v>7541</v>
      </c>
      <c r="P4233" s="36" t="s">
        <v>7542</v>
      </c>
      <c r="Q4233" s="38"/>
    </row>
    <row r="4234">
      <c r="A4234" s="6" t="s">
        <v>8270</v>
      </c>
      <c r="B4234" s="6" t="s">
        <v>8271</v>
      </c>
      <c r="C4234" s="6">
        <v>183.0</v>
      </c>
      <c r="D4234" s="9" t="str">
        <f t="shared" ref="D4234:D4235" si="532">HYPERLINK("https://www.linkedin.com/ad-library/detail/1296101684","Open Ad")</f>
        <v>Open Ad</v>
      </c>
      <c r="E4234" s="6" t="s">
        <v>91</v>
      </c>
      <c r="F4234" s="6" t="s">
        <v>8022</v>
      </c>
      <c r="G4234" s="6" t="s">
        <v>8310</v>
      </c>
      <c r="H4234" s="6" t="s">
        <v>55</v>
      </c>
      <c r="I4234" s="6" t="s">
        <v>8273</v>
      </c>
      <c r="J4234" s="6" t="s">
        <v>91</v>
      </c>
      <c r="K4234" s="12" t="str">
        <f t="shared" ref="K4234:K4235" si="533">HYPERLINK("https://media.licdn.com/dms/image/v2/D4E10AQHKYlK6J-77jg/image-shrink_1280/B4EZ4g1dr1HcAc-/0/1778667347056/ICP1_AdSetB_Lightjpg?e=2147483647&amp;v=beta&amp;t=NEyKJ8uwbqc1QBE7fYM8RB9xj9_-xmlis5h05iaibNw","View Creative")</f>
        <v>View Creative</v>
      </c>
      <c r="L4234" s="6" t="s">
        <v>62</v>
      </c>
      <c r="M4234" s="6" t="s">
        <v>8270</v>
      </c>
      <c r="N4234" s="6" t="s">
        <v>8317</v>
      </c>
      <c r="O4234" s="36" t="s">
        <v>7541</v>
      </c>
      <c r="P4234" s="36" t="s">
        <v>7542</v>
      </c>
      <c r="Q4234" s="38"/>
    </row>
    <row r="4235">
      <c r="A4235" s="6" t="s">
        <v>8270</v>
      </c>
      <c r="B4235" s="6" t="s">
        <v>8271</v>
      </c>
      <c r="C4235" s="6">
        <v>184.0</v>
      </c>
      <c r="D4235" s="9" t="str">
        <f t="shared" si="532"/>
        <v>Open Ad</v>
      </c>
      <c r="E4235" s="6" t="s">
        <v>91</v>
      </c>
      <c r="F4235" s="6" t="s">
        <v>8022</v>
      </c>
      <c r="G4235" s="6" t="s">
        <v>8310</v>
      </c>
      <c r="H4235" s="6" t="s">
        <v>55</v>
      </c>
      <c r="I4235" s="6" t="s">
        <v>8273</v>
      </c>
      <c r="J4235" s="6" t="s">
        <v>91</v>
      </c>
      <c r="K4235" s="12" t="str">
        <f t="shared" si="533"/>
        <v>View Creative</v>
      </c>
      <c r="L4235" s="6" t="s">
        <v>62</v>
      </c>
      <c r="M4235" s="6" t="s">
        <v>8270</v>
      </c>
      <c r="N4235" s="6" t="s">
        <v>8317</v>
      </c>
      <c r="O4235" s="36" t="s">
        <v>7541</v>
      </c>
      <c r="P4235" s="36" t="s">
        <v>7542</v>
      </c>
      <c r="Q4235" s="38"/>
    </row>
    <row r="4236">
      <c r="A4236" s="6" t="s">
        <v>8270</v>
      </c>
      <c r="B4236" s="6" t="s">
        <v>8271</v>
      </c>
      <c r="C4236" s="6">
        <v>185.0</v>
      </c>
      <c r="D4236" s="9" t="str">
        <f t="shared" ref="D4236:D4237" si="534">HYPERLINK("https://www.linkedin.com/ad-library/detail/1294302944","Open Ad")</f>
        <v>Open Ad</v>
      </c>
      <c r="E4236" s="6" t="s">
        <v>91</v>
      </c>
      <c r="F4236" s="6" t="s">
        <v>8022</v>
      </c>
      <c r="G4236" s="6" t="s">
        <v>8316</v>
      </c>
      <c r="H4236" s="6" t="s">
        <v>55</v>
      </c>
      <c r="I4236" s="6" t="s">
        <v>8273</v>
      </c>
      <c r="J4236" s="6" t="s">
        <v>91</v>
      </c>
      <c r="K4236" s="12" t="str">
        <f t="shared" ref="K4236:K4237" si="535">HYPERLINK("https://media.licdn.com/dms/image/v2/D4E10AQEfdfeLHtAn4w/image-shrink_1280/B4EZ4jQsSeJ4Ac-/0/1778708039127/ICP2_AdSetA_Lightjpg?e=2147483647&amp;v=beta&amp;t=hFalY3yWK8E5_kiUoAj0uN0WZ3d_xQbVnUSvAyp1gsQ","View Creative")</f>
        <v>View Creative</v>
      </c>
      <c r="L4236" s="6" t="s">
        <v>62</v>
      </c>
      <c r="M4236" s="6" t="s">
        <v>8270</v>
      </c>
      <c r="N4236" s="6" t="s">
        <v>8318</v>
      </c>
      <c r="O4236" s="36" t="s">
        <v>7541</v>
      </c>
      <c r="P4236" s="36" t="s">
        <v>7542</v>
      </c>
      <c r="Q4236" s="38"/>
    </row>
    <row r="4237">
      <c r="A4237" s="6" t="s">
        <v>8270</v>
      </c>
      <c r="B4237" s="6" t="s">
        <v>8271</v>
      </c>
      <c r="C4237" s="6">
        <v>186.0</v>
      </c>
      <c r="D4237" s="9" t="str">
        <f t="shared" si="534"/>
        <v>Open Ad</v>
      </c>
      <c r="E4237" s="6" t="s">
        <v>91</v>
      </c>
      <c r="F4237" s="6" t="s">
        <v>8022</v>
      </c>
      <c r="G4237" s="6" t="s">
        <v>8316</v>
      </c>
      <c r="H4237" s="6" t="s">
        <v>55</v>
      </c>
      <c r="I4237" s="6" t="s">
        <v>8273</v>
      </c>
      <c r="J4237" s="6" t="s">
        <v>91</v>
      </c>
      <c r="K4237" s="12" t="str">
        <f t="shared" si="535"/>
        <v>View Creative</v>
      </c>
      <c r="L4237" s="6" t="s">
        <v>62</v>
      </c>
      <c r="M4237" s="6" t="s">
        <v>8270</v>
      </c>
      <c r="N4237" s="6" t="s">
        <v>8318</v>
      </c>
      <c r="O4237" s="36" t="s">
        <v>7541</v>
      </c>
      <c r="P4237" s="36" t="s">
        <v>7542</v>
      </c>
      <c r="Q4237" s="38"/>
    </row>
    <row r="4238">
      <c r="A4238" s="6" t="s">
        <v>8270</v>
      </c>
      <c r="B4238" s="6" t="s">
        <v>8271</v>
      </c>
      <c r="C4238" s="6">
        <v>187.0</v>
      </c>
      <c r="D4238" s="9" t="str">
        <f t="shared" ref="D4238:D4239" si="536">HYPERLINK("https://www.linkedin.com/ad-library/detail/1296591554","Open Ad")</f>
        <v>Open Ad</v>
      </c>
      <c r="E4238" s="6" t="s">
        <v>91</v>
      </c>
      <c r="F4238" s="6" t="s">
        <v>8022</v>
      </c>
      <c r="G4238" s="6" t="s">
        <v>8308</v>
      </c>
      <c r="H4238" s="6" t="s">
        <v>55</v>
      </c>
      <c r="I4238" s="6" t="s">
        <v>8273</v>
      </c>
      <c r="J4238" s="6" t="s">
        <v>91</v>
      </c>
      <c r="K4238" s="12" t="str">
        <f t="shared" ref="K4238:K4239" si="537">HYPERLINK("https://media.licdn.com/dms/image/v2/D4E10AQFaB0_BgVCVgg/image-shrink_1280/B4EZ4jRoiLGYAc-/0/1778708285885/ICP1_AdSetB_Lightjpg?e=2147483647&amp;v=beta&amp;t=zwdjCOeHo1DaveDtjS6srhNEN-1p8X9khzHo4lm_e4s","View Creative")</f>
        <v>View Creative</v>
      </c>
      <c r="L4238" s="6" t="s">
        <v>62</v>
      </c>
      <c r="M4238" s="6" t="s">
        <v>8270</v>
      </c>
      <c r="N4238" s="6"/>
      <c r="O4238" s="36" t="s">
        <v>7541</v>
      </c>
      <c r="P4238" s="36" t="s">
        <v>7542</v>
      </c>
      <c r="Q4238" s="38"/>
    </row>
    <row r="4239">
      <c r="A4239" s="6" t="s">
        <v>8270</v>
      </c>
      <c r="B4239" s="6" t="s">
        <v>8271</v>
      </c>
      <c r="C4239" s="6">
        <v>188.0</v>
      </c>
      <c r="D4239" s="9" t="str">
        <f t="shared" si="536"/>
        <v>Open Ad</v>
      </c>
      <c r="E4239" s="6" t="s">
        <v>91</v>
      </c>
      <c r="F4239" s="6" t="s">
        <v>8022</v>
      </c>
      <c r="G4239" s="6" t="s">
        <v>8308</v>
      </c>
      <c r="H4239" s="6" t="s">
        <v>55</v>
      </c>
      <c r="I4239" s="6" t="s">
        <v>8273</v>
      </c>
      <c r="J4239" s="6" t="s">
        <v>91</v>
      </c>
      <c r="K4239" s="12" t="str">
        <f t="shared" si="537"/>
        <v>View Creative</v>
      </c>
      <c r="L4239" s="6" t="s">
        <v>62</v>
      </c>
      <c r="M4239" s="6" t="s">
        <v>8270</v>
      </c>
      <c r="N4239" s="6"/>
      <c r="O4239" s="36" t="s">
        <v>7541</v>
      </c>
      <c r="P4239" s="36" t="s">
        <v>7542</v>
      </c>
      <c r="Q4239" s="38"/>
    </row>
    <row r="4240">
      <c r="A4240" s="6" t="s">
        <v>8270</v>
      </c>
      <c r="B4240" s="6" t="s">
        <v>8271</v>
      </c>
      <c r="C4240" s="6">
        <v>189.0</v>
      </c>
      <c r="D4240" s="9" t="str">
        <f t="shared" ref="D4240:D4241" si="538">HYPERLINK("https://www.linkedin.com/ad-library/detail/1295603334","Open Ad")</f>
        <v>Open Ad</v>
      </c>
      <c r="E4240" s="6" t="s">
        <v>91</v>
      </c>
      <c r="F4240" s="6" t="s">
        <v>8022</v>
      </c>
      <c r="G4240" s="6" t="s">
        <v>8312</v>
      </c>
      <c r="H4240" s="6" t="s">
        <v>55</v>
      </c>
      <c r="I4240" s="6" t="s">
        <v>8273</v>
      </c>
      <c r="J4240" s="6" t="s">
        <v>91</v>
      </c>
      <c r="K4240" s="12" t="str">
        <f t="shared" ref="K4240:K4245" si="539">HYPERLINK("https://media.licdn.com/dms/image/v2/D4E10AQG43wfMm1PRag/image-shrink_1280/B4EZ4gx_D8J4Ac-/0/1778666435167/ICP3_AdSetC_Lightjpg?e=2147483647&amp;v=beta&amp;t=ENJsR-mmxAIw0-L7588ziH1tXVY8GJ5daC4rLljvtFU","View Creative")</f>
        <v>View Creative</v>
      </c>
      <c r="L4240" s="6" t="s">
        <v>62</v>
      </c>
      <c r="M4240" s="6" t="s">
        <v>8270</v>
      </c>
      <c r="N4240" s="6" t="s">
        <v>8314</v>
      </c>
      <c r="O4240" s="36" t="s">
        <v>7541</v>
      </c>
      <c r="P4240" s="36" t="s">
        <v>7542</v>
      </c>
      <c r="Q4240" s="38"/>
    </row>
    <row r="4241">
      <c r="A4241" s="6" t="s">
        <v>8270</v>
      </c>
      <c r="B4241" s="6" t="s">
        <v>8271</v>
      </c>
      <c r="C4241" s="6">
        <v>190.0</v>
      </c>
      <c r="D4241" s="9" t="str">
        <f t="shared" si="538"/>
        <v>Open Ad</v>
      </c>
      <c r="E4241" s="6" t="s">
        <v>91</v>
      </c>
      <c r="F4241" s="6" t="s">
        <v>8022</v>
      </c>
      <c r="G4241" s="6" t="s">
        <v>8312</v>
      </c>
      <c r="H4241" s="6" t="s">
        <v>55</v>
      </c>
      <c r="I4241" s="6" t="s">
        <v>8273</v>
      </c>
      <c r="J4241" s="6" t="s">
        <v>91</v>
      </c>
      <c r="K4241" s="12" t="str">
        <f t="shared" si="539"/>
        <v>View Creative</v>
      </c>
      <c r="L4241" s="6" t="s">
        <v>62</v>
      </c>
      <c r="M4241" s="6" t="s">
        <v>8270</v>
      </c>
      <c r="N4241" s="6" t="s">
        <v>8314</v>
      </c>
      <c r="O4241" s="36" t="s">
        <v>7541</v>
      </c>
      <c r="P4241" s="36" t="s">
        <v>7542</v>
      </c>
      <c r="Q4241" s="38"/>
    </row>
    <row r="4242">
      <c r="A4242" s="6" t="s">
        <v>8270</v>
      </c>
      <c r="B4242" s="6" t="s">
        <v>8271</v>
      </c>
      <c r="C4242" s="6">
        <v>191.0</v>
      </c>
      <c r="D4242" s="9" t="str">
        <f t="shared" ref="D4242:D4243" si="540">HYPERLINK("https://www.linkedin.com/ad-library/detail/1295793104","Open Ad")</f>
        <v>Open Ad</v>
      </c>
      <c r="E4242" s="6" t="s">
        <v>91</v>
      </c>
      <c r="F4242" s="6" t="s">
        <v>8022</v>
      </c>
      <c r="G4242" s="6" t="s">
        <v>8312</v>
      </c>
      <c r="H4242" s="6" t="s">
        <v>55</v>
      </c>
      <c r="I4242" s="6" t="s">
        <v>8273</v>
      </c>
      <c r="J4242" s="6" t="s">
        <v>91</v>
      </c>
      <c r="K4242" s="12" t="str">
        <f t="shared" si="539"/>
        <v>View Creative</v>
      </c>
      <c r="L4242" s="6" t="s">
        <v>62</v>
      </c>
      <c r="M4242" s="6" t="s">
        <v>8270</v>
      </c>
      <c r="N4242" s="6" t="s">
        <v>8311</v>
      </c>
      <c r="O4242" s="36" t="s">
        <v>7541</v>
      </c>
      <c r="P4242" s="36" t="s">
        <v>7542</v>
      </c>
      <c r="Q4242" s="38"/>
    </row>
    <row r="4243">
      <c r="A4243" s="6" t="s">
        <v>8270</v>
      </c>
      <c r="B4243" s="6" t="s">
        <v>8271</v>
      </c>
      <c r="C4243" s="6">
        <v>192.0</v>
      </c>
      <c r="D4243" s="9" t="str">
        <f t="shared" si="540"/>
        <v>Open Ad</v>
      </c>
      <c r="E4243" s="6" t="s">
        <v>91</v>
      </c>
      <c r="F4243" s="6" t="s">
        <v>8022</v>
      </c>
      <c r="G4243" s="6" t="s">
        <v>8312</v>
      </c>
      <c r="H4243" s="6" t="s">
        <v>55</v>
      </c>
      <c r="I4243" s="6" t="s">
        <v>8273</v>
      </c>
      <c r="J4243" s="6" t="s">
        <v>91</v>
      </c>
      <c r="K4243" s="12" t="str">
        <f t="shared" si="539"/>
        <v>View Creative</v>
      </c>
      <c r="L4243" s="6" t="s">
        <v>62</v>
      </c>
      <c r="M4243" s="6" t="s">
        <v>8270</v>
      </c>
      <c r="N4243" s="6" t="s">
        <v>8311</v>
      </c>
      <c r="O4243" s="36" t="s">
        <v>7541</v>
      </c>
      <c r="P4243" s="36" t="s">
        <v>7542</v>
      </c>
      <c r="Q4243" s="38"/>
    </row>
    <row r="4244">
      <c r="A4244" s="6" t="s">
        <v>8270</v>
      </c>
      <c r="B4244" s="6" t="s">
        <v>8271</v>
      </c>
      <c r="C4244" s="6">
        <v>193.0</v>
      </c>
      <c r="D4244" s="9" t="str">
        <f t="shared" ref="D4244:D4245" si="541">HYPERLINK("https://www.linkedin.com/ad-library/detail/1296292894","Open Ad")</f>
        <v>Open Ad</v>
      </c>
      <c r="E4244" s="6" t="s">
        <v>91</v>
      </c>
      <c r="F4244" s="6" t="s">
        <v>8022</v>
      </c>
      <c r="G4244" s="6" t="s">
        <v>8312</v>
      </c>
      <c r="H4244" s="6" t="s">
        <v>55</v>
      </c>
      <c r="I4244" s="6" t="s">
        <v>8273</v>
      </c>
      <c r="J4244" s="6" t="s">
        <v>91</v>
      </c>
      <c r="K4244" s="12" t="str">
        <f t="shared" si="539"/>
        <v>View Creative</v>
      </c>
      <c r="L4244" s="6" t="s">
        <v>62</v>
      </c>
      <c r="M4244" s="6" t="s">
        <v>8270</v>
      </c>
      <c r="N4244" s="6" t="s">
        <v>8311</v>
      </c>
      <c r="O4244" s="36" t="s">
        <v>7541</v>
      </c>
      <c r="P4244" s="36" t="s">
        <v>7542</v>
      </c>
      <c r="Q4244" s="38"/>
    </row>
    <row r="4245">
      <c r="A4245" s="6" t="s">
        <v>8270</v>
      </c>
      <c r="B4245" s="6" t="s">
        <v>8271</v>
      </c>
      <c r="C4245" s="6">
        <v>194.0</v>
      </c>
      <c r="D4245" s="9" t="str">
        <f t="shared" si="541"/>
        <v>Open Ad</v>
      </c>
      <c r="E4245" s="6" t="s">
        <v>91</v>
      </c>
      <c r="F4245" s="6" t="s">
        <v>8022</v>
      </c>
      <c r="G4245" s="6" t="s">
        <v>8312</v>
      </c>
      <c r="H4245" s="6" t="s">
        <v>55</v>
      </c>
      <c r="I4245" s="6" t="s">
        <v>8273</v>
      </c>
      <c r="J4245" s="6" t="s">
        <v>91</v>
      </c>
      <c r="K4245" s="12" t="str">
        <f t="shared" si="539"/>
        <v>View Creative</v>
      </c>
      <c r="L4245" s="6" t="s">
        <v>62</v>
      </c>
      <c r="M4245" s="6" t="s">
        <v>8270</v>
      </c>
      <c r="N4245" s="6" t="s">
        <v>8311</v>
      </c>
      <c r="O4245" s="36" t="s">
        <v>7541</v>
      </c>
      <c r="P4245" s="36" t="s">
        <v>7542</v>
      </c>
      <c r="Q4245" s="38"/>
    </row>
    <row r="4246">
      <c r="A4246" s="6" t="s">
        <v>8270</v>
      </c>
      <c r="B4246" s="6" t="s">
        <v>8271</v>
      </c>
      <c r="C4246" s="6">
        <v>195.0</v>
      </c>
      <c r="D4246" s="9" t="str">
        <f t="shared" ref="D4246:D4247" si="542">HYPERLINK("https://www.linkedin.com/ad-library/detail/1279898374","Open Ad")</f>
        <v>Open Ad</v>
      </c>
      <c r="E4246" s="6" t="s">
        <v>91</v>
      </c>
      <c r="F4246" s="6" t="s">
        <v>8022</v>
      </c>
      <c r="G4246" s="6" t="s">
        <v>8320</v>
      </c>
      <c r="H4246" s="6" t="s">
        <v>55</v>
      </c>
      <c r="I4246" s="6" t="s">
        <v>8273</v>
      </c>
      <c r="J4246" s="6" t="s">
        <v>91</v>
      </c>
      <c r="K4246" s="12" t="str">
        <f t="shared" ref="K4246:K4247" si="543">HYPERLINK("https://media.licdn.com/dms/image/v2/D4E10AQHT1ADMSdDOXw/image-shrink_1280/B4EZ2xDMpMHMAc-/0/1776791898999/ICP1_AdSet2_Lightjpg?e=2147483647&amp;v=beta&amp;t=2ApWrFxyU3-yDayf_--T9kTsWZUYnuHu9TY_RgnAKl0","View Creative")</f>
        <v>View Creative</v>
      </c>
      <c r="L4246" s="6" t="s">
        <v>62</v>
      </c>
      <c r="M4246" s="6" t="s">
        <v>8270</v>
      </c>
      <c r="N4246" s="6" t="s">
        <v>8321</v>
      </c>
      <c r="O4246" s="36" t="s">
        <v>7541</v>
      </c>
      <c r="P4246" s="36" t="s">
        <v>7542</v>
      </c>
      <c r="Q4246" s="38"/>
    </row>
    <row r="4247">
      <c r="A4247" s="6" t="s">
        <v>8270</v>
      </c>
      <c r="B4247" s="6" t="s">
        <v>8271</v>
      </c>
      <c r="C4247" s="6">
        <v>196.0</v>
      </c>
      <c r="D4247" s="9" t="str">
        <f t="shared" si="542"/>
        <v>Open Ad</v>
      </c>
      <c r="E4247" s="6" t="s">
        <v>91</v>
      </c>
      <c r="F4247" s="6" t="s">
        <v>8022</v>
      </c>
      <c r="G4247" s="6" t="s">
        <v>8320</v>
      </c>
      <c r="H4247" s="6" t="s">
        <v>55</v>
      </c>
      <c r="I4247" s="6" t="s">
        <v>8273</v>
      </c>
      <c r="J4247" s="6" t="s">
        <v>91</v>
      </c>
      <c r="K4247" s="12" t="str">
        <f t="shared" si="543"/>
        <v>View Creative</v>
      </c>
      <c r="L4247" s="6" t="s">
        <v>62</v>
      </c>
      <c r="M4247" s="6" t="s">
        <v>8270</v>
      </c>
      <c r="N4247" s="6" t="s">
        <v>8321</v>
      </c>
      <c r="O4247" s="36" t="s">
        <v>7541</v>
      </c>
      <c r="P4247" s="36" t="s">
        <v>7542</v>
      </c>
      <c r="Q4247" s="38"/>
    </row>
    <row r="4248">
      <c r="A4248" s="6" t="s">
        <v>8270</v>
      </c>
      <c r="B4248" s="6" t="s">
        <v>8271</v>
      </c>
      <c r="C4248" s="6">
        <v>197.0</v>
      </c>
      <c r="D4248" s="9" t="str">
        <f t="shared" ref="D4248:D4249" si="544">HYPERLINK("https://www.linkedin.com/ad-library/detail/1278797544","Open Ad")</f>
        <v>Open Ad</v>
      </c>
      <c r="E4248" s="6" t="s">
        <v>91</v>
      </c>
      <c r="F4248" s="6" t="s">
        <v>8022</v>
      </c>
      <c r="G4248" s="6" t="s">
        <v>8322</v>
      </c>
      <c r="H4248" s="6" t="s">
        <v>55</v>
      </c>
      <c r="I4248" s="6" t="s">
        <v>8273</v>
      </c>
      <c r="J4248" s="6" t="s">
        <v>91</v>
      </c>
      <c r="K4248" s="12" t="str">
        <f t="shared" ref="K4248:K4251" si="545">HYPERLINK("https://media.licdn.com/dms/image/v2/D4E10AQG6x1g52dhTJA/image-shrink_1280/B4EZ2xE_XiJUAc-/0/1776792368870/ICP2_AdSet2_Lightpng?e=2147483647&amp;v=beta&amp;t=3YbaEu_ZMHeAT9-WVFaoocAVMqxxIvQAD1IXrpjtm9g","View Creative")</f>
        <v>View Creative</v>
      </c>
      <c r="L4248" s="6" t="s">
        <v>62</v>
      </c>
      <c r="M4248" s="6" t="s">
        <v>8270</v>
      </c>
      <c r="N4248" s="6" t="s">
        <v>8323</v>
      </c>
      <c r="O4248" s="36" t="s">
        <v>7541</v>
      </c>
      <c r="P4248" s="36" t="s">
        <v>7542</v>
      </c>
      <c r="Q4248" s="38"/>
    </row>
    <row r="4249">
      <c r="A4249" s="6" t="s">
        <v>8270</v>
      </c>
      <c r="B4249" s="6" t="s">
        <v>8271</v>
      </c>
      <c r="C4249" s="6">
        <v>198.0</v>
      </c>
      <c r="D4249" s="9" t="str">
        <f t="shared" si="544"/>
        <v>Open Ad</v>
      </c>
      <c r="E4249" s="6" t="s">
        <v>91</v>
      </c>
      <c r="F4249" s="6" t="s">
        <v>8022</v>
      </c>
      <c r="G4249" s="6" t="s">
        <v>8322</v>
      </c>
      <c r="H4249" s="6" t="s">
        <v>55</v>
      </c>
      <c r="I4249" s="6" t="s">
        <v>8273</v>
      </c>
      <c r="J4249" s="6" t="s">
        <v>91</v>
      </c>
      <c r="K4249" s="12" t="str">
        <f t="shared" si="545"/>
        <v>View Creative</v>
      </c>
      <c r="L4249" s="6" t="s">
        <v>62</v>
      </c>
      <c r="M4249" s="6" t="s">
        <v>8270</v>
      </c>
      <c r="N4249" s="6" t="s">
        <v>8323</v>
      </c>
      <c r="O4249" s="36" t="s">
        <v>7541</v>
      </c>
      <c r="P4249" s="36" t="s">
        <v>7542</v>
      </c>
      <c r="Q4249" s="38"/>
    </row>
    <row r="4250">
      <c r="A4250" s="6" t="s">
        <v>8270</v>
      </c>
      <c r="B4250" s="6" t="s">
        <v>8271</v>
      </c>
      <c r="C4250" s="6">
        <v>199.0</v>
      </c>
      <c r="D4250" s="9" t="str">
        <f t="shared" ref="D4250:D4251" si="546">HYPERLINK("https://www.linkedin.com/ad-library/detail/1279497704","Open Ad")</f>
        <v>Open Ad</v>
      </c>
      <c r="E4250" s="6" t="s">
        <v>91</v>
      </c>
      <c r="F4250" s="6" t="s">
        <v>8022</v>
      </c>
      <c r="G4250" s="6" t="s">
        <v>8322</v>
      </c>
      <c r="H4250" s="6" t="s">
        <v>55</v>
      </c>
      <c r="I4250" s="6" t="s">
        <v>8273</v>
      </c>
      <c r="J4250" s="6" t="s">
        <v>91</v>
      </c>
      <c r="K4250" s="12" t="str">
        <f t="shared" si="545"/>
        <v>View Creative</v>
      </c>
      <c r="L4250" s="6" t="s">
        <v>62</v>
      </c>
      <c r="M4250" s="6" t="s">
        <v>8270</v>
      </c>
      <c r="N4250" s="6" t="s">
        <v>8324</v>
      </c>
      <c r="O4250" s="36" t="s">
        <v>7541</v>
      </c>
      <c r="P4250" s="36" t="s">
        <v>7542</v>
      </c>
      <c r="Q4250" s="38"/>
    </row>
    <row r="4251">
      <c r="A4251" s="6" t="s">
        <v>8270</v>
      </c>
      <c r="B4251" s="6" t="s">
        <v>8271</v>
      </c>
      <c r="C4251" s="6">
        <v>200.0</v>
      </c>
      <c r="D4251" s="9" t="str">
        <f t="shared" si="546"/>
        <v>Open Ad</v>
      </c>
      <c r="E4251" s="6" t="s">
        <v>91</v>
      </c>
      <c r="F4251" s="6" t="s">
        <v>8022</v>
      </c>
      <c r="G4251" s="6" t="s">
        <v>8322</v>
      </c>
      <c r="H4251" s="6" t="s">
        <v>55</v>
      </c>
      <c r="I4251" s="6" t="s">
        <v>8273</v>
      </c>
      <c r="J4251" s="6" t="s">
        <v>91</v>
      </c>
      <c r="K4251" s="12" t="str">
        <f t="shared" si="545"/>
        <v>View Creative</v>
      </c>
      <c r="L4251" s="6" t="s">
        <v>62</v>
      </c>
      <c r="M4251" s="6" t="s">
        <v>8270</v>
      </c>
      <c r="N4251" s="6" t="s">
        <v>8324</v>
      </c>
      <c r="O4251" s="36" t="s">
        <v>7541</v>
      </c>
      <c r="P4251" s="36" t="s">
        <v>7542</v>
      </c>
      <c r="Q4251" s="38"/>
    </row>
    <row r="4252">
      <c r="A4252" s="6" t="s">
        <v>8270</v>
      </c>
      <c r="B4252" s="6" t="s">
        <v>8271</v>
      </c>
      <c r="C4252" s="6">
        <v>201.0</v>
      </c>
      <c r="D4252" s="9" t="str">
        <f t="shared" ref="D4252:D4253" si="547">HYPERLINK("https://www.linkedin.com/ad-library/detail/1280097694","Open Ad")</f>
        <v>Open Ad</v>
      </c>
      <c r="E4252" s="6" t="s">
        <v>91</v>
      </c>
      <c r="F4252" s="6" t="s">
        <v>8022</v>
      </c>
      <c r="G4252" s="6" t="s">
        <v>8325</v>
      </c>
      <c r="H4252" s="6" t="s">
        <v>55</v>
      </c>
      <c r="I4252" s="6" t="s">
        <v>8273</v>
      </c>
      <c r="J4252" s="6" t="s">
        <v>91</v>
      </c>
      <c r="K4252" s="12" t="str">
        <f t="shared" ref="K4252:K4253" si="548">HYPERLINK("https://media.licdn.com/dms/image/v2/D4E10AQGvns9xKRHoLg/image-shrink_1280/B4EZ2xHRYxJcAc-/0/1776792967092/ICP3_AdSet2_Darkpng?e=2147483647&amp;v=beta&amp;t=BTkLhjR9pUeIhWPAfBtxEd8hWLk4S79f59nRj2r0dTc","View Creative")</f>
        <v>View Creative</v>
      </c>
      <c r="L4252" s="6" t="s">
        <v>62</v>
      </c>
      <c r="M4252" s="6" t="s">
        <v>8270</v>
      </c>
      <c r="N4252" s="6" t="s">
        <v>8324</v>
      </c>
      <c r="O4252" s="36" t="s">
        <v>7541</v>
      </c>
      <c r="P4252" s="36" t="s">
        <v>7542</v>
      </c>
      <c r="Q4252" s="38"/>
    </row>
    <row r="4253">
      <c r="A4253" s="6" t="s">
        <v>8270</v>
      </c>
      <c r="B4253" s="6" t="s">
        <v>8271</v>
      </c>
      <c r="C4253" s="6">
        <v>202.0</v>
      </c>
      <c r="D4253" s="9" t="str">
        <f t="shared" si="547"/>
        <v>Open Ad</v>
      </c>
      <c r="E4253" s="6" t="s">
        <v>91</v>
      </c>
      <c r="F4253" s="6" t="s">
        <v>8022</v>
      </c>
      <c r="G4253" s="6" t="s">
        <v>8325</v>
      </c>
      <c r="H4253" s="6" t="s">
        <v>55</v>
      </c>
      <c r="I4253" s="6" t="s">
        <v>8273</v>
      </c>
      <c r="J4253" s="6" t="s">
        <v>91</v>
      </c>
      <c r="K4253" s="12" t="str">
        <f t="shared" si="548"/>
        <v>View Creative</v>
      </c>
      <c r="L4253" s="6" t="s">
        <v>62</v>
      </c>
      <c r="M4253" s="6" t="s">
        <v>8270</v>
      </c>
      <c r="N4253" s="6" t="s">
        <v>8324</v>
      </c>
      <c r="O4253" s="36" t="s">
        <v>7541</v>
      </c>
      <c r="P4253" s="36" t="s">
        <v>7542</v>
      </c>
      <c r="Q4253" s="38"/>
    </row>
    <row r="4254">
      <c r="A4254" s="6" t="s">
        <v>8270</v>
      </c>
      <c r="B4254" s="6" t="s">
        <v>8271</v>
      </c>
      <c r="C4254" s="6">
        <v>203.0</v>
      </c>
      <c r="D4254" s="9" t="str">
        <f t="shared" ref="D4254:D4255" si="549">HYPERLINK("https://www.linkedin.com/ad-library/detail/1278797604","Open Ad")</f>
        <v>Open Ad</v>
      </c>
      <c r="E4254" s="6" t="s">
        <v>91</v>
      </c>
      <c r="F4254" s="6" t="s">
        <v>8022</v>
      </c>
      <c r="G4254" s="6" t="s">
        <v>8325</v>
      </c>
      <c r="H4254" s="6" t="s">
        <v>55</v>
      </c>
      <c r="I4254" s="6" t="s">
        <v>8273</v>
      </c>
      <c r="J4254" s="6" t="s">
        <v>91</v>
      </c>
      <c r="K4254" s="12" t="str">
        <f t="shared" ref="K4254:K4255" si="550">HYPERLINK("https://media.licdn.com/dms/image/v2/D4E10AQGGcgR4sHu0qQ/image-shrink_1280/B4EZ2xHDCBJ4Ac-/0/1776792908249/ICP3_AdSet2_Lightjpg?e=2147483647&amp;v=beta&amp;t=gL97tpqLwFikDEv9pISN9xLFP8FoS141mSzHUMWWQB8","View Creative")</f>
        <v>View Creative</v>
      </c>
      <c r="L4254" s="6" t="s">
        <v>62</v>
      </c>
      <c r="M4254" s="6" t="s">
        <v>8270</v>
      </c>
      <c r="N4254" s="6" t="s">
        <v>8324</v>
      </c>
      <c r="O4254" s="36" t="s">
        <v>7541</v>
      </c>
      <c r="P4254" s="36" t="s">
        <v>7542</v>
      </c>
      <c r="Q4254" s="38"/>
    </row>
    <row r="4255">
      <c r="A4255" s="6" t="s">
        <v>8270</v>
      </c>
      <c r="B4255" s="6" t="s">
        <v>8271</v>
      </c>
      <c r="C4255" s="6">
        <v>204.0</v>
      </c>
      <c r="D4255" s="9" t="str">
        <f t="shared" si="549"/>
        <v>Open Ad</v>
      </c>
      <c r="E4255" s="6" t="s">
        <v>91</v>
      </c>
      <c r="F4255" s="6" t="s">
        <v>8022</v>
      </c>
      <c r="G4255" s="6" t="s">
        <v>8325</v>
      </c>
      <c r="H4255" s="6" t="s">
        <v>55</v>
      </c>
      <c r="I4255" s="6" t="s">
        <v>8273</v>
      </c>
      <c r="J4255" s="6" t="s">
        <v>91</v>
      </c>
      <c r="K4255" s="12" t="str">
        <f t="shared" si="550"/>
        <v>View Creative</v>
      </c>
      <c r="L4255" s="6" t="s">
        <v>62</v>
      </c>
      <c r="M4255" s="6" t="s">
        <v>8270</v>
      </c>
      <c r="N4255" s="6" t="s">
        <v>8324</v>
      </c>
      <c r="O4255" s="36" t="s">
        <v>7541</v>
      </c>
      <c r="P4255" s="36" t="s">
        <v>7542</v>
      </c>
      <c r="Q4255" s="38"/>
    </row>
    <row r="4256">
      <c r="A4256" s="6" t="s">
        <v>8270</v>
      </c>
      <c r="B4256" s="6" t="s">
        <v>8271</v>
      </c>
      <c r="C4256" s="6">
        <v>205.0</v>
      </c>
      <c r="D4256" s="9" t="str">
        <f t="shared" ref="D4256:D4257" si="551">HYPERLINK("https://www.linkedin.com/ad-library/detail/1280391794","Open Ad")</f>
        <v>Open Ad</v>
      </c>
      <c r="E4256" s="6" t="s">
        <v>91</v>
      </c>
      <c r="F4256" s="6" t="s">
        <v>8022</v>
      </c>
      <c r="G4256" s="6" t="s">
        <v>8325</v>
      </c>
      <c r="H4256" s="6" t="s">
        <v>55</v>
      </c>
      <c r="I4256" s="6" t="s">
        <v>8273</v>
      </c>
      <c r="J4256" s="6" t="s">
        <v>91</v>
      </c>
      <c r="K4256" s="12" t="str">
        <f t="shared" ref="K4256:K4257" si="552">HYPERLINK("https://media.licdn.com/dms/image/v2/D4E10AQGvns9xKRHoLg/image-shrink_1280/B4EZ2xHRYxJcAc-/0/1776792967092/ICP3_AdSet2_Darkpng?e=2147483647&amp;v=beta&amp;t=BTkLhjR9pUeIhWPAfBtxEd8hWLk4S79f59nRj2r0dTc","View Creative")</f>
        <v>View Creative</v>
      </c>
      <c r="L4256" s="6" t="s">
        <v>62</v>
      </c>
      <c r="M4256" s="6" t="s">
        <v>8270</v>
      </c>
      <c r="N4256" s="6"/>
      <c r="O4256" s="36" t="s">
        <v>7541</v>
      </c>
      <c r="P4256" s="36" t="s">
        <v>7542</v>
      </c>
      <c r="Q4256" s="38"/>
    </row>
    <row r="4257">
      <c r="A4257" s="6" t="s">
        <v>8270</v>
      </c>
      <c r="B4257" s="6" t="s">
        <v>8271</v>
      </c>
      <c r="C4257" s="6">
        <v>206.0</v>
      </c>
      <c r="D4257" s="9" t="str">
        <f t="shared" si="551"/>
        <v>Open Ad</v>
      </c>
      <c r="E4257" s="6" t="s">
        <v>91</v>
      </c>
      <c r="F4257" s="6" t="s">
        <v>8022</v>
      </c>
      <c r="G4257" s="6" t="s">
        <v>8325</v>
      </c>
      <c r="H4257" s="6" t="s">
        <v>55</v>
      </c>
      <c r="I4257" s="6" t="s">
        <v>8273</v>
      </c>
      <c r="J4257" s="6" t="s">
        <v>91</v>
      </c>
      <c r="K4257" s="12" t="str">
        <f t="shared" si="552"/>
        <v>View Creative</v>
      </c>
      <c r="L4257" s="6" t="s">
        <v>62</v>
      </c>
      <c r="M4257" s="6" t="s">
        <v>8270</v>
      </c>
      <c r="N4257" s="6"/>
      <c r="O4257" s="36" t="s">
        <v>7541</v>
      </c>
      <c r="P4257" s="36" t="s">
        <v>7542</v>
      </c>
      <c r="Q4257" s="38"/>
    </row>
    <row r="4258">
      <c r="A4258" s="6" t="s">
        <v>8270</v>
      </c>
      <c r="B4258" s="6" t="s">
        <v>8271</v>
      </c>
      <c r="C4258" s="6">
        <v>207.0</v>
      </c>
      <c r="D4258" s="9" t="str">
        <f t="shared" ref="D4258:D4259" si="553">HYPERLINK("https://www.linkedin.com/ad-library/detail/1279898514","Open Ad")</f>
        <v>Open Ad</v>
      </c>
      <c r="E4258" s="6" t="s">
        <v>91</v>
      </c>
      <c r="F4258" s="6" t="s">
        <v>8022</v>
      </c>
      <c r="G4258" s="6" t="s">
        <v>8326</v>
      </c>
      <c r="H4258" s="6" t="s">
        <v>55</v>
      </c>
      <c r="I4258" s="6" t="s">
        <v>8273</v>
      </c>
      <c r="J4258" s="6" t="s">
        <v>91</v>
      </c>
      <c r="K4258" s="12" t="str">
        <f t="shared" ref="K4258:K4259" si="554">HYPERLINK("https://media.licdn.com/dms/image/v2/D4E10AQHboPdOJQaedw/image-shrink_1280/B4EZ2xCtEuIAAg-/0/1776791769678/ICP1_AdSet1_Lightjpg?e=2147483647&amp;v=beta&amp;t=Um24nNHJ_d8P5ydJlnq4NmW4aG0BNSV6kS9R5RQTlUQ","View Creative")</f>
        <v>View Creative</v>
      </c>
      <c r="L4258" s="6" t="s">
        <v>62</v>
      </c>
      <c r="M4258" s="6" t="s">
        <v>8270</v>
      </c>
      <c r="N4258" s="6" t="s">
        <v>8323</v>
      </c>
      <c r="O4258" s="36" t="s">
        <v>7541</v>
      </c>
      <c r="P4258" s="36" t="s">
        <v>7542</v>
      </c>
      <c r="Q4258" s="38"/>
    </row>
    <row r="4259">
      <c r="A4259" s="6" t="s">
        <v>8270</v>
      </c>
      <c r="B4259" s="6" t="s">
        <v>8271</v>
      </c>
      <c r="C4259" s="6">
        <v>208.0</v>
      </c>
      <c r="D4259" s="9" t="str">
        <f t="shared" si="553"/>
        <v>Open Ad</v>
      </c>
      <c r="E4259" s="6" t="s">
        <v>91</v>
      </c>
      <c r="F4259" s="6" t="s">
        <v>8022</v>
      </c>
      <c r="G4259" s="6" t="s">
        <v>8326</v>
      </c>
      <c r="H4259" s="6" t="s">
        <v>55</v>
      </c>
      <c r="I4259" s="6" t="s">
        <v>8273</v>
      </c>
      <c r="J4259" s="6" t="s">
        <v>91</v>
      </c>
      <c r="K4259" s="12" t="str">
        <f t="shared" si="554"/>
        <v>View Creative</v>
      </c>
      <c r="L4259" s="6" t="s">
        <v>62</v>
      </c>
      <c r="M4259" s="6" t="s">
        <v>8270</v>
      </c>
      <c r="N4259" s="6" t="s">
        <v>8323</v>
      </c>
      <c r="O4259" s="36" t="s">
        <v>7541</v>
      </c>
      <c r="P4259" s="36" t="s">
        <v>7542</v>
      </c>
      <c r="Q4259" s="38"/>
    </row>
    <row r="4260">
      <c r="A4260" s="6" t="s">
        <v>8270</v>
      </c>
      <c r="B4260" s="6" t="s">
        <v>8271</v>
      </c>
      <c r="C4260" s="6">
        <v>209.0</v>
      </c>
      <c r="D4260" s="9" t="str">
        <f t="shared" ref="D4260:D4261" si="555">HYPERLINK("https://www.linkedin.com/ad-library/detail/1277997694","Open Ad")</f>
        <v>Open Ad</v>
      </c>
      <c r="E4260" s="6" t="s">
        <v>91</v>
      </c>
      <c r="F4260" s="6" t="s">
        <v>8022</v>
      </c>
      <c r="G4260" s="6" t="s">
        <v>8327</v>
      </c>
      <c r="H4260" s="6" t="s">
        <v>55</v>
      </c>
      <c r="I4260" s="6" t="s">
        <v>8273</v>
      </c>
      <c r="J4260" s="6" t="s">
        <v>91</v>
      </c>
      <c r="K4260" s="12" t="str">
        <f t="shared" ref="K4260:K4261" si="556">HYPERLINK("https://media.licdn.com/dms/image/v2/D4E10AQEZJT46jQDuzQ/image-shrink_1280/B4EZ2xEtVCIgAc-/0/1776792295031/ICP2_AdSet1_Lightpng?e=2147483647&amp;v=beta&amp;t=5MmLet_0MZAeaikIi7_p7PZPECAp9iUlChV2wjatJCA","View Creative")</f>
        <v>View Creative</v>
      </c>
      <c r="L4260" s="6" t="s">
        <v>62</v>
      </c>
      <c r="M4260" s="6" t="s">
        <v>8270</v>
      </c>
      <c r="N4260" s="6" t="s">
        <v>8324</v>
      </c>
      <c r="O4260" s="36" t="s">
        <v>7541</v>
      </c>
      <c r="P4260" s="36" t="s">
        <v>7542</v>
      </c>
      <c r="Q4260" s="38"/>
    </row>
    <row r="4261">
      <c r="A4261" s="6" t="s">
        <v>8270</v>
      </c>
      <c r="B4261" s="6" t="s">
        <v>8271</v>
      </c>
      <c r="C4261" s="6">
        <v>210.0</v>
      </c>
      <c r="D4261" s="9" t="str">
        <f t="shared" si="555"/>
        <v>Open Ad</v>
      </c>
      <c r="E4261" s="6" t="s">
        <v>91</v>
      </c>
      <c r="F4261" s="6" t="s">
        <v>8022</v>
      </c>
      <c r="G4261" s="6" t="s">
        <v>8327</v>
      </c>
      <c r="H4261" s="6" t="s">
        <v>55</v>
      </c>
      <c r="I4261" s="6" t="s">
        <v>8273</v>
      </c>
      <c r="J4261" s="6" t="s">
        <v>91</v>
      </c>
      <c r="K4261" s="12" t="str">
        <f t="shared" si="556"/>
        <v>View Creative</v>
      </c>
      <c r="L4261" s="6" t="s">
        <v>62</v>
      </c>
      <c r="M4261" s="6" t="s">
        <v>8270</v>
      </c>
      <c r="N4261" s="6" t="s">
        <v>8324</v>
      </c>
      <c r="O4261" s="36" t="s">
        <v>7541</v>
      </c>
      <c r="P4261" s="36" t="s">
        <v>7542</v>
      </c>
      <c r="Q4261" s="38"/>
    </row>
    <row r="4262">
      <c r="A4262" s="6" t="s">
        <v>8270</v>
      </c>
      <c r="B4262" s="6" t="s">
        <v>8271</v>
      </c>
      <c r="C4262" s="6">
        <v>211.0</v>
      </c>
      <c r="D4262" s="9" t="str">
        <f t="shared" ref="D4262:D4263" si="557">HYPERLINK("https://www.linkedin.com/ad-library/detail/1279097884","Open Ad")</f>
        <v>Open Ad</v>
      </c>
      <c r="E4262" s="6" t="s">
        <v>91</v>
      </c>
      <c r="F4262" s="6" t="s">
        <v>8022</v>
      </c>
      <c r="G4262" s="6" t="s">
        <v>8328</v>
      </c>
      <c r="H4262" s="6" t="s">
        <v>55</v>
      </c>
      <c r="I4262" s="6" t="s">
        <v>8273</v>
      </c>
      <c r="J4262" s="6" t="s">
        <v>91</v>
      </c>
      <c r="K4262" s="12" t="str">
        <f t="shared" ref="K4262:K4263" si="558">HYPERLINK("https://media.licdn.com/dms/image/v2/D4E10AQGCxq_0yPjurA/image-shrink_1280/B4EZ2xG2_JJ8Ac-/0/1776792858907/ICP3_AdSet1_Lightjpg?e=2147483647&amp;v=beta&amp;t=xk6v_Q4Vji4zb7qVkUJHyuST-PgBXdjzk3K6sqcWoHw","View Creative")</f>
        <v>View Creative</v>
      </c>
      <c r="L4262" s="6" t="s">
        <v>62</v>
      </c>
      <c r="M4262" s="6" t="s">
        <v>8270</v>
      </c>
      <c r="N4262" s="6" t="s">
        <v>8324</v>
      </c>
      <c r="O4262" s="36" t="s">
        <v>7541</v>
      </c>
      <c r="P4262" s="36" t="s">
        <v>7542</v>
      </c>
      <c r="Q4262" s="38"/>
    </row>
    <row r="4263">
      <c r="A4263" s="6" t="s">
        <v>8270</v>
      </c>
      <c r="B4263" s="6" t="s">
        <v>8271</v>
      </c>
      <c r="C4263" s="6">
        <v>212.0</v>
      </c>
      <c r="D4263" s="9" t="str">
        <f t="shared" si="557"/>
        <v>Open Ad</v>
      </c>
      <c r="E4263" s="6" t="s">
        <v>91</v>
      </c>
      <c r="F4263" s="6" t="s">
        <v>8022</v>
      </c>
      <c r="G4263" s="6" t="s">
        <v>8328</v>
      </c>
      <c r="H4263" s="6" t="s">
        <v>55</v>
      </c>
      <c r="I4263" s="6" t="s">
        <v>8273</v>
      </c>
      <c r="J4263" s="6" t="s">
        <v>91</v>
      </c>
      <c r="K4263" s="12" t="str">
        <f t="shared" si="558"/>
        <v>View Creative</v>
      </c>
      <c r="L4263" s="6" t="s">
        <v>62</v>
      </c>
      <c r="M4263" s="6" t="s">
        <v>8270</v>
      </c>
      <c r="N4263" s="6" t="s">
        <v>8324</v>
      </c>
      <c r="O4263" s="36" t="s">
        <v>7541</v>
      </c>
      <c r="P4263" s="36" t="s">
        <v>7542</v>
      </c>
      <c r="Q4263" s="38"/>
    </row>
    <row r="4264">
      <c r="A4264" s="6" t="s">
        <v>8270</v>
      </c>
      <c r="B4264" s="6" t="s">
        <v>8271</v>
      </c>
      <c r="C4264" s="6">
        <v>213.0</v>
      </c>
      <c r="D4264" s="9" t="str">
        <f t="shared" ref="D4264:D4265" si="559">HYPERLINK("https://www.linkedin.com/ad-library/detail/1280097634","Open Ad")</f>
        <v>Open Ad</v>
      </c>
      <c r="E4264" s="6" t="s">
        <v>91</v>
      </c>
      <c r="F4264" s="6" t="s">
        <v>8022</v>
      </c>
      <c r="G4264" s="6" t="s">
        <v>8325</v>
      </c>
      <c r="H4264" s="6" t="s">
        <v>55</v>
      </c>
      <c r="I4264" s="6" t="s">
        <v>8273</v>
      </c>
      <c r="J4264" s="6" t="s">
        <v>91</v>
      </c>
      <c r="K4264" s="12" t="str">
        <f t="shared" ref="K4264:K4265" si="560">HYPERLINK("https://media.licdn.com/dms/image/v2/D4E10AQGGcgR4sHu0qQ/image-shrink_1280/B4EZ2xHDCBJ4Ac-/0/1776792908249/ICP3_AdSet2_Lightjpg?e=2147483647&amp;v=beta&amp;t=gL97tpqLwFikDEv9pISN9xLFP8FoS141mSzHUMWWQB8","View Creative")</f>
        <v>View Creative</v>
      </c>
      <c r="L4264" s="6" t="s">
        <v>62</v>
      </c>
      <c r="M4264" s="6" t="s">
        <v>8270</v>
      </c>
      <c r="N4264" s="6" t="s">
        <v>8329</v>
      </c>
      <c r="O4264" s="36" t="s">
        <v>7541</v>
      </c>
      <c r="P4264" s="36" t="s">
        <v>7542</v>
      </c>
      <c r="Q4264" s="38"/>
    </row>
    <row r="4265">
      <c r="A4265" s="6" t="s">
        <v>8270</v>
      </c>
      <c r="B4265" s="6" t="s">
        <v>8271</v>
      </c>
      <c r="C4265" s="6">
        <v>214.0</v>
      </c>
      <c r="D4265" s="9" t="str">
        <f t="shared" si="559"/>
        <v>Open Ad</v>
      </c>
      <c r="E4265" s="6" t="s">
        <v>91</v>
      </c>
      <c r="F4265" s="6" t="s">
        <v>8022</v>
      </c>
      <c r="G4265" s="6" t="s">
        <v>8325</v>
      </c>
      <c r="H4265" s="6" t="s">
        <v>55</v>
      </c>
      <c r="I4265" s="6" t="s">
        <v>8273</v>
      </c>
      <c r="J4265" s="6" t="s">
        <v>91</v>
      </c>
      <c r="K4265" s="12" t="str">
        <f t="shared" si="560"/>
        <v>View Creative</v>
      </c>
      <c r="L4265" s="6" t="s">
        <v>62</v>
      </c>
      <c r="M4265" s="6" t="s">
        <v>8270</v>
      </c>
      <c r="N4265" s="6" t="s">
        <v>8329</v>
      </c>
      <c r="O4265" s="36" t="s">
        <v>7541</v>
      </c>
      <c r="P4265" s="36" t="s">
        <v>7542</v>
      </c>
      <c r="Q4265" s="38"/>
    </row>
    <row r="4266">
      <c r="A4266" s="6" t="s">
        <v>8270</v>
      </c>
      <c r="B4266" s="6" t="s">
        <v>8271</v>
      </c>
      <c r="C4266" s="6">
        <v>215.0</v>
      </c>
      <c r="D4266" s="9" t="str">
        <f t="shared" ref="D4266:D4267" si="561">HYPERLINK("https://www.linkedin.com/ad-library/detail/1280391854","Open Ad")</f>
        <v>Open Ad</v>
      </c>
      <c r="E4266" s="6" t="s">
        <v>91</v>
      </c>
      <c r="F4266" s="6" t="s">
        <v>8022</v>
      </c>
      <c r="G4266" s="6" t="s">
        <v>8328</v>
      </c>
      <c r="H4266" s="6" t="s">
        <v>55</v>
      </c>
      <c r="I4266" s="6" t="s">
        <v>8273</v>
      </c>
      <c r="J4266" s="6" t="s">
        <v>91</v>
      </c>
      <c r="K4266" s="12" t="str">
        <f t="shared" ref="K4266:K4267" si="562">HYPERLINK("https://media.licdn.com/dms/image/v2/D4E10AQEPdiTT_xCBWg/image-shrink_1280/B4EZ2xGpi5GkAg-/0/1776792803775/ICP3_AdSet1_Darkpng?e=2147483647&amp;v=beta&amp;t=AqsGH2mjjyT1lgndJnjkLjx90v3LNaufPQVuq_2nLTE","View Creative")</f>
        <v>View Creative</v>
      </c>
      <c r="L4266" s="6" t="s">
        <v>62</v>
      </c>
      <c r="M4266" s="6" t="s">
        <v>8270</v>
      </c>
      <c r="N4266" s="6" t="s">
        <v>8324</v>
      </c>
      <c r="O4266" s="36" t="s">
        <v>7541</v>
      </c>
      <c r="P4266" s="36" t="s">
        <v>7542</v>
      </c>
      <c r="Q4266" s="38"/>
    </row>
    <row r="4267">
      <c r="A4267" s="6" t="s">
        <v>8270</v>
      </c>
      <c r="B4267" s="6" t="s">
        <v>8271</v>
      </c>
      <c r="C4267" s="6">
        <v>216.0</v>
      </c>
      <c r="D4267" s="9" t="str">
        <f t="shared" si="561"/>
        <v>Open Ad</v>
      </c>
      <c r="E4267" s="6" t="s">
        <v>91</v>
      </c>
      <c r="F4267" s="6" t="s">
        <v>8022</v>
      </c>
      <c r="G4267" s="6" t="s">
        <v>8328</v>
      </c>
      <c r="H4267" s="6" t="s">
        <v>55</v>
      </c>
      <c r="I4267" s="6" t="s">
        <v>8273</v>
      </c>
      <c r="J4267" s="6" t="s">
        <v>91</v>
      </c>
      <c r="K4267" s="12" t="str">
        <f t="shared" si="562"/>
        <v>View Creative</v>
      </c>
      <c r="L4267" s="6" t="s">
        <v>62</v>
      </c>
      <c r="M4267" s="6" t="s">
        <v>8270</v>
      </c>
      <c r="N4267" s="6" t="s">
        <v>8324</v>
      </c>
      <c r="O4267" s="36" t="s">
        <v>7541</v>
      </c>
      <c r="P4267" s="36" t="s">
        <v>7542</v>
      </c>
      <c r="Q4267" s="38"/>
    </row>
    <row r="4268">
      <c r="A4268" s="6" t="s">
        <v>8270</v>
      </c>
      <c r="B4268" s="6" t="s">
        <v>8271</v>
      </c>
      <c r="C4268" s="6">
        <v>217.0</v>
      </c>
      <c r="D4268" s="9" t="str">
        <f t="shared" ref="D4268:D4269" si="563">HYPERLINK("https://www.linkedin.com/ad-library/detail/1280097644","Open Ad")</f>
        <v>Open Ad</v>
      </c>
      <c r="E4268" s="6" t="s">
        <v>91</v>
      </c>
      <c r="F4268" s="6" t="s">
        <v>8022</v>
      </c>
      <c r="G4268" s="6" t="s">
        <v>8327</v>
      </c>
      <c r="H4268" s="6" t="s">
        <v>55</v>
      </c>
      <c r="I4268" s="6" t="s">
        <v>8273</v>
      </c>
      <c r="J4268" s="6" t="s">
        <v>91</v>
      </c>
      <c r="K4268" s="12" t="str">
        <f t="shared" ref="K4268:K4269" si="564">HYPERLINK("https://media.licdn.com/dms/image/v2/D4E10AQEZJT46jQDuzQ/image-shrink_1280/B4EZ2xEtVCIgAc-/0/1776792295031/ICP2_AdSet1_Lightpng?e=2147483647&amp;v=beta&amp;t=5MmLet_0MZAeaikIi7_p7PZPECAp9iUlChV2wjatJCA","View Creative")</f>
        <v>View Creative</v>
      </c>
      <c r="L4268" s="6" t="s">
        <v>62</v>
      </c>
      <c r="M4268" s="6" t="s">
        <v>8270</v>
      </c>
      <c r="N4268" s="6" t="s">
        <v>8323</v>
      </c>
      <c r="O4268" s="36" t="s">
        <v>7541</v>
      </c>
      <c r="P4268" s="36" t="s">
        <v>7542</v>
      </c>
      <c r="Q4268" s="38"/>
    </row>
    <row r="4269">
      <c r="A4269" s="6" t="s">
        <v>8270</v>
      </c>
      <c r="B4269" s="6" t="s">
        <v>8271</v>
      </c>
      <c r="C4269" s="6">
        <v>218.0</v>
      </c>
      <c r="D4269" s="9" t="str">
        <f t="shared" si="563"/>
        <v>Open Ad</v>
      </c>
      <c r="E4269" s="6" t="s">
        <v>91</v>
      </c>
      <c r="F4269" s="6" t="s">
        <v>8022</v>
      </c>
      <c r="G4269" s="6" t="s">
        <v>8327</v>
      </c>
      <c r="H4269" s="6" t="s">
        <v>55</v>
      </c>
      <c r="I4269" s="6" t="s">
        <v>8273</v>
      </c>
      <c r="J4269" s="6" t="s">
        <v>91</v>
      </c>
      <c r="K4269" s="12" t="str">
        <f t="shared" si="564"/>
        <v>View Creative</v>
      </c>
      <c r="L4269" s="6" t="s">
        <v>62</v>
      </c>
      <c r="M4269" s="6" t="s">
        <v>8270</v>
      </c>
      <c r="N4269" s="6" t="s">
        <v>8323</v>
      </c>
      <c r="O4269" s="36" t="s">
        <v>7541</v>
      </c>
      <c r="P4269" s="36" t="s">
        <v>7542</v>
      </c>
      <c r="Q4269" s="38"/>
    </row>
    <row r="4270">
      <c r="A4270" s="6" t="s">
        <v>8270</v>
      </c>
      <c r="B4270" s="6" t="s">
        <v>8271</v>
      </c>
      <c r="C4270" s="6">
        <v>219.0</v>
      </c>
      <c r="D4270" s="9" t="str">
        <f t="shared" ref="D4270:D4271" si="565">HYPERLINK("https://www.linkedin.com/ad-library/detail/1278097904","Open Ad")</f>
        <v>Open Ad</v>
      </c>
      <c r="E4270" s="6" t="s">
        <v>91</v>
      </c>
      <c r="F4270" s="6" t="s">
        <v>8022</v>
      </c>
      <c r="G4270" s="6" t="s">
        <v>8327</v>
      </c>
      <c r="H4270" s="6" t="s">
        <v>55</v>
      </c>
      <c r="I4270" s="6" t="s">
        <v>8273</v>
      </c>
      <c r="J4270" s="6" t="s">
        <v>91</v>
      </c>
      <c r="K4270" s="12" t="str">
        <f t="shared" ref="K4270:K4273" si="566">HYPERLINK("https://media.licdn.com/dms/image/v2/D4E10AQGrb2_Jinm9RA/image-shrink_1280/B4EZ2xEO5GGYAc-/0/1776792170337/ICP2_AdSet1_Darkpng?e=2147483647&amp;v=beta&amp;t=eHDy2xVVYQt3HjbKbJeCO7Iro9N0eP-xFN7lEXHYM-k","View Creative")</f>
        <v>View Creative</v>
      </c>
      <c r="L4270" s="6" t="s">
        <v>62</v>
      </c>
      <c r="M4270" s="6" t="s">
        <v>8270</v>
      </c>
      <c r="N4270" s="6" t="s">
        <v>8324</v>
      </c>
      <c r="O4270" s="36" t="s">
        <v>7541</v>
      </c>
      <c r="P4270" s="36" t="s">
        <v>7542</v>
      </c>
      <c r="Q4270" s="38"/>
    </row>
    <row r="4271">
      <c r="A4271" s="6" t="s">
        <v>8270</v>
      </c>
      <c r="B4271" s="6" t="s">
        <v>8271</v>
      </c>
      <c r="C4271" s="6">
        <v>220.0</v>
      </c>
      <c r="D4271" s="9" t="str">
        <f t="shared" si="565"/>
        <v>Open Ad</v>
      </c>
      <c r="E4271" s="6" t="s">
        <v>91</v>
      </c>
      <c r="F4271" s="6" t="s">
        <v>8022</v>
      </c>
      <c r="G4271" s="6" t="s">
        <v>8327</v>
      </c>
      <c r="H4271" s="6" t="s">
        <v>55</v>
      </c>
      <c r="I4271" s="6" t="s">
        <v>8273</v>
      </c>
      <c r="J4271" s="6" t="s">
        <v>91</v>
      </c>
      <c r="K4271" s="12" t="str">
        <f t="shared" si="566"/>
        <v>View Creative</v>
      </c>
      <c r="L4271" s="6" t="s">
        <v>62</v>
      </c>
      <c r="M4271" s="6" t="s">
        <v>8270</v>
      </c>
      <c r="N4271" s="6" t="s">
        <v>8324</v>
      </c>
      <c r="O4271" s="36" t="s">
        <v>7541</v>
      </c>
      <c r="P4271" s="36" t="s">
        <v>7542</v>
      </c>
      <c r="Q4271" s="38"/>
    </row>
    <row r="4272">
      <c r="A4272" s="6" t="s">
        <v>8270</v>
      </c>
      <c r="B4272" s="6" t="s">
        <v>8271</v>
      </c>
      <c r="C4272" s="6">
        <v>221.0</v>
      </c>
      <c r="D4272" s="9" t="str">
        <f t="shared" ref="D4272:D4273" si="567">HYPERLINK("https://www.linkedin.com/ad-library/detail/1280391834","Open Ad")</f>
        <v>Open Ad</v>
      </c>
      <c r="E4272" s="6" t="s">
        <v>91</v>
      </c>
      <c r="F4272" s="6" t="s">
        <v>8022</v>
      </c>
      <c r="G4272" s="6" t="s">
        <v>8327</v>
      </c>
      <c r="H4272" s="6" t="s">
        <v>55</v>
      </c>
      <c r="I4272" s="6" t="s">
        <v>8273</v>
      </c>
      <c r="J4272" s="6" t="s">
        <v>91</v>
      </c>
      <c r="K4272" s="12" t="str">
        <f t="shared" si="566"/>
        <v>View Creative</v>
      </c>
      <c r="L4272" s="6" t="s">
        <v>62</v>
      </c>
      <c r="M4272" s="6" t="s">
        <v>8270</v>
      </c>
      <c r="N4272" s="6" t="s">
        <v>8324</v>
      </c>
      <c r="O4272" s="36" t="s">
        <v>7541</v>
      </c>
      <c r="P4272" s="36" t="s">
        <v>7542</v>
      </c>
      <c r="Q4272" s="38"/>
    </row>
    <row r="4273">
      <c r="A4273" s="6" t="s">
        <v>8270</v>
      </c>
      <c r="B4273" s="6" t="s">
        <v>8271</v>
      </c>
      <c r="C4273" s="6">
        <v>222.0</v>
      </c>
      <c r="D4273" s="9" t="str">
        <f t="shared" si="567"/>
        <v>Open Ad</v>
      </c>
      <c r="E4273" s="6" t="s">
        <v>91</v>
      </c>
      <c r="F4273" s="6" t="s">
        <v>8022</v>
      </c>
      <c r="G4273" s="6" t="s">
        <v>8327</v>
      </c>
      <c r="H4273" s="6" t="s">
        <v>55</v>
      </c>
      <c r="I4273" s="6" t="s">
        <v>8273</v>
      </c>
      <c r="J4273" s="6" t="s">
        <v>91</v>
      </c>
      <c r="K4273" s="12" t="str">
        <f t="shared" si="566"/>
        <v>View Creative</v>
      </c>
      <c r="L4273" s="6" t="s">
        <v>62</v>
      </c>
      <c r="M4273" s="6" t="s">
        <v>8270</v>
      </c>
      <c r="N4273" s="6" t="s">
        <v>8324</v>
      </c>
      <c r="O4273" s="36" t="s">
        <v>7541</v>
      </c>
      <c r="P4273" s="36" t="s">
        <v>7542</v>
      </c>
      <c r="Q4273" s="38"/>
    </row>
    <row r="4274">
      <c r="A4274" s="6" t="s">
        <v>8270</v>
      </c>
      <c r="B4274" s="6" t="s">
        <v>8271</v>
      </c>
      <c r="C4274" s="6">
        <v>223.0</v>
      </c>
      <c r="D4274" s="9" t="str">
        <f t="shared" ref="D4274:D4275" si="568">HYPERLINK("https://www.linkedin.com/ad-library/detail/1280490044","Open Ad")</f>
        <v>Open Ad</v>
      </c>
      <c r="E4274" s="6" t="s">
        <v>91</v>
      </c>
      <c r="F4274" s="6" t="s">
        <v>8022</v>
      </c>
      <c r="G4274" s="6" t="s">
        <v>8325</v>
      </c>
      <c r="H4274" s="6" t="s">
        <v>55</v>
      </c>
      <c r="I4274" s="6" t="s">
        <v>8273</v>
      </c>
      <c r="J4274" s="6" t="s">
        <v>91</v>
      </c>
      <c r="K4274" s="12" t="str">
        <f t="shared" ref="K4274:K4275" si="569">HYPERLINK("https://media.licdn.com/dms/image/v2/D4E10AQGvns9xKRHoLg/image-shrink_1280/B4EZ2xHRYxJcAc-/0/1776792967092/ICP3_AdSet2_Darkpng?e=2147483647&amp;v=beta&amp;t=BTkLhjR9pUeIhWPAfBtxEd8hWLk4S79f59nRj2r0dTc","View Creative")</f>
        <v>View Creative</v>
      </c>
      <c r="L4274" s="6" t="s">
        <v>62</v>
      </c>
      <c r="M4274" s="6" t="s">
        <v>8270</v>
      </c>
      <c r="N4274" s="6" t="s">
        <v>8324</v>
      </c>
      <c r="O4274" s="36" t="s">
        <v>7541</v>
      </c>
      <c r="P4274" s="36" t="s">
        <v>7542</v>
      </c>
      <c r="Q4274" s="38"/>
    </row>
    <row r="4275">
      <c r="A4275" s="6" t="s">
        <v>8270</v>
      </c>
      <c r="B4275" s="6" t="s">
        <v>8271</v>
      </c>
      <c r="C4275" s="6">
        <v>224.0</v>
      </c>
      <c r="D4275" s="9" t="str">
        <f t="shared" si="568"/>
        <v>Open Ad</v>
      </c>
      <c r="E4275" s="6" t="s">
        <v>91</v>
      </c>
      <c r="F4275" s="6" t="s">
        <v>8022</v>
      </c>
      <c r="G4275" s="6" t="s">
        <v>8325</v>
      </c>
      <c r="H4275" s="6" t="s">
        <v>55</v>
      </c>
      <c r="I4275" s="6" t="s">
        <v>8273</v>
      </c>
      <c r="J4275" s="6" t="s">
        <v>91</v>
      </c>
      <c r="K4275" s="12" t="str">
        <f t="shared" si="569"/>
        <v>View Creative</v>
      </c>
      <c r="L4275" s="6" t="s">
        <v>62</v>
      </c>
      <c r="M4275" s="6" t="s">
        <v>8270</v>
      </c>
      <c r="N4275" s="6" t="s">
        <v>8324</v>
      </c>
      <c r="O4275" s="36" t="s">
        <v>7541</v>
      </c>
      <c r="P4275" s="36" t="s">
        <v>7542</v>
      </c>
      <c r="Q4275" s="38"/>
    </row>
    <row r="4276">
      <c r="A4276" s="6" t="s">
        <v>8270</v>
      </c>
      <c r="B4276" s="6" t="s">
        <v>8271</v>
      </c>
      <c r="C4276" s="6">
        <v>225.0</v>
      </c>
      <c r="D4276" s="9" t="str">
        <f t="shared" ref="D4276:D4277" si="570">HYPERLINK("https://www.linkedin.com/ad-library/detail/1279997424","Open Ad")</f>
        <v>Open Ad</v>
      </c>
      <c r="E4276" s="6" t="s">
        <v>91</v>
      </c>
      <c r="F4276" s="6" t="s">
        <v>8022</v>
      </c>
      <c r="G4276" s="6" t="s">
        <v>8326</v>
      </c>
      <c r="H4276" s="6" t="s">
        <v>55</v>
      </c>
      <c r="I4276" s="6" t="s">
        <v>8273</v>
      </c>
      <c r="J4276" s="6" t="s">
        <v>91</v>
      </c>
      <c r="K4276" s="12" t="str">
        <f t="shared" ref="K4276:K4277" si="571">HYPERLINK("https://media.licdn.com/dms/image/v2/D4E10AQEho1DoF5E3Hg/image-shrink_1280/B4EZ2xB82gIMAc-/0/1776791572176/ICP1_AdSet1_Darkpng?e=2147483647&amp;v=beta&amp;t=6YSA6x7kFUGlSCUAUccXUPh1fO880BucZLhFSQJzH6k","View Creative")</f>
        <v>View Creative</v>
      </c>
      <c r="L4276" s="6" t="s">
        <v>62</v>
      </c>
      <c r="M4276" s="6" t="s">
        <v>8270</v>
      </c>
      <c r="N4276" s="6" t="s">
        <v>8321</v>
      </c>
      <c r="O4276" s="36" t="s">
        <v>7541</v>
      </c>
      <c r="P4276" s="36" t="s">
        <v>7542</v>
      </c>
      <c r="Q4276" s="38"/>
    </row>
    <row r="4277">
      <c r="A4277" s="6" t="s">
        <v>8270</v>
      </c>
      <c r="B4277" s="6" t="s">
        <v>8271</v>
      </c>
      <c r="C4277" s="6">
        <v>226.0</v>
      </c>
      <c r="D4277" s="9" t="str">
        <f t="shared" si="570"/>
        <v>Open Ad</v>
      </c>
      <c r="E4277" s="6" t="s">
        <v>91</v>
      </c>
      <c r="F4277" s="6" t="s">
        <v>8022</v>
      </c>
      <c r="G4277" s="6" t="s">
        <v>8326</v>
      </c>
      <c r="H4277" s="6" t="s">
        <v>55</v>
      </c>
      <c r="I4277" s="6" t="s">
        <v>8273</v>
      </c>
      <c r="J4277" s="6" t="s">
        <v>91</v>
      </c>
      <c r="K4277" s="12" t="str">
        <f t="shared" si="571"/>
        <v>View Creative</v>
      </c>
      <c r="L4277" s="6" t="s">
        <v>62</v>
      </c>
      <c r="M4277" s="6" t="s">
        <v>8270</v>
      </c>
      <c r="N4277" s="6" t="s">
        <v>8321</v>
      </c>
      <c r="O4277" s="36" t="s">
        <v>7541</v>
      </c>
      <c r="P4277" s="36" t="s">
        <v>7542</v>
      </c>
      <c r="Q4277" s="38"/>
    </row>
    <row r="4278">
      <c r="A4278" s="6" t="s">
        <v>8270</v>
      </c>
      <c r="B4278" s="6" t="s">
        <v>8271</v>
      </c>
      <c r="C4278" s="6">
        <v>227.0</v>
      </c>
      <c r="D4278" s="9" t="str">
        <f t="shared" ref="D4278:D4279" si="572">HYPERLINK("https://www.linkedin.com/ad-library/detail/1278397284","Open Ad")</f>
        <v>Open Ad</v>
      </c>
      <c r="E4278" s="6" t="s">
        <v>91</v>
      </c>
      <c r="F4278" s="6" t="s">
        <v>8022</v>
      </c>
      <c r="G4278" s="6" t="s">
        <v>8320</v>
      </c>
      <c r="H4278" s="6" t="s">
        <v>55</v>
      </c>
      <c r="I4278" s="6" t="s">
        <v>8273</v>
      </c>
      <c r="J4278" s="6" t="s">
        <v>91</v>
      </c>
      <c r="K4278" s="12" t="str">
        <f t="shared" ref="K4278:K4279" si="573">HYPERLINK("https://media.licdn.com/dms/image/v2/D4E10AQGv7Tj0C5xS0g/image-shrink_1280/B4EZ2xC3.wHMAg-/0/1776791814323/ICP1_AdSet2_Darkpng?e=2147483647&amp;v=beta&amp;t=0h8d2MCwx78B5nj2YGdwGTvZge_vsKmTIuS0iPcUw28","View Creative")</f>
        <v>View Creative</v>
      </c>
      <c r="L4278" s="6" t="s">
        <v>62</v>
      </c>
      <c r="M4278" s="6" t="s">
        <v>8270</v>
      </c>
      <c r="N4278" s="6" t="s">
        <v>8323</v>
      </c>
      <c r="O4278" s="36" t="s">
        <v>7541</v>
      </c>
      <c r="P4278" s="36" t="s">
        <v>7542</v>
      </c>
      <c r="Q4278" s="38"/>
    </row>
    <row r="4279">
      <c r="A4279" s="6" t="s">
        <v>8270</v>
      </c>
      <c r="B4279" s="6" t="s">
        <v>8271</v>
      </c>
      <c r="C4279" s="6">
        <v>228.0</v>
      </c>
      <c r="D4279" s="9" t="str">
        <f t="shared" si="572"/>
        <v>Open Ad</v>
      </c>
      <c r="E4279" s="6" t="s">
        <v>91</v>
      </c>
      <c r="F4279" s="6" t="s">
        <v>8022</v>
      </c>
      <c r="G4279" s="6" t="s">
        <v>8320</v>
      </c>
      <c r="H4279" s="6" t="s">
        <v>55</v>
      </c>
      <c r="I4279" s="6" t="s">
        <v>8273</v>
      </c>
      <c r="J4279" s="6" t="s">
        <v>91</v>
      </c>
      <c r="K4279" s="12" t="str">
        <f t="shared" si="573"/>
        <v>View Creative</v>
      </c>
      <c r="L4279" s="6" t="s">
        <v>62</v>
      </c>
      <c r="M4279" s="6" t="s">
        <v>8270</v>
      </c>
      <c r="N4279" s="6" t="s">
        <v>8323</v>
      </c>
      <c r="O4279" s="36" t="s">
        <v>7541</v>
      </c>
      <c r="P4279" s="36" t="s">
        <v>7542</v>
      </c>
      <c r="Q4279" s="38"/>
    </row>
    <row r="4280">
      <c r="A4280" s="6" t="s">
        <v>8270</v>
      </c>
      <c r="B4280" s="6" t="s">
        <v>8271</v>
      </c>
      <c r="C4280" s="6">
        <v>229.0</v>
      </c>
      <c r="D4280" s="9" t="str">
        <f t="shared" ref="D4280:D4281" si="574">HYPERLINK("https://www.linkedin.com/ad-library/detail/1280194974","Open Ad")</f>
        <v>Open Ad</v>
      </c>
      <c r="E4280" s="6" t="s">
        <v>91</v>
      </c>
      <c r="F4280" s="6" t="s">
        <v>8022</v>
      </c>
      <c r="G4280" s="6" t="s">
        <v>8322</v>
      </c>
      <c r="H4280" s="6" t="s">
        <v>55</v>
      </c>
      <c r="I4280" s="6" t="s">
        <v>8273</v>
      </c>
      <c r="J4280" s="6" t="s">
        <v>91</v>
      </c>
      <c r="K4280" s="12" t="str">
        <f t="shared" ref="K4280:K4281" si="575">HYPERLINK("https://media.licdn.com/dms/image/v2/D4E10AQF3LoKOSTv-4g/image-shrink_1280/B4EZ2xFPCmJMAg-/0/1776792433165/ICP2_AdSet2_Darkpng?e=2147483647&amp;v=beta&amp;t=KNVM9DOV--hkIa99KE8Yjy8KGUgBQ1AeHSdqfqsgwBg","View Creative")</f>
        <v>View Creative</v>
      </c>
      <c r="L4280" s="6" t="s">
        <v>62</v>
      </c>
      <c r="M4280" s="6" t="s">
        <v>8270</v>
      </c>
      <c r="N4280" s="6" t="s">
        <v>8323</v>
      </c>
      <c r="O4280" s="36" t="s">
        <v>7541</v>
      </c>
      <c r="P4280" s="36" t="s">
        <v>7542</v>
      </c>
      <c r="Q4280" s="38"/>
    </row>
    <row r="4281">
      <c r="A4281" s="6" t="s">
        <v>8270</v>
      </c>
      <c r="B4281" s="6" t="s">
        <v>8271</v>
      </c>
      <c r="C4281" s="6">
        <v>230.0</v>
      </c>
      <c r="D4281" s="9" t="str">
        <f t="shared" si="574"/>
        <v>Open Ad</v>
      </c>
      <c r="E4281" s="6" t="s">
        <v>91</v>
      </c>
      <c r="F4281" s="6" t="s">
        <v>8022</v>
      </c>
      <c r="G4281" s="6" t="s">
        <v>8322</v>
      </c>
      <c r="H4281" s="6" t="s">
        <v>55</v>
      </c>
      <c r="I4281" s="6" t="s">
        <v>8273</v>
      </c>
      <c r="J4281" s="6" t="s">
        <v>91</v>
      </c>
      <c r="K4281" s="12" t="str">
        <f t="shared" si="575"/>
        <v>View Creative</v>
      </c>
      <c r="L4281" s="6" t="s">
        <v>62</v>
      </c>
      <c r="M4281" s="6" t="s">
        <v>8270</v>
      </c>
      <c r="N4281" s="6" t="s">
        <v>8323</v>
      </c>
      <c r="O4281" s="36" t="s">
        <v>7541</v>
      </c>
      <c r="P4281" s="36" t="s">
        <v>7542</v>
      </c>
      <c r="Q4281" s="38"/>
    </row>
    <row r="4282">
      <c r="A4282" s="6" t="s">
        <v>8270</v>
      </c>
      <c r="B4282" s="6" t="s">
        <v>8271</v>
      </c>
      <c r="C4282" s="6">
        <v>231.0</v>
      </c>
      <c r="D4282" s="9" t="str">
        <f t="shared" ref="D4282:D4283" si="576">HYPERLINK("https://www.linkedin.com/ad-library/detail/1279697424","Open Ad")</f>
        <v>Open Ad</v>
      </c>
      <c r="E4282" s="6" t="s">
        <v>91</v>
      </c>
      <c r="F4282" s="6" t="s">
        <v>8022</v>
      </c>
      <c r="G4282" s="6" t="s">
        <v>8320</v>
      </c>
      <c r="H4282" s="6" t="s">
        <v>55</v>
      </c>
      <c r="I4282" s="6" t="s">
        <v>8273</v>
      </c>
      <c r="J4282" s="6" t="s">
        <v>91</v>
      </c>
      <c r="K4282" s="12" t="str">
        <f t="shared" ref="K4282:K4283" si="577">HYPERLINK("https://media.licdn.com/dms/image/v2/D4E10AQGv7Tj0C5xS0g/image-shrink_1280/B4EZ2xC3.wHMAg-/0/1776791814323/ICP1_AdSet2_Darkpng?e=2147483647&amp;v=beta&amp;t=0h8d2MCwx78B5nj2YGdwGTvZge_vsKmTIuS0iPcUw28","View Creative")</f>
        <v>View Creative</v>
      </c>
      <c r="L4282" s="6" t="s">
        <v>62</v>
      </c>
      <c r="M4282" s="6" t="s">
        <v>8270</v>
      </c>
      <c r="N4282" s="6" t="s">
        <v>8323</v>
      </c>
      <c r="O4282" s="36" t="s">
        <v>7541</v>
      </c>
      <c r="P4282" s="36" t="s">
        <v>7542</v>
      </c>
      <c r="Q4282" s="38"/>
    </row>
    <row r="4283">
      <c r="A4283" s="6" t="s">
        <v>8270</v>
      </c>
      <c r="B4283" s="6" t="s">
        <v>8271</v>
      </c>
      <c r="C4283" s="6">
        <v>232.0</v>
      </c>
      <c r="D4283" s="9" t="str">
        <f t="shared" si="576"/>
        <v>Open Ad</v>
      </c>
      <c r="E4283" s="6" t="s">
        <v>91</v>
      </c>
      <c r="F4283" s="6" t="s">
        <v>8022</v>
      </c>
      <c r="G4283" s="6" t="s">
        <v>8320</v>
      </c>
      <c r="H4283" s="6" t="s">
        <v>55</v>
      </c>
      <c r="I4283" s="6" t="s">
        <v>8273</v>
      </c>
      <c r="J4283" s="6" t="s">
        <v>91</v>
      </c>
      <c r="K4283" s="12" t="str">
        <f t="shared" si="577"/>
        <v>View Creative</v>
      </c>
      <c r="L4283" s="6" t="s">
        <v>62</v>
      </c>
      <c r="M4283" s="6" t="s">
        <v>8270</v>
      </c>
      <c r="N4283" s="6" t="s">
        <v>8323</v>
      </c>
      <c r="O4283" s="36" t="s">
        <v>7541</v>
      </c>
      <c r="P4283" s="36" t="s">
        <v>7542</v>
      </c>
      <c r="Q4283" s="38"/>
    </row>
    <row r="4284">
      <c r="A4284" s="6" t="s">
        <v>8270</v>
      </c>
      <c r="B4284" s="6" t="s">
        <v>8271</v>
      </c>
      <c r="C4284" s="6">
        <v>233.0</v>
      </c>
      <c r="D4284" s="9" t="str">
        <f t="shared" ref="D4284:D4285" si="578">HYPERLINK("https://www.linkedin.com/ad-library/detail/1279297534","Open Ad")</f>
        <v>Open Ad</v>
      </c>
      <c r="E4284" s="6" t="s">
        <v>91</v>
      </c>
      <c r="F4284" s="6" t="s">
        <v>8022</v>
      </c>
      <c r="G4284" s="6" t="s">
        <v>8322</v>
      </c>
      <c r="H4284" s="6" t="s">
        <v>55</v>
      </c>
      <c r="I4284" s="6" t="s">
        <v>8273</v>
      </c>
      <c r="J4284" s="6" t="s">
        <v>91</v>
      </c>
      <c r="K4284" s="12" t="str">
        <f t="shared" ref="K4284:K4285" si="579">HYPERLINK("https://media.licdn.com/dms/image/v2/D4E10AQF3LoKOSTv-4g/image-shrink_1280/B4EZ2xFPCmJMAg-/0/1776792433165/ICP2_AdSet2_Darkpng?e=2147483647&amp;v=beta&amp;t=KNVM9DOV--hkIa99KE8Yjy8KGUgBQ1AeHSdqfqsgwBg","View Creative")</f>
        <v>View Creative</v>
      </c>
      <c r="L4284" s="6" t="s">
        <v>62</v>
      </c>
      <c r="M4284" s="6" t="s">
        <v>8270</v>
      </c>
      <c r="N4284" s="6" t="s">
        <v>8324</v>
      </c>
      <c r="O4284" s="36" t="s">
        <v>7541</v>
      </c>
      <c r="P4284" s="36" t="s">
        <v>7542</v>
      </c>
      <c r="Q4284" s="38"/>
    </row>
    <row r="4285">
      <c r="A4285" s="6" t="s">
        <v>8270</v>
      </c>
      <c r="B4285" s="6" t="s">
        <v>8271</v>
      </c>
      <c r="C4285" s="6">
        <v>234.0</v>
      </c>
      <c r="D4285" s="9" t="str">
        <f t="shared" si="578"/>
        <v>Open Ad</v>
      </c>
      <c r="E4285" s="6" t="s">
        <v>91</v>
      </c>
      <c r="F4285" s="6" t="s">
        <v>8022</v>
      </c>
      <c r="G4285" s="6" t="s">
        <v>8322</v>
      </c>
      <c r="H4285" s="6" t="s">
        <v>55</v>
      </c>
      <c r="I4285" s="6" t="s">
        <v>8273</v>
      </c>
      <c r="J4285" s="6" t="s">
        <v>91</v>
      </c>
      <c r="K4285" s="12" t="str">
        <f t="shared" si="579"/>
        <v>View Creative</v>
      </c>
      <c r="L4285" s="6" t="s">
        <v>62</v>
      </c>
      <c r="M4285" s="6" t="s">
        <v>8270</v>
      </c>
      <c r="N4285" s="6" t="s">
        <v>8324</v>
      </c>
      <c r="O4285" s="36" t="s">
        <v>7541</v>
      </c>
      <c r="P4285" s="36" t="s">
        <v>7542</v>
      </c>
      <c r="Q4285" s="38"/>
    </row>
    <row r="4286">
      <c r="A4286" s="6" t="s">
        <v>8270</v>
      </c>
      <c r="B4286" s="6" t="s">
        <v>8271</v>
      </c>
      <c r="C4286" s="6">
        <v>235.0</v>
      </c>
      <c r="D4286" s="9" t="str">
        <f t="shared" ref="D4286:D4287" si="580">HYPERLINK("https://www.linkedin.com/ad-library/detail/1279997384","Open Ad")</f>
        <v>Open Ad</v>
      </c>
      <c r="E4286" s="6" t="s">
        <v>91</v>
      </c>
      <c r="F4286" s="6" t="s">
        <v>8022</v>
      </c>
      <c r="G4286" s="6" t="s">
        <v>8328</v>
      </c>
      <c r="H4286" s="6" t="s">
        <v>55</v>
      </c>
      <c r="I4286" s="6" t="s">
        <v>8273</v>
      </c>
      <c r="J4286" s="6" t="s">
        <v>91</v>
      </c>
      <c r="K4286" s="12" t="str">
        <f t="shared" ref="K4286:K4287" si="581">HYPERLINK("https://media.licdn.com/dms/image/v2/D4E10AQEPdiTT_xCBWg/image-shrink_1280/B4EZ2xGpi5GkAg-/0/1776792803775/ICP3_AdSet1_Darkpng?e=2147483647&amp;v=beta&amp;t=AqsGH2mjjyT1lgndJnjkLjx90v3LNaufPQVuq_2nLTE","View Creative")</f>
        <v>View Creative</v>
      </c>
      <c r="L4286" s="6" t="s">
        <v>62</v>
      </c>
      <c r="M4286" s="6" t="s">
        <v>8270</v>
      </c>
      <c r="N4286" s="6" t="s">
        <v>8324</v>
      </c>
      <c r="O4286" s="36" t="s">
        <v>7541</v>
      </c>
      <c r="P4286" s="36" t="s">
        <v>7542</v>
      </c>
      <c r="Q4286" s="38"/>
    </row>
    <row r="4287">
      <c r="A4287" s="6" t="s">
        <v>8270</v>
      </c>
      <c r="B4287" s="6" t="s">
        <v>8271</v>
      </c>
      <c r="C4287" s="6">
        <v>236.0</v>
      </c>
      <c r="D4287" s="9" t="str">
        <f t="shared" si="580"/>
        <v>Open Ad</v>
      </c>
      <c r="E4287" s="6" t="s">
        <v>91</v>
      </c>
      <c r="F4287" s="6" t="s">
        <v>8022</v>
      </c>
      <c r="G4287" s="6" t="s">
        <v>8328</v>
      </c>
      <c r="H4287" s="6" t="s">
        <v>55</v>
      </c>
      <c r="I4287" s="6" t="s">
        <v>8273</v>
      </c>
      <c r="J4287" s="6" t="s">
        <v>91</v>
      </c>
      <c r="K4287" s="12" t="str">
        <f t="shared" si="581"/>
        <v>View Creative</v>
      </c>
      <c r="L4287" s="6" t="s">
        <v>62</v>
      </c>
      <c r="M4287" s="6" t="s">
        <v>8270</v>
      </c>
      <c r="N4287" s="6" t="s">
        <v>8324</v>
      </c>
      <c r="O4287" s="36" t="s">
        <v>7541</v>
      </c>
      <c r="P4287" s="36" t="s">
        <v>7542</v>
      </c>
      <c r="Q4287" s="38"/>
    </row>
    <row r="4288">
      <c r="A4288" s="6" t="s">
        <v>8270</v>
      </c>
      <c r="B4288" s="6" t="s">
        <v>8271</v>
      </c>
      <c r="C4288" s="6">
        <v>237.0</v>
      </c>
      <c r="D4288" s="9" t="str">
        <f t="shared" ref="D4288:D4289" si="582">HYPERLINK("https://www.linkedin.com/ad-library/detail/1280880044","Open Ad")</f>
        <v>Open Ad</v>
      </c>
      <c r="E4288" s="6" t="s">
        <v>91</v>
      </c>
      <c r="F4288" s="6" t="s">
        <v>8022</v>
      </c>
      <c r="G4288" s="6" t="s">
        <v>8326</v>
      </c>
      <c r="H4288" s="6" t="s">
        <v>55</v>
      </c>
      <c r="I4288" s="6" t="s">
        <v>8273</v>
      </c>
      <c r="J4288" s="6" t="s">
        <v>91</v>
      </c>
      <c r="K4288" s="12" t="str">
        <f t="shared" ref="K4288:K4289" si="583">HYPERLINK("https://media.licdn.com/dms/image/v2/D4E10AQHboPdOJQaedw/image-shrink_1280/B4EZ2xCtEuIAAg-/0/1776791769678/ICP1_AdSet1_Lightjpg?e=2147483647&amp;v=beta&amp;t=Um24nNHJ_d8P5ydJlnq4NmW4aG0BNSV6kS9R5RQTlUQ","View Creative")</f>
        <v>View Creative</v>
      </c>
      <c r="L4288" s="6" t="s">
        <v>62</v>
      </c>
      <c r="M4288" s="6" t="s">
        <v>8270</v>
      </c>
      <c r="N4288" s="6" t="s">
        <v>8323</v>
      </c>
      <c r="O4288" s="36" t="s">
        <v>7541</v>
      </c>
      <c r="P4288" s="36" t="s">
        <v>7542</v>
      </c>
      <c r="Q4288" s="38"/>
    </row>
    <row r="4289">
      <c r="A4289" s="6" t="s">
        <v>8270</v>
      </c>
      <c r="B4289" s="6" t="s">
        <v>8271</v>
      </c>
      <c r="C4289" s="6">
        <v>238.0</v>
      </c>
      <c r="D4289" s="9" t="str">
        <f t="shared" si="582"/>
        <v>Open Ad</v>
      </c>
      <c r="E4289" s="6" t="s">
        <v>91</v>
      </c>
      <c r="F4289" s="6" t="s">
        <v>8022</v>
      </c>
      <c r="G4289" s="6" t="s">
        <v>8326</v>
      </c>
      <c r="H4289" s="6" t="s">
        <v>55</v>
      </c>
      <c r="I4289" s="6" t="s">
        <v>8273</v>
      </c>
      <c r="J4289" s="6" t="s">
        <v>91</v>
      </c>
      <c r="K4289" s="12" t="str">
        <f t="shared" si="583"/>
        <v>View Creative</v>
      </c>
      <c r="L4289" s="6" t="s">
        <v>62</v>
      </c>
      <c r="M4289" s="6" t="s">
        <v>8270</v>
      </c>
      <c r="N4289" s="6" t="s">
        <v>8323</v>
      </c>
      <c r="O4289" s="36" t="s">
        <v>7541</v>
      </c>
      <c r="P4289" s="36" t="s">
        <v>7542</v>
      </c>
      <c r="Q4289" s="38"/>
    </row>
    <row r="4290">
      <c r="A4290" s="6" t="s">
        <v>8270</v>
      </c>
      <c r="B4290" s="6" t="s">
        <v>8271</v>
      </c>
      <c r="C4290" s="6">
        <v>239.0</v>
      </c>
      <c r="D4290" s="9" t="str">
        <f t="shared" ref="D4290:D4291" si="584">HYPERLINK("https://www.linkedin.com/ad-library/detail/1278397144","Open Ad")</f>
        <v>Open Ad</v>
      </c>
      <c r="E4290" s="6" t="s">
        <v>91</v>
      </c>
      <c r="F4290" s="6" t="s">
        <v>8022</v>
      </c>
      <c r="G4290" s="6" t="s">
        <v>8328</v>
      </c>
      <c r="H4290" s="6" t="s">
        <v>55</v>
      </c>
      <c r="I4290" s="6" t="s">
        <v>8273</v>
      </c>
      <c r="J4290" s="6" t="s">
        <v>91</v>
      </c>
      <c r="K4290" s="12" t="str">
        <f t="shared" ref="K4290:K4291" si="585">HYPERLINK("https://media.licdn.com/dms/image/v2/D4E10AQGCxq_0yPjurA/image-shrink_1280/B4EZ2xG2_JJ8Ac-/0/1776792858907/ICP3_AdSet1_Lightjpg?e=2147483647&amp;v=beta&amp;t=xk6v_Q4Vji4zb7qVkUJHyuST-PgBXdjzk3K6sqcWoHw","View Creative")</f>
        <v>View Creative</v>
      </c>
      <c r="L4290" s="6" t="s">
        <v>62</v>
      </c>
      <c r="M4290" s="6" t="s">
        <v>8270</v>
      </c>
      <c r="N4290" s="6" t="s">
        <v>8324</v>
      </c>
      <c r="O4290" s="36" t="s">
        <v>7541</v>
      </c>
      <c r="P4290" s="36" t="s">
        <v>7542</v>
      </c>
      <c r="Q4290" s="38"/>
    </row>
    <row r="4291">
      <c r="A4291" s="6" t="s">
        <v>8270</v>
      </c>
      <c r="B4291" s="6" t="s">
        <v>8271</v>
      </c>
      <c r="C4291" s="6">
        <v>240.0</v>
      </c>
      <c r="D4291" s="9" t="str">
        <f t="shared" si="584"/>
        <v>Open Ad</v>
      </c>
      <c r="E4291" s="6" t="s">
        <v>91</v>
      </c>
      <c r="F4291" s="6" t="s">
        <v>8022</v>
      </c>
      <c r="G4291" s="6" t="s">
        <v>8328</v>
      </c>
      <c r="H4291" s="6" t="s">
        <v>55</v>
      </c>
      <c r="I4291" s="6" t="s">
        <v>8273</v>
      </c>
      <c r="J4291" s="6" t="s">
        <v>91</v>
      </c>
      <c r="K4291" s="12" t="str">
        <f t="shared" si="585"/>
        <v>View Creative</v>
      </c>
      <c r="L4291" s="6" t="s">
        <v>62</v>
      </c>
      <c r="M4291" s="6" t="s">
        <v>8270</v>
      </c>
      <c r="N4291" s="6" t="s">
        <v>8324</v>
      </c>
      <c r="O4291" s="36" t="s">
        <v>7541</v>
      </c>
      <c r="P4291" s="36" t="s">
        <v>7542</v>
      </c>
      <c r="Q4291" s="38"/>
    </row>
    <row r="4292">
      <c r="A4292" s="6" t="s">
        <v>8270</v>
      </c>
      <c r="B4292" s="6" t="s">
        <v>8271</v>
      </c>
      <c r="C4292" s="6">
        <v>241.0</v>
      </c>
      <c r="D4292" s="9" t="str">
        <f t="shared" ref="D4292:D4293" si="586">HYPERLINK("https://www.linkedin.com/ad-library/detail/1279398084","Open Ad")</f>
        <v>Open Ad</v>
      </c>
      <c r="E4292" s="6" t="s">
        <v>91</v>
      </c>
      <c r="F4292" s="6" t="s">
        <v>8022</v>
      </c>
      <c r="G4292" s="6" t="s">
        <v>8320</v>
      </c>
      <c r="H4292" s="6" t="s">
        <v>55</v>
      </c>
      <c r="I4292" s="6" t="s">
        <v>8273</v>
      </c>
      <c r="J4292" s="6" t="s">
        <v>91</v>
      </c>
      <c r="K4292" s="12" t="str">
        <f t="shared" ref="K4292:K4293" si="587">HYPERLINK("https://media.licdn.com/dms/image/v2/D4E10AQHT1ADMSdDOXw/image-shrink_1280/B4EZ2xDMpMHMAc-/0/1776791898999/ICP1_AdSet2_Lightjpg?e=2147483647&amp;v=beta&amp;t=2ApWrFxyU3-yDayf_--T9kTsWZUYnuHu9TY_RgnAKl0","View Creative")</f>
        <v>View Creative</v>
      </c>
      <c r="L4292" s="6" t="s">
        <v>62</v>
      </c>
      <c r="M4292" s="6" t="s">
        <v>8270</v>
      </c>
      <c r="N4292" s="6" t="s">
        <v>8323</v>
      </c>
      <c r="O4292" s="36" t="s">
        <v>7541</v>
      </c>
      <c r="P4292" s="36" t="s">
        <v>7542</v>
      </c>
      <c r="Q4292" s="38"/>
    </row>
    <row r="4293">
      <c r="A4293" s="6" t="s">
        <v>8270</v>
      </c>
      <c r="B4293" s="6" t="s">
        <v>8271</v>
      </c>
      <c r="C4293" s="6">
        <v>242.0</v>
      </c>
      <c r="D4293" s="9" t="str">
        <f t="shared" si="586"/>
        <v>Open Ad</v>
      </c>
      <c r="E4293" s="6" t="s">
        <v>91</v>
      </c>
      <c r="F4293" s="6" t="s">
        <v>8022</v>
      </c>
      <c r="G4293" s="6" t="s">
        <v>8320</v>
      </c>
      <c r="H4293" s="6" t="s">
        <v>55</v>
      </c>
      <c r="I4293" s="6" t="s">
        <v>8273</v>
      </c>
      <c r="J4293" s="6" t="s">
        <v>91</v>
      </c>
      <c r="K4293" s="12" t="str">
        <f t="shared" si="587"/>
        <v>View Creative</v>
      </c>
      <c r="L4293" s="6" t="s">
        <v>62</v>
      </c>
      <c r="M4293" s="6" t="s">
        <v>8270</v>
      </c>
      <c r="N4293" s="6" t="s">
        <v>8323</v>
      </c>
      <c r="O4293" s="36" t="s">
        <v>7541</v>
      </c>
      <c r="P4293" s="36" t="s">
        <v>7542</v>
      </c>
      <c r="Q4293" s="38"/>
    </row>
    <row r="4294">
      <c r="A4294" s="6" t="s">
        <v>8270</v>
      </c>
      <c r="B4294" s="6" t="s">
        <v>8271</v>
      </c>
      <c r="C4294" s="6">
        <v>243.0</v>
      </c>
      <c r="D4294" s="9" t="str">
        <f t="shared" ref="D4294:D4295" si="588">HYPERLINK("https://www.linkedin.com/ad-library/detail/1280097574","Open Ad")</f>
        <v>Open Ad</v>
      </c>
      <c r="E4294" s="6" t="s">
        <v>91</v>
      </c>
      <c r="F4294" s="6" t="s">
        <v>8022</v>
      </c>
      <c r="G4294" s="6" t="s">
        <v>8328</v>
      </c>
      <c r="H4294" s="6" t="s">
        <v>55</v>
      </c>
      <c r="I4294" s="6" t="s">
        <v>8273</v>
      </c>
      <c r="J4294" s="6" t="s">
        <v>91</v>
      </c>
      <c r="K4294" s="12" t="str">
        <f t="shared" ref="K4294:K4295" si="589">HYPERLINK("https://media.licdn.com/dms/image/v2/D4E10AQGCxq_0yPjurA/image-shrink_1280/B4EZ2xG2_JJ8Ac-/0/1776792858907/ICP3_AdSet1_Lightjpg?e=2147483647&amp;v=beta&amp;t=xk6v_Q4Vji4zb7qVkUJHyuST-PgBXdjzk3K6sqcWoHw","View Creative")</f>
        <v>View Creative</v>
      </c>
      <c r="L4294" s="6" t="s">
        <v>62</v>
      </c>
      <c r="M4294" s="6" t="s">
        <v>8270</v>
      </c>
      <c r="N4294" s="6"/>
      <c r="O4294" s="36" t="s">
        <v>7541</v>
      </c>
      <c r="P4294" s="36" t="s">
        <v>7542</v>
      </c>
      <c r="Q4294" s="38"/>
    </row>
    <row r="4295">
      <c r="A4295" s="6" t="s">
        <v>8270</v>
      </c>
      <c r="B4295" s="6" t="s">
        <v>8271</v>
      </c>
      <c r="C4295" s="6">
        <v>244.0</v>
      </c>
      <c r="D4295" s="9" t="str">
        <f t="shared" si="588"/>
        <v>Open Ad</v>
      </c>
      <c r="E4295" s="6" t="s">
        <v>91</v>
      </c>
      <c r="F4295" s="6" t="s">
        <v>8022</v>
      </c>
      <c r="G4295" s="6" t="s">
        <v>8328</v>
      </c>
      <c r="H4295" s="6" t="s">
        <v>55</v>
      </c>
      <c r="I4295" s="6" t="s">
        <v>8273</v>
      </c>
      <c r="J4295" s="6" t="s">
        <v>91</v>
      </c>
      <c r="K4295" s="12" t="str">
        <f t="shared" si="589"/>
        <v>View Creative</v>
      </c>
      <c r="L4295" s="6" t="s">
        <v>62</v>
      </c>
      <c r="M4295" s="6" t="s">
        <v>8270</v>
      </c>
      <c r="N4295" s="6"/>
      <c r="O4295" s="36" t="s">
        <v>7541</v>
      </c>
      <c r="P4295" s="36" t="s">
        <v>7542</v>
      </c>
      <c r="Q4295" s="38"/>
    </row>
    <row r="4296">
      <c r="A4296" s="6" t="s">
        <v>8270</v>
      </c>
      <c r="B4296" s="6" t="s">
        <v>8271</v>
      </c>
      <c r="C4296" s="6">
        <v>245.0</v>
      </c>
      <c r="D4296" s="9" t="str">
        <f t="shared" ref="D4296:D4297" si="590">HYPERLINK("https://www.linkedin.com/ad-library/detail/1279898074","Open Ad")</f>
        <v>Open Ad</v>
      </c>
      <c r="E4296" s="6" t="s">
        <v>91</v>
      </c>
      <c r="F4296" s="6" t="s">
        <v>8022</v>
      </c>
      <c r="G4296" s="6" t="s">
        <v>8326</v>
      </c>
      <c r="H4296" s="6" t="s">
        <v>55</v>
      </c>
      <c r="I4296" s="6" t="s">
        <v>8273</v>
      </c>
      <c r="J4296" s="6" t="s">
        <v>91</v>
      </c>
      <c r="K4296" s="12" t="str">
        <f t="shared" ref="K4296:K4297" si="591">HYPERLINK("https://media.licdn.com/dms/image/v2/D4E10AQHboPdOJQaedw/image-shrink_1280/B4EZ2xCtEuIAAg-/0/1776791769678/ICP1_AdSet1_Lightjpg?e=2147483647&amp;v=beta&amp;t=Um24nNHJ_d8P5ydJlnq4NmW4aG0BNSV6kS9R5RQTlUQ","View Creative")</f>
        <v>View Creative</v>
      </c>
      <c r="L4296" s="6" t="s">
        <v>62</v>
      </c>
      <c r="M4296" s="6" t="s">
        <v>8270</v>
      </c>
      <c r="N4296" s="6"/>
      <c r="O4296" s="36" t="s">
        <v>7541</v>
      </c>
      <c r="P4296" s="36" t="s">
        <v>7542</v>
      </c>
      <c r="Q4296" s="38"/>
    </row>
    <row r="4297">
      <c r="A4297" s="6" t="s">
        <v>8270</v>
      </c>
      <c r="B4297" s="6" t="s">
        <v>8271</v>
      </c>
      <c r="C4297" s="6">
        <v>246.0</v>
      </c>
      <c r="D4297" s="9" t="str">
        <f t="shared" si="590"/>
        <v>Open Ad</v>
      </c>
      <c r="E4297" s="6" t="s">
        <v>91</v>
      </c>
      <c r="F4297" s="6" t="s">
        <v>8022</v>
      </c>
      <c r="G4297" s="6" t="s">
        <v>8326</v>
      </c>
      <c r="H4297" s="6" t="s">
        <v>55</v>
      </c>
      <c r="I4297" s="6" t="s">
        <v>8273</v>
      </c>
      <c r="J4297" s="6" t="s">
        <v>91</v>
      </c>
      <c r="K4297" s="12" t="str">
        <f t="shared" si="591"/>
        <v>View Creative</v>
      </c>
      <c r="L4297" s="6" t="s">
        <v>62</v>
      </c>
      <c r="M4297" s="6" t="s">
        <v>8270</v>
      </c>
      <c r="N4297" s="6"/>
      <c r="O4297" s="36" t="s">
        <v>7541</v>
      </c>
      <c r="P4297" s="36" t="s">
        <v>7542</v>
      </c>
      <c r="Q4297" s="38"/>
    </row>
    <row r="4298">
      <c r="A4298" s="6" t="s">
        <v>8270</v>
      </c>
      <c r="B4298" s="6" t="s">
        <v>8271</v>
      </c>
      <c r="C4298" s="6">
        <v>247.0</v>
      </c>
      <c r="D4298" s="9" t="str">
        <f t="shared" ref="D4298:D4299" si="592">HYPERLINK("https://www.linkedin.com/ad-library/detail/1231999664","Open Ad")</f>
        <v>Open Ad</v>
      </c>
      <c r="E4298" s="6" t="s">
        <v>154</v>
      </c>
      <c r="F4298" s="6" t="s">
        <v>8022</v>
      </c>
      <c r="G4298" s="6" t="s">
        <v>8330</v>
      </c>
      <c r="H4298" s="6" t="s">
        <v>55</v>
      </c>
      <c r="I4298" s="6" t="s">
        <v>8273</v>
      </c>
      <c r="J4298" s="6" t="s">
        <v>154</v>
      </c>
      <c r="K4298" s="12" t="str">
        <f t="shared" ref="K4298:K4299" si="593">HYPERLINK("https://dms.licdn.com/playlist/vid/v2/D4E10AQH0Ca-Sn4XhMQ/mp4-640p-30fp-crf28/B4EZzi4kxTHsCI-/0/1773333010516/Actions_Video?e=2147483647&amp;v=beta&amp;t=FDXuSzT-Qrxa4MI1pXFkbgIPU53h8h_D7F4AVbO10gY","View Creative")</f>
        <v>View Creative</v>
      </c>
      <c r="L4298" s="6" t="s">
        <v>62</v>
      </c>
      <c r="M4298" s="6" t="s">
        <v>8270</v>
      </c>
      <c r="N4298" s="6"/>
      <c r="O4298" s="36" t="s">
        <v>7541</v>
      </c>
      <c r="P4298" s="36" t="s">
        <v>7542</v>
      </c>
      <c r="Q4298" s="38"/>
    </row>
    <row r="4299">
      <c r="A4299" s="6" t="s">
        <v>8270</v>
      </c>
      <c r="B4299" s="6" t="s">
        <v>8271</v>
      </c>
      <c r="C4299" s="6">
        <v>248.0</v>
      </c>
      <c r="D4299" s="9" t="str">
        <f t="shared" si="592"/>
        <v>Open Ad</v>
      </c>
      <c r="E4299" s="6" t="s">
        <v>154</v>
      </c>
      <c r="F4299" s="6" t="s">
        <v>8022</v>
      </c>
      <c r="G4299" s="6" t="s">
        <v>8330</v>
      </c>
      <c r="H4299" s="6" t="s">
        <v>55</v>
      </c>
      <c r="I4299" s="6" t="s">
        <v>8273</v>
      </c>
      <c r="J4299" s="6" t="s">
        <v>154</v>
      </c>
      <c r="K4299" s="12" t="str">
        <f t="shared" si="593"/>
        <v>View Creative</v>
      </c>
      <c r="L4299" s="6" t="s">
        <v>62</v>
      </c>
      <c r="M4299" s="6" t="s">
        <v>8270</v>
      </c>
      <c r="N4299" s="6"/>
      <c r="O4299" s="36" t="s">
        <v>7541</v>
      </c>
      <c r="P4299" s="36" t="s">
        <v>7542</v>
      </c>
      <c r="Q4299" s="38"/>
    </row>
    <row r="4300">
      <c r="A4300" s="6" t="s">
        <v>8270</v>
      </c>
      <c r="B4300" s="6" t="s">
        <v>8271</v>
      </c>
      <c r="C4300" s="6">
        <v>249.0</v>
      </c>
      <c r="D4300" s="9" t="str">
        <f t="shared" ref="D4300:D4301" si="594">HYPERLINK("https://www.linkedin.com/ad-library/detail/1151485614","Open Ad")</f>
        <v>Open Ad</v>
      </c>
      <c r="E4300" s="6" t="s">
        <v>91</v>
      </c>
      <c r="F4300" s="6" t="s">
        <v>8022</v>
      </c>
      <c r="G4300" s="6" t="s">
        <v>8331</v>
      </c>
      <c r="H4300" s="6" t="s">
        <v>55</v>
      </c>
      <c r="I4300" s="6" t="s">
        <v>8273</v>
      </c>
      <c r="J4300" s="6" t="s">
        <v>91</v>
      </c>
      <c r="K4300" s="12" t="str">
        <f t="shared" ref="K4300:K4301" si="595">HYPERLINK("https://media.licdn.com/dms/image/v2/D4E10AQGtKok9G8Co_w/image-shrink_1280/B4EZybCoR6GYAc-/0/1772127684186/Directory1GetExpertHelpforAISearchpng?e=2147483647&amp;v=beta&amp;t=yrXbbpw2S9-81UaSPTZiQy5YHeY24f0r4iwEMY9FO9E","View Creative")</f>
        <v>View Creative</v>
      </c>
      <c r="L4300" s="6" t="s">
        <v>62</v>
      </c>
      <c r="M4300" s="6" t="s">
        <v>8270</v>
      </c>
      <c r="N4300" s="6" t="s">
        <v>8332</v>
      </c>
      <c r="O4300" s="36" t="s">
        <v>7541</v>
      </c>
      <c r="P4300" s="36" t="s">
        <v>7542</v>
      </c>
      <c r="Q4300" s="38"/>
    </row>
    <row r="4301">
      <c r="A4301" s="6" t="s">
        <v>8270</v>
      </c>
      <c r="B4301" s="6" t="s">
        <v>8271</v>
      </c>
      <c r="C4301" s="6">
        <v>250.0</v>
      </c>
      <c r="D4301" s="9" t="str">
        <f t="shared" si="594"/>
        <v>Open Ad</v>
      </c>
      <c r="E4301" s="6" t="s">
        <v>91</v>
      </c>
      <c r="F4301" s="6" t="s">
        <v>8022</v>
      </c>
      <c r="G4301" s="6" t="s">
        <v>8331</v>
      </c>
      <c r="H4301" s="6" t="s">
        <v>55</v>
      </c>
      <c r="I4301" s="6" t="s">
        <v>8273</v>
      </c>
      <c r="J4301" s="6" t="s">
        <v>91</v>
      </c>
      <c r="K4301" s="12" t="str">
        <f t="shared" si="595"/>
        <v>View Creative</v>
      </c>
      <c r="L4301" s="6" t="s">
        <v>62</v>
      </c>
      <c r="M4301" s="6" t="s">
        <v>8270</v>
      </c>
      <c r="N4301" s="6" t="s">
        <v>8332</v>
      </c>
      <c r="O4301" s="36" t="s">
        <v>7541</v>
      </c>
      <c r="P4301" s="36" t="s">
        <v>7542</v>
      </c>
      <c r="Q4301" s="38"/>
    </row>
    <row r="4302">
      <c r="A4302" s="6" t="s">
        <v>8270</v>
      </c>
      <c r="B4302" s="6" t="s">
        <v>8271</v>
      </c>
      <c r="C4302" s="6">
        <v>251.0</v>
      </c>
      <c r="D4302" s="9" t="str">
        <f t="shared" ref="D4302:D4303" si="596">HYPERLINK("https://www.linkedin.com/ad-library/detail/1232195164","Open Ad")</f>
        <v>Open Ad</v>
      </c>
      <c r="E4302" s="6" t="s">
        <v>154</v>
      </c>
      <c r="F4302" s="6" t="s">
        <v>8022</v>
      </c>
      <c r="G4302" s="6" t="s">
        <v>8330</v>
      </c>
      <c r="H4302" s="6" t="s">
        <v>55</v>
      </c>
      <c r="I4302" s="6" t="s">
        <v>8273</v>
      </c>
      <c r="J4302" s="6" t="s">
        <v>154</v>
      </c>
      <c r="K4302" s="12" t="str">
        <f t="shared" ref="K4302:K4307" si="597">HYPERLINK("https://dms.licdn.com/playlist/vid/v2/D4E10AQH0Ca-Sn4XhMQ/mp4-640p-30fp-crf28/B4EZzi4kxTHsCI-/0/1773333010516/Actions_Video?e=2147483647&amp;v=beta&amp;t=FDXuSzT-Qrxa4MI1pXFkbgIPU53h8h_D7F4AVbO10gY","View Creative")</f>
        <v>View Creative</v>
      </c>
      <c r="L4302" s="6" t="s">
        <v>62</v>
      </c>
      <c r="M4302" s="6" t="s">
        <v>8270</v>
      </c>
      <c r="N4302" s="6" t="s">
        <v>8333</v>
      </c>
      <c r="O4302" s="36" t="s">
        <v>7541</v>
      </c>
      <c r="P4302" s="36" t="s">
        <v>7542</v>
      </c>
      <c r="Q4302" s="38"/>
    </row>
    <row r="4303">
      <c r="A4303" s="6" t="s">
        <v>8270</v>
      </c>
      <c r="B4303" s="6" t="s">
        <v>8271</v>
      </c>
      <c r="C4303" s="6">
        <v>252.0</v>
      </c>
      <c r="D4303" s="9" t="str">
        <f t="shared" si="596"/>
        <v>Open Ad</v>
      </c>
      <c r="E4303" s="6" t="s">
        <v>154</v>
      </c>
      <c r="F4303" s="6" t="s">
        <v>8022</v>
      </c>
      <c r="G4303" s="6" t="s">
        <v>8330</v>
      </c>
      <c r="H4303" s="6" t="s">
        <v>55</v>
      </c>
      <c r="I4303" s="6" t="s">
        <v>8273</v>
      </c>
      <c r="J4303" s="6" t="s">
        <v>154</v>
      </c>
      <c r="K4303" s="12" t="str">
        <f t="shared" si="597"/>
        <v>View Creative</v>
      </c>
      <c r="L4303" s="6" t="s">
        <v>62</v>
      </c>
      <c r="M4303" s="6" t="s">
        <v>8270</v>
      </c>
      <c r="N4303" s="6" t="s">
        <v>8333</v>
      </c>
      <c r="O4303" s="36" t="s">
        <v>7541</v>
      </c>
      <c r="P4303" s="36" t="s">
        <v>7542</v>
      </c>
      <c r="Q4303" s="38"/>
    </row>
    <row r="4304">
      <c r="A4304" s="6" t="s">
        <v>8270</v>
      </c>
      <c r="B4304" s="6" t="s">
        <v>8271</v>
      </c>
      <c r="C4304" s="6">
        <v>253.0</v>
      </c>
      <c r="D4304" s="9" t="str">
        <f t="shared" ref="D4304:D4305" si="598">HYPERLINK("https://www.linkedin.com/ad-library/detail/1232194814","Open Ad")</f>
        <v>Open Ad</v>
      </c>
      <c r="E4304" s="6" t="s">
        <v>154</v>
      </c>
      <c r="F4304" s="6" t="s">
        <v>8022</v>
      </c>
      <c r="G4304" s="6" t="s">
        <v>8330</v>
      </c>
      <c r="H4304" s="6" t="s">
        <v>55</v>
      </c>
      <c r="I4304" s="6" t="s">
        <v>8273</v>
      </c>
      <c r="J4304" s="6" t="s">
        <v>154</v>
      </c>
      <c r="K4304" s="12" t="str">
        <f t="shared" si="597"/>
        <v>View Creative</v>
      </c>
      <c r="L4304" s="6" t="s">
        <v>62</v>
      </c>
      <c r="M4304" s="6" t="s">
        <v>8270</v>
      </c>
      <c r="N4304" s="6" t="s">
        <v>8333</v>
      </c>
      <c r="O4304" s="36" t="s">
        <v>7541</v>
      </c>
      <c r="P4304" s="36" t="s">
        <v>7542</v>
      </c>
      <c r="Q4304" s="38"/>
    </row>
    <row r="4305">
      <c r="A4305" s="6" t="s">
        <v>8270</v>
      </c>
      <c r="B4305" s="6" t="s">
        <v>8271</v>
      </c>
      <c r="C4305" s="6">
        <v>254.0</v>
      </c>
      <c r="D4305" s="9" t="str">
        <f t="shared" si="598"/>
        <v>Open Ad</v>
      </c>
      <c r="E4305" s="6" t="s">
        <v>154</v>
      </c>
      <c r="F4305" s="6" t="s">
        <v>8022</v>
      </c>
      <c r="G4305" s="6" t="s">
        <v>8330</v>
      </c>
      <c r="H4305" s="6" t="s">
        <v>55</v>
      </c>
      <c r="I4305" s="6" t="s">
        <v>8273</v>
      </c>
      <c r="J4305" s="6" t="s">
        <v>154</v>
      </c>
      <c r="K4305" s="12" t="str">
        <f t="shared" si="597"/>
        <v>View Creative</v>
      </c>
      <c r="L4305" s="6" t="s">
        <v>62</v>
      </c>
      <c r="M4305" s="6" t="s">
        <v>8270</v>
      </c>
      <c r="N4305" s="6" t="s">
        <v>8333</v>
      </c>
      <c r="O4305" s="36" t="s">
        <v>7541</v>
      </c>
      <c r="P4305" s="36" t="s">
        <v>7542</v>
      </c>
      <c r="Q4305" s="38"/>
    </row>
    <row r="4306">
      <c r="A4306" s="6" t="s">
        <v>8270</v>
      </c>
      <c r="B4306" s="6" t="s">
        <v>8271</v>
      </c>
      <c r="C4306" s="6">
        <v>255.0</v>
      </c>
      <c r="D4306" s="9" t="str">
        <f t="shared" ref="D4306:D4307" si="599">HYPERLINK("https://www.linkedin.com/ad-library/detail/1231209484","Open Ad")</f>
        <v>Open Ad</v>
      </c>
      <c r="E4306" s="6" t="s">
        <v>154</v>
      </c>
      <c r="F4306" s="6" t="s">
        <v>8022</v>
      </c>
      <c r="G4306" s="6" t="s">
        <v>8330</v>
      </c>
      <c r="H4306" s="6" t="s">
        <v>55</v>
      </c>
      <c r="I4306" s="6" t="s">
        <v>8273</v>
      </c>
      <c r="J4306" s="6" t="s">
        <v>154</v>
      </c>
      <c r="K4306" s="12" t="str">
        <f t="shared" si="597"/>
        <v>View Creative</v>
      </c>
      <c r="L4306" s="6" t="s">
        <v>62</v>
      </c>
      <c r="M4306" s="6" t="s">
        <v>8270</v>
      </c>
      <c r="N4306" s="6" t="s">
        <v>8333</v>
      </c>
      <c r="O4306" s="36" t="s">
        <v>7541</v>
      </c>
      <c r="P4306" s="36" t="s">
        <v>7542</v>
      </c>
      <c r="Q4306" s="38"/>
    </row>
    <row r="4307">
      <c r="A4307" s="6" t="s">
        <v>8270</v>
      </c>
      <c r="B4307" s="6" t="s">
        <v>8271</v>
      </c>
      <c r="C4307" s="6">
        <v>256.0</v>
      </c>
      <c r="D4307" s="9" t="str">
        <f t="shared" si="599"/>
        <v>Open Ad</v>
      </c>
      <c r="E4307" s="6" t="s">
        <v>154</v>
      </c>
      <c r="F4307" s="6" t="s">
        <v>8022</v>
      </c>
      <c r="G4307" s="6" t="s">
        <v>8330</v>
      </c>
      <c r="H4307" s="6" t="s">
        <v>55</v>
      </c>
      <c r="I4307" s="6" t="s">
        <v>8273</v>
      </c>
      <c r="J4307" s="6" t="s">
        <v>154</v>
      </c>
      <c r="K4307" s="12" t="str">
        <f t="shared" si="597"/>
        <v>View Creative</v>
      </c>
      <c r="L4307" s="6" t="s">
        <v>62</v>
      </c>
      <c r="M4307" s="6" t="s">
        <v>8270</v>
      </c>
      <c r="N4307" s="6" t="s">
        <v>8333</v>
      </c>
      <c r="O4307" s="36" t="s">
        <v>7541</v>
      </c>
      <c r="P4307" s="36" t="s">
        <v>7542</v>
      </c>
      <c r="Q4307" s="38"/>
    </row>
    <row r="4308">
      <c r="A4308" s="6" t="s">
        <v>8270</v>
      </c>
      <c r="B4308" s="6" t="s">
        <v>8271</v>
      </c>
      <c r="C4308" s="6">
        <v>257.0</v>
      </c>
      <c r="D4308" s="9" t="str">
        <f t="shared" ref="D4308:D4309" si="600">HYPERLINK("https://www.linkedin.com/ad-library/detail/1152585854","Open Ad")</f>
        <v>Open Ad</v>
      </c>
      <c r="E4308" s="6" t="s">
        <v>91</v>
      </c>
      <c r="F4308" s="6" t="s">
        <v>8022</v>
      </c>
      <c r="G4308" s="6" t="s">
        <v>8334</v>
      </c>
      <c r="H4308" s="6" t="s">
        <v>55</v>
      </c>
      <c r="I4308" s="6" t="s">
        <v>8273</v>
      </c>
      <c r="J4308" s="6" t="s">
        <v>91</v>
      </c>
      <c r="K4308" s="12" t="str">
        <f t="shared" ref="K4308:K4309" si="601">HYPERLINK("https://media.licdn.com/dms/image/v2/D4E10AQHXCJsPgcZ4_w/image-shrink_1280/B4EZybCon0JgAg-/0/1772127685657/Directory3GetExpertHelpforAISearchpng?e=2147483647&amp;v=beta&amp;t=HfUSY3XU6uwbZY8wgAX7_lRR7s287cOzcCtZklwj4H0","View Creative")</f>
        <v>View Creative</v>
      </c>
      <c r="L4308" s="6" t="s">
        <v>62</v>
      </c>
      <c r="M4308" s="6" t="s">
        <v>8270</v>
      </c>
      <c r="N4308" s="6" t="s">
        <v>8332</v>
      </c>
      <c r="O4308" s="36" t="s">
        <v>7541</v>
      </c>
      <c r="P4308" s="36" t="s">
        <v>7542</v>
      </c>
      <c r="Q4308" s="38"/>
    </row>
    <row r="4309">
      <c r="A4309" s="6" t="s">
        <v>8270</v>
      </c>
      <c r="B4309" s="6" t="s">
        <v>8271</v>
      </c>
      <c r="C4309" s="6">
        <v>258.0</v>
      </c>
      <c r="D4309" s="9" t="str">
        <f t="shared" si="600"/>
        <v>Open Ad</v>
      </c>
      <c r="E4309" s="6" t="s">
        <v>91</v>
      </c>
      <c r="F4309" s="6" t="s">
        <v>8022</v>
      </c>
      <c r="G4309" s="6" t="s">
        <v>8334</v>
      </c>
      <c r="H4309" s="6" t="s">
        <v>55</v>
      </c>
      <c r="I4309" s="6" t="s">
        <v>8273</v>
      </c>
      <c r="J4309" s="6" t="s">
        <v>91</v>
      </c>
      <c r="K4309" s="12" t="str">
        <f t="shared" si="601"/>
        <v>View Creative</v>
      </c>
      <c r="L4309" s="6" t="s">
        <v>62</v>
      </c>
      <c r="M4309" s="6" t="s">
        <v>8270</v>
      </c>
      <c r="N4309" s="6" t="s">
        <v>8332</v>
      </c>
      <c r="O4309" s="36" t="s">
        <v>7541</v>
      </c>
      <c r="P4309" s="36" t="s">
        <v>7542</v>
      </c>
      <c r="Q4309" s="38"/>
    </row>
    <row r="4310">
      <c r="A4310" s="6" t="s">
        <v>8270</v>
      </c>
      <c r="B4310" s="6" t="s">
        <v>8271</v>
      </c>
      <c r="C4310" s="6">
        <v>259.0</v>
      </c>
      <c r="D4310" s="9" t="str">
        <f t="shared" ref="D4310:D4311" si="602">HYPERLINK("https://www.linkedin.com/ad-library/detail/1230518794","Open Ad")</f>
        <v>Open Ad</v>
      </c>
      <c r="E4310" s="6" t="s">
        <v>154</v>
      </c>
      <c r="F4310" s="6" t="s">
        <v>8022</v>
      </c>
      <c r="G4310" s="6" t="s">
        <v>8330</v>
      </c>
      <c r="H4310" s="6" t="s">
        <v>55</v>
      </c>
      <c r="I4310" s="6" t="s">
        <v>8273</v>
      </c>
      <c r="J4310" s="6" t="s">
        <v>154</v>
      </c>
      <c r="K4310" s="12" t="str">
        <f t="shared" ref="K4310:K4313" si="603">HYPERLINK("https://dms.licdn.com/playlist/vid/v2/D4E10AQH0Ca-Sn4XhMQ/mp4-640p-30fp-crf28/B4EZzi4kxTHsCI-/0/1773333010516/Actions_Video?e=2147483647&amp;v=beta&amp;t=FDXuSzT-Qrxa4MI1pXFkbgIPU53h8h_D7F4AVbO10gY","View Creative")</f>
        <v>View Creative</v>
      </c>
      <c r="L4310" s="6" t="s">
        <v>62</v>
      </c>
      <c r="M4310" s="6" t="s">
        <v>8270</v>
      </c>
      <c r="N4310" s="6" t="s">
        <v>8333</v>
      </c>
      <c r="O4310" s="36" t="s">
        <v>7541</v>
      </c>
      <c r="P4310" s="36" t="s">
        <v>7542</v>
      </c>
      <c r="Q4310" s="38"/>
    </row>
    <row r="4311">
      <c r="A4311" s="6" t="s">
        <v>8270</v>
      </c>
      <c r="B4311" s="6" t="s">
        <v>8271</v>
      </c>
      <c r="C4311" s="6">
        <v>260.0</v>
      </c>
      <c r="D4311" s="9" t="str">
        <f t="shared" si="602"/>
        <v>Open Ad</v>
      </c>
      <c r="E4311" s="6" t="s">
        <v>154</v>
      </c>
      <c r="F4311" s="6" t="s">
        <v>8022</v>
      </c>
      <c r="G4311" s="6" t="s">
        <v>8330</v>
      </c>
      <c r="H4311" s="6" t="s">
        <v>55</v>
      </c>
      <c r="I4311" s="6" t="s">
        <v>8273</v>
      </c>
      <c r="J4311" s="6" t="s">
        <v>154</v>
      </c>
      <c r="K4311" s="12" t="str">
        <f t="shared" si="603"/>
        <v>View Creative</v>
      </c>
      <c r="L4311" s="6" t="s">
        <v>62</v>
      </c>
      <c r="M4311" s="6" t="s">
        <v>8270</v>
      </c>
      <c r="N4311" s="6" t="s">
        <v>8333</v>
      </c>
      <c r="O4311" s="36" t="s">
        <v>7541</v>
      </c>
      <c r="P4311" s="36" t="s">
        <v>7542</v>
      </c>
      <c r="Q4311" s="38"/>
    </row>
    <row r="4312">
      <c r="A4312" s="6" t="s">
        <v>8270</v>
      </c>
      <c r="B4312" s="6" t="s">
        <v>8271</v>
      </c>
      <c r="C4312" s="6">
        <v>261.0</v>
      </c>
      <c r="D4312" s="9" t="str">
        <f t="shared" ref="D4312:D4313" si="604">HYPERLINK("https://www.linkedin.com/ad-library/detail/1230816044","Open Ad")</f>
        <v>Open Ad</v>
      </c>
      <c r="E4312" s="6" t="s">
        <v>154</v>
      </c>
      <c r="F4312" s="6" t="s">
        <v>8022</v>
      </c>
      <c r="G4312" s="6" t="s">
        <v>8330</v>
      </c>
      <c r="H4312" s="6" t="s">
        <v>55</v>
      </c>
      <c r="I4312" s="6" t="s">
        <v>8273</v>
      </c>
      <c r="J4312" s="6" t="s">
        <v>154</v>
      </c>
      <c r="K4312" s="12" t="str">
        <f t="shared" si="603"/>
        <v>View Creative</v>
      </c>
      <c r="L4312" s="6" t="s">
        <v>62</v>
      </c>
      <c r="M4312" s="6" t="s">
        <v>8270</v>
      </c>
      <c r="N4312" s="6"/>
      <c r="O4312" s="36" t="s">
        <v>7541</v>
      </c>
      <c r="P4312" s="36" t="s">
        <v>7542</v>
      </c>
      <c r="Q4312" s="38"/>
    </row>
    <row r="4313">
      <c r="A4313" s="6" t="s">
        <v>8270</v>
      </c>
      <c r="B4313" s="6" t="s">
        <v>8271</v>
      </c>
      <c r="C4313" s="6">
        <v>262.0</v>
      </c>
      <c r="D4313" s="9" t="str">
        <f t="shared" si="604"/>
        <v>Open Ad</v>
      </c>
      <c r="E4313" s="6" t="s">
        <v>154</v>
      </c>
      <c r="F4313" s="6" t="s">
        <v>8022</v>
      </c>
      <c r="G4313" s="6" t="s">
        <v>8330</v>
      </c>
      <c r="H4313" s="6" t="s">
        <v>55</v>
      </c>
      <c r="I4313" s="6" t="s">
        <v>8273</v>
      </c>
      <c r="J4313" s="6" t="s">
        <v>154</v>
      </c>
      <c r="K4313" s="12" t="str">
        <f t="shared" si="603"/>
        <v>View Creative</v>
      </c>
      <c r="L4313" s="6" t="s">
        <v>62</v>
      </c>
      <c r="M4313" s="6" t="s">
        <v>8270</v>
      </c>
      <c r="N4313" s="6"/>
      <c r="O4313" s="36" t="s">
        <v>7541</v>
      </c>
      <c r="P4313" s="36" t="s">
        <v>7542</v>
      </c>
      <c r="Q4313" s="38"/>
    </row>
    <row r="4314">
      <c r="A4314" s="6" t="s">
        <v>8270</v>
      </c>
      <c r="B4314" s="6" t="s">
        <v>8271</v>
      </c>
      <c r="C4314" s="6">
        <v>263.0</v>
      </c>
      <c r="D4314" s="9" t="str">
        <f t="shared" ref="D4314:D4315" si="605">HYPERLINK("https://www.linkedin.com/ad-library/detail/1153085314","Open Ad")</f>
        <v>Open Ad</v>
      </c>
      <c r="E4314" s="6" t="s">
        <v>91</v>
      </c>
      <c r="F4314" s="6" t="s">
        <v>8022</v>
      </c>
      <c r="G4314" s="6" t="s">
        <v>8335</v>
      </c>
      <c r="H4314" s="6" t="s">
        <v>55</v>
      </c>
      <c r="I4314" s="6" t="s">
        <v>8273</v>
      </c>
      <c r="J4314" s="6" t="s">
        <v>91</v>
      </c>
      <c r="K4314" s="12" t="str">
        <f t="shared" ref="K4314:K4315" si="606">HYPERLINK("https://media.licdn.com/dms/image/v2/D4E10AQENGNql_Hfi3w/image-shrink_1280/B4EZybChuMHkAc-/0/1772127657303/Directory2GetExpertHelpforAISearchpng?e=2147483647&amp;v=beta&amp;t=N05A1GpFf-MaOO-coxz8xvXUeDa3TTrq2hacW3d7_j4","View Creative")</f>
        <v>View Creative</v>
      </c>
      <c r="L4314" s="6" t="s">
        <v>62</v>
      </c>
      <c r="M4314" s="6" t="s">
        <v>8270</v>
      </c>
      <c r="N4314" s="6" t="s">
        <v>8336</v>
      </c>
      <c r="O4314" s="36" t="s">
        <v>7541</v>
      </c>
      <c r="P4314" s="36" t="s">
        <v>7542</v>
      </c>
      <c r="Q4314" s="38"/>
    </row>
    <row r="4315">
      <c r="A4315" s="6" t="s">
        <v>8270</v>
      </c>
      <c r="B4315" s="6" t="s">
        <v>8271</v>
      </c>
      <c r="C4315" s="6">
        <v>264.0</v>
      </c>
      <c r="D4315" s="9" t="str">
        <f t="shared" si="605"/>
        <v>Open Ad</v>
      </c>
      <c r="E4315" s="6" t="s">
        <v>91</v>
      </c>
      <c r="F4315" s="6" t="s">
        <v>8022</v>
      </c>
      <c r="G4315" s="6" t="s">
        <v>8335</v>
      </c>
      <c r="H4315" s="6" t="s">
        <v>55</v>
      </c>
      <c r="I4315" s="6" t="s">
        <v>8273</v>
      </c>
      <c r="J4315" s="6" t="s">
        <v>91</v>
      </c>
      <c r="K4315" s="12" t="str">
        <f t="shared" si="606"/>
        <v>View Creative</v>
      </c>
      <c r="L4315" s="6" t="s">
        <v>62</v>
      </c>
      <c r="M4315" s="6" t="s">
        <v>8270</v>
      </c>
      <c r="N4315" s="6" t="s">
        <v>8336</v>
      </c>
      <c r="O4315" s="36" t="s">
        <v>7541</v>
      </c>
      <c r="P4315" s="36" t="s">
        <v>7542</v>
      </c>
      <c r="Q4315" s="38"/>
    </row>
    <row r="4316">
      <c r="A4316" s="6" t="s">
        <v>8270</v>
      </c>
      <c r="B4316" s="6" t="s">
        <v>8271</v>
      </c>
      <c r="C4316" s="6">
        <v>265.0</v>
      </c>
      <c r="D4316" s="9" t="str">
        <f t="shared" ref="D4316:D4317" si="607">HYPERLINK("https://www.linkedin.com/ad-library/detail/1279597904","Open Ad")</f>
        <v>Open Ad</v>
      </c>
      <c r="E4316" s="6" t="s">
        <v>91</v>
      </c>
      <c r="F4316" s="6" t="s">
        <v>8022</v>
      </c>
      <c r="G4316" s="6" t="s">
        <v>8325</v>
      </c>
      <c r="H4316" s="6" t="s">
        <v>55</v>
      </c>
      <c r="I4316" s="6" t="s">
        <v>8273</v>
      </c>
      <c r="J4316" s="6" t="s">
        <v>91</v>
      </c>
      <c r="K4316" s="12" t="str">
        <f t="shared" ref="K4316:K4317" si="608">HYPERLINK("https://media.licdn.com/dms/image/v2/D4E10AQGGcgR4sHu0qQ/image-shrink_1280/B4EZ2xHDCBJ4Ac-/0/1776792908249/ICP3_AdSet2_Lightjpg?e=2147483647&amp;v=beta&amp;t=gL97tpqLwFikDEv9pISN9xLFP8FoS141mSzHUMWWQB8","View Creative")</f>
        <v>View Creative</v>
      </c>
      <c r="L4316" s="6" t="s">
        <v>62</v>
      </c>
      <c r="M4316" s="6" t="s">
        <v>8270</v>
      </c>
      <c r="N4316" s="6"/>
      <c r="O4316" s="36" t="s">
        <v>7541</v>
      </c>
      <c r="P4316" s="36" t="s">
        <v>7542</v>
      </c>
      <c r="Q4316" s="38"/>
    </row>
    <row r="4317">
      <c r="A4317" s="6" t="s">
        <v>8270</v>
      </c>
      <c r="B4317" s="6" t="s">
        <v>8271</v>
      </c>
      <c r="C4317" s="6">
        <v>266.0</v>
      </c>
      <c r="D4317" s="9" t="str">
        <f t="shared" si="607"/>
        <v>Open Ad</v>
      </c>
      <c r="E4317" s="6" t="s">
        <v>91</v>
      </c>
      <c r="F4317" s="6" t="s">
        <v>8022</v>
      </c>
      <c r="G4317" s="6" t="s">
        <v>8325</v>
      </c>
      <c r="H4317" s="6" t="s">
        <v>55</v>
      </c>
      <c r="I4317" s="6" t="s">
        <v>8273</v>
      </c>
      <c r="J4317" s="6" t="s">
        <v>91</v>
      </c>
      <c r="K4317" s="12" t="str">
        <f t="shared" si="608"/>
        <v>View Creative</v>
      </c>
      <c r="L4317" s="6" t="s">
        <v>62</v>
      </c>
      <c r="M4317" s="6" t="s">
        <v>8270</v>
      </c>
      <c r="N4317" s="6"/>
      <c r="O4317" s="36" t="s">
        <v>7541</v>
      </c>
      <c r="P4317" s="36" t="s">
        <v>7542</v>
      </c>
      <c r="Q4317" s="38"/>
    </row>
    <row r="4318">
      <c r="A4318" s="6" t="s">
        <v>8270</v>
      </c>
      <c r="B4318" s="6" t="s">
        <v>8271</v>
      </c>
      <c r="C4318" s="6">
        <v>267.0</v>
      </c>
      <c r="D4318" s="9" t="str">
        <f t="shared" ref="D4318:D4319" si="609">HYPERLINK("https://www.linkedin.com/ad-library/detail/1279097684","Open Ad")</f>
        <v>Open Ad</v>
      </c>
      <c r="E4318" s="6" t="s">
        <v>91</v>
      </c>
      <c r="F4318" s="6" t="s">
        <v>8022</v>
      </c>
      <c r="G4318" s="6" t="s">
        <v>8320</v>
      </c>
      <c r="H4318" s="6" t="s">
        <v>55</v>
      </c>
      <c r="I4318" s="6" t="s">
        <v>8273</v>
      </c>
      <c r="J4318" s="6" t="s">
        <v>91</v>
      </c>
      <c r="K4318" s="12" t="str">
        <f t="shared" ref="K4318:K4319" si="610">HYPERLINK("https://media.licdn.com/dms/image/v2/D4E10AQHT1ADMSdDOXw/image-shrink_1280/B4EZ2xDMpMHMAc-/0/1776791898999/ICP1_AdSet2_Lightjpg?e=2147483647&amp;v=beta&amp;t=2ApWrFxyU3-yDayf_--T9kTsWZUYnuHu9TY_RgnAKl0","View Creative")</f>
        <v>View Creative</v>
      </c>
      <c r="L4318" s="6" t="s">
        <v>62</v>
      </c>
      <c r="M4318" s="6" t="s">
        <v>8270</v>
      </c>
      <c r="N4318" s="6"/>
      <c r="O4318" s="36" t="s">
        <v>7541</v>
      </c>
      <c r="P4318" s="36" t="s">
        <v>7542</v>
      </c>
      <c r="Q4318" s="38"/>
    </row>
    <row r="4319">
      <c r="A4319" s="6" t="s">
        <v>8270</v>
      </c>
      <c r="B4319" s="6" t="s">
        <v>8271</v>
      </c>
      <c r="C4319" s="6">
        <v>268.0</v>
      </c>
      <c r="D4319" s="9" t="str">
        <f t="shared" si="609"/>
        <v>Open Ad</v>
      </c>
      <c r="E4319" s="6" t="s">
        <v>91</v>
      </c>
      <c r="F4319" s="6" t="s">
        <v>8022</v>
      </c>
      <c r="G4319" s="6" t="s">
        <v>8320</v>
      </c>
      <c r="H4319" s="6" t="s">
        <v>55</v>
      </c>
      <c r="I4319" s="6" t="s">
        <v>8273</v>
      </c>
      <c r="J4319" s="6" t="s">
        <v>91</v>
      </c>
      <c r="K4319" s="12" t="str">
        <f t="shared" si="610"/>
        <v>View Creative</v>
      </c>
      <c r="L4319" s="6" t="s">
        <v>62</v>
      </c>
      <c r="M4319" s="6" t="s">
        <v>8270</v>
      </c>
      <c r="N4319" s="6"/>
      <c r="O4319" s="36" t="s">
        <v>7541</v>
      </c>
      <c r="P4319" s="36" t="s">
        <v>7542</v>
      </c>
      <c r="Q4319" s="38"/>
    </row>
    <row r="4320">
      <c r="A4320" s="6" t="s">
        <v>8270</v>
      </c>
      <c r="B4320" s="6" t="s">
        <v>8271</v>
      </c>
      <c r="C4320" s="6">
        <v>269.0</v>
      </c>
      <c r="D4320" s="9" t="str">
        <f t="shared" ref="D4320:D4321" si="611">HYPERLINK("https://www.linkedin.com/ad-library/detail/1230912374","Open Ad")</f>
        <v>Open Ad</v>
      </c>
      <c r="E4320" s="6" t="s">
        <v>154</v>
      </c>
      <c r="F4320" s="6" t="s">
        <v>8022</v>
      </c>
      <c r="G4320" s="6" t="s">
        <v>8330</v>
      </c>
      <c r="H4320" s="6" t="s">
        <v>55</v>
      </c>
      <c r="I4320" s="6" t="s">
        <v>8273</v>
      </c>
      <c r="J4320" s="6" t="s">
        <v>154</v>
      </c>
      <c r="K4320" s="12" t="str">
        <f t="shared" ref="K4320:K4321" si="612">HYPERLINK("https://dms.licdn.com/playlist/vid/v2/D4E10AQH0Ca-Sn4XhMQ/mp4-640p-30fp-crf28/B4EZzi4kxTHsCI-/0/1773333010516/Actions_Video?e=2147483647&amp;v=beta&amp;t=FDXuSzT-Qrxa4MI1pXFkbgIPU53h8h_D7F4AVbO10gY","View Creative")</f>
        <v>View Creative</v>
      </c>
      <c r="L4320" s="6" t="s">
        <v>62</v>
      </c>
      <c r="M4320" s="6" t="s">
        <v>8270</v>
      </c>
      <c r="N4320" s="6" t="s">
        <v>8333</v>
      </c>
      <c r="O4320" s="36" t="s">
        <v>7541</v>
      </c>
      <c r="P4320" s="36" t="s">
        <v>7542</v>
      </c>
      <c r="Q4320" s="38"/>
    </row>
    <row r="4321">
      <c r="A4321" s="6" t="s">
        <v>8270</v>
      </c>
      <c r="B4321" s="6" t="s">
        <v>8271</v>
      </c>
      <c r="C4321" s="6">
        <v>270.0</v>
      </c>
      <c r="D4321" s="9" t="str">
        <f t="shared" si="611"/>
        <v>Open Ad</v>
      </c>
      <c r="E4321" s="6" t="s">
        <v>154</v>
      </c>
      <c r="F4321" s="6" t="s">
        <v>8022</v>
      </c>
      <c r="G4321" s="6" t="s">
        <v>8330</v>
      </c>
      <c r="H4321" s="6" t="s">
        <v>55</v>
      </c>
      <c r="I4321" s="6" t="s">
        <v>8273</v>
      </c>
      <c r="J4321" s="6" t="s">
        <v>154</v>
      </c>
      <c r="K4321" s="12" t="str">
        <f t="shared" si="612"/>
        <v>View Creative</v>
      </c>
      <c r="L4321" s="6" t="s">
        <v>62</v>
      </c>
      <c r="M4321" s="6" t="s">
        <v>8270</v>
      </c>
      <c r="N4321" s="6" t="s">
        <v>8333</v>
      </c>
      <c r="O4321" s="36" t="s">
        <v>7541</v>
      </c>
      <c r="P4321" s="36" t="s">
        <v>7542</v>
      </c>
      <c r="Q4321" s="38"/>
    </row>
    <row r="4322">
      <c r="A4322" s="6" t="s">
        <v>8270</v>
      </c>
      <c r="B4322" s="6" t="s">
        <v>8271</v>
      </c>
      <c r="C4322" s="6">
        <v>271.0</v>
      </c>
      <c r="D4322" s="9" t="str">
        <f t="shared" ref="D4322:D4323" si="613">HYPERLINK("https://www.linkedin.com/ad-library/detail/1277897364","Open Ad")</f>
        <v>Open Ad</v>
      </c>
      <c r="E4322" s="6" t="s">
        <v>91</v>
      </c>
      <c r="F4322" s="6" t="s">
        <v>8022</v>
      </c>
      <c r="G4322" s="6" t="s">
        <v>8328</v>
      </c>
      <c r="H4322" s="6" t="s">
        <v>55</v>
      </c>
      <c r="I4322" s="6" t="s">
        <v>8273</v>
      </c>
      <c r="J4322" s="6" t="s">
        <v>91</v>
      </c>
      <c r="K4322" s="12" t="str">
        <f t="shared" ref="K4322:K4323" si="614">HYPERLINK("https://media.licdn.com/dms/image/v2/D4E10AQEPdiTT_xCBWg/image-shrink_1280/B4EZ2xGpi5GkAg-/0/1776792803775/ICP3_AdSet1_Darkpng?e=2147483647&amp;v=beta&amp;t=AqsGH2mjjyT1lgndJnjkLjx90v3LNaufPQVuq_2nLTE","View Creative")</f>
        <v>View Creative</v>
      </c>
      <c r="L4322" s="6" t="s">
        <v>62</v>
      </c>
      <c r="M4322" s="6" t="s">
        <v>8270</v>
      </c>
      <c r="N4322" s="6"/>
      <c r="O4322" s="36" t="s">
        <v>7541</v>
      </c>
      <c r="P4322" s="36" t="s">
        <v>7542</v>
      </c>
      <c r="Q4322" s="38"/>
    </row>
    <row r="4323">
      <c r="A4323" s="6" t="s">
        <v>8270</v>
      </c>
      <c r="B4323" s="6" t="s">
        <v>8271</v>
      </c>
      <c r="C4323" s="6">
        <v>272.0</v>
      </c>
      <c r="D4323" s="9" t="str">
        <f t="shared" si="613"/>
        <v>Open Ad</v>
      </c>
      <c r="E4323" s="6" t="s">
        <v>91</v>
      </c>
      <c r="F4323" s="6" t="s">
        <v>8022</v>
      </c>
      <c r="G4323" s="6" t="s">
        <v>8328</v>
      </c>
      <c r="H4323" s="6" t="s">
        <v>55</v>
      </c>
      <c r="I4323" s="6" t="s">
        <v>8273</v>
      </c>
      <c r="J4323" s="6" t="s">
        <v>91</v>
      </c>
      <c r="K4323" s="12" t="str">
        <f t="shared" si="614"/>
        <v>View Creative</v>
      </c>
      <c r="L4323" s="6" t="s">
        <v>62</v>
      </c>
      <c r="M4323" s="6" t="s">
        <v>8270</v>
      </c>
      <c r="N4323" s="6"/>
      <c r="O4323" s="36" t="s">
        <v>7541</v>
      </c>
      <c r="P4323" s="36" t="s">
        <v>7542</v>
      </c>
      <c r="Q4323" s="38"/>
    </row>
    <row r="4324">
      <c r="A4324" s="6" t="s">
        <v>8270</v>
      </c>
      <c r="B4324" s="6" t="s">
        <v>8271</v>
      </c>
      <c r="C4324" s="6">
        <v>273.0</v>
      </c>
      <c r="D4324" s="9" t="str">
        <f t="shared" ref="D4324:D4325" si="615">HYPERLINK("https://www.linkedin.com/ad-library/detail/1152085404","Open Ad")</f>
        <v>Open Ad</v>
      </c>
      <c r="E4324" s="6" t="s">
        <v>91</v>
      </c>
      <c r="F4324" s="6" t="s">
        <v>8022</v>
      </c>
      <c r="G4324" s="6" t="s">
        <v>8337</v>
      </c>
      <c r="H4324" s="6" t="s">
        <v>55</v>
      </c>
      <c r="I4324" s="6" t="s">
        <v>8273</v>
      </c>
      <c r="J4324" s="6" t="s">
        <v>91</v>
      </c>
      <c r="K4324" s="12" t="str">
        <f t="shared" ref="K4324:K4325" si="616">HYPERLINK("https://media.licdn.com/dms/image/v2/D4E10AQFh3wRxQvxaHQ/image-shrink_1280/B4EZybCootIEAc-/0/1772127685632/Directory3AIVisibilityAgencyDirectorypng?e=2147483647&amp;v=beta&amp;t=M1uiPNOy86K4MsoZ3jwd4aJvyNEBdZcCGNZCw8tfIyo","View Creative")</f>
        <v>View Creative</v>
      </c>
      <c r="L4324" s="6" t="s">
        <v>62</v>
      </c>
      <c r="M4324" s="6" t="s">
        <v>8270</v>
      </c>
      <c r="N4324" s="6" t="s">
        <v>8336</v>
      </c>
      <c r="O4324" s="36" t="s">
        <v>7541</v>
      </c>
      <c r="P4324" s="36" t="s">
        <v>7542</v>
      </c>
      <c r="Q4324" s="38"/>
    </row>
    <row r="4325">
      <c r="A4325" s="6" t="s">
        <v>8270</v>
      </c>
      <c r="B4325" s="6" t="s">
        <v>8271</v>
      </c>
      <c r="C4325" s="6">
        <v>274.0</v>
      </c>
      <c r="D4325" s="9" t="str">
        <f t="shared" si="615"/>
        <v>Open Ad</v>
      </c>
      <c r="E4325" s="6" t="s">
        <v>91</v>
      </c>
      <c r="F4325" s="6" t="s">
        <v>8022</v>
      </c>
      <c r="G4325" s="6" t="s">
        <v>8337</v>
      </c>
      <c r="H4325" s="6" t="s">
        <v>55</v>
      </c>
      <c r="I4325" s="6" t="s">
        <v>8273</v>
      </c>
      <c r="J4325" s="6" t="s">
        <v>91</v>
      </c>
      <c r="K4325" s="12" t="str">
        <f t="shared" si="616"/>
        <v>View Creative</v>
      </c>
      <c r="L4325" s="6" t="s">
        <v>62</v>
      </c>
      <c r="M4325" s="6" t="s">
        <v>8270</v>
      </c>
      <c r="N4325" s="6" t="s">
        <v>8336</v>
      </c>
      <c r="O4325" s="36" t="s">
        <v>7541</v>
      </c>
      <c r="P4325" s="36" t="s">
        <v>7542</v>
      </c>
      <c r="Q4325" s="38"/>
    </row>
    <row r="4326">
      <c r="A4326" s="6" t="s">
        <v>8270</v>
      </c>
      <c r="B4326" s="6" t="s">
        <v>8271</v>
      </c>
      <c r="C4326" s="6">
        <v>275.0</v>
      </c>
      <c r="D4326" s="9" t="str">
        <f t="shared" ref="D4326:D4327" si="617">HYPERLINK("https://www.linkedin.com/ad-library/detail/1276598474","Open Ad")</f>
        <v>Open Ad</v>
      </c>
      <c r="E4326" s="6" t="s">
        <v>154</v>
      </c>
      <c r="F4326" s="6" t="s">
        <v>8022</v>
      </c>
      <c r="G4326" s="6" t="s">
        <v>8338</v>
      </c>
      <c r="H4326" s="6" t="s">
        <v>55</v>
      </c>
      <c r="I4326" s="6" t="s">
        <v>8273</v>
      </c>
      <c r="J4326" s="6" t="s">
        <v>154</v>
      </c>
      <c r="K4326" s="12" t="str">
        <f t="shared" ref="K4326:K4327" si="618">HYPERLINK("https://dms.licdn.com/playlist/vid/v2/D4D05AQHt92-jdG4ThQ/mp4-720p-30fp-crf28/B4DZ2VNZh0HsCI-/0/1776324819218?e=2147483647&amp;v=beta&amp;t=1NcV9L3YcT72_s6jkDQYfJW9_6-lQcU5sfwo9jy_4JA","View Creative")</f>
        <v>View Creative</v>
      </c>
      <c r="L4326" s="6" t="s">
        <v>62</v>
      </c>
      <c r="M4326" s="6" t="s">
        <v>8270</v>
      </c>
      <c r="N4326" s="6" t="s">
        <v>8339</v>
      </c>
      <c r="O4326" s="36" t="s">
        <v>7541</v>
      </c>
      <c r="P4326" s="36" t="s">
        <v>7542</v>
      </c>
      <c r="Q4326" s="38"/>
    </row>
    <row r="4327">
      <c r="A4327" s="6" t="s">
        <v>8270</v>
      </c>
      <c r="B4327" s="6" t="s">
        <v>8271</v>
      </c>
      <c r="C4327" s="6">
        <v>276.0</v>
      </c>
      <c r="D4327" s="9" t="str">
        <f t="shared" si="617"/>
        <v>Open Ad</v>
      </c>
      <c r="E4327" s="6" t="s">
        <v>154</v>
      </c>
      <c r="F4327" s="6" t="s">
        <v>8022</v>
      </c>
      <c r="G4327" s="6" t="s">
        <v>8338</v>
      </c>
      <c r="H4327" s="6" t="s">
        <v>55</v>
      </c>
      <c r="I4327" s="6" t="s">
        <v>8273</v>
      </c>
      <c r="J4327" s="6" t="s">
        <v>154</v>
      </c>
      <c r="K4327" s="12" t="str">
        <f t="shared" si="618"/>
        <v>View Creative</v>
      </c>
      <c r="L4327" s="6" t="s">
        <v>62</v>
      </c>
      <c r="M4327" s="6" t="s">
        <v>8270</v>
      </c>
      <c r="N4327" s="6" t="s">
        <v>8339</v>
      </c>
      <c r="O4327" s="36" t="s">
        <v>7541</v>
      </c>
      <c r="P4327" s="36" t="s">
        <v>7542</v>
      </c>
      <c r="Q4327" s="38"/>
    </row>
    <row r="4328">
      <c r="A4328" s="6" t="s">
        <v>8270</v>
      </c>
      <c r="B4328" s="6" t="s">
        <v>8271</v>
      </c>
      <c r="C4328" s="6">
        <v>277.0</v>
      </c>
      <c r="D4328" s="9" t="str">
        <f t="shared" ref="D4328:D4329" si="619">HYPERLINK("https://www.linkedin.com/ad-library/detail/1279997294","Open Ad")</f>
        <v>Open Ad</v>
      </c>
      <c r="E4328" s="6" t="s">
        <v>91</v>
      </c>
      <c r="F4328" s="6" t="s">
        <v>8022</v>
      </c>
      <c r="G4328" s="6" t="s">
        <v>8327</v>
      </c>
      <c r="H4328" s="6" t="s">
        <v>55</v>
      </c>
      <c r="I4328" s="6" t="s">
        <v>8273</v>
      </c>
      <c r="J4328" s="6" t="s">
        <v>91</v>
      </c>
      <c r="K4328" s="12" t="str">
        <f t="shared" ref="K4328:K4329" si="620">HYPERLINK("https://media.licdn.com/dms/image/v2/D4E10AQEZJT46jQDuzQ/image-shrink_1280/B4EZ2xEtVCIgAc-/0/1776792295031/ICP2_AdSet1_Lightpng?e=2147483647&amp;v=beta&amp;t=5MmLet_0MZAeaikIi7_p7PZPECAp9iUlChV2wjatJCA","View Creative")</f>
        <v>View Creative</v>
      </c>
      <c r="L4328" s="6" t="s">
        <v>62</v>
      </c>
      <c r="M4328" s="6" t="s">
        <v>8270</v>
      </c>
      <c r="N4328" s="6"/>
      <c r="O4328" s="36" t="s">
        <v>7541</v>
      </c>
      <c r="P4328" s="36" t="s">
        <v>7542</v>
      </c>
      <c r="Q4328" s="38"/>
    </row>
    <row r="4329">
      <c r="A4329" s="6" t="s">
        <v>8270</v>
      </c>
      <c r="B4329" s="6" t="s">
        <v>8271</v>
      </c>
      <c r="C4329" s="6">
        <v>278.0</v>
      </c>
      <c r="D4329" s="9" t="str">
        <f t="shared" si="619"/>
        <v>Open Ad</v>
      </c>
      <c r="E4329" s="6" t="s">
        <v>91</v>
      </c>
      <c r="F4329" s="6" t="s">
        <v>8022</v>
      </c>
      <c r="G4329" s="6" t="s">
        <v>8327</v>
      </c>
      <c r="H4329" s="6" t="s">
        <v>55</v>
      </c>
      <c r="I4329" s="6" t="s">
        <v>8273</v>
      </c>
      <c r="J4329" s="6" t="s">
        <v>91</v>
      </c>
      <c r="K4329" s="12" t="str">
        <f t="shared" si="620"/>
        <v>View Creative</v>
      </c>
      <c r="L4329" s="6" t="s">
        <v>62</v>
      </c>
      <c r="M4329" s="6" t="s">
        <v>8270</v>
      </c>
      <c r="N4329" s="6"/>
      <c r="O4329" s="36" t="s">
        <v>7541</v>
      </c>
      <c r="P4329" s="36" t="s">
        <v>7542</v>
      </c>
      <c r="Q4329" s="38"/>
    </row>
    <row r="4330">
      <c r="A4330" s="6" t="s">
        <v>8270</v>
      </c>
      <c r="B4330" s="6" t="s">
        <v>8271</v>
      </c>
      <c r="C4330" s="6">
        <v>279.0</v>
      </c>
      <c r="D4330" s="9" t="str">
        <f t="shared" ref="D4330:D4331" si="621">HYPERLINK("https://www.linkedin.com/ad-library/detail/1277487744","Open Ad")</f>
        <v>Open Ad</v>
      </c>
      <c r="E4330" s="6" t="s">
        <v>91</v>
      </c>
      <c r="F4330" s="6" t="s">
        <v>8022</v>
      </c>
      <c r="G4330" s="6" t="s">
        <v>8340</v>
      </c>
      <c r="H4330" s="6" t="s">
        <v>55</v>
      </c>
      <c r="I4330" s="6" t="s">
        <v>8273</v>
      </c>
      <c r="J4330" s="6" t="s">
        <v>91</v>
      </c>
      <c r="K4330" s="12" t="str">
        <f t="shared" ref="K4330:K4331" si="622">HYPERLINK("https://media.licdn.com/dms/image/v2/D4D22AQF7WJnpsySlJQ/feedshare-shrink_1280/B4DZ2QXvZLHoAM-/0/1776243636694?e=2147483647&amp;v=beta&amp;t=GvagOC6T5qkATJPNHeecBq2km6l4-Z8KbEZF-Z3wJRs","View Creative")</f>
        <v>View Creative</v>
      </c>
      <c r="L4330" s="6" t="s">
        <v>62</v>
      </c>
      <c r="M4330" s="6" t="s">
        <v>8270</v>
      </c>
      <c r="N4330" s="6" t="s">
        <v>8341</v>
      </c>
      <c r="O4330" s="36" t="s">
        <v>7541</v>
      </c>
      <c r="P4330" s="36" t="s">
        <v>7542</v>
      </c>
      <c r="Q4330" s="38"/>
    </row>
    <row r="4331">
      <c r="A4331" s="6" t="s">
        <v>8270</v>
      </c>
      <c r="B4331" s="6" t="s">
        <v>8271</v>
      </c>
      <c r="C4331" s="6">
        <v>280.0</v>
      </c>
      <c r="D4331" s="9" t="str">
        <f t="shared" si="621"/>
        <v>Open Ad</v>
      </c>
      <c r="E4331" s="6" t="s">
        <v>91</v>
      </c>
      <c r="F4331" s="6" t="s">
        <v>8022</v>
      </c>
      <c r="G4331" s="6" t="s">
        <v>8340</v>
      </c>
      <c r="H4331" s="6" t="s">
        <v>55</v>
      </c>
      <c r="I4331" s="6" t="s">
        <v>8273</v>
      </c>
      <c r="J4331" s="6" t="s">
        <v>91</v>
      </c>
      <c r="K4331" s="12" t="str">
        <f t="shared" si="622"/>
        <v>View Creative</v>
      </c>
      <c r="L4331" s="6" t="s">
        <v>62</v>
      </c>
      <c r="M4331" s="6" t="s">
        <v>8270</v>
      </c>
      <c r="N4331" s="6" t="s">
        <v>8341</v>
      </c>
      <c r="O4331" s="36" t="s">
        <v>7541</v>
      </c>
      <c r="P4331" s="36" t="s">
        <v>7542</v>
      </c>
      <c r="Q4331" s="38"/>
    </row>
    <row r="4332">
      <c r="A4332" s="6" t="s">
        <v>8270</v>
      </c>
      <c r="B4332" s="6" t="s">
        <v>8271</v>
      </c>
      <c r="C4332" s="6">
        <v>281.0</v>
      </c>
      <c r="D4332" s="9" t="str">
        <f t="shared" ref="D4332:D4333" si="623">HYPERLINK("https://www.linkedin.com/ad-library/detail/1278597084","Open Ad")</f>
        <v>Open Ad</v>
      </c>
      <c r="E4332" s="6" t="s">
        <v>91</v>
      </c>
      <c r="F4332" s="6" t="s">
        <v>8022</v>
      </c>
      <c r="G4332" s="6" t="s">
        <v>8322</v>
      </c>
      <c r="H4332" s="6" t="s">
        <v>55</v>
      </c>
      <c r="I4332" s="6" t="s">
        <v>8273</v>
      </c>
      <c r="J4332" s="6" t="s">
        <v>91</v>
      </c>
      <c r="K4332" s="12" t="str">
        <f t="shared" ref="K4332:K4333" si="624">HYPERLINK("https://media.licdn.com/dms/image/v2/D4E10AQG6x1g52dhTJA/image-shrink_1280/B4EZ2xE_XiJUAc-/0/1776792368870/ICP2_AdSet2_Lightpng?e=2147483647&amp;v=beta&amp;t=3YbaEu_ZMHeAT9-WVFaoocAVMqxxIvQAD1IXrpjtm9g","View Creative")</f>
        <v>View Creative</v>
      </c>
      <c r="L4332" s="6" t="s">
        <v>62</v>
      </c>
      <c r="M4332" s="6" t="s">
        <v>8270</v>
      </c>
      <c r="N4332" s="6"/>
      <c r="O4332" s="36" t="s">
        <v>7541</v>
      </c>
      <c r="P4332" s="36" t="s">
        <v>7542</v>
      </c>
      <c r="Q4332" s="38"/>
    </row>
    <row r="4333">
      <c r="A4333" s="6" t="s">
        <v>8270</v>
      </c>
      <c r="B4333" s="6" t="s">
        <v>8271</v>
      </c>
      <c r="C4333" s="6">
        <v>282.0</v>
      </c>
      <c r="D4333" s="9" t="str">
        <f t="shared" si="623"/>
        <v>Open Ad</v>
      </c>
      <c r="E4333" s="6" t="s">
        <v>91</v>
      </c>
      <c r="F4333" s="6" t="s">
        <v>8022</v>
      </c>
      <c r="G4333" s="6" t="s">
        <v>8322</v>
      </c>
      <c r="H4333" s="6" t="s">
        <v>55</v>
      </c>
      <c r="I4333" s="6" t="s">
        <v>8273</v>
      </c>
      <c r="J4333" s="6" t="s">
        <v>91</v>
      </c>
      <c r="K4333" s="12" t="str">
        <f t="shared" si="624"/>
        <v>View Creative</v>
      </c>
      <c r="L4333" s="6" t="s">
        <v>62</v>
      </c>
      <c r="M4333" s="6" t="s">
        <v>8270</v>
      </c>
      <c r="N4333" s="6"/>
      <c r="O4333" s="36" t="s">
        <v>7541</v>
      </c>
      <c r="P4333" s="36" t="s">
        <v>7542</v>
      </c>
      <c r="Q4333" s="38"/>
    </row>
    <row r="4334">
      <c r="A4334" s="6" t="s">
        <v>8270</v>
      </c>
      <c r="B4334" s="6" t="s">
        <v>8271</v>
      </c>
      <c r="C4334" s="6">
        <v>283.0</v>
      </c>
      <c r="D4334" s="9" t="str">
        <f t="shared" ref="D4334:D4335" si="625">HYPERLINK("https://www.linkedin.com/ad-library/detail/1279898084","Open Ad")</f>
        <v>Open Ad</v>
      </c>
      <c r="E4334" s="6" t="s">
        <v>91</v>
      </c>
      <c r="F4334" s="6" t="s">
        <v>8022</v>
      </c>
      <c r="G4334" s="6" t="s">
        <v>8326</v>
      </c>
      <c r="H4334" s="6" t="s">
        <v>55</v>
      </c>
      <c r="I4334" s="6" t="s">
        <v>8273</v>
      </c>
      <c r="J4334" s="6" t="s">
        <v>91</v>
      </c>
      <c r="K4334" s="12" t="str">
        <f t="shared" ref="K4334:K4335" si="626">HYPERLINK("https://media.licdn.com/dms/image/v2/D4E10AQEho1DoF5E3Hg/image-shrink_1280/B4EZ2xB82gIMAc-/0/1776791572176/ICP1_AdSet1_Darkpng?e=2147483647&amp;v=beta&amp;t=6YSA6x7kFUGlSCUAUccXUPh1fO880BucZLhFSQJzH6k","View Creative")</f>
        <v>View Creative</v>
      </c>
      <c r="L4334" s="6" t="s">
        <v>62</v>
      </c>
      <c r="M4334" s="6" t="s">
        <v>8270</v>
      </c>
      <c r="N4334" s="6"/>
      <c r="O4334" s="36" t="s">
        <v>7541</v>
      </c>
      <c r="P4334" s="36" t="s">
        <v>7542</v>
      </c>
      <c r="Q4334" s="38"/>
    </row>
    <row r="4335">
      <c r="A4335" s="6" t="s">
        <v>8270</v>
      </c>
      <c r="B4335" s="6" t="s">
        <v>8271</v>
      </c>
      <c r="C4335" s="6">
        <v>284.0</v>
      </c>
      <c r="D4335" s="9" t="str">
        <f t="shared" si="625"/>
        <v>Open Ad</v>
      </c>
      <c r="E4335" s="6" t="s">
        <v>91</v>
      </c>
      <c r="F4335" s="6" t="s">
        <v>8022</v>
      </c>
      <c r="G4335" s="6" t="s">
        <v>8326</v>
      </c>
      <c r="H4335" s="6" t="s">
        <v>55</v>
      </c>
      <c r="I4335" s="6" t="s">
        <v>8273</v>
      </c>
      <c r="J4335" s="6" t="s">
        <v>91</v>
      </c>
      <c r="K4335" s="12" t="str">
        <f t="shared" si="626"/>
        <v>View Creative</v>
      </c>
      <c r="L4335" s="6" t="s">
        <v>62</v>
      </c>
      <c r="M4335" s="6" t="s">
        <v>8270</v>
      </c>
      <c r="N4335" s="6"/>
      <c r="O4335" s="36" t="s">
        <v>7541</v>
      </c>
      <c r="P4335" s="36" t="s">
        <v>7542</v>
      </c>
      <c r="Q4335" s="38"/>
    </row>
    <row r="4336">
      <c r="A4336" s="6" t="s">
        <v>8270</v>
      </c>
      <c r="B4336" s="6" t="s">
        <v>8271</v>
      </c>
      <c r="C4336" s="6">
        <v>285.0</v>
      </c>
      <c r="D4336" s="9" t="str">
        <f t="shared" ref="D4336:D4337" si="627">HYPERLINK("https://www.linkedin.com/ad-library/detail/1278597074","Open Ad")</f>
        <v>Open Ad</v>
      </c>
      <c r="E4336" s="6" t="s">
        <v>91</v>
      </c>
      <c r="F4336" s="6" t="s">
        <v>8022</v>
      </c>
      <c r="G4336" s="6" t="s">
        <v>8322</v>
      </c>
      <c r="H4336" s="6" t="s">
        <v>55</v>
      </c>
      <c r="I4336" s="6" t="s">
        <v>8273</v>
      </c>
      <c r="J4336" s="6" t="s">
        <v>91</v>
      </c>
      <c r="K4336" s="12" t="str">
        <f t="shared" ref="K4336:K4337" si="628">HYPERLINK("https://media.licdn.com/dms/image/v2/D4E10AQF3LoKOSTv-4g/image-shrink_1280/B4EZ2xFPCmJMAg-/0/1776792433165/ICP2_AdSet2_Darkpng?e=2147483647&amp;v=beta&amp;t=KNVM9DOV--hkIa99KE8Yjy8KGUgBQ1AeHSdqfqsgwBg","View Creative")</f>
        <v>View Creative</v>
      </c>
      <c r="L4336" s="6" t="s">
        <v>62</v>
      </c>
      <c r="M4336" s="6" t="s">
        <v>8270</v>
      </c>
      <c r="N4336" s="6"/>
      <c r="O4336" s="36" t="s">
        <v>7541</v>
      </c>
      <c r="P4336" s="36" t="s">
        <v>7542</v>
      </c>
      <c r="Q4336" s="38"/>
    </row>
    <row r="4337">
      <c r="A4337" s="6" t="s">
        <v>8270</v>
      </c>
      <c r="B4337" s="6" t="s">
        <v>8271</v>
      </c>
      <c r="C4337" s="6">
        <v>286.0</v>
      </c>
      <c r="D4337" s="9" t="str">
        <f t="shared" si="627"/>
        <v>Open Ad</v>
      </c>
      <c r="E4337" s="6" t="s">
        <v>91</v>
      </c>
      <c r="F4337" s="6" t="s">
        <v>8022</v>
      </c>
      <c r="G4337" s="6" t="s">
        <v>8322</v>
      </c>
      <c r="H4337" s="6" t="s">
        <v>55</v>
      </c>
      <c r="I4337" s="6" t="s">
        <v>8273</v>
      </c>
      <c r="J4337" s="6" t="s">
        <v>91</v>
      </c>
      <c r="K4337" s="12" t="str">
        <f t="shared" si="628"/>
        <v>View Creative</v>
      </c>
      <c r="L4337" s="6" t="s">
        <v>62</v>
      </c>
      <c r="M4337" s="6" t="s">
        <v>8270</v>
      </c>
      <c r="N4337" s="6"/>
      <c r="O4337" s="36" t="s">
        <v>7541</v>
      </c>
      <c r="P4337" s="36" t="s">
        <v>7542</v>
      </c>
      <c r="Q4337" s="38"/>
    </row>
    <row r="4338">
      <c r="A4338" s="6" t="s">
        <v>8270</v>
      </c>
      <c r="B4338" s="6" t="s">
        <v>8271</v>
      </c>
      <c r="C4338" s="6">
        <v>287.0</v>
      </c>
      <c r="D4338" s="9" t="str">
        <f t="shared" ref="D4338:D4339" si="629">HYPERLINK("https://www.linkedin.com/ad-library/detail/1279197584","Open Ad")</f>
        <v>Open Ad</v>
      </c>
      <c r="E4338" s="6" t="s">
        <v>91</v>
      </c>
      <c r="F4338" s="6" t="s">
        <v>8022</v>
      </c>
      <c r="G4338" s="6" t="s">
        <v>8327</v>
      </c>
      <c r="H4338" s="6" t="s">
        <v>55</v>
      </c>
      <c r="I4338" s="6" t="s">
        <v>8273</v>
      </c>
      <c r="J4338" s="6" t="s">
        <v>91</v>
      </c>
      <c r="K4338" s="12" t="str">
        <f t="shared" ref="K4338:K4339" si="630">HYPERLINK("https://media.licdn.com/dms/image/v2/D4E10AQGrb2_Jinm9RA/image-shrink_1280/B4EZ2xEO5GGYAc-/0/1776792170337/ICP2_AdSet1_Darkpng?e=2147483647&amp;v=beta&amp;t=eHDy2xVVYQt3HjbKbJeCO7Iro9N0eP-xFN7lEXHYM-k","View Creative")</f>
        <v>View Creative</v>
      </c>
      <c r="L4338" s="6" t="s">
        <v>62</v>
      </c>
      <c r="M4338" s="6" t="s">
        <v>8270</v>
      </c>
      <c r="N4338" s="6"/>
      <c r="O4338" s="36" t="s">
        <v>7541</v>
      </c>
      <c r="P4338" s="36" t="s">
        <v>7542</v>
      </c>
      <c r="Q4338" s="38"/>
    </row>
    <row r="4339">
      <c r="A4339" s="6" t="s">
        <v>8270</v>
      </c>
      <c r="B4339" s="6" t="s">
        <v>8271</v>
      </c>
      <c r="C4339" s="6">
        <v>288.0</v>
      </c>
      <c r="D4339" s="9" t="str">
        <f t="shared" si="629"/>
        <v>Open Ad</v>
      </c>
      <c r="E4339" s="6" t="s">
        <v>91</v>
      </c>
      <c r="F4339" s="6" t="s">
        <v>8022</v>
      </c>
      <c r="G4339" s="6" t="s">
        <v>8327</v>
      </c>
      <c r="H4339" s="6" t="s">
        <v>55</v>
      </c>
      <c r="I4339" s="6" t="s">
        <v>8273</v>
      </c>
      <c r="J4339" s="6" t="s">
        <v>91</v>
      </c>
      <c r="K4339" s="12" t="str">
        <f t="shared" si="630"/>
        <v>View Creative</v>
      </c>
      <c r="L4339" s="6" t="s">
        <v>62</v>
      </c>
      <c r="M4339" s="6" t="s">
        <v>8270</v>
      </c>
      <c r="N4339" s="6"/>
      <c r="O4339" s="36" t="s">
        <v>7541</v>
      </c>
      <c r="P4339" s="36" t="s">
        <v>7542</v>
      </c>
      <c r="Q4339" s="38"/>
    </row>
    <row r="4340">
      <c r="A4340" s="6" t="s">
        <v>8270</v>
      </c>
      <c r="B4340" s="6" t="s">
        <v>8271</v>
      </c>
      <c r="C4340" s="6">
        <v>289.0</v>
      </c>
      <c r="D4340" s="9" t="str">
        <f t="shared" ref="D4340:D4341" si="631">HYPERLINK("https://www.linkedin.com/ad-library/detail/1279898094","Open Ad")</f>
        <v>Open Ad</v>
      </c>
      <c r="E4340" s="6" t="s">
        <v>91</v>
      </c>
      <c r="F4340" s="6" t="s">
        <v>8022</v>
      </c>
      <c r="G4340" s="6" t="s">
        <v>8320</v>
      </c>
      <c r="H4340" s="6" t="s">
        <v>55</v>
      </c>
      <c r="I4340" s="6" t="s">
        <v>8273</v>
      </c>
      <c r="J4340" s="6" t="s">
        <v>91</v>
      </c>
      <c r="K4340" s="12" t="str">
        <f t="shared" ref="K4340:K4341" si="632">HYPERLINK("https://media.licdn.com/dms/image/v2/D4E10AQGv7Tj0C5xS0g/image-shrink_1280/B4EZ2xC3.wHMAg-/0/1776791814323/ICP1_AdSet2_Darkpng?e=2147483647&amp;v=beta&amp;t=0h8d2MCwx78B5nj2YGdwGTvZge_vsKmTIuS0iPcUw28","View Creative")</f>
        <v>View Creative</v>
      </c>
      <c r="L4340" s="6" t="s">
        <v>62</v>
      </c>
      <c r="M4340" s="6" t="s">
        <v>8270</v>
      </c>
      <c r="N4340" s="6"/>
      <c r="O4340" s="36" t="s">
        <v>7541</v>
      </c>
      <c r="P4340" s="36" t="s">
        <v>7542</v>
      </c>
      <c r="Q4340" s="38"/>
    </row>
    <row r="4341">
      <c r="A4341" s="6" t="s">
        <v>8270</v>
      </c>
      <c r="B4341" s="6" t="s">
        <v>8271</v>
      </c>
      <c r="C4341" s="6">
        <v>290.0</v>
      </c>
      <c r="D4341" s="9" t="str">
        <f t="shared" si="631"/>
        <v>Open Ad</v>
      </c>
      <c r="E4341" s="6" t="s">
        <v>91</v>
      </c>
      <c r="F4341" s="6" t="s">
        <v>8022</v>
      </c>
      <c r="G4341" s="6" t="s">
        <v>8320</v>
      </c>
      <c r="H4341" s="6" t="s">
        <v>55</v>
      </c>
      <c r="I4341" s="6" t="s">
        <v>8273</v>
      </c>
      <c r="J4341" s="6" t="s">
        <v>91</v>
      </c>
      <c r="K4341" s="12" t="str">
        <f t="shared" si="632"/>
        <v>View Creative</v>
      </c>
      <c r="L4341" s="6" t="s">
        <v>62</v>
      </c>
      <c r="M4341" s="6" t="s">
        <v>8270</v>
      </c>
      <c r="N4341" s="6"/>
      <c r="O4341" s="36" t="s">
        <v>7541</v>
      </c>
      <c r="P4341" s="36" t="s">
        <v>7542</v>
      </c>
      <c r="Q4341" s="38"/>
    </row>
    <row r="4342">
      <c r="A4342" s="6" t="s">
        <v>8270</v>
      </c>
      <c r="B4342" s="6" t="s">
        <v>8271</v>
      </c>
      <c r="C4342" s="6">
        <v>291.0</v>
      </c>
      <c r="D4342" s="9" t="str">
        <f t="shared" ref="D4342:D4343" si="633">HYPERLINK("https://www.linkedin.com/ad-library/detail/1150309834","Open Ad")</f>
        <v>Open Ad</v>
      </c>
      <c r="E4342" s="6" t="s">
        <v>91</v>
      </c>
      <c r="F4342" s="6" t="s">
        <v>8022</v>
      </c>
      <c r="G4342" s="6" t="s">
        <v>8342</v>
      </c>
      <c r="H4342" s="6" t="s">
        <v>55</v>
      </c>
      <c r="I4342" s="6" t="s">
        <v>8273</v>
      </c>
      <c r="J4342" s="6" t="s">
        <v>91</v>
      </c>
      <c r="K4342" s="12" t="str">
        <f t="shared" ref="K4342:K4343" si="634">HYPERLINK("https://media.licdn.com/dms/image/v2/D4E10AQHWBSAv8yIJ1Q/image-shrink_1280/B4EZybChrqIEAg-/0/1772127657140/Directory1AIVisibilityAgencyDirectorypng?e=2147483647&amp;v=beta&amp;t=GNhKLHJ19CMay96XBo6Nig-ruRSdoSKvl1ZlFYRysUM","View Creative")</f>
        <v>View Creative</v>
      </c>
      <c r="L4342" s="6" t="s">
        <v>62</v>
      </c>
      <c r="M4342" s="6" t="s">
        <v>8270</v>
      </c>
      <c r="N4342" s="6" t="s">
        <v>8343</v>
      </c>
      <c r="O4342" s="36" t="s">
        <v>7541</v>
      </c>
      <c r="P4342" s="36" t="s">
        <v>7542</v>
      </c>
      <c r="Q4342" s="38"/>
    </row>
    <row r="4343">
      <c r="A4343" s="6" t="s">
        <v>8270</v>
      </c>
      <c r="B4343" s="6" t="s">
        <v>8271</v>
      </c>
      <c r="C4343" s="6">
        <v>292.0</v>
      </c>
      <c r="D4343" s="9" t="str">
        <f t="shared" si="633"/>
        <v>Open Ad</v>
      </c>
      <c r="E4343" s="6" t="s">
        <v>91</v>
      </c>
      <c r="F4343" s="6" t="s">
        <v>8022</v>
      </c>
      <c r="G4343" s="6" t="s">
        <v>8342</v>
      </c>
      <c r="H4343" s="6" t="s">
        <v>55</v>
      </c>
      <c r="I4343" s="6" t="s">
        <v>8273</v>
      </c>
      <c r="J4343" s="6" t="s">
        <v>91</v>
      </c>
      <c r="K4343" s="12" t="str">
        <f t="shared" si="634"/>
        <v>View Creative</v>
      </c>
      <c r="L4343" s="6" t="s">
        <v>62</v>
      </c>
      <c r="M4343" s="6" t="s">
        <v>8270</v>
      </c>
      <c r="N4343" s="6" t="s">
        <v>8343</v>
      </c>
      <c r="O4343" s="36" t="s">
        <v>7541</v>
      </c>
      <c r="P4343" s="36" t="s">
        <v>7542</v>
      </c>
      <c r="Q4343" s="38"/>
    </row>
    <row r="4344">
      <c r="A4344" s="6" t="s">
        <v>8270</v>
      </c>
      <c r="B4344" s="6" t="s">
        <v>8271</v>
      </c>
      <c r="C4344" s="6">
        <v>293.0</v>
      </c>
      <c r="D4344" s="9" t="str">
        <f t="shared" ref="D4344:D4345" si="635">HYPERLINK("https://www.linkedin.com/ad-library/detail/1152184984","Open Ad")</f>
        <v>Open Ad</v>
      </c>
      <c r="E4344" s="6" t="s">
        <v>91</v>
      </c>
      <c r="F4344" s="6" t="s">
        <v>8022</v>
      </c>
      <c r="G4344" s="6" t="s">
        <v>8344</v>
      </c>
      <c r="H4344" s="6" t="s">
        <v>55</v>
      </c>
      <c r="I4344" s="6" t="s">
        <v>8273</v>
      </c>
      <c r="J4344" s="6" t="s">
        <v>91</v>
      </c>
      <c r="K4344" s="12" t="str">
        <f t="shared" ref="K4344:K4345" si="636">HYPERLINK("https://media.licdn.com/dms/image/v2/D4E10AQE2-Q-XQyh4jQ/image-shrink_1280/B4EZyMSYfcGkAc-/0/1771880155697/Revolut1YourAIvisibilitymetricsnowcomewithnextstepspng?e=2147483647&amp;v=beta&amp;t=LKmS_a81BSZ-NPd8l1zFFSH_lc6bELzX32H4-DFcGM0","View Creative")</f>
        <v>View Creative</v>
      </c>
      <c r="L4344" s="6" t="s">
        <v>62</v>
      </c>
      <c r="M4344" s="6" t="s">
        <v>8270</v>
      </c>
      <c r="N4344" s="6" t="s">
        <v>8345</v>
      </c>
      <c r="O4344" s="36" t="s">
        <v>7541</v>
      </c>
      <c r="P4344" s="36" t="s">
        <v>7542</v>
      </c>
      <c r="Q4344" s="38"/>
    </row>
    <row r="4345">
      <c r="A4345" s="6" t="s">
        <v>8270</v>
      </c>
      <c r="B4345" s="6" t="s">
        <v>8271</v>
      </c>
      <c r="C4345" s="6">
        <v>294.0</v>
      </c>
      <c r="D4345" s="9" t="str">
        <f t="shared" si="635"/>
        <v>Open Ad</v>
      </c>
      <c r="E4345" s="6" t="s">
        <v>91</v>
      </c>
      <c r="F4345" s="6" t="s">
        <v>8022</v>
      </c>
      <c r="G4345" s="6" t="s">
        <v>8344</v>
      </c>
      <c r="H4345" s="6" t="s">
        <v>55</v>
      </c>
      <c r="I4345" s="6" t="s">
        <v>8273</v>
      </c>
      <c r="J4345" s="6" t="s">
        <v>91</v>
      </c>
      <c r="K4345" s="12" t="str">
        <f t="shared" si="636"/>
        <v>View Creative</v>
      </c>
      <c r="L4345" s="6" t="s">
        <v>62</v>
      </c>
      <c r="M4345" s="6" t="s">
        <v>8270</v>
      </c>
      <c r="N4345" s="6" t="s">
        <v>8345</v>
      </c>
      <c r="O4345" s="36" t="s">
        <v>7541</v>
      </c>
      <c r="P4345" s="36" t="s">
        <v>7542</v>
      </c>
      <c r="Q4345" s="38"/>
    </row>
    <row r="4346">
      <c r="A4346" s="6" t="s">
        <v>8270</v>
      </c>
      <c r="B4346" s="6" t="s">
        <v>8271</v>
      </c>
      <c r="C4346" s="6">
        <v>295.0</v>
      </c>
      <c r="D4346" s="9" t="str">
        <f t="shared" ref="D4346:D4347" si="637">HYPERLINK("https://www.linkedin.com/ad-library/detail/1149510684","Open Ad")</f>
        <v>Open Ad</v>
      </c>
      <c r="E4346" s="6" t="s">
        <v>91</v>
      </c>
      <c r="F4346" s="6" t="s">
        <v>8022</v>
      </c>
      <c r="G4346" s="6" t="s">
        <v>8335</v>
      </c>
      <c r="H4346" s="6" t="s">
        <v>55</v>
      </c>
      <c r="I4346" s="6" t="s">
        <v>8273</v>
      </c>
      <c r="J4346" s="6" t="s">
        <v>91</v>
      </c>
      <c r="K4346" s="12" t="str">
        <f t="shared" ref="K4346:K4347" si="638">HYPERLINK("https://media.licdn.com/dms/image/v2/D4E10AQGxjTOn07fzcA/image-shrink_1280/B4EZybChtQKIAg-/0/1772127657278/Directory1FindTrustedAISearchExpertspng?e=2147483647&amp;v=beta&amp;t=aR8A0uldYLiXsowkszpzW6mgBZgZU3py0uDUqMekhdo","View Creative")</f>
        <v>View Creative</v>
      </c>
      <c r="L4346" s="6" t="s">
        <v>62</v>
      </c>
      <c r="M4346" s="6" t="s">
        <v>8270</v>
      </c>
      <c r="N4346" s="6" t="s">
        <v>8343</v>
      </c>
      <c r="O4346" s="36" t="s">
        <v>7541</v>
      </c>
      <c r="P4346" s="36" t="s">
        <v>7542</v>
      </c>
      <c r="Q4346" s="38"/>
    </row>
    <row r="4347">
      <c r="A4347" s="6" t="s">
        <v>8270</v>
      </c>
      <c r="B4347" s="6" t="s">
        <v>8271</v>
      </c>
      <c r="C4347" s="6">
        <v>296.0</v>
      </c>
      <c r="D4347" s="9" t="str">
        <f t="shared" si="637"/>
        <v>Open Ad</v>
      </c>
      <c r="E4347" s="6" t="s">
        <v>91</v>
      </c>
      <c r="F4347" s="6" t="s">
        <v>8022</v>
      </c>
      <c r="G4347" s="6" t="s">
        <v>8335</v>
      </c>
      <c r="H4347" s="6" t="s">
        <v>55</v>
      </c>
      <c r="I4347" s="6" t="s">
        <v>8273</v>
      </c>
      <c r="J4347" s="6" t="s">
        <v>91</v>
      </c>
      <c r="K4347" s="12" t="str">
        <f t="shared" si="638"/>
        <v>View Creative</v>
      </c>
      <c r="L4347" s="6" t="s">
        <v>62</v>
      </c>
      <c r="M4347" s="6" t="s">
        <v>8270</v>
      </c>
      <c r="N4347" s="6" t="s">
        <v>8343</v>
      </c>
      <c r="O4347" s="36" t="s">
        <v>7541</v>
      </c>
      <c r="P4347" s="36" t="s">
        <v>7542</v>
      </c>
      <c r="Q4347" s="38"/>
    </row>
    <row r="4348">
      <c r="A4348" s="6" t="s">
        <v>8270</v>
      </c>
      <c r="B4348" s="6" t="s">
        <v>8271</v>
      </c>
      <c r="C4348" s="6">
        <v>297.0</v>
      </c>
      <c r="D4348" s="9" t="str">
        <f t="shared" ref="D4348:D4349" si="639">HYPERLINK("https://www.linkedin.com/ad-library/detail/1151485604","Open Ad")</f>
        <v>Open Ad</v>
      </c>
      <c r="E4348" s="6" t="s">
        <v>91</v>
      </c>
      <c r="F4348" s="6" t="s">
        <v>8022</v>
      </c>
      <c r="G4348" s="6" t="s">
        <v>8346</v>
      </c>
      <c r="H4348" s="6" t="s">
        <v>55</v>
      </c>
      <c r="I4348" s="6" t="s">
        <v>8273</v>
      </c>
      <c r="J4348" s="6" t="s">
        <v>91</v>
      </c>
      <c r="K4348" s="12" t="str">
        <f t="shared" ref="K4348:K4349" si="640">HYPERLINK("https://media.licdn.com/dms/image/v2/D4E10AQHRCGOPh43vUQ/image-shrink_1280/B4EZybCoqaGsAc-/0/1772127686008/Directory3FindTrustedAISearchExpertspng?e=2147483647&amp;v=beta&amp;t=deb9Vu57y6uAoG3vF1CvnEoPwvQwnu2_BtLte3bXNSg","View Creative")</f>
        <v>View Creative</v>
      </c>
      <c r="L4348" s="6" t="s">
        <v>62</v>
      </c>
      <c r="M4348" s="6" t="s">
        <v>8270</v>
      </c>
      <c r="N4348" s="6" t="s">
        <v>8332</v>
      </c>
      <c r="O4348" s="36" t="s">
        <v>7541</v>
      </c>
      <c r="P4348" s="36" t="s">
        <v>7542</v>
      </c>
      <c r="Q4348" s="38"/>
    </row>
    <row r="4349">
      <c r="A4349" s="6" t="s">
        <v>8270</v>
      </c>
      <c r="B4349" s="6" t="s">
        <v>8271</v>
      </c>
      <c r="C4349" s="6">
        <v>298.0</v>
      </c>
      <c r="D4349" s="9" t="str">
        <f t="shared" si="639"/>
        <v>Open Ad</v>
      </c>
      <c r="E4349" s="6" t="s">
        <v>91</v>
      </c>
      <c r="F4349" s="6" t="s">
        <v>8022</v>
      </c>
      <c r="G4349" s="6" t="s">
        <v>8346</v>
      </c>
      <c r="H4349" s="6" t="s">
        <v>55</v>
      </c>
      <c r="I4349" s="6" t="s">
        <v>8273</v>
      </c>
      <c r="J4349" s="6" t="s">
        <v>91</v>
      </c>
      <c r="K4349" s="12" t="str">
        <f t="shared" si="640"/>
        <v>View Creative</v>
      </c>
      <c r="L4349" s="6" t="s">
        <v>62</v>
      </c>
      <c r="M4349" s="6" t="s">
        <v>8270</v>
      </c>
      <c r="N4349" s="6" t="s">
        <v>8332</v>
      </c>
      <c r="O4349" s="36" t="s">
        <v>7541</v>
      </c>
      <c r="P4349" s="36" t="s">
        <v>7542</v>
      </c>
      <c r="Q4349" s="38"/>
    </row>
    <row r="4350">
      <c r="A4350" s="6" t="s">
        <v>8270</v>
      </c>
      <c r="B4350" s="6" t="s">
        <v>8271</v>
      </c>
      <c r="C4350" s="6">
        <v>299.0</v>
      </c>
      <c r="D4350" s="9" t="str">
        <f t="shared" ref="D4350:D4351" si="641">HYPERLINK("https://www.linkedin.com/ad-library/detail/1148710014","Open Ad")</f>
        <v>Open Ad</v>
      </c>
      <c r="E4350" s="6" t="s">
        <v>91</v>
      </c>
      <c r="F4350" s="6" t="s">
        <v>8022</v>
      </c>
      <c r="G4350" s="6" t="s">
        <v>8335</v>
      </c>
      <c r="H4350" s="6" t="s">
        <v>55</v>
      </c>
      <c r="I4350" s="6" t="s">
        <v>8273</v>
      </c>
      <c r="J4350" s="6" t="s">
        <v>91</v>
      </c>
      <c r="K4350" s="12" t="str">
        <f t="shared" ref="K4350:K4351" si="642">HYPERLINK("https://media.licdn.com/dms/image/v2/D4E10AQGxjTOn07fzcA/image-shrink_1280/B4EZybChtQKIAg-/0/1772127657278/Directory1FindTrustedAISearchExpertspng?e=2147483647&amp;v=beta&amp;t=aR8A0uldYLiXsowkszpzW6mgBZgZU3py0uDUqMekhdo","View Creative")</f>
        <v>View Creative</v>
      </c>
      <c r="L4350" s="6" t="s">
        <v>62</v>
      </c>
      <c r="M4350" s="6" t="s">
        <v>8270</v>
      </c>
      <c r="N4350" s="6" t="s">
        <v>8343</v>
      </c>
      <c r="O4350" s="36" t="s">
        <v>7541</v>
      </c>
      <c r="P4350" s="36" t="s">
        <v>7542</v>
      </c>
      <c r="Q4350" s="38"/>
    </row>
    <row r="4351">
      <c r="A4351" s="6" t="s">
        <v>8270</v>
      </c>
      <c r="B4351" s="6" t="s">
        <v>8271</v>
      </c>
      <c r="C4351" s="6">
        <v>300.0</v>
      </c>
      <c r="D4351" s="9" t="str">
        <f t="shared" si="641"/>
        <v>Open Ad</v>
      </c>
      <c r="E4351" s="6" t="s">
        <v>91</v>
      </c>
      <c r="F4351" s="6" t="s">
        <v>8022</v>
      </c>
      <c r="G4351" s="6" t="s">
        <v>8335</v>
      </c>
      <c r="H4351" s="6" t="s">
        <v>55</v>
      </c>
      <c r="I4351" s="6" t="s">
        <v>8273</v>
      </c>
      <c r="J4351" s="6" t="s">
        <v>91</v>
      </c>
      <c r="K4351" s="12" t="str">
        <f t="shared" si="642"/>
        <v>View Creative</v>
      </c>
      <c r="L4351" s="6" t="s">
        <v>62</v>
      </c>
      <c r="M4351" s="6" t="s">
        <v>8270</v>
      </c>
      <c r="N4351" s="6" t="s">
        <v>8343</v>
      </c>
      <c r="O4351" s="36" t="s">
        <v>7541</v>
      </c>
      <c r="P4351" s="36" t="s">
        <v>7542</v>
      </c>
      <c r="Q4351" s="38"/>
    </row>
    <row r="4352">
      <c r="A4352" s="6" t="s">
        <v>8270</v>
      </c>
      <c r="B4352" s="6" t="s">
        <v>8271</v>
      </c>
      <c r="C4352" s="6">
        <v>301.0</v>
      </c>
      <c r="D4352" s="9" t="str">
        <f t="shared" ref="D4352:D4353" si="643">HYPERLINK("https://www.linkedin.com/ad-library/detail/1149510754","Open Ad")</f>
        <v>Open Ad</v>
      </c>
      <c r="E4352" s="6" t="s">
        <v>91</v>
      </c>
      <c r="F4352" s="6" t="s">
        <v>8022</v>
      </c>
      <c r="G4352" s="6" t="s">
        <v>8347</v>
      </c>
      <c r="H4352" s="6" t="s">
        <v>55</v>
      </c>
      <c r="I4352" s="6" t="s">
        <v>8273</v>
      </c>
      <c r="J4352" s="6" t="s">
        <v>91</v>
      </c>
      <c r="K4352" s="12" t="str">
        <f t="shared" ref="K4352:K4353" si="644">HYPERLINK("https://media.licdn.com/dms/image/v2/D4E10AQEujPuW92_whg/image-shrink_1280/B4EZybChqwHMAc-/0/1772127657019/Directory2AIVisibilityAgencyDirectorypng?e=2147483647&amp;v=beta&amp;t=Z6MAKWzMej5_jYQRlmJ4y7bDcR6D_e69xbTN9r9L-9o","View Creative")</f>
        <v>View Creative</v>
      </c>
      <c r="L4352" s="6" t="s">
        <v>62</v>
      </c>
      <c r="M4352" s="6" t="s">
        <v>8270</v>
      </c>
      <c r="N4352" s="6" t="s">
        <v>8343</v>
      </c>
      <c r="O4352" s="36" t="s">
        <v>7541</v>
      </c>
      <c r="P4352" s="36" t="s">
        <v>7542</v>
      </c>
      <c r="Q4352" s="38"/>
    </row>
    <row r="4353">
      <c r="A4353" s="6" t="s">
        <v>8270</v>
      </c>
      <c r="B4353" s="6" t="s">
        <v>8271</v>
      </c>
      <c r="C4353" s="6">
        <v>302.0</v>
      </c>
      <c r="D4353" s="9" t="str">
        <f t="shared" si="643"/>
        <v>Open Ad</v>
      </c>
      <c r="E4353" s="6" t="s">
        <v>91</v>
      </c>
      <c r="F4353" s="6" t="s">
        <v>8022</v>
      </c>
      <c r="G4353" s="6" t="s">
        <v>8347</v>
      </c>
      <c r="H4353" s="6" t="s">
        <v>55</v>
      </c>
      <c r="I4353" s="6" t="s">
        <v>8273</v>
      </c>
      <c r="J4353" s="6" t="s">
        <v>91</v>
      </c>
      <c r="K4353" s="12" t="str">
        <f t="shared" si="644"/>
        <v>View Creative</v>
      </c>
      <c r="L4353" s="6" t="s">
        <v>62</v>
      </c>
      <c r="M4353" s="6" t="s">
        <v>8270</v>
      </c>
      <c r="N4353" s="6" t="s">
        <v>8343</v>
      </c>
      <c r="O4353" s="36" t="s">
        <v>7541</v>
      </c>
      <c r="P4353" s="36" t="s">
        <v>7542</v>
      </c>
      <c r="Q4353" s="38"/>
    </row>
    <row r="4354">
      <c r="A4354" s="6" t="s">
        <v>8270</v>
      </c>
      <c r="B4354" s="6" t="s">
        <v>8271</v>
      </c>
      <c r="C4354" s="6">
        <v>303.0</v>
      </c>
      <c r="D4354" s="9" t="str">
        <f t="shared" ref="D4354:D4355" si="645">HYPERLINK("https://www.linkedin.com/ad-library/detail/1150985534","Open Ad")</f>
        <v>Open Ad</v>
      </c>
      <c r="E4354" s="6" t="s">
        <v>91</v>
      </c>
      <c r="F4354" s="6" t="s">
        <v>8022</v>
      </c>
      <c r="G4354" s="6" t="s">
        <v>8348</v>
      </c>
      <c r="H4354" s="6" t="s">
        <v>55</v>
      </c>
      <c r="I4354" s="6" t="s">
        <v>8273</v>
      </c>
      <c r="J4354" s="6" t="s">
        <v>91</v>
      </c>
      <c r="K4354" s="12" t="str">
        <f t="shared" ref="K4354:K4355" si="646">HYPERLINK("https://media.licdn.com/dms/image/v2/D4E10AQEmkDLD4X437g/image-shrink_1280/B4EZyMRzsbKcAc-/0/1771880004998/ActionTracker4MeetActionspng?e=2147483647&amp;v=beta&amp;t=kBgjNRWbWwLkMbleB2r9e5Py7gwb2WX7uk3InZ1YbS8","View Creative")</f>
        <v>View Creative</v>
      </c>
      <c r="L4354" s="6" t="s">
        <v>62</v>
      </c>
      <c r="M4354" s="6" t="s">
        <v>8270</v>
      </c>
      <c r="N4354" s="6" t="s">
        <v>8345</v>
      </c>
      <c r="O4354" s="36" t="s">
        <v>7541</v>
      </c>
      <c r="P4354" s="36" t="s">
        <v>7542</v>
      </c>
      <c r="Q4354" s="38"/>
    </row>
    <row r="4355">
      <c r="A4355" s="6" t="s">
        <v>8270</v>
      </c>
      <c r="B4355" s="6" t="s">
        <v>8271</v>
      </c>
      <c r="C4355" s="6">
        <v>304.0</v>
      </c>
      <c r="D4355" s="9" t="str">
        <f t="shared" si="645"/>
        <v>Open Ad</v>
      </c>
      <c r="E4355" s="6" t="s">
        <v>91</v>
      </c>
      <c r="F4355" s="6" t="s">
        <v>8022</v>
      </c>
      <c r="G4355" s="6" t="s">
        <v>8348</v>
      </c>
      <c r="H4355" s="6" t="s">
        <v>55</v>
      </c>
      <c r="I4355" s="6" t="s">
        <v>8273</v>
      </c>
      <c r="J4355" s="6" t="s">
        <v>91</v>
      </c>
      <c r="K4355" s="12" t="str">
        <f t="shared" si="646"/>
        <v>View Creative</v>
      </c>
      <c r="L4355" s="6" t="s">
        <v>62</v>
      </c>
      <c r="M4355" s="6" t="s">
        <v>8270</v>
      </c>
      <c r="N4355" s="6" t="s">
        <v>8345</v>
      </c>
      <c r="O4355" s="36" t="s">
        <v>7541</v>
      </c>
      <c r="P4355" s="36" t="s">
        <v>7542</v>
      </c>
      <c r="Q4355" s="38"/>
    </row>
    <row r="4356">
      <c r="A4356" s="6" t="s">
        <v>8270</v>
      </c>
      <c r="B4356" s="6" t="s">
        <v>8271</v>
      </c>
      <c r="C4356" s="6">
        <v>305.0</v>
      </c>
      <c r="D4356" s="9" t="str">
        <f t="shared" ref="D4356:D4357" si="647">HYPERLINK("https://www.linkedin.com/ad-library/detail/1148609554","Open Ad")</f>
        <v>Open Ad</v>
      </c>
      <c r="E4356" s="6" t="s">
        <v>91</v>
      </c>
      <c r="F4356" s="6" t="s">
        <v>8022</v>
      </c>
      <c r="G4356" s="6" t="s">
        <v>8335</v>
      </c>
      <c r="H4356" s="6" t="s">
        <v>55</v>
      </c>
      <c r="I4356" s="6" t="s">
        <v>8273</v>
      </c>
      <c r="J4356" s="6" t="s">
        <v>91</v>
      </c>
      <c r="K4356" s="12" t="str">
        <f t="shared" ref="K4356:K4357" si="648">HYPERLINK("https://media.licdn.com/dms/image/v2/D4E10AQENGNql_Hfi3w/image-shrink_1280/B4EZybChuMHkAc-/0/1772127657303/Directory2GetExpertHelpforAISearchpng?e=2147483647&amp;v=beta&amp;t=N05A1GpFf-MaOO-coxz8xvXUeDa3TTrq2hacW3d7_j4","View Creative")</f>
        <v>View Creative</v>
      </c>
      <c r="L4356" s="6" t="s">
        <v>62</v>
      </c>
      <c r="M4356" s="6" t="s">
        <v>8270</v>
      </c>
      <c r="N4356" s="6" t="s">
        <v>8343</v>
      </c>
      <c r="O4356" s="36" t="s">
        <v>7541</v>
      </c>
      <c r="P4356" s="36" t="s">
        <v>7542</v>
      </c>
      <c r="Q4356" s="38"/>
    </row>
    <row r="4357">
      <c r="A4357" s="6" t="s">
        <v>8270</v>
      </c>
      <c r="B4357" s="6" t="s">
        <v>8271</v>
      </c>
      <c r="C4357" s="6">
        <v>306.0</v>
      </c>
      <c r="D4357" s="9" t="str">
        <f t="shared" si="647"/>
        <v>Open Ad</v>
      </c>
      <c r="E4357" s="6" t="s">
        <v>91</v>
      </c>
      <c r="F4357" s="6" t="s">
        <v>8022</v>
      </c>
      <c r="G4357" s="6" t="s">
        <v>8335</v>
      </c>
      <c r="H4357" s="6" t="s">
        <v>55</v>
      </c>
      <c r="I4357" s="6" t="s">
        <v>8273</v>
      </c>
      <c r="J4357" s="6" t="s">
        <v>91</v>
      </c>
      <c r="K4357" s="12" t="str">
        <f t="shared" si="648"/>
        <v>View Creative</v>
      </c>
      <c r="L4357" s="6" t="s">
        <v>62</v>
      </c>
      <c r="M4357" s="6" t="s">
        <v>8270</v>
      </c>
      <c r="N4357" s="6" t="s">
        <v>8343</v>
      </c>
      <c r="O4357" s="36" t="s">
        <v>7541</v>
      </c>
      <c r="P4357" s="36" t="s">
        <v>7542</v>
      </c>
      <c r="Q4357" s="38"/>
    </row>
    <row r="4358">
      <c r="A4358" s="6" t="s">
        <v>8270</v>
      </c>
      <c r="B4358" s="6" t="s">
        <v>8271</v>
      </c>
      <c r="C4358" s="6">
        <v>307.0</v>
      </c>
      <c r="D4358" s="9" t="str">
        <f t="shared" ref="D4358:D4359" si="649">HYPERLINK("https://www.linkedin.com/ad-library/detail/1149810774","Open Ad")</f>
        <v>Open Ad</v>
      </c>
      <c r="E4358" s="6" t="s">
        <v>91</v>
      </c>
      <c r="F4358" s="6" t="s">
        <v>8022</v>
      </c>
      <c r="G4358" s="6" t="s">
        <v>8346</v>
      </c>
      <c r="H4358" s="6" t="s">
        <v>55</v>
      </c>
      <c r="I4358" s="6" t="s">
        <v>8273</v>
      </c>
      <c r="J4358" s="6" t="s">
        <v>91</v>
      </c>
      <c r="K4358" s="12" t="str">
        <f t="shared" ref="K4358:K4359" si="650">HYPERLINK("https://media.licdn.com/dms/image/v2/D4E10AQHRCGOPh43vUQ/image-shrink_1280/B4EZybCoqaGsAc-/0/1772127686008/Directory3FindTrustedAISearchExpertspng?e=2147483647&amp;v=beta&amp;t=deb9Vu57y6uAoG3vF1CvnEoPwvQwnu2_BtLte3bXNSg","View Creative")</f>
        <v>View Creative</v>
      </c>
      <c r="L4358" s="6" t="s">
        <v>62</v>
      </c>
      <c r="M4358" s="6" t="s">
        <v>8270</v>
      </c>
      <c r="N4358" s="6" t="s">
        <v>8349</v>
      </c>
      <c r="O4358" s="36" t="s">
        <v>7541</v>
      </c>
      <c r="P4358" s="36" t="s">
        <v>7542</v>
      </c>
      <c r="Q4358" s="38"/>
    </row>
    <row r="4359">
      <c r="A4359" s="6" t="s">
        <v>8270</v>
      </c>
      <c r="B4359" s="6" t="s">
        <v>8271</v>
      </c>
      <c r="C4359" s="6">
        <v>308.0</v>
      </c>
      <c r="D4359" s="9" t="str">
        <f t="shared" si="649"/>
        <v>Open Ad</v>
      </c>
      <c r="E4359" s="6" t="s">
        <v>91</v>
      </c>
      <c r="F4359" s="6" t="s">
        <v>8022</v>
      </c>
      <c r="G4359" s="6" t="s">
        <v>8346</v>
      </c>
      <c r="H4359" s="6" t="s">
        <v>55</v>
      </c>
      <c r="I4359" s="6" t="s">
        <v>8273</v>
      </c>
      <c r="J4359" s="6" t="s">
        <v>91</v>
      </c>
      <c r="K4359" s="12" t="str">
        <f t="shared" si="650"/>
        <v>View Creative</v>
      </c>
      <c r="L4359" s="6" t="s">
        <v>62</v>
      </c>
      <c r="M4359" s="6" t="s">
        <v>8270</v>
      </c>
      <c r="N4359" s="6" t="s">
        <v>8349</v>
      </c>
      <c r="O4359" s="36" t="s">
        <v>7541</v>
      </c>
      <c r="P4359" s="36" t="s">
        <v>7542</v>
      </c>
      <c r="Q4359" s="38"/>
    </row>
    <row r="4360">
      <c r="A4360" s="6" t="s">
        <v>8270</v>
      </c>
      <c r="B4360" s="6" t="s">
        <v>8271</v>
      </c>
      <c r="C4360" s="6">
        <v>309.0</v>
      </c>
      <c r="D4360" s="9" t="str">
        <f t="shared" ref="D4360:D4361" si="651">HYPERLINK("https://www.linkedin.com/ad-library/detail/1149810784","Open Ad")</f>
        <v>Open Ad</v>
      </c>
      <c r="E4360" s="6" t="s">
        <v>91</v>
      </c>
      <c r="F4360" s="6" t="s">
        <v>8022</v>
      </c>
      <c r="G4360" s="6" t="s">
        <v>8337</v>
      </c>
      <c r="H4360" s="6" t="s">
        <v>55</v>
      </c>
      <c r="I4360" s="6" t="s">
        <v>8273</v>
      </c>
      <c r="J4360" s="6" t="s">
        <v>91</v>
      </c>
      <c r="K4360" s="12" t="str">
        <f t="shared" ref="K4360:K4361" si="652">HYPERLINK("https://media.licdn.com/dms/image/v2/D4E10AQFh3wRxQvxaHQ/image-shrink_1280/B4EZybCootIEAc-/0/1772127685632/Directory3AIVisibilityAgencyDirectorypng?e=2147483647&amp;v=beta&amp;t=M1uiPNOy86K4MsoZ3jwd4aJvyNEBdZcCGNZCw8tfIyo","View Creative")</f>
        <v>View Creative</v>
      </c>
      <c r="L4360" s="6" t="s">
        <v>62</v>
      </c>
      <c r="M4360" s="6" t="s">
        <v>8270</v>
      </c>
      <c r="N4360" s="6" t="s">
        <v>8343</v>
      </c>
      <c r="O4360" s="36" t="s">
        <v>7541</v>
      </c>
      <c r="P4360" s="36" t="s">
        <v>7542</v>
      </c>
      <c r="Q4360" s="38"/>
    </row>
    <row r="4361">
      <c r="A4361" s="6" t="s">
        <v>8270</v>
      </c>
      <c r="B4361" s="6" t="s">
        <v>8271</v>
      </c>
      <c r="C4361" s="6">
        <v>310.0</v>
      </c>
      <c r="D4361" s="9" t="str">
        <f t="shared" si="651"/>
        <v>Open Ad</v>
      </c>
      <c r="E4361" s="6" t="s">
        <v>91</v>
      </c>
      <c r="F4361" s="6" t="s">
        <v>8022</v>
      </c>
      <c r="G4361" s="6" t="s">
        <v>8337</v>
      </c>
      <c r="H4361" s="6" t="s">
        <v>55</v>
      </c>
      <c r="I4361" s="6" t="s">
        <v>8273</v>
      </c>
      <c r="J4361" s="6" t="s">
        <v>91</v>
      </c>
      <c r="K4361" s="12" t="str">
        <f t="shared" si="652"/>
        <v>View Creative</v>
      </c>
      <c r="L4361" s="6" t="s">
        <v>62</v>
      </c>
      <c r="M4361" s="6" t="s">
        <v>8270</v>
      </c>
      <c r="N4361" s="6" t="s">
        <v>8343</v>
      </c>
      <c r="O4361" s="36" t="s">
        <v>7541</v>
      </c>
      <c r="P4361" s="36" t="s">
        <v>7542</v>
      </c>
      <c r="Q4361" s="38"/>
    </row>
    <row r="4362">
      <c r="A4362" s="6" t="s">
        <v>8270</v>
      </c>
      <c r="B4362" s="6" t="s">
        <v>8271</v>
      </c>
      <c r="C4362" s="6">
        <v>311.0</v>
      </c>
      <c r="D4362" s="9" t="str">
        <f t="shared" ref="D4362:D4363" si="653">HYPERLINK("https://www.linkedin.com/ad-library/detail/1152684964","Open Ad")</f>
        <v>Open Ad</v>
      </c>
      <c r="E4362" s="6" t="s">
        <v>91</v>
      </c>
      <c r="F4362" s="6" t="s">
        <v>8022</v>
      </c>
      <c r="G4362" s="6" t="s">
        <v>8350</v>
      </c>
      <c r="H4362" s="6" t="s">
        <v>55</v>
      </c>
      <c r="I4362" s="6" t="s">
        <v>8273</v>
      </c>
      <c r="J4362" s="6" t="s">
        <v>91</v>
      </c>
      <c r="K4362" s="12" t="str">
        <f t="shared" ref="K4362:K4363" si="654">HYPERLINK("https://media.licdn.com/dms/image/v2/D4E10AQHXd2CW_zULWg/image-shrink_1280/B4EZyMTHeUIMAc-/0/1771880348132/ActionTracker2YourAIvisibilitymetricsnowcomewithnextstepspng?e=2147483647&amp;v=beta&amp;t=NzDfAuilwUb2OeIQyBhjLRFVPNtcg2-ZxbDzGP7o3vs","View Creative")</f>
        <v>View Creative</v>
      </c>
      <c r="L4362" s="6" t="s">
        <v>62</v>
      </c>
      <c r="M4362" s="6" t="s">
        <v>8270</v>
      </c>
      <c r="N4362" s="6" t="s">
        <v>8345</v>
      </c>
      <c r="O4362" s="36" t="s">
        <v>7541</v>
      </c>
      <c r="P4362" s="36" t="s">
        <v>7542</v>
      </c>
      <c r="Q4362" s="38"/>
    </row>
    <row r="4363">
      <c r="A4363" s="6" t="s">
        <v>8270</v>
      </c>
      <c r="B4363" s="6" t="s">
        <v>8271</v>
      </c>
      <c r="C4363" s="6">
        <v>312.0</v>
      </c>
      <c r="D4363" s="9" t="str">
        <f t="shared" si="653"/>
        <v>Open Ad</v>
      </c>
      <c r="E4363" s="6" t="s">
        <v>91</v>
      </c>
      <c r="F4363" s="6" t="s">
        <v>8022</v>
      </c>
      <c r="G4363" s="6" t="s">
        <v>8350</v>
      </c>
      <c r="H4363" s="6" t="s">
        <v>55</v>
      </c>
      <c r="I4363" s="6" t="s">
        <v>8273</v>
      </c>
      <c r="J4363" s="6" t="s">
        <v>91</v>
      </c>
      <c r="K4363" s="12" t="str">
        <f t="shared" si="654"/>
        <v>View Creative</v>
      </c>
      <c r="L4363" s="6" t="s">
        <v>62</v>
      </c>
      <c r="M4363" s="6" t="s">
        <v>8270</v>
      </c>
      <c r="N4363" s="6" t="s">
        <v>8345</v>
      </c>
      <c r="O4363" s="36" t="s">
        <v>7541</v>
      </c>
      <c r="P4363" s="36" t="s">
        <v>7542</v>
      </c>
      <c r="Q4363" s="38"/>
    </row>
    <row r="4364">
      <c r="A4364" s="6" t="s">
        <v>8270</v>
      </c>
      <c r="B4364" s="6" t="s">
        <v>8271</v>
      </c>
      <c r="C4364" s="6">
        <v>313.0</v>
      </c>
      <c r="D4364" s="9" t="str">
        <f t="shared" ref="D4364:D4365" si="655">HYPERLINK("https://www.linkedin.com/ad-library/detail/1151984674","Open Ad")</f>
        <v>Open Ad</v>
      </c>
      <c r="E4364" s="6" t="s">
        <v>91</v>
      </c>
      <c r="F4364" s="6" t="s">
        <v>8022</v>
      </c>
      <c r="G4364" s="6" t="s">
        <v>8350</v>
      </c>
      <c r="H4364" s="6" t="s">
        <v>55</v>
      </c>
      <c r="I4364" s="6" t="s">
        <v>8273</v>
      </c>
      <c r="J4364" s="6" t="s">
        <v>91</v>
      </c>
      <c r="K4364" s="12" t="str">
        <f t="shared" ref="K4364:K4365" si="656">HYPERLINK("https://media.licdn.com/dms/image/v2/D4E10AQEv4ItHpKi5pw/image-shrink_1280/B4EZyMQ4yWJsAc-/0/1771879763685/Revolut2FromAIsearchanalyticstoclearnextstepspng?e=2147483647&amp;v=beta&amp;t=YAFKK7AlmHSQR1kB7FUxy0Mpp2F4zE3XX62bSVzcuTc","View Creative")</f>
        <v>View Creative</v>
      </c>
      <c r="L4364" s="6" t="s">
        <v>62</v>
      </c>
      <c r="M4364" s="6" t="s">
        <v>8270</v>
      </c>
      <c r="N4364" s="6" t="s">
        <v>8345</v>
      </c>
      <c r="O4364" s="36" t="s">
        <v>7541</v>
      </c>
      <c r="P4364" s="36" t="s">
        <v>7542</v>
      </c>
      <c r="Q4364" s="38"/>
    </row>
    <row r="4365">
      <c r="A4365" s="6" t="s">
        <v>8270</v>
      </c>
      <c r="B4365" s="6" t="s">
        <v>8271</v>
      </c>
      <c r="C4365" s="6">
        <v>314.0</v>
      </c>
      <c r="D4365" s="9" t="str">
        <f t="shared" si="655"/>
        <v>Open Ad</v>
      </c>
      <c r="E4365" s="6" t="s">
        <v>91</v>
      </c>
      <c r="F4365" s="6" t="s">
        <v>8022</v>
      </c>
      <c r="G4365" s="6" t="s">
        <v>8350</v>
      </c>
      <c r="H4365" s="6" t="s">
        <v>55</v>
      </c>
      <c r="I4365" s="6" t="s">
        <v>8273</v>
      </c>
      <c r="J4365" s="6" t="s">
        <v>91</v>
      </c>
      <c r="K4365" s="12" t="str">
        <f t="shared" si="656"/>
        <v>View Creative</v>
      </c>
      <c r="L4365" s="6" t="s">
        <v>62</v>
      </c>
      <c r="M4365" s="6" t="s">
        <v>8270</v>
      </c>
      <c r="N4365" s="6" t="s">
        <v>8345</v>
      </c>
      <c r="O4365" s="36" t="s">
        <v>7541</v>
      </c>
      <c r="P4365" s="36" t="s">
        <v>7542</v>
      </c>
      <c r="Q4365" s="38"/>
    </row>
    <row r="4366">
      <c r="A4366" s="6" t="s">
        <v>8270</v>
      </c>
      <c r="B4366" s="6" t="s">
        <v>8271</v>
      </c>
      <c r="C4366" s="6">
        <v>315.0</v>
      </c>
      <c r="D4366" s="9" t="str">
        <f t="shared" ref="D4366:D4367" si="657">HYPERLINK("https://www.linkedin.com/ad-library/detail/1149310244","Open Ad")</f>
        <v>Open Ad</v>
      </c>
      <c r="E4366" s="6" t="s">
        <v>91</v>
      </c>
      <c r="F4366" s="6" t="s">
        <v>8022</v>
      </c>
      <c r="G4366" s="6" t="s">
        <v>8342</v>
      </c>
      <c r="H4366" s="6" t="s">
        <v>55</v>
      </c>
      <c r="I4366" s="6" t="s">
        <v>8273</v>
      </c>
      <c r="J4366" s="6" t="s">
        <v>91</v>
      </c>
      <c r="K4366" s="12" t="str">
        <f t="shared" ref="K4366:K4367" si="658">HYPERLINK("https://media.licdn.com/dms/image/v2/D4E10AQHWBSAv8yIJ1Q/image-shrink_1280/B4EZybChrqIEAg-/0/1772127657140/Directory1AIVisibilityAgencyDirectorypng?e=2147483647&amp;v=beta&amp;t=GNhKLHJ19CMay96XBo6Nig-ruRSdoSKvl1ZlFYRysUM","View Creative")</f>
        <v>View Creative</v>
      </c>
      <c r="L4366" s="6" t="s">
        <v>62</v>
      </c>
      <c r="M4366" s="6" t="s">
        <v>8270</v>
      </c>
      <c r="N4366" s="6" t="s">
        <v>8343</v>
      </c>
      <c r="O4366" s="36" t="s">
        <v>7541</v>
      </c>
      <c r="P4366" s="36" t="s">
        <v>7542</v>
      </c>
      <c r="Q4366" s="38"/>
    </row>
    <row r="4367">
      <c r="A4367" s="6" t="s">
        <v>8270</v>
      </c>
      <c r="B4367" s="6" t="s">
        <v>8271</v>
      </c>
      <c r="C4367" s="6">
        <v>316.0</v>
      </c>
      <c r="D4367" s="9" t="str">
        <f t="shared" si="657"/>
        <v>Open Ad</v>
      </c>
      <c r="E4367" s="6" t="s">
        <v>91</v>
      </c>
      <c r="F4367" s="6" t="s">
        <v>8022</v>
      </c>
      <c r="G4367" s="6" t="s">
        <v>8342</v>
      </c>
      <c r="H4367" s="6" t="s">
        <v>55</v>
      </c>
      <c r="I4367" s="6" t="s">
        <v>8273</v>
      </c>
      <c r="J4367" s="6" t="s">
        <v>91</v>
      </c>
      <c r="K4367" s="12" t="str">
        <f t="shared" si="658"/>
        <v>View Creative</v>
      </c>
      <c r="L4367" s="6" t="s">
        <v>62</v>
      </c>
      <c r="M4367" s="6" t="s">
        <v>8270</v>
      </c>
      <c r="N4367" s="6" t="s">
        <v>8343</v>
      </c>
      <c r="O4367" s="36" t="s">
        <v>7541</v>
      </c>
      <c r="P4367" s="36" t="s">
        <v>7542</v>
      </c>
      <c r="Q4367" s="38"/>
    </row>
    <row r="4368">
      <c r="A4368" s="6" t="s">
        <v>8270</v>
      </c>
      <c r="B4368" s="6" t="s">
        <v>8271</v>
      </c>
      <c r="C4368" s="6">
        <v>317.0</v>
      </c>
      <c r="D4368" s="9" t="str">
        <f t="shared" ref="D4368:D4369" si="659">HYPERLINK("https://www.linkedin.com/ad-library/detail/1149610024","Open Ad")</f>
        <v>Open Ad</v>
      </c>
      <c r="E4368" s="6" t="s">
        <v>91</v>
      </c>
      <c r="F4368" s="6" t="s">
        <v>8022</v>
      </c>
      <c r="G4368" s="6" t="s">
        <v>8335</v>
      </c>
      <c r="H4368" s="6" t="s">
        <v>55</v>
      </c>
      <c r="I4368" s="6" t="s">
        <v>8273</v>
      </c>
      <c r="J4368" s="6" t="s">
        <v>91</v>
      </c>
      <c r="K4368" s="12" t="str">
        <f t="shared" ref="K4368:K4369" si="660">HYPERLINK("https://media.licdn.com/dms/image/v2/D4E10AQENGNql_Hfi3w/image-shrink_1280/B4EZybChuMHkAc-/0/1772127657303/Directory2GetExpertHelpforAISearchpng?e=2147483647&amp;v=beta&amp;t=N05A1GpFf-MaOO-coxz8xvXUeDa3TTrq2hacW3d7_j4","View Creative")</f>
        <v>View Creative</v>
      </c>
      <c r="L4368" s="6" t="s">
        <v>62</v>
      </c>
      <c r="M4368" s="6" t="s">
        <v>8270</v>
      </c>
      <c r="N4368" s="6" t="s">
        <v>8343</v>
      </c>
      <c r="O4368" s="36" t="s">
        <v>7541</v>
      </c>
      <c r="P4368" s="36" t="s">
        <v>7542</v>
      </c>
      <c r="Q4368" s="38"/>
    </row>
    <row r="4369">
      <c r="A4369" s="6" t="s">
        <v>8270</v>
      </c>
      <c r="B4369" s="6" t="s">
        <v>8271</v>
      </c>
      <c r="C4369" s="6">
        <v>318.0</v>
      </c>
      <c r="D4369" s="9" t="str">
        <f t="shared" si="659"/>
        <v>Open Ad</v>
      </c>
      <c r="E4369" s="6" t="s">
        <v>91</v>
      </c>
      <c r="F4369" s="6" t="s">
        <v>8022</v>
      </c>
      <c r="G4369" s="6" t="s">
        <v>8335</v>
      </c>
      <c r="H4369" s="6" t="s">
        <v>55</v>
      </c>
      <c r="I4369" s="6" t="s">
        <v>8273</v>
      </c>
      <c r="J4369" s="6" t="s">
        <v>91</v>
      </c>
      <c r="K4369" s="12" t="str">
        <f t="shared" si="660"/>
        <v>View Creative</v>
      </c>
      <c r="L4369" s="6" t="s">
        <v>62</v>
      </c>
      <c r="M4369" s="6" t="s">
        <v>8270</v>
      </c>
      <c r="N4369" s="6" t="s">
        <v>8343</v>
      </c>
      <c r="O4369" s="36" t="s">
        <v>7541</v>
      </c>
      <c r="P4369" s="36" t="s">
        <v>7542</v>
      </c>
      <c r="Q4369" s="38"/>
    </row>
    <row r="4370">
      <c r="A4370" s="6" t="s">
        <v>8270</v>
      </c>
      <c r="B4370" s="6" t="s">
        <v>8271</v>
      </c>
      <c r="C4370" s="6">
        <v>319.0</v>
      </c>
      <c r="D4370" s="9" t="str">
        <f t="shared" ref="D4370:D4371" si="661">HYPERLINK("https://www.linkedin.com/ad-library/detail/1152185144","Open Ad")</f>
        <v>Open Ad</v>
      </c>
      <c r="E4370" s="6" t="s">
        <v>91</v>
      </c>
      <c r="F4370" s="6" t="s">
        <v>8022</v>
      </c>
      <c r="G4370" s="6" t="s">
        <v>8335</v>
      </c>
      <c r="H4370" s="6" t="s">
        <v>55</v>
      </c>
      <c r="I4370" s="6" t="s">
        <v>8273</v>
      </c>
      <c r="J4370" s="6" t="s">
        <v>91</v>
      </c>
      <c r="K4370" s="12" t="str">
        <f t="shared" ref="K4370:K4371" si="662">HYPERLINK("https://media.licdn.com/dms/image/v2/D4E10AQGxjTOn07fzcA/image-shrink_1280/B4EZybChtQKIAg-/0/1772127657278/Directory1FindTrustedAISearchExpertspng?e=2147483647&amp;v=beta&amp;t=aR8A0uldYLiXsowkszpzW6mgBZgZU3py0uDUqMekhdo","View Creative")</f>
        <v>View Creative</v>
      </c>
      <c r="L4370" s="6" t="s">
        <v>62</v>
      </c>
      <c r="M4370" s="6" t="s">
        <v>8270</v>
      </c>
      <c r="N4370" s="6" t="s">
        <v>8336</v>
      </c>
      <c r="O4370" s="36" t="s">
        <v>7541</v>
      </c>
      <c r="P4370" s="36" t="s">
        <v>7542</v>
      </c>
      <c r="Q4370" s="38"/>
    </row>
    <row r="4371">
      <c r="A4371" s="6" t="s">
        <v>8270</v>
      </c>
      <c r="B4371" s="6" t="s">
        <v>8271</v>
      </c>
      <c r="C4371" s="6">
        <v>320.0</v>
      </c>
      <c r="D4371" s="9" t="str">
        <f t="shared" si="661"/>
        <v>Open Ad</v>
      </c>
      <c r="E4371" s="6" t="s">
        <v>91</v>
      </c>
      <c r="F4371" s="6" t="s">
        <v>8022</v>
      </c>
      <c r="G4371" s="6" t="s">
        <v>8335</v>
      </c>
      <c r="H4371" s="6" t="s">
        <v>55</v>
      </c>
      <c r="I4371" s="6" t="s">
        <v>8273</v>
      </c>
      <c r="J4371" s="6" t="s">
        <v>91</v>
      </c>
      <c r="K4371" s="12" t="str">
        <f t="shared" si="662"/>
        <v>View Creative</v>
      </c>
      <c r="L4371" s="6" t="s">
        <v>62</v>
      </c>
      <c r="M4371" s="6" t="s">
        <v>8270</v>
      </c>
      <c r="N4371" s="6" t="s">
        <v>8336</v>
      </c>
      <c r="O4371" s="36" t="s">
        <v>7541</v>
      </c>
      <c r="P4371" s="36" t="s">
        <v>7542</v>
      </c>
      <c r="Q4371" s="38"/>
    </row>
    <row r="4372">
      <c r="A4372" s="6" t="s">
        <v>8270</v>
      </c>
      <c r="B4372" s="6" t="s">
        <v>8271</v>
      </c>
      <c r="C4372" s="6">
        <v>321.0</v>
      </c>
      <c r="D4372" s="9" t="str">
        <f t="shared" ref="D4372:D4373" si="663">HYPERLINK("https://www.linkedin.com/ad-library/detail/1150885104","Open Ad")</f>
        <v>Open Ad</v>
      </c>
      <c r="E4372" s="6" t="s">
        <v>91</v>
      </c>
      <c r="F4372" s="6" t="s">
        <v>8022</v>
      </c>
      <c r="G4372" s="6" t="s">
        <v>8344</v>
      </c>
      <c r="H4372" s="6" t="s">
        <v>55</v>
      </c>
      <c r="I4372" s="6" t="s">
        <v>8273</v>
      </c>
      <c r="J4372" s="6" t="s">
        <v>91</v>
      </c>
      <c r="K4372" s="12" t="str">
        <f t="shared" ref="K4372:K4373" si="664">HYPERLINK("https://media.licdn.com/dms/image/v2/D4E10AQG_fR28v9KqCQ/image-shrink_1280/B4EZyMQzWuH0Ag-/0/1771879741823/ActionTracker1FromAIsearchanalyticstoclearnextstepspng?e=2147483647&amp;v=beta&amp;t=0vyT_z6hi-EJzcEE7BFeO1VVAl3pIj2aVVBCz9EPkk0","View Creative")</f>
        <v>View Creative</v>
      </c>
      <c r="L4372" s="6" t="s">
        <v>62</v>
      </c>
      <c r="M4372" s="6" t="s">
        <v>8270</v>
      </c>
      <c r="N4372" s="6" t="s">
        <v>8345</v>
      </c>
      <c r="O4372" s="36" t="s">
        <v>7541</v>
      </c>
      <c r="P4372" s="36" t="s">
        <v>7542</v>
      </c>
      <c r="Q4372" s="38"/>
    </row>
    <row r="4373">
      <c r="A4373" s="6" t="s">
        <v>8270</v>
      </c>
      <c r="B4373" s="6" t="s">
        <v>8271</v>
      </c>
      <c r="C4373" s="6">
        <v>322.0</v>
      </c>
      <c r="D4373" s="9" t="str">
        <f t="shared" si="663"/>
        <v>Open Ad</v>
      </c>
      <c r="E4373" s="6" t="s">
        <v>91</v>
      </c>
      <c r="F4373" s="6" t="s">
        <v>8022</v>
      </c>
      <c r="G4373" s="6" t="s">
        <v>8344</v>
      </c>
      <c r="H4373" s="6" t="s">
        <v>55</v>
      </c>
      <c r="I4373" s="6" t="s">
        <v>8273</v>
      </c>
      <c r="J4373" s="6" t="s">
        <v>91</v>
      </c>
      <c r="K4373" s="12" t="str">
        <f t="shared" si="664"/>
        <v>View Creative</v>
      </c>
      <c r="L4373" s="6" t="s">
        <v>62</v>
      </c>
      <c r="M4373" s="6" t="s">
        <v>8270</v>
      </c>
      <c r="N4373" s="6" t="s">
        <v>8345</v>
      </c>
      <c r="O4373" s="36" t="s">
        <v>7541</v>
      </c>
      <c r="P4373" s="36" t="s">
        <v>7542</v>
      </c>
      <c r="Q4373" s="38"/>
    </row>
    <row r="4374">
      <c r="A4374" s="6" t="s">
        <v>8270</v>
      </c>
      <c r="B4374" s="6" t="s">
        <v>8271</v>
      </c>
      <c r="C4374" s="6">
        <v>323.0</v>
      </c>
      <c r="D4374" s="9" t="str">
        <f t="shared" ref="D4374:D4375" si="665">HYPERLINK("https://www.linkedin.com/ad-library/detail/1148909194","Open Ad")</f>
        <v>Open Ad</v>
      </c>
      <c r="E4374" s="6" t="s">
        <v>91</v>
      </c>
      <c r="F4374" s="6" t="s">
        <v>8022</v>
      </c>
      <c r="G4374" s="6" t="s">
        <v>8334</v>
      </c>
      <c r="H4374" s="6" t="s">
        <v>55</v>
      </c>
      <c r="I4374" s="6" t="s">
        <v>8273</v>
      </c>
      <c r="J4374" s="6" t="s">
        <v>91</v>
      </c>
      <c r="K4374" s="12" t="str">
        <f t="shared" ref="K4374:K4377" si="666">HYPERLINK("https://media.licdn.com/dms/image/v2/D4E10AQHXCJsPgcZ4_w/image-shrink_1280/B4EZybCon0JgAg-/0/1772127685657/Directory3GetExpertHelpforAISearchpng?e=2147483647&amp;v=beta&amp;t=HfUSY3XU6uwbZY8wgAX7_lRR7s287cOzcCtZklwj4H0","View Creative")</f>
        <v>View Creative</v>
      </c>
      <c r="L4374" s="6" t="s">
        <v>62</v>
      </c>
      <c r="M4374" s="6" t="s">
        <v>8270</v>
      </c>
      <c r="N4374" s="6" t="s">
        <v>8343</v>
      </c>
      <c r="O4374" s="36" t="s">
        <v>7541</v>
      </c>
      <c r="P4374" s="36" t="s">
        <v>7542</v>
      </c>
      <c r="Q4374" s="38"/>
    </row>
    <row r="4375">
      <c r="A4375" s="6" t="s">
        <v>8270</v>
      </c>
      <c r="B4375" s="6" t="s">
        <v>8271</v>
      </c>
      <c r="C4375" s="6">
        <v>324.0</v>
      </c>
      <c r="D4375" s="9" t="str">
        <f t="shared" si="665"/>
        <v>Open Ad</v>
      </c>
      <c r="E4375" s="6" t="s">
        <v>91</v>
      </c>
      <c r="F4375" s="6" t="s">
        <v>8022</v>
      </c>
      <c r="G4375" s="6" t="s">
        <v>8334</v>
      </c>
      <c r="H4375" s="6" t="s">
        <v>55</v>
      </c>
      <c r="I4375" s="6" t="s">
        <v>8273</v>
      </c>
      <c r="J4375" s="6" t="s">
        <v>91</v>
      </c>
      <c r="K4375" s="12" t="str">
        <f t="shared" si="666"/>
        <v>View Creative</v>
      </c>
      <c r="L4375" s="6" t="s">
        <v>62</v>
      </c>
      <c r="M4375" s="6" t="s">
        <v>8270</v>
      </c>
      <c r="N4375" s="6" t="s">
        <v>8343</v>
      </c>
      <c r="O4375" s="36" t="s">
        <v>7541</v>
      </c>
      <c r="P4375" s="36" t="s">
        <v>7542</v>
      </c>
      <c r="Q4375" s="38"/>
    </row>
    <row r="4376">
      <c r="A4376" s="6" t="s">
        <v>8270</v>
      </c>
      <c r="B4376" s="6" t="s">
        <v>8271</v>
      </c>
      <c r="C4376" s="6">
        <v>325.0</v>
      </c>
      <c r="D4376" s="9" t="str">
        <f t="shared" ref="D4376:D4377" si="667">HYPERLINK("https://www.linkedin.com/ad-library/detail/1149110894","Open Ad")</f>
        <v>Open Ad</v>
      </c>
      <c r="E4376" s="6" t="s">
        <v>91</v>
      </c>
      <c r="F4376" s="6" t="s">
        <v>8022</v>
      </c>
      <c r="G4376" s="6" t="s">
        <v>8334</v>
      </c>
      <c r="H4376" s="6" t="s">
        <v>55</v>
      </c>
      <c r="I4376" s="6" t="s">
        <v>8273</v>
      </c>
      <c r="J4376" s="6" t="s">
        <v>91</v>
      </c>
      <c r="K4376" s="12" t="str">
        <f t="shared" si="666"/>
        <v>View Creative</v>
      </c>
      <c r="L4376" s="6" t="s">
        <v>62</v>
      </c>
      <c r="M4376" s="6" t="s">
        <v>8270</v>
      </c>
      <c r="N4376" s="6" t="s">
        <v>8343</v>
      </c>
      <c r="O4376" s="36" t="s">
        <v>7541</v>
      </c>
      <c r="P4376" s="36" t="s">
        <v>7542</v>
      </c>
      <c r="Q4376" s="38"/>
    </row>
    <row r="4377">
      <c r="A4377" s="6" t="s">
        <v>8270</v>
      </c>
      <c r="B4377" s="6" t="s">
        <v>8271</v>
      </c>
      <c r="C4377" s="6">
        <v>326.0</v>
      </c>
      <c r="D4377" s="9" t="str">
        <f t="shared" si="667"/>
        <v>Open Ad</v>
      </c>
      <c r="E4377" s="6" t="s">
        <v>91</v>
      </c>
      <c r="F4377" s="6" t="s">
        <v>8022</v>
      </c>
      <c r="G4377" s="6" t="s">
        <v>8334</v>
      </c>
      <c r="H4377" s="6" t="s">
        <v>55</v>
      </c>
      <c r="I4377" s="6" t="s">
        <v>8273</v>
      </c>
      <c r="J4377" s="6" t="s">
        <v>91</v>
      </c>
      <c r="K4377" s="12" t="str">
        <f t="shared" si="666"/>
        <v>View Creative</v>
      </c>
      <c r="L4377" s="6" t="s">
        <v>62</v>
      </c>
      <c r="M4377" s="6" t="s">
        <v>8270</v>
      </c>
      <c r="N4377" s="6" t="s">
        <v>8343</v>
      </c>
      <c r="O4377" s="36" t="s">
        <v>7541</v>
      </c>
      <c r="P4377" s="36" t="s">
        <v>7542</v>
      </c>
      <c r="Q4377" s="38"/>
    </row>
    <row r="4378">
      <c r="A4378" s="6" t="s">
        <v>8270</v>
      </c>
      <c r="B4378" s="6" t="s">
        <v>8271</v>
      </c>
      <c r="C4378" s="6">
        <v>327.0</v>
      </c>
      <c r="D4378" s="9" t="str">
        <f t="shared" ref="D4378:D4379" si="668">HYPERLINK("https://www.linkedin.com/ad-library/detail/1148909184","Open Ad")</f>
        <v>Open Ad</v>
      </c>
      <c r="E4378" s="6" t="s">
        <v>91</v>
      </c>
      <c r="F4378" s="6" t="s">
        <v>8022</v>
      </c>
      <c r="G4378" s="6" t="s">
        <v>8331</v>
      </c>
      <c r="H4378" s="6" t="s">
        <v>55</v>
      </c>
      <c r="I4378" s="6" t="s">
        <v>8273</v>
      </c>
      <c r="J4378" s="6" t="s">
        <v>91</v>
      </c>
      <c r="K4378" s="12" t="str">
        <f t="shared" ref="K4378:K4379" si="669">HYPERLINK("https://media.licdn.com/dms/image/v2/D4E10AQGtKok9G8Co_w/image-shrink_1280/B4EZybCoR6GYAc-/0/1772127684186/Directory1GetExpertHelpforAISearchpng?e=2147483647&amp;v=beta&amp;t=yrXbbpw2S9-81UaSPTZiQy5YHeY24f0r4iwEMY9FO9E","View Creative")</f>
        <v>View Creative</v>
      </c>
      <c r="L4378" s="6" t="s">
        <v>62</v>
      </c>
      <c r="M4378" s="6" t="s">
        <v>8270</v>
      </c>
      <c r="N4378" s="6" t="s">
        <v>8343</v>
      </c>
      <c r="O4378" s="36" t="s">
        <v>7541</v>
      </c>
      <c r="P4378" s="36" t="s">
        <v>7542</v>
      </c>
      <c r="Q4378" s="38"/>
    </row>
    <row r="4379">
      <c r="A4379" s="6" t="s">
        <v>8270</v>
      </c>
      <c r="B4379" s="6" t="s">
        <v>8271</v>
      </c>
      <c r="C4379" s="6">
        <v>328.0</v>
      </c>
      <c r="D4379" s="9" t="str">
        <f t="shared" si="668"/>
        <v>Open Ad</v>
      </c>
      <c r="E4379" s="6" t="s">
        <v>91</v>
      </c>
      <c r="F4379" s="6" t="s">
        <v>8022</v>
      </c>
      <c r="G4379" s="6" t="s">
        <v>8331</v>
      </c>
      <c r="H4379" s="6" t="s">
        <v>55</v>
      </c>
      <c r="I4379" s="6" t="s">
        <v>8273</v>
      </c>
      <c r="J4379" s="6" t="s">
        <v>91</v>
      </c>
      <c r="K4379" s="12" t="str">
        <f t="shared" si="669"/>
        <v>View Creative</v>
      </c>
      <c r="L4379" s="6" t="s">
        <v>62</v>
      </c>
      <c r="M4379" s="6" t="s">
        <v>8270</v>
      </c>
      <c r="N4379" s="6" t="s">
        <v>8343</v>
      </c>
      <c r="O4379" s="36" t="s">
        <v>7541</v>
      </c>
      <c r="P4379" s="36" t="s">
        <v>7542</v>
      </c>
      <c r="Q4379" s="38"/>
    </row>
    <row r="4380">
      <c r="A4380" s="6" t="s">
        <v>8270</v>
      </c>
      <c r="B4380" s="6" t="s">
        <v>8271</v>
      </c>
      <c r="C4380" s="6">
        <v>329.0</v>
      </c>
      <c r="D4380" s="9" t="str">
        <f t="shared" ref="D4380:D4381" si="670">HYPERLINK("https://www.linkedin.com/ad-library/detail/1151684914","Open Ad")</f>
        <v>Open Ad</v>
      </c>
      <c r="E4380" s="6" t="s">
        <v>91</v>
      </c>
      <c r="F4380" s="6" t="s">
        <v>8022</v>
      </c>
      <c r="G4380" s="6" t="s">
        <v>8342</v>
      </c>
      <c r="H4380" s="6" t="s">
        <v>55</v>
      </c>
      <c r="I4380" s="6" t="s">
        <v>8273</v>
      </c>
      <c r="J4380" s="6" t="s">
        <v>91</v>
      </c>
      <c r="K4380" s="12" t="str">
        <f t="shared" ref="K4380:K4381" si="671">HYPERLINK("https://media.licdn.com/dms/image/v2/D4E10AQHWBSAv8yIJ1Q/image-shrink_1280/B4EZybChrqIEAg-/0/1772127657140/Directory1AIVisibilityAgencyDirectorypng?e=2147483647&amp;v=beta&amp;t=GNhKLHJ19CMay96XBo6Nig-ruRSdoSKvl1ZlFYRysUM","View Creative")</f>
        <v>View Creative</v>
      </c>
      <c r="L4380" s="6" t="s">
        <v>62</v>
      </c>
      <c r="M4380" s="6" t="s">
        <v>8270</v>
      </c>
      <c r="N4380" s="6" t="s">
        <v>8336</v>
      </c>
      <c r="O4380" s="36" t="s">
        <v>7541</v>
      </c>
      <c r="P4380" s="36" t="s">
        <v>7542</v>
      </c>
      <c r="Q4380" s="38"/>
    </row>
    <row r="4381">
      <c r="A4381" s="6" t="s">
        <v>8270</v>
      </c>
      <c r="B4381" s="6" t="s">
        <v>8271</v>
      </c>
      <c r="C4381" s="6">
        <v>330.0</v>
      </c>
      <c r="D4381" s="9" t="str">
        <f t="shared" si="670"/>
        <v>Open Ad</v>
      </c>
      <c r="E4381" s="6" t="s">
        <v>91</v>
      </c>
      <c r="F4381" s="6" t="s">
        <v>8022</v>
      </c>
      <c r="G4381" s="6" t="s">
        <v>8342</v>
      </c>
      <c r="H4381" s="6" t="s">
        <v>55</v>
      </c>
      <c r="I4381" s="6" t="s">
        <v>8273</v>
      </c>
      <c r="J4381" s="6" t="s">
        <v>91</v>
      </c>
      <c r="K4381" s="12" t="str">
        <f t="shared" si="671"/>
        <v>View Creative</v>
      </c>
      <c r="L4381" s="6" t="s">
        <v>62</v>
      </c>
      <c r="M4381" s="6" t="s">
        <v>8270</v>
      </c>
      <c r="N4381" s="6" t="s">
        <v>8336</v>
      </c>
      <c r="O4381" s="36" t="s">
        <v>7541</v>
      </c>
      <c r="P4381" s="36" t="s">
        <v>7542</v>
      </c>
      <c r="Q4381" s="38"/>
    </row>
    <row r="4382">
      <c r="A4382" s="6" t="s">
        <v>8270</v>
      </c>
      <c r="B4382" s="6" t="s">
        <v>8271</v>
      </c>
      <c r="C4382" s="6">
        <v>331.0</v>
      </c>
      <c r="D4382" s="9" t="str">
        <f t="shared" ref="D4382:D4383" si="672">HYPERLINK("https://www.linkedin.com/ad-library/detail/1152685104","Open Ad")</f>
        <v>Open Ad</v>
      </c>
      <c r="E4382" s="6" t="s">
        <v>91</v>
      </c>
      <c r="F4382" s="6" t="s">
        <v>8022</v>
      </c>
      <c r="G4382" s="6" t="s">
        <v>8347</v>
      </c>
      <c r="H4382" s="6" t="s">
        <v>55</v>
      </c>
      <c r="I4382" s="6" t="s">
        <v>8273</v>
      </c>
      <c r="J4382" s="6" t="s">
        <v>91</v>
      </c>
      <c r="K4382" s="12" t="str">
        <f t="shared" ref="K4382:K4383" si="673">HYPERLINK("https://media.licdn.com/dms/image/v2/D4E10AQEujPuW92_whg/image-shrink_1280/B4EZybChqwHMAc-/0/1772127657019/Directory2AIVisibilityAgencyDirectorypng?e=2147483647&amp;v=beta&amp;t=Z6MAKWzMej5_jYQRlmJ4y7bDcR6D_e69xbTN9r9L-9o","View Creative")</f>
        <v>View Creative</v>
      </c>
      <c r="L4382" s="6" t="s">
        <v>62</v>
      </c>
      <c r="M4382" s="6" t="s">
        <v>8270</v>
      </c>
      <c r="N4382" s="6" t="s">
        <v>8332</v>
      </c>
      <c r="O4382" s="36" t="s">
        <v>7541</v>
      </c>
      <c r="P4382" s="36" t="s">
        <v>7542</v>
      </c>
      <c r="Q4382" s="38"/>
    </row>
    <row r="4383">
      <c r="A4383" s="6" t="s">
        <v>8270</v>
      </c>
      <c r="B4383" s="6" t="s">
        <v>8271</v>
      </c>
      <c r="C4383" s="6">
        <v>332.0</v>
      </c>
      <c r="D4383" s="9" t="str">
        <f t="shared" si="672"/>
        <v>Open Ad</v>
      </c>
      <c r="E4383" s="6" t="s">
        <v>91</v>
      </c>
      <c r="F4383" s="6" t="s">
        <v>8022</v>
      </c>
      <c r="G4383" s="6" t="s">
        <v>8347</v>
      </c>
      <c r="H4383" s="6" t="s">
        <v>55</v>
      </c>
      <c r="I4383" s="6" t="s">
        <v>8273</v>
      </c>
      <c r="J4383" s="6" t="s">
        <v>91</v>
      </c>
      <c r="K4383" s="12" t="str">
        <f t="shared" si="673"/>
        <v>View Creative</v>
      </c>
      <c r="L4383" s="6" t="s">
        <v>62</v>
      </c>
      <c r="M4383" s="6" t="s">
        <v>8270</v>
      </c>
      <c r="N4383" s="6" t="s">
        <v>8332</v>
      </c>
      <c r="O4383" s="36" t="s">
        <v>7541</v>
      </c>
      <c r="P4383" s="36" t="s">
        <v>7542</v>
      </c>
      <c r="Q4383" s="38"/>
    </row>
    <row r="4384">
      <c r="A4384" s="6" t="s">
        <v>8270</v>
      </c>
      <c r="B4384" s="6" t="s">
        <v>8271</v>
      </c>
      <c r="C4384" s="6">
        <v>333.0</v>
      </c>
      <c r="D4384" s="9" t="str">
        <f t="shared" ref="D4384:D4385" si="674">HYPERLINK("https://www.linkedin.com/ad-library/detail/1152085394","Open Ad")</f>
        <v>Open Ad</v>
      </c>
      <c r="E4384" s="6" t="s">
        <v>91</v>
      </c>
      <c r="F4384" s="6" t="s">
        <v>8022</v>
      </c>
      <c r="G4384" s="6" t="s">
        <v>8342</v>
      </c>
      <c r="H4384" s="6" t="s">
        <v>55</v>
      </c>
      <c r="I4384" s="6" t="s">
        <v>8273</v>
      </c>
      <c r="J4384" s="6" t="s">
        <v>91</v>
      </c>
      <c r="K4384" s="12" t="str">
        <f t="shared" ref="K4384:K4387" si="675">HYPERLINK("https://media.licdn.com/dms/image/v2/D4E10AQHWBSAv8yIJ1Q/image-shrink_1280/B4EZybChrqIEAg-/0/1772127657140/Directory1AIVisibilityAgencyDirectorypng?e=2147483647&amp;v=beta&amp;t=GNhKLHJ19CMay96XBo6Nig-ruRSdoSKvl1ZlFYRysUM","View Creative")</f>
        <v>View Creative</v>
      </c>
      <c r="L4384" s="6" t="s">
        <v>62</v>
      </c>
      <c r="M4384" s="6" t="s">
        <v>8270</v>
      </c>
      <c r="N4384" s="6" t="s">
        <v>8332</v>
      </c>
      <c r="O4384" s="36" t="s">
        <v>7541</v>
      </c>
      <c r="P4384" s="36" t="s">
        <v>7542</v>
      </c>
      <c r="Q4384" s="38"/>
    </row>
    <row r="4385">
      <c r="A4385" s="6" t="s">
        <v>8270</v>
      </c>
      <c r="B4385" s="6" t="s">
        <v>8271</v>
      </c>
      <c r="C4385" s="6">
        <v>334.0</v>
      </c>
      <c r="D4385" s="9" t="str">
        <f t="shared" si="674"/>
        <v>Open Ad</v>
      </c>
      <c r="E4385" s="6" t="s">
        <v>91</v>
      </c>
      <c r="F4385" s="6" t="s">
        <v>8022</v>
      </c>
      <c r="G4385" s="6" t="s">
        <v>8342</v>
      </c>
      <c r="H4385" s="6" t="s">
        <v>55</v>
      </c>
      <c r="I4385" s="6" t="s">
        <v>8273</v>
      </c>
      <c r="J4385" s="6" t="s">
        <v>91</v>
      </c>
      <c r="K4385" s="12" t="str">
        <f t="shared" si="675"/>
        <v>View Creative</v>
      </c>
      <c r="L4385" s="6" t="s">
        <v>62</v>
      </c>
      <c r="M4385" s="6" t="s">
        <v>8270</v>
      </c>
      <c r="N4385" s="6" t="s">
        <v>8332</v>
      </c>
      <c r="O4385" s="36" t="s">
        <v>7541</v>
      </c>
      <c r="P4385" s="36" t="s">
        <v>7542</v>
      </c>
      <c r="Q4385" s="38"/>
    </row>
    <row r="4386">
      <c r="A4386" s="6" t="s">
        <v>8270</v>
      </c>
      <c r="B4386" s="6" t="s">
        <v>8271</v>
      </c>
      <c r="C4386" s="6">
        <v>335.0</v>
      </c>
      <c r="D4386" s="9" t="str">
        <f t="shared" ref="D4386:D4387" si="676">HYPERLINK("https://www.linkedin.com/ad-library/detail/1150809854","Open Ad")</f>
        <v>Open Ad</v>
      </c>
      <c r="E4386" s="6" t="s">
        <v>91</v>
      </c>
      <c r="F4386" s="6" t="s">
        <v>8022</v>
      </c>
      <c r="G4386" s="6" t="s">
        <v>8342</v>
      </c>
      <c r="H4386" s="6" t="s">
        <v>55</v>
      </c>
      <c r="I4386" s="6" t="s">
        <v>8273</v>
      </c>
      <c r="J4386" s="6" t="s">
        <v>91</v>
      </c>
      <c r="K4386" s="12" t="str">
        <f t="shared" si="675"/>
        <v>View Creative</v>
      </c>
      <c r="L4386" s="6" t="s">
        <v>62</v>
      </c>
      <c r="M4386" s="6" t="s">
        <v>8270</v>
      </c>
      <c r="N4386" s="6" t="s">
        <v>8343</v>
      </c>
      <c r="O4386" s="36" t="s">
        <v>7541</v>
      </c>
      <c r="P4386" s="36" t="s">
        <v>7542</v>
      </c>
      <c r="Q4386" s="38"/>
    </row>
    <row r="4387">
      <c r="A4387" s="6" t="s">
        <v>8270</v>
      </c>
      <c r="B4387" s="6" t="s">
        <v>8271</v>
      </c>
      <c r="C4387" s="6">
        <v>336.0</v>
      </c>
      <c r="D4387" s="9" t="str">
        <f t="shared" si="676"/>
        <v>Open Ad</v>
      </c>
      <c r="E4387" s="6" t="s">
        <v>91</v>
      </c>
      <c r="F4387" s="6" t="s">
        <v>8022</v>
      </c>
      <c r="G4387" s="6" t="s">
        <v>8342</v>
      </c>
      <c r="H4387" s="6" t="s">
        <v>55</v>
      </c>
      <c r="I4387" s="6" t="s">
        <v>8273</v>
      </c>
      <c r="J4387" s="6" t="s">
        <v>91</v>
      </c>
      <c r="K4387" s="12" t="str">
        <f t="shared" si="675"/>
        <v>View Creative</v>
      </c>
      <c r="L4387" s="6" t="s">
        <v>62</v>
      </c>
      <c r="M4387" s="6" t="s">
        <v>8270</v>
      </c>
      <c r="N4387" s="6" t="s">
        <v>8343</v>
      </c>
      <c r="O4387" s="36" t="s">
        <v>7541</v>
      </c>
      <c r="P4387" s="36" t="s">
        <v>7542</v>
      </c>
      <c r="Q4387" s="38"/>
    </row>
    <row r="4388">
      <c r="A4388" s="6" t="s">
        <v>8270</v>
      </c>
      <c r="B4388" s="6" t="s">
        <v>8271</v>
      </c>
      <c r="C4388" s="6">
        <v>337.0</v>
      </c>
      <c r="D4388" s="9" t="str">
        <f t="shared" ref="D4388:D4389" si="677">HYPERLINK("https://www.linkedin.com/ad-library/detail/1150809844","Open Ad")</f>
        <v>Open Ad</v>
      </c>
      <c r="E4388" s="6" t="s">
        <v>91</v>
      </c>
      <c r="F4388" s="6" t="s">
        <v>8022</v>
      </c>
      <c r="G4388" s="6" t="s">
        <v>8331</v>
      </c>
      <c r="H4388" s="6" t="s">
        <v>55</v>
      </c>
      <c r="I4388" s="6" t="s">
        <v>8273</v>
      </c>
      <c r="J4388" s="6" t="s">
        <v>91</v>
      </c>
      <c r="K4388" s="12" t="str">
        <f t="shared" ref="K4388:K4389" si="678">HYPERLINK("https://media.licdn.com/dms/image/v2/D4E10AQGtKok9G8Co_w/image-shrink_1280/B4EZybCoR6GYAc-/0/1772127684186/Directory1GetExpertHelpforAISearchpng?e=2147483647&amp;v=beta&amp;t=yrXbbpw2S9-81UaSPTZiQy5YHeY24f0r4iwEMY9FO9E","View Creative")</f>
        <v>View Creative</v>
      </c>
      <c r="L4388" s="6" t="s">
        <v>62</v>
      </c>
      <c r="M4388" s="6" t="s">
        <v>8270</v>
      </c>
      <c r="N4388" s="6" t="s">
        <v>8343</v>
      </c>
      <c r="O4388" s="36" t="s">
        <v>7541</v>
      </c>
      <c r="P4388" s="36" t="s">
        <v>7542</v>
      </c>
      <c r="Q4388" s="38"/>
    </row>
    <row r="4389">
      <c r="A4389" s="6" t="s">
        <v>8270</v>
      </c>
      <c r="B4389" s="6" t="s">
        <v>8271</v>
      </c>
      <c r="C4389" s="6">
        <v>338.0</v>
      </c>
      <c r="D4389" s="9" t="str">
        <f t="shared" si="677"/>
        <v>Open Ad</v>
      </c>
      <c r="E4389" s="6" t="s">
        <v>91</v>
      </c>
      <c r="F4389" s="6" t="s">
        <v>8022</v>
      </c>
      <c r="G4389" s="6" t="s">
        <v>8331</v>
      </c>
      <c r="H4389" s="6" t="s">
        <v>55</v>
      </c>
      <c r="I4389" s="6" t="s">
        <v>8273</v>
      </c>
      <c r="J4389" s="6" t="s">
        <v>91</v>
      </c>
      <c r="K4389" s="12" t="str">
        <f t="shared" si="678"/>
        <v>View Creative</v>
      </c>
      <c r="L4389" s="6" t="s">
        <v>62</v>
      </c>
      <c r="M4389" s="6" t="s">
        <v>8270</v>
      </c>
      <c r="N4389" s="6" t="s">
        <v>8343</v>
      </c>
      <c r="O4389" s="36" t="s">
        <v>7541</v>
      </c>
      <c r="P4389" s="36" t="s">
        <v>7542</v>
      </c>
      <c r="Q4389" s="38"/>
    </row>
    <row r="4390">
      <c r="A4390" s="6" t="s">
        <v>8270</v>
      </c>
      <c r="B4390" s="6" t="s">
        <v>8271</v>
      </c>
      <c r="C4390" s="6">
        <v>339.0</v>
      </c>
      <c r="D4390" s="9" t="str">
        <f t="shared" ref="D4390:D4391" si="679">HYPERLINK("https://www.linkedin.com/ad-library/detail/1150409284","Open Ad")</f>
        <v>Open Ad</v>
      </c>
      <c r="E4390" s="6" t="s">
        <v>91</v>
      </c>
      <c r="F4390" s="6" t="s">
        <v>8022</v>
      </c>
      <c r="G4390" s="6" t="s">
        <v>8335</v>
      </c>
      <c r="H4390" s="6" t="s">
        <v>55</v>
      </c>
      <c r="I4390" s="6" t="s">
        <v>8273</v>
      </c>
      <c r="J4390" s="6" t="s">
        <v>91</v>
      </c>
      <c r="K4390" s="12" t="str">
        <f t="shared" ref="K4390:K4391" si="680">HYPERLINK("https://media.licdn.com/dms/image/v2/D4E10AQGxjTOn07fzcA/image-shrink_1280/B4EZybChtQKIAg-/0/1772127657278/Directory1FindTrustedAISearchExpertspng?e=2147483647&amp;v=beta&amp;t=aR8A0uldYLiXsowkszpzW6mgBZgZU3py0uDUqMekhdo","View Creative")</f>
        <v>View Creative</v>
      </c>
      <c r="L4390" s="6" t="s">
        <v>62</v>
      </c>
      <c r="M4390" s="6" t="s">
        <v>8270</v>
      </c>
      <c r="N4390" s="6" t="s">
        <v>8343</v>
      </c>
      <c r="O4390" s="36" t="s">
        <v>7541</v>
      </c>
      <c r="P4390" s="36" t="s">
        <v>7542</v>
      </c>
      <c r="Q4390" s="38"/>
    </row>
    <row r="4391">
      <c r="A4391" s="6" t="s">
        <v>8270</v>
      </c>
      <c r="B4391" s="6" t="s">
        <v>8271</v>
      </c>
      <c r="C4391" s="6">
        <v>340.0</v>
      </c>
      <c r="D4391" s="9" t="str">
        <f t="shared" si="679"/>
        <v>Open Ad</v>
      </c>
      <c r="E4391" s="6" t="s">
        <v>91</v>
      </c>
      <c r="F4391" s="6" t="s">
        <v>8022</v>
      </c>
      <c r="G4391" s="6" t="s">
        <v>8335</v>
      </c>
      <c r="H4391" s="6" t="s">
        <v>55</v>
      </c>
      <c r="I4391" s="6" t="s">
        <v>8273</v>
      </c>
      <c r="J4391" s="6" t="s">
        <v>91</v>
      </c>
      <c r="K4391" s="12" t="str">
        <f t="shared" si="680"/>
        <v>View Creative</v>
      </c>
      <c r="L4391" s="6" t="s">
        <v>62</v>
      </c>
      <c r="M4391" s="6" t="s">
        <v>8270</v>
      </c>
      <c r="N4391" s="6" t="s">
        <v>8343</v>
      </c>
      <c r="O4391" s="36" t="s">
        <v>7541</v>
      </c>
      <c r="P4391" s="36" t="s">
        <v>7542</v>
      </c>
      <c r="Q4391" s="38"/>
    </row>
    <row r="4392">
      <c r="A4392" s="6" t="s">
        <v>8270</v>
      </c>
      <c r="B4392" s="6" t="s">
        <v>8271</v>
      </c>
      <c r="C4392" s="6">
        <v>341.0</v>
      </c>
      <c r="D4392" s="9" t="str">
        <f t="shared" ref="D4392:D4393" si="681">HYPERLINK("https://www.linkedin.com/ad-library/detail/1150708294","Open Ad")</f>
        <v>Open Ad</v>
      </c>
      <c r="E4392" s="6" t="s">
        <v>91</v>
      </c>
      <c r="F4392" s="6" t="s">
        <v>8022</v>
      </c>
      <c r="G4392" s="6" t="s">
        <v>8347</v>
      </c>
      <c r="H4392" s="6" t="s">
        <v>55</v>
      </c>
      <c r="I4392" s="6" t="s">
        <v>8273</v>
      </c>
      <c r="J4392" s="6" t="s">
        <v>91</v>
      </c>
      <c r="K4392" s="12" t="str">
        <f t="shared" ref="K4392:K4393" si="682">HYPERLINK("https://media.licdn.com/dms/image/v2/D4E10AQEujPuW92_whg/image-shrink_1280/B4EZybChqwHMAc-/0/1772127657019/Directory2AIVisibilityAgencyDirectorypng?e=2147483647&amp;v=beta&amp;t=Z6MAKWzMej5_jYQRlmJ4y7bDcR6D_e69xbTN9r9L-9o","View Creative")</f>
        <v>View Creative</v>
      </c>
      <c r="L4392" s="6" t="s">
        <v>62</v>
      </c>
      <c r="M4392" s="6" t="s">
        <v>8270</v>
      </c>
      <c r="N4392" s="6" t="s">
        <v>8343</v>
      </c>
      <c r="O4392" s="36" t="s">
        <v>7541</v>
      </c>
      <c r="P4392" s="36" t="s">
        <v>7542</v>
      </c>
      <c r="Q4392" s="38"/>
    </row>
    <row r="4393">
      <c r="A4393" s="6" t="s">
        <v>8270</v>
      </c>
      <c r="B4393" s="6" t="s">
        <v>8271</v>
      </c>
      <c r="C4393" s="6">
        <v>342.0</v>
      </c>
      <c r="D4393" s="9" t="str">
        <f t="shared" si="681"/>
        <v>Open Ad</v>
      </c>
      <c r="E4393" s="6" t="s">
        <v>91</v>
      </c>
      <c r="F4393" s="6" t="s">
        <v>8022</v>
      </c>
      <c r="G4393" s="6" t="s">
        <v>8347</v>
      </c>
      <c r="H4393" s="6" t="s">
        <v>55</v>
      </c>
      <c r="I4393" s="6" t="s">
        <v>8273</v>
      </c>
      <c r="J4393" s="6" t="s">
        <v>91</v>
      </c>
      <c r="K4393" s="12" t="str">
        <f t="shared" si="682"/>
        <v>View Creative</v>
      </c>
      <c r="L4393" s="6" t="s">
        <v>62</v>
      </c>
      <c r="M4393" s="6" t="s">
        <v>8270</v>
      </c>
      <c r="N4393" s="6" t="s">
        <v>8343</v>
      </c>
      <c r="O4393" s="36" t="s">
        <v>7541</v>
      </c>
      <c r="P4393" s="36" t="s">
        <v>7542</v>
      </c>
      <c r="Q4393" s="38"/>
    </row>
    <row r="4394">
      <c r="A4394" s="6" t="s">
        <v>8270</v>
      </c>
      <c r="B4394" s="6" t="s">
        <v>8271</v>
      </c>
      <c r="C4394" s="6">
        <v>343.0</v>
      </c>
      <c r="D4394" s="9" t="str">
        <f t="shared" ref="D4394:D4395" si="683">HYPERLINK("https://www.linkedin.com/ad-library/detail/1149110714","Open Ad")</f>
        <v>Open Ad</v>
      </c>
      <c r="E4394" s="6" t="s">
        <v>91</v>
      </c>
      <c r="F4394" s="6" t="s">
        <v>8022</v>
      </c>
      <c r="G4394" s="6" t="s">
        <v>8335</v>
      </c>
      <c r="H4394" s="6" t="s">
        <v>55</v>
      </c>
      <c r="I4394" s="6" t="s">
        <v>8273</v>
      </c>
      <c r="J4394" s="6" t="s">
        <v>91</v>
      </c>
      <c r="K4394" s="12" t="str">
        <f t="shared" ref="K4394:K4395" si="684">HYPERLINK("https://media.licdn.com/dms/image/v2/D4E10AQENGNql_Hfi3w/image-shrink_1280/B4EZybChuMHkAc-/0/1772127657303/Directory2GetExpertHelpforAISearchpng?e=2147483647&amp;v=beta&amp;t=N05A1GpFf-MaOO-coxz8xvXUeDa3TTrq2hacW3d7_j4","View Creative")</f>
        <v>View Creative</v>
      </c>
      <c r="L4394" s="6" t="s">
        <v>62</v>
      </c>
      <c r="M4394" s="6" t="s">
        <v>8270</v>
      </c>
      <c r="N4394" s="6" t="s">
        <v>8343</v>
      </c>
      <c r="O4394" s="36" t="s">
        <v>7541</v>
      </c>
      <c r="P4394" s="36" t="s">
        <v>7542</v>
      </c>
      <c r="Q4394" s="38"/>
    </row>
    <row r="4395">
      <c r="A4395" s="6" t="s">
        <v>8270</v>
      </c>
      <c r="B4395" s="6" t="s">
        <v>8271</v>
      </c>
      <c r="C4395" s="6">
        <v>344.0</v>
      </c>
      <c r="D4395" s="9" t="str">
        <f t="shared" si="683"/>
        <v>Open Ad</v>
      </c>
      <c r="E4395" s="6" t="s">
        <v>91</v>
      </c>
      <c r="F4395" s="6" t="s">
        <v>8022</v>
      </c>
      <c r="G4395" s="6" t="s">
        <v>8335</v>
      </c>
      <c r="H4395" s="6" t="s">
        <v>55</v>
      </c>
      <c r="I4395" s="6" t="s">
        <v>8273</v>
      </c>
      <c r="J4395" s="6" t="s">
        <v>91</v>
      </c>
      <c r="K4395" s="12" t="str">
        <f t="shared" si="684"/>
        <v>View Creative</v>
      </c>
      <c r="L4395" s="6" t="s">
        <v>62</v>
      </c>
      <c r="M4395" s="6" t="s">
        <v>8270</v>
      </c>
      <c r="N4395" s="6" t="s">
        <v>8343</v>
      </c>
      <c r="O4395" s="36" t="s">
        <v>7541</v>
      </c>
      <c r="P4395" s="36" t="s">
        <v>7542</v>
      </c>
      <c r="Q4395" s="38"/>
    </row>
    <row r="4396">
      <c r="A4396" s="6" t="s">
        <v>8270</v>
      </c>
      <c r="B4396" s="6" t="s">
        <v>8271</v>
      </c>
      <c r="C4396" s="6">
        <v>345.0</v>
      </c>
      <c r="D4396" s="9" t="str">
        <f t="shared" ref="D4396:D4397" si="685">HYPERLINK("https://www.linkedin.com/ad-library/detail/1149110604","Open Ad")</f>
        <v>Open Ad</v>
      </c>
      <c r="E4396" s="6" t="s">
        <v>91</v>
      </c>
      <c r="F4396" s="6" t="s">
        <v>8022</v>
      </c>
      <c r="G4396" s="6" t="s">
        <v>8335</v>
      </c>
      <c r="H4396" s="6" t="s">
        <v>55</v>
      </c>
      <c r="I4396" s="6" t="s">
        <v>8273</v>
      </c>
      <c r="J4396" s="6" t="s">
        <v>91</v>
      </c>
      <c r="K4396" s="12" t="str">
        <f t="shared" ref="K4396:K4397" si="686">HYPERLINK("https://media.licdn.com/dms/image/v2/D4E10AQGxjTOn07fzcA/image-shrink_1280/B4EZybChtQKIAg-/0/1772127657278/Directory1FindTrustedAISearchExpertspng?e=2147483647&amp;v=beta&amp;t=aR8A0uldYLiXsowkszpzW6mgBZgZU3py0uDUqMekhdo","View Creative")</f>
        <v>View Creative</v>
      </c>
      <c r="L4396" s="6" t="s">
        <v>62</v>
      </c>
      <c r="M4396" s="6" t="s">
        <v>8270</v>
      </c>
      <c r="N4396" s="6" t="s">
        <v>8343</v>
      </c>
      <c r="O4396" s="36" t="s">
        <v>7541</v>
      </c>
      <c r="P4396" s="36" t="s">
        <v>7542</v>
      </c>
      <c r="Q4396" s="38"/>
    </row>
    <row r="4397">
      <c r="A4397" s="6" t="s">
        <v>8270</v>
      </c>
      <c r="B4397" s="6" t="s">
        <v>8271</v>
      </c>
      <c r="C4397" s="6">
        <v>346.0</v>
      </c>
      <c r="D4397" s="9" t="str">
        <f t="shared" si="685"/>
        <v>Open Ad</v>
      </c>
      <c r="E4397" s="6" t="s">
        <v>91</v>
      </c>
      <c r="F4397" s="6" t="s">
        <v>8022</v>
      </c>
      <c r="G4397" s="6" t="s">
        <v>8335</v>
      </c>
      <c r="H4397" s="6" t="s">
        <v>55</v>
      </c>
      <c r="I4397" s="6" t="s">
        <v>8273</v>
      </c>
      <c r="J4397" s="6" t="s">
        <v>91</v>
      </c>
      <c r="K4397" s="12" t="str">
        <f t="shared" si="686"/>
        <v>View Creative</v>
      </c>
      <c r="L4397" s="6" t="s">
        <v>62</v>
      </c>
      <c r="M4397" s="6" t="s">
        <v>8270</v>
      </c>
      <c r="N4397" s="6" t="s">
        <v>8343</v>
      </c>
      <c r="O4397" s="36" t="s">
        <v>7541</v>
      </c>
      <c r="P4397" s="36" t="s">
        <v>7542</v>
      </c>
      <c r="Q4397" s="38"/>
    </row>
    <row r="4398">
      <c r="A4398" s="6" t="s">
        <v>8270</v>
      </c>
      <c r="B4398" s="6" t="s">
        <v>8271</v>
      </c>
      <c r="C4398" s="6">
        <v>347.0</v>
      </c>
      <c r="D4398" s="9" t="str">
        <f t="shared" ref="D4398:D4399" si="687">HYPERLINK("https://www.linkedin.com/ad-library/detail/1149110634","Open Ad")</f>
        <v>Open Ad</v>
      </c>
      <c r="E4398" s="6" t="s">
        <v>91</v>
      </c>
      <c r="F4398" s="6" t="s">
        <v>8022</v>
      </c>
      <c r="G4398" s="6" t="s">
        <v>8342</v>
      </c>
      <c r="H4398" s="6" t="s">
        <v>55</v>
      </c>
      <c r="I4398" s="6" t="s">
        <v>8273</v>
      </c>
      <c r="J4398" s="6" t="s">
        <v>91</v>
      </c>
      <c r="K4398" s="12" t="str">
        <f t="shared" ref="K4398:K4399" si="688">HYPERLINK("https://media.licdn.com/dms/image/v2/D4E10AQHWBSAv8yIJ1Q/image-shrink_1280/B4EZybChrqIEAg-/0/1772127657140/Directory1AIVisibilityAgencyDirectorypng?e=2147483647&amp;v=beta&amp;t=GNhKLHJ19CMay96XBo6Nig-ruRSdoSKvl1ZlFYRysUM","View Creative")</f>
        <v>View Creative</v>
      </c>
      <c r="L4398" s="6" t="s">
        <v>62</v>
      </c>
      <c r="M4398" s="6" t="s">
        <v>8270</v>
      </c>
      <c r="N4398" s="6" t="s">
        <v>8343</v>
      </c>
      <c r="O4398" s="36" t="s">
        <v>7541</v>
      </c>
      <c r="P4398" s="36" t="s">
        <v>7542</v>
      </c>
      <c r="Q4398" s="38"/>
    </row>
    <row r="4399">
      <c r="A4399" s="6" t="s">
        <v>8270</v>
      </c>
      <c r="B4399" s="6" t="s">
        <v>8271</v>
      </c>
      <c r="C4399" s="6">
        <v>348.0</v>
      </c>
      <c r="D4399" s="9" t="str">
        <f t="shared" si="687"/>
        <v>Open Ad</v>
      </c>
      <c r="E4399" s="6" t="s">
        <v>91</v>
      </c>
      <c r="F4399" s="6" t="s">
        <v>8022</v>
      </c>
      <c r="G4399" s="6" t="s">
        <v>8342</v>
      </c>
      <c r="H4399" s="6" t="s">
        <v>55</v>
      </c>
      <c r="I4399" s="6" t="s">
        <v>8273</v>
      </c>
      <c r="J4399" s="6" t="s">
        <v>91</v>
      </c>
      <c r="K4399" s="12" t="str">
        <f t="shared" si="688"/>
        <v>View Creative</v>
      </c>
      <c r="L4399" s="6" t="s">
        <v>62</v>
      </c>
      <c r="M4399" s="6" t="s">
        <v>8270</v>
      </c>
      <c r="N4399" s="6" t="s">
        <v>8343</v>
      </c>
      <c r="O4399" s="36" t="s">
        <v>7541</v>
      </c>
      <c r="P4399" s="36" t="s">
        <v>7542</v>
      </c>
      <c r="Q4399" s="38"/>
    </row>
    <row r="4400">
      <c r="A4400" s="6" t="s">
        <v>8270</v>
      </c>
      <c r="B4400" s="6" t="s">
        <v>8271</v>
      </c>
      <c r="C4400" s="6">
        <v>349.0</v>
      </c>
      <c r="D4400" s="9" t="str">
        <f t="shared" ref="D4400:D4401" si="689">HYPERLINK("https://www.linkedin.com/ad-library/detail/1150708224","Open Ad")</f>
        <v>Open Ad</v>
      </c>
      <c r="E4400" s="6" t="s">
        <v>91</v>
      </c>
      <c r="F4400" s="6" t="s">
        <v>8022</v>
      </c>
      <c r="G4400" s="6" t="s">
        <v>8347</v>
      </c>
      <c r="H4400" s="6" t="s">
        <v>55</v>
      </c>
      <c r="I4400" s="6" t="s">
        <v>8273</v>
      </c>
      <c r="J4400" s="6" t="s">
        <v>91</v>
      </c>
      <c r="K4400" s="12" t="str">
        <f t="shared" ref="K4400:K4401" si="690">HYPERLINK("https://media.licdn.com/dms/image/v2/D4E10AQEujPuW92_whg/image-shrink_1280/B4EZybChqwHMAc-/0/1772127657019/Directory2AIVisibilityAgencyDirectorypng?e=2147483647&amp;v=beta&amp;t=Z6MAKWzMej5_jYQRlmJ4y7bDcR6D_e69xbTN9r9L-9o","View Creative")</f>
        <v>View Creative</v>
      </c>
      <c r="L4400" s="6" t="s">
        <v>62</v>
      </c>
      <c r="M4400" s="6" t="s">
        <v>8270</v>
      </c>
      <c r="N4400" s="6" t="s">
        <v>8343</v>
      </c>
      <c r="O4400" s="36" t="s">
        <v>7541</v>
      </c>
      <c r="P4400" s="36" t="s">
        <v>7542</v>
      </c>
      <c r="Q4400" s="38"/>
    </row>
    <row r="4401">
      <c r="A4401" s="6" t="s">
        <v>8270</v>
      </c>
      <c r="B4401" s="6" t="s">
        <v>8271</v>
      </c>
      <c r="C4401" s="6">
        <v>350.0</v>
      </c>
      <c r="D4401" s="9" t="str">
        <f t="shared" si="689"/>
        <v>Open Ad</v>
      </c>
      <c r="E4401" s="6" t="s">
        <v>91</v>
      </c>
      <c r="F4401" s="6" t="s">
        <v>8022</v>
      </c>
      <c r="G4401" s="6" t="s">
        <v>8347</v>
      </c>
      <c r="H4401" s="6" t="s">
        <v>55</v>
      </c>
      <c r="I4401" s="6" t="s">
        <v>8273</v>
      </c>
      <c r="J4401" s="6" t="s">
        <v>91</v>
      </c>
      <c r="K4401" s="12" t="str">
        <f t="shared" si="690"/>
        <v>View Creative</v>
      </c>
      <c r="L4401" s="6" t="s">
        <v>62</v>
      </c>
      <c r="M4401" s="6" t="s">
        <v>8270</v>
      </c>
      <c r="N4401" s="6" t="s">
        <v>8343</v>
      </c>
      <c r="O4401" s="36" t="s">
        <v>7541</v>
      </c>
      <c r="P4401" s="36" t="s">
        <v>7542</v>
      </c>
      <c r="Q4401" s="38"/>
    </row>
    <row r="4402">
      <c r="A4402" s="6" t="s">
        <v>8270</v>
      </c>
      <c r="B4402" s="6" t="s">
        <v>8271</v>
      </c>
      <c r="C4402" s="6">
        <v>351.0</v>
      </c>
      <c r="D4402" s="9" t="str">
        <f t="shared" ref="D4402:D4403" si="691">HYPERLINK("https://www.linkedin.com/ad-library/detail/1150409274","Open Ad")</f>
        <v>Open Ad</v>
      </c>
      <c r="E4402" s="6" t="s">
        <v>91</v>
      </c>
      <c r="F4402" s="6" t="s">
        <v>8022</v>
      </c>
      <c r="G4402" s="6" t="s">
        <v>8334</v>
      </c>
      <c r="H4402" s="6" t="s">
        <v>55</v>
      </c>
      <c r="I4402" s="6" t="s">
        <v>8273</v>
      </c>
      <c r="J4402" s="6" t="s">
        <v>91</v>
      </c>
      <c r="K4402" s="12" t="str">
        <f t="shared" ref="K4402:K4403" si="692">HYPERLINK("https://media.licdn.com/dms/image/v2/D4E10AQHXCJsPgcZ4_w/image-shrink_1280/B4EZybCon0JgAg-/0/1772127685657/Directory3GetExpertHelpforAISearchpng?e=2147483647&amp;v=beta&amp;t=HfUSY3XU6uwbZY8wgAX7_lRR7s287cOzcCtZklwj4H0","View Creative")</f>
        <v>View Creative</v>
      </c>
      <c r="L4402" s="6" t="s">
        <v>62</v>
      </c>
      <c r="M4402" s="6" t="s">
        <v>8270</v>
      </c>
      <c r="N4402" s="6" t="s">
        <v>8343</v>
      </c>
      <c r="O4402" s="36" t="s">
        <v>7541</v>
      </c>
      <c r="P4402" s="36" t="s">
        <v>7542</v>
      </c>
      <c r="Q4402" s="38"/>
    </row>
    <row r="4403">
      <c r="A4403" s="6" t="s">
        <v>8270</v>
      </c>
      <c r="B4403" s="6" t="s">
        <v>8271</v>
      </c>
      <c r="C4403" s="6">
        <v>352.0</v>
      </c>
      <c r="D4403" s="9" t="str">
        <f t="shared" si="691"/>
        <v>Open Ad</v>
      </c>
      <c r="E4403" s="6" t="s">
        <v>91</v>
      </c>
      <c r="F4403" s="6" t="s">
        <v>8022</v>
      </c>
      <c r="G4403" s="6" t="s">
        <v>8334</v>
      </c>
      <c r="H4403" s="6" t="s">
        <v>55</v>
      </c>
      <c r="I4403" s="6" t="s">
        <v>8273</v>
      </c>
      <c r="J4403" s="6" t="s">
        <v>91</v>
      </c>
      <c r="K4403" s="12" t="str">
        <f t="shared" si="692"/>
        <v>View Creative</v>
      </c>
      <c r="L4403" s="6" t="s">
        <v>62</v>
      </c>
      <c r="M4403" s="6" t="s">
        <v>8270</v>
      </c>
      <c r="N4403" s="6" t="s">
        <v>8343</v>
      </c>
      <c r="O4403" s="36" t="s">
        <v>7541</v>
      </c>
      <c r="P4403" s="36" t="s">
        <v>7542</v>
      </c>
      <c r="Q4403" s="38"/>
    </row>
    <row r="4404">
      <c r="A4404" s="6" t="s">
        <v>8270</v>
      </c>
      <c r="B4404" s="6" t="s">
        <v>8271</v>
      </c>
      <c r="C4404" s="6">
        <v>353.0</v>
      </c>
      <c r="D4404" s="9" t="str">
        <f t="shared" ref="D4404:D4405" si="693">HYPERLINK("https://www.linkedin.com/ad-library/detail/1148510554","Open Ad")</f>
        <v>Open Ad</v>
      </c>
      <c r="E4404" s="6" t="s">
        <v>91</v>
      </c>
      <c r="F4404" s="6" t="s">
        <v>8022</v>
      </c>
      <c r="G4404" s="6" t="s">
        <v>8347</v>
      </c>
      <c r="H4404" s="6" t="s">
        <v>55</v>
      </c>
      <c r="I4404" s="6" t="s">
        <v>8273</v>
      </c>
      <c r="J4404" s="6" t="s">
        <v>91</v>
      </c>
      <c r="K4404" s="12" t="str">
        <f t="shared" ref="K4404:K4405" si="694">HYPERLINK("https://media.licdn.com/dms/image/v2/D4E10AQEujPuW92_whg/image-shrink_1280/B4EZybChqwHMAc-/0/1772127657019/Directory2AIVisibilityAgencyDirectorypng?e=2147483647&amp;v=beta&amp;t=Z6MAKWzMej5_jYQRlmJ4y7bDcR6D_e69xbTN9r9L-9o","View Creative")</f>
        <v>View Creative</v>
      </c>
      <c r="L4404" s="6" t="s">
        <v>62</v>
      </c>
      <c r="M4404" s="6" t="s">
        <v>8270</v>
      </c>
      <c r="N4404" s="6" t="s">
        <v>8343</v>
      </c>
      <c r="O4404" s="36" t="s">
        <v>7541</v>
      </c>
      <c r="P4404" s="36" t="s">
        <v>7542</v>
      </c>
      <c r="Q4404" s="38"/>
    </row>
    <row r="4405">
      <c r="A4405" s="6" t="s">
        <v>8270</v>
      </c>
      <c r="B4405" s="6" t="s">
        <v>8271</v>
      </c>
      <c r="C4405" s="6">
        <v>354.0</v>
      </c>
      <c r="D4405" s="9" t="str">
        <f t="shared" si="693"/>
        <v>Open Ad</v>
      </c>
      <c r="E4405" s="6" t="s">
        <v>91</v>
      </c>
      <c r="F4405" s="6" t="s">
        <v>8022</v>
      </c>
      <c r="G4405" s="6" t="s">
        <v>8347</v>
      </c>
      <c r="H4405" s="6" t="s">
        <v>55</v>
      </c>
      <c r="I4405" s="6" t="s">
        <v>8273</v>
      </c>
      <c r="J4405" s="6" t="s">
        <v>91</v>
      </c>
      <c r="K4405" s="12" t="str">
        <f t="shared" si="694"/>
        <v>View Creative</v>
      </c>
      <c r="L4405" s="6" t="s">
        <v>62</v>
      </c>
      <c r="M4405" s="6" t="s">
        <v>8270</v>
      </c>
      <c r="N4405" s="6" t="s">
        <v>8343</v>
      </c>
      <c r="O4405" s="36" t="s">
        <v>7541</v>
      </c>
      <c r="P4405" s="36" t="s">
        <v>7542</v>
      </c>
      <c r="Q4405" s="38"/>
    </row>
    <row r="4406">
      <c r="A4406" s="6" t="s">
        <v>8270</v>
      </c>
      <c r="B4406" s="6" t="s">
        <v>8271</v>
      </c>
      <c r="C4406" s="6">
        <v>355.0</v>
      </c>
      <c r="D4406" s="9" t="str">
        <f t="shared" ref="D4406:D4407" si="695">HYPERLINK("https://www.linkedin.com/ad-library/detail/1148510474","Open Ad")</f>
        <v>Open Ad</v>
      </c>
      <c r="E4406" s="6" t="s">
        <v>91</v>
      </c>
      <c r="F4406" s="6" t="s">
        <v>8022</v>
      </c>
      <c r="G4406" s="6" t="s">
        <v>8335</v>
      </c>
      <c r="H4406" s="6" t="s">
        <v>55</v>
      </c>
      <c r="I4406" s="6" t="s">
        <v>8273</v>
      </c>
      <c r="J4406" s="6" t="s">
        <v>91</v>
      </c>
      <c r="K4406" s="12" t="str">
        <f t="shared" ref="K4406:K4407" si="696">HYPERLINK("https://media.licdn.com/dms/image/v2/D4E10AQGxjTOn07fzcA/image-shrink_1280/B4EZybChtQKIAg-/0/1772127657278/Directory1FindTrustedAISearchExpertspng?e=2147483647&amp;v=beta&amp;t=aR8A0uldYLiXsowkszpzW6mgBZgZU3py0uDUqMekhdo","View Creative")</f>
        <v>View Creative</v>
      </c>
      <c r="L4406" s="6" t="s">
        <v>62</v>
      </c>
      <c r="M4406" s="6" t="s">
        <v>8270</v>
      </c>
      <c r="N4406" s="6" t="s">
        <v>8343</v>
      </c>
      <c r="O4406" s="36" t="s">
        <v>7541</v>
      </c>
      <c r="P4406" s="36" t="s">
        <v>7542</v>
      </c>
      <c r="Q4406" s="38"/>
    </row>
    <row r="4407">
      <c r="A4407" s="6" t="s">
        <v>8270</v>
      </c>
      <c r="B4407" s="6" t="s">
        <v>8271</v>
      </c>
      <c r="C4407" s="6">
        <v>356.0</v>
      </c>
      <c r="D4407" s="9" t="str">
        <f t="shared" si="695"/>
        <v>Open Ad</v>
      </c>
      <c r="E4407" s="6" t="s">
        <v>91</v>
      </c>
      <c r="F4407" s="6" t="s">
        <v>8022</v>
      </c>
      <c r="G4407" s="6" t="s">
        <v>8335</v>
      </c>
      <c r="H4407" s="6" t="s">
        <v>55</v>
      </c>
      <c r="I4407" s="6" t="s">
        <v>8273</v>
      </c>
      <c r="J4407" s="6" t="s">
        <v>91</v>
      </c>
      <c r="K4407" s="12" t="str">
        <f t="shared" si="696"/>
        <v>View Creative</v>
      </c>
      <c r="L4407" s="6" t="s">
        <v>62</v>
      </c>
      <c r="M4407" s="6" t="s">
        <v>8270</v>
      </c>
      <c r="N4407" s="6" t="s">
        <v>8343</v>
      </c>
      <c r="O4407" s="36" t="s">
        <v>7541</v>
      </c>
      <c r="P4407" s="36" t="s">
        <v>7542</v>
      </c>
      <c r="Q4407" s="38"/>
    </row>
    <row r="4408">
      <c r="A4408" s="6" t="s">
        <v>8270</v>
      </c>
      <c r="B4408" s="6" t="s">
        <v>8271</v>
      </c>
      <c r="C4408" s="6">
        <v>357.0</v>
      </c>
      <c r="D4408" s="9" t="str">
        <f t="shared" ref="D4408:D4409" si="697">HYPERLINK("https://www.linkedin.com/ad-library/detail/1150708304","Open Ad")</f>
        <v>Open Ad</v>
      </c>
      <c r="E4408" s="6" t="s">
        <v>91</v>
      </c>
      <c r="F4408" s="6" t="s">
        <v>8022</v>
      </c>
      <c r="G4408" s="6" t="s">
        <v>8346</v>
      </c>
      <c r="H4408" s="6" t="s">
        <v>55</v>
      </c>
      <c r="I4408" s="6" t="s">
        <v>8273</v>
      </c>
      <c r="J4408" s="6" t="s">
        <v>91</v>
      </c>
      <c r="K4408" s="12" t="str">
        <f t="shared" ref="K4408:K4409" si="698">HYPERLINK("https://media.licdn.com/dms/image/v2/D4E10AQHRCGOPh43vUQ/image-shrink_1280/B4EZybCoqaGsAc-/0/1772127686008/Directory3FindTrustedAISearchExpertspng?e=2147483647&amp;v=beta&amp;t=deb9Vu57y6uAoG3vF1CvnEoPwvQwnu2_BtLte3bXNSg","View Creative")</f>
        <v>View Creative</v>
      </c>
      <c r="L4408" s="6" t="s">
        <v>62</v>
      </c>
      <c r="M4408" s="6" t="s">
        <v>8270</v>
      </c>
      <c r="N4408" s="6" t="s">
        <v>8343</v>
      </c>
      <c r="O4408" s="36" t="s">
        <v>7541</v>
      </c>
      <c r="P4408" s="36" t="s">
        <v>7542</v>
      </c>
      <c r="Q4408" s="38"/>
    </row>
    <row r="4409">
      <c r="A4409" s="6" t="s">
        <v>8270</v>
      </c>
      <c r="B4409" s="6" t="s">
        <v>8271</v>
      </c>
      <c r="C4409" s="6">
        <v>358.0</v>
      </c>
      <c r="D4409" s="9" t="str">
        <f t="shared" si="697"/>
        <v>Open Ad</v>
      </c>
      <c r="E4409" s="6" t="s">
        <v>91</v>
      </c>
      <c r="F4409" s="6" t="s">
        <v>8022</v>
      </c>
      <c r="G4409" s="6" t="s">
        <v>8346</v>
      </c>
      <c r="H4409" s="6" t="s">
        <v>55</v>
      </c>
      <c r="I4409" s="6" t="s">
        <v>8273</v>
      </c>
      <c r="J4409" s="6" t="s">
        <v>91</v>
      </c>
      <c r="K4409" s="12" t="str">
        <f t="shared" si="698"/>
        <v>View Creative</v>
      </c>
      <c r="L4409" s="6" t="s">
        <v>62</v>
      </c>
      <c r="M4409" s="6" t="s">
        <v>8270</v>
      </c>
      <c r="N4409" s="6" t="s">
        <v>8343</v>
      </c>
      <c r="O4409" s="36" t="s">
        <v>7541</v>
      </c>
      <c r="P4409" s="36" t="s">
        <v>7542</v>
      </c>
      <c r="Q4409" s="38"/>
    </row>
    <row r="4410">
      <c r="A4410" s="6" t="s">
        <v>8270</v>
      </c>
      <c r="B4410" s="6" t="s">
        <v>8271</v>
      </c>
      <c r="C4410" s="6">
        <v>359.0</v>
      </c>
      <c r="D4410" s="9" t="str">
        <f t="shared" ref="D4410:D4411" si="699">HYPERLINK("https://www.linkedin.com/ad-library/detail/1148510354","Open Ad")</f>
        <v>Open Ad</v>
      </c>
      <c r="E4410" s="6" t="s">
        <v>91</v>
      </c>
      <c r="F4410" s="6" t="s">
        <v>8022</v>
      </c>
      <c r="G4410" s="6" t="s">
        <v>8331</v>
      </c>
      <c r="H4410" s="6" t="s">
        <v>55</v>
      </c>
      <c r="I4410" s="6" t="s">
        <v>8273</v>
      </c>
      <c r="J4410" s="6" t="s">
        <v>91</v>
      </c>
      <c r="K4410" s="12" t="str">
        <f t="shared" ref="K4410:K4411" si="700">HYPERLINK("https://media.licdn.com/dms/image/v2/D4E10AQGtKok9G8Co_w/image-shrink_1280/B4EZybCoR6GYAc-/0/1772127684186/Directory1GetExpertHelpforAISearchpng?e=2147483647&amp;v=beta&amp;t=yrXbbpw2S9-81UaSPTZiQy5YHeY24f0r4iwEMY9FO9E","View Creative")</f>
        <v>View Creative</v>
      </c>
      <c r="L4410" s="6" t="s">
        <v>62</v>
      </c>
      <c r="M4410" s="6" t="s">
        <v>8270</v>
      </c>
      <c r="N4410" s="6" t="s">
        <v>8343</v>
      </c>
      <c r="O4410" s="36" t="s">
        <v>7541</v>
      </c>
      <c r="P4410" s="36" t="s">
        <v>7542</v>
      </c>
      <c r="Q4410" s="38"/>
    </row>
    <row r="4411">
      <c r="A4411" s="6" t="s">
        <v>8270</v>
      </c>
      <c r="B4411" s="6" t="s">
        <v>8271</v>
      </c>
      <c r="C4411" s="6">
        <v>360.0</v>
      </c>
      <c r="D4411" s="9" t="str">
        <f t="shared" si="699"/>
        <v>Open Ad</v>
      </c>
      <c r="E4411" s="6" t="s">
        <v>91</v>
      </c>
      <c r="F4411" s="6" t="s">
        <v>8022</v>
      </c>
      <c r="G4411" s="6" t="s">
        <v>8331</v>
      </c>
      <c r="H4411" s="6" t="s">
        <v>55</v>
      </c>
      <c r="I4411" s="6" t="s">
        <v>8273</v>
      </c>
      <c r="J4411" s="6" t="s">
        <v>91</v>
      </c>
      <c r="K4411" s="12" t="str">
        <f t="shared" si="700"/>
        <v>View Creative</v>
      </c>
      <c r="L4411" s="6" t="s">
        <v>62</v>
      </c>
      <c r="M4411" s="6" t="s">
        <v>8270</v>
      </c>
      <c r="N4411" s="6" t="s">
        <v>8343</v>
      </c>
      <c r="O4411" s="36" t="s">
        <v>7541</v>
      </c>
      <c r="P4411" s="36" t="s">
        <v>7542</v>
      </c>
      <c r="Q4411" s="38"/>
    </row>
    <row r="4412">
      <c r="A4412" s="6" t="s">
        <v>8270</v>
      </c>
      <c r="B4412" s="6" t="s">
        <v>8271</v>
      </c>
      <c r="C4412" s="6">
        <v>361.0</v>
      </c>
      <c r="D4412" s="9" t="str">
        <f t="shared" ref="D4412:D4413" si="701">HYPERLINK("https://www.linkedin.com/ad-library/detail/1149010484","Open Ad")</f>
        <v>Open Ad</v>
      </c>
      <c r="E4412" s="6" t="s">
        <v>91</v>
      </c>
      <c r="F4412" s="6" t="s">
        <v>8022</v>
      </c>
      <c r="G4412" s="6" t="s">
        <v>8342</v>
      </c>
      <c r="H4412" s="6" t="s">
        <v>55</v>
      </c>
      <c r="I4412" s="6" t="s">
        <v>8273</v>
      </c>
      <c r="J4412" s="6" t="s">
        <v>91</v>
      </c>
      <c r="K4412" s="12" t="str">
        <f t="shared" ref="K4412:K4413" si="702">HYPERLINK("https://media.licdn.com/dms/image/v2/D4E10AQHWBSAv8yIJ1Q/image-shrink_1280/B4EZybChrqIEAg-/0/1772127657140/Directory1AIVisibilityAgencyDirectorypng?e=2147483647&amp;v=beta&amp;t=GNhKLHJ19CMay96XBo6Nig-ruRSdoSKvl1ZlFYRysUM","View Creative")</f>
        <v>View Creative</v>
      </c>
      <c r="L4412" s="6" t="s">
        <v>62</v>
      </c>
      <c r="M4412" s="6" t="s">
        <v>8270</v>
      </c>
      <c r="N4412" s="6" t="s">
        <v>8343</v>
      </c>
      <c r="O4412" s="36" t="s">
        <v>7541</v>
      </c>
      <c r="P4412" s="36" t="s">
        <v>7542</v>
      </c>
      <c r="Q4412" s="38"/>
    </row>
    <row r="4413">
      <c r="A4413" s="6" t="s">
        <v>8270</v>
      </c>
      <c r="B4413" s="6" t="s">
        <v>8271</v>
      </c>
      <c r="C4413" s="6">
        <v>362.0</v>
      </c>
      <c r="D4413" s="9" t="str">
        <f t="shared" si="701"/>
        <v>Open Ad</v>
      </c>
      <c r="E4413" s="6" t="s">
        <v>91</v>
      </c>
      <c r="F4413" s="6" t="s">
        <v>8022</v>
      </c>
      <c r="G4413" s="6" t="s">
        <v>8342</v>
      </c>
      <c r="H4413" s="6" t="s">
        <v>55</v>
      </c>
      <c r="I4413" s="6" t="s">
        <v>8273</v>
      </c>
      <c r="J4413" s="6" t="s">
        <v>91</v>
      </c>
      <c r="K4413" s="12" t="str">
        <f t="shared" si="702"/>
        <v>View Creative</v>
      </c>
      <c r="L4413" s="6" t="s">
        <v>62</v>
      </c>
      <c r="M4413" s="6" t="s">
        <v>8270</v>
      </c>
      <c r="N4413" s="6" t="s">
        <v>8343</v>
      </c>
      <c r="O4413" s="36" t="s">
        <v>7541</v>
      </c>
      <c r="P4413" s="36" t="s">
        <v>7542</v>
      </c>
      <c r="Q4413" s="38"/>
    </row>
    <row r="4414">
      <c r="A4414" s="6" t="s">
        <v>8270</v>
      </c>
      <c r="B4414" s="6" t="s">
        <v>8271</v>
      </c>
      <c r="C4414" s="6">
        <v>363.0</v>
      </c>
      <c r="D4414" s="9" t="str">
        <f t="shared" ref="D4414:D4415" si="703">HYPERLINK("https://www.linkedin.com/ad-library/detail/1148609334","Open Ad")</f>
        <v>Open Ad</v>
      </c>
      <c r="E4414" s="6" t="s">
        <v>91</v>
      </c>
      <c r="F4414" s="6" t="s">
        <v>8022</v>
      </c>
      <c r="G4414" s="6" t="s">
        <v>8337</v>
      </c>
      <c r="H4414" s="6" t="s">
        <v>55</v>
      </c>
      <c r="I4414" s="6" t="s">
        <v>8273</v>
      </c>
      <c r="J4414" s="6" t="s">
        <v>91</v>
      </c>
      <c r="K4414" s="12" t="str">
        <f t="shared" ref="K4414:K4415" si="704">HYPERLINK("https://media.licdn.com/dms/image/v2/D4E10AQFh3wRxQvxaHQ/image-shrink_1280/B4EZybCootIEAc-/0/1772127685632/Directory3AIVisibilityAgencyDirectorypng?e=2147483647&amp;v=beta&amp;t=M1uiPNOy86K4MsoZ3jwd4aJvyNEBdZcCGNZCw8tfIyo","View Creative")</f>
        <v>View Creative</v>
      </c>
      <c r="L4414" s="6" t="s">
        <v>62</v>
      </c>
      <c r="M4414" s="6" t="s">
        <v>8270</v>
      </c>
      <c r="N4414" s="6" t="s">
        <v>8343</v>
      </c>
      <c r="O4414" s="36" t="s">
        <v>7541</v>
      </c>
      <c r="P4414" s="36" t="s">
        <v>7542</v>
      </c>
      <c r="Q4414" s="38"/>
    </row>
    <row r="4415">
      <c r="A4415" s="6" t="s">
        <v>8270</v>
      </c>
      <c r="B4415" s="6" t="s">
        <v>8271</v>
      </c>
      <c r="C4415" s="6">
        <v>364.0</v>
      </c>
      <c r="D4415" s="9" t="str">
        <f t="shared" si="703"/>
        <v>Open Ad</v>
      </c>
      <c r="E4415" s="6" t="s">
        <v>91</v>
      </c>
      <c r="F4415" s="6" t="s">
        <v>8022</v>
      </c>
      <c r="G4415" s="6" t="s">
        <v>8337</v>
      </c>
      <c r="H4415" s="6" t="s">
        <v>55</v>
      </c>
      <c r="I4415" s="6" t="s">
        <v>8273</v>
      </c>
      <c r="J4415" s="6" t="s">
        <v>91</v>
      </c>
      <c r="K4415" s="12" t="str">
        <f t="shared" si="704"/>
        <v>View Creative</v>
      </c>
      <c r="L4415" s="6" t="s">
        <v>62</v>
      </c>
      <c r="M4415" s="6" t="s">
        <v>8270</v>
      </c>
      <c r="N4415" s="6" t="s">
        <v>8343</v>
      </c>
      <c r="O4415" s="36" t="s">
        <v>7541</v>
      </c>
      <c r="P4415" s="36" t="s">
        <v>7542</v>
      </c>
      <c r="Q4415" s="38"/>
    </row>
    <row r="4416">
      <c r="A4416" s="6" t="s">
        <v>8270</v>
      </c>
      <c r="B4416" s="6" t="s">
        <v>8271</v>
      </c>
      <c r="C4416" s="6">
        <v>365.0</v>
      </c>
      <c r="D4416" s="9" t="str">
        <f t="shared" ref="D4416:D4417" si="705">HYPERLINK("https://www.linkedin.com/ad-library/detail/1149010474","Open Ad")</f>
        <v>Open Ad</v>
      </c>
      <c r="E4416" s="6" t="s">
        <v>91</v>
      </c>
      <c r="F4416" s="6" t="s">
        <v>8022</v>
      </c>
      <c r="G4416" s="6" t="s">
        <v>8334</v>
      </c>
      <c r="H4416" s="6" t="s">
        <v>55</v>
      </c>
      <c r="I4416" s="6" t="s">
        <v>8273</v>
      </c>
      <c r="J4416" s="6" t="s">
        <v>91</v>
      </c>
      <c r="K4416" s="12" t="str">
        <f t="shared" ref="K4416:K4417" si="706">HYPERLINK("https://media.licdn.com/dms/image/v2/D4E10AQHXCJsPgcZ4_w/image-shrink_1280/B4EZybCon0JgAg-/0/1772127685657/Directory3GetExpertHelpforAISearchpng?e=2147483647&amp;v=beta&amp;t=HfUSY3XU6uwbZY8wgAX7_lRR7s287cOzcCtZklwj4H0","View Creative")</f>
        <v>View Creative</v>
      </c>
      <c r="L4416" s="6" t="s">
        <v>62</v>
      </c>
      <c r="M4416" s="6" t="s">
        <v>8270</v>
      </c>
      <c r="N4416" s="6" t="s">
        <v>8343</v>
      </c>
      <c r="O4416" s="36" t="s">
        <v>7541</v>
      </c>
      <c r="P4416" s="36" t="s">
        <v>7542</v>
      </c>
      <c r="Q4416" s="38"/>
    </row>
    <row r="4417">
      <c r="A4417" s="6" t="s">
        <v>8270</v>
      </c>
      <c r="B4417" s="6" t="s">
        <v>8271</v>
      </c>
      <c r="C4417" s="6">
        <v>366.0</v>
      </c>
      <c r="D4417" s="9" t="str">
        <f t="shared" si="705"/>
        <v>Open Ad</v>
      </c>
      <c r="E4417" s="6" t="s">
        <v>91</v>
      </c>
      <c r="F4417" s="6" t="s">
        <v>8022</v>
      </c>
      <c r="G4417" s="6" t="s">
        <v>8334</v>
      </c>
      <c r="H4417" s="6" t="s">
        <v>55</v>
      </c>
      <c r="I4417" s="6" t="s">
        <v>8273</v>
      </c>
      <c r="J4417" s="6" t="s">
        <v>91</v>
      </c>
      <c r="K4417" s="12" t="str">
        <f t="shared" si="706"/>
        <v>View Creative</v>
      </c>
      <c r="L4417" s="6" t="s">
        <v>62</v>
      </c>
      <c r="M4417" s="6" t="s">
        <v>8270</v>
      </c>
      <c r="N4417" s="6" t="s">
        <v>8343</v>
      </c>
      <c r="O4417" s="36" t="s">
        <v>7541</v>
      </c>
      <c r="P4417" s="36" t="s">
        <v>7542</v>
      </c>
      <c r="Q4417" s="38"/>
    </row>
    <row r="4418">
      <c r="A4418" s="6" t="s">
        <v>8270</v>
      </c>
      <c r="B4418" s="6" t="s">
        <v>8271</v>
      </c>
      <c r="C4418" s="6">
        <v>367.0</v>
      </c>
      <c r="D4418" s="9" t="str">
        <f t="shared" ref="D4418:D4419" si="707">HYPERLINK("https://www.linkedin.com/ad-library/detail/1148909114","Open Ad")</f>
        <v>Open Ad</v>
      </c>
      <c r="E4418" s="6" t="s">
        <v>91</v>
      </c>
      <c r="F4418" s="6" t="s">
        <v>8022</v>
      </c>
      <c r="G4418" s="6" t="s">
        <v>8342</v>
      </c>
      <c r="H4418" s="6" t="s">
        <v>55</v>
      </c>
      <c r="I4418" s="6" t="s">
        <v>8273</v>
      </c>
      <c r="J4418" s="6" t="s">
        <v>91</v>
      </c>
      <c r="K4418" s="12" t="str">
        <f t="shared" ref="K4418:K4419" si="708">HYPERLINK("https://media.licdn.com/dms/image/v2/D4E10AQHWBSAv8yIJ1Q/image-shrink_1280/B4EZybChrqIEAg-/0/1772127657140/Directory1AIVisibilityAgencyDirectorypng?e=2147483647&amp;v=beta&amp;t=GNhKLHJ19CMay96XBo6Nig-ruRSdoSKvl1ZlFYRysUM","View Creative")</f>
        <v>View Creative</v>
      </c>
      <c r="L4418" s="6" t="s">
        <v>62</v>
      </c>
      <c r="M4418" s="6" t="s">
        <v>8270</v>
      </c>
      <c r="N4418" s="6" t="s">
        <v>8343</v>
      </c>
      <c r="O4418" s="36" t="s">
        <v>7541</v>
      </c>
      <c r="P4418" s="36" t="s">
        <v>7542</v>
      </c>
      <c r="Q4418" s="38"/>
    </row>
    <row r="4419">
      <c r="A4419" s="6" t="s">
        <v>8270</v>
      </c>
      <c r="B4419" s="6" t="s">
        <v>8271</v>
      </c>
      <c r="C4419" s="6">
        <v>368.0</v>
      </c>
      <c r="D4419" s="9" t="str">
        <f t="shared" si="707"/>
        <v>Open Ad</v>
      </c>
      <c r="E4419" s="6" t="s">
        <v>91</v>
      </c>
      <c r="F4419" s="6" t="s">
        <v>8022</v>
      </c>
      <c r="G4419" s="6" t="s">
        <v>8342</v>
      </c>
      <c r="H4419" s="6" t="s">
        <v>55</v>
      </c>
      <c r="I4419" s="6" t="s">
        <v>8273</v>
      </c>
      <c r="J4419" s="6" t="s">
        <v>91</v>
      </c>
      <c r="K4419" s="12" t="str">
        <f t="shared" si="708"/>
        <v>View Creative</v>
      </c>
      <c r="L4419" s="6" t="s">
        <v>62</v>
      </c>
      <c r="M4419" s="6" t="s">
        <v>8270</v>
      </c>
      <c r="N4419" s="6" t="s">
        <v>8343</v>
      </c>
      <c r="O4419" s="36" t="s">
        <v>7541</v>
      </c>
      <c r="P4419" s="36" t="s">
        <v>7542</v>
      </c>
      <c r="Q4419" s="38"/>
    </row>
    <row r="4420">
      <c r="A4420" s="6" t="s">
        <v>8270</v>
      </c>
      <c r="B4420" s="6" t="s">
        <v>8271</v>
      </c>
      <c r="C4420" s="6">
        <v>369.0</v>
      </c>
      <c r="D4420" s="9" t="str">
        <f t="shared" ref="D4420:D4421" si="709">HYPERLINK("https://www.linkedin.com/ad-library/detail/1148609464","Open Ad")</f>
        <v>Open Ad</v>
      </c>
      <c r="E4420" s="6" t="s">
        <v>91</v>
      </c>
      <c r="F4420" s="6" t="s">
        <v>8022</v>
      </c>
      <c r="G4420" s="6" t="s">
        <v>8337</v>
      </c>
      <c r="H4420" s="6" t="s">
        <v>55</v>
      </c>
      <c r="I4420" s="6" t="s">
        <v>8273</v>
      </c>
      <c r="J4420" s="6" t="s">
        <v>91</v>
      </c>
      <c r="K4420" s="12" t="str">
        <f t="shared" ref="K4420:K4421" si="710">HYPERLINK("https://media.licdn.com/dms/image/v2/D4E10AQFh3wRxQvxaHQ/image-shrink_1280/B4EZybCootIEAc-/0/1772127685632/Directory3AIVisibilityAgencyDirectorypng?e=2147483647&amp;v=beta&amp;t=M1uiPNOy86K4MsoZ3jwd4aJvyNEBdZcCGNZCw8tfIyo","View Creative")</f>
        <v>View Creative</v>
      </c>
      <c r="L4420" s="6" t="s">
        <v>62</v>
      </c>
      <c r="M4420" s="6" t="s">
        <v>8270</v>
      </c>
      <c r="N4420" s="6" t="s">
        <v>8343</v>
      </c>
      <c r="O4420" s="36" t="s">
        <v>7541</v>
      </c>
      <c r="P4420" s="36" t="s">
        <v>7542</v>
      </c>
      <c r="Q4420" s="38"/>
    </row>
    <row r="4421">
      <c r="A4421" s="6" t="s">
        <v>8270</v>
      </c>
      <c r="B4421" s="6" t="s">
        <v>8271</v>
      </c>
      <c r="C4421" s="6">
        <v>370.0</v>
      </c>
      <c r="D4421" s="9" t="str">
        <f t="shared" si="709"/>
        <v>Open Ad</v>
      </c>
      <c r="E4421" s="6" t="s">
        <v>91</v>
      </c>
      <c r="F4421" s="6" t="s">
        <v>8022</v>
      </c>
      <c r="G4421" s="6" t="s">
        <v>8337</v>
      </c>
      <c r="H4421" s="6" t="s">
        <v>55</v>
      </c>
      <c r="I4421" s="6" t="s">
        <v>8273</v>
      </c>
      <c r="J4421" s="6" t="s">
        <v>91</v>
      </c>
      <c r="K4421" s="12" t="str">
        <f t="shared" si="710"/>
        <v>View Creative</v>
      </c>
      <c r="L4421" s="6" t="s">
        <v>62</v>
      </c>
      <c r="M4421" s="6" t="s">
        <v>8270</v>
      </c>
      <c r="N4421" s="6" t="s">
        <v>8343</v>
      </c>
      <c r="O4421" s="36" t="s">
        <v>7541</v>
      </c>
      <c r="P4421" s="36" t="s">
        <v>7542</v>
      </c>
      <c r="Q4421" s="38"/>
    </row>
    <row r="4422">
      <c r="A4422" s="6" t="s">
        <v>8270</v>
      </c>
      <c r="B4422" s="6" t="s">
        <v>8271</v>
      </c>
      <c r="C4422" s="6">
        <v>371.0</v>
      </c>
      <c r="D4422" s="9" t="str">
        <f t="shared" ref="D4422:D4423" si="711">HYPERLINK("https://www.linkedin.com/ad-library/detail/1149010304","Open Ad")</f>
        <v>Open Ad</v>
      </c>
      <c r="E4422" s="6" t="s">
        <v>91</v>
      </c>
      <c r="F4422" s="6" t="s">
        <v>8022</v>
      </c>
      <c r="G4422" s="6" t="s">
        <v>8335</v>
      </c>
      <c r="H4422" s="6" t="s">
        <v>55</v>
      </c>
      <c r="I4422" s="6" t="s">
        <v>8273</v>
      </c>
      <c r="J4422" s="6" t="s">
        <v>91</v>
      </c>
      <c r="K4422" s="12" t="str">
        <f t="shared" ref="K4422:K4423" si="712">HYPERLINK("https://media.licdn.com/dms/image/v2/D4E10AQENGNql_Hfi3w/image-shrink_1280/B4EZybChuMHkAc-/0/1772127657303/Directory2GetExpertHelpforAISearchpng?e=2147483647&amp;v=beta&amp;t=N05A1GpFf-MaOO-coxz8xvXUeDa3TTrq2hacW3d7_j4","View Creative")</f>
        <v>View Creative</v>
      </c>
      <c r="L4422" s="6" t="s">
        <v>62</v>
      </c>
      <c r="M4422" s="6" t="s">
        <v>8270</v>
      </c>
      <c r="N4422" s="6" t="s">
        <v>8343</v>
      </c>
      <c r="O4422" s="36" t="s">
        <v>7541</v>
      </c>
      <c r="P4422" s="36" t="s">
        <v>7542</v>
      </c>
      <c r="Q4422" s="38"/>
    </row>
    <row r="4423">
      <c r="A4423" s="6" t="s">
        <v>8270</v>
      </c>
      <c r="B4423" s="6" t="s">
        <v>8271</v>
      </c>
      <c r="C4423" s="6">
        <v>372.0</v>
      </c>
      <c r="D4423" s="9" t="str">
        <f t="shared" si="711"/>
        <v>Open Ad</v>
      </c>
      <c r="E4423" s="6" t="s">
        <v>91</v>
      </c>
      <c r="F4423" s="6" t="s">
        <v>8022</v>
      </c>
      <c r="G4423" s="6" t="s">
        <v>8335</v>
      </c>
      <c r="H4423" s="6" t="s">
        <v>55</v>
      </c>
      <c r="I4423" s="6" t="s">
        <v>8273</v>
      </c>
      <c r="J4423" s="6" t="s">
        <v>91</v>
      </c>
      <c r="K4423" s="12" t="str">
        <f t="shared" si="712"/>
        <v>View Creative</v>
      </c>
      <c r="L4423" s="6" t="s">
        <v>62</v>
      </c>
      <c r="M4423" s="6" t="s">
        <v>8270</v>
      </c>
      <c r="N4423" s="6" t="s">
        <v>8343</v>
      </c>
      <c r="O4423" s="36" t="s">
        <v>7541</v>
      </c>
      <c r="P4423" s="36" t="s">
        <v>7542</v>
      </c>
      <c r="Q4423" s="38"/>
    </row>
    <row r="4424">
      <c r="A4424" s="6" t="s">
        <v>8270</v>
      </c>
      <c r="B4424" s="6" t="s">
        <v>8271</v>
      </c>
      <c r="C4424" s="6">
        <v>373.0</v>
      </c>
      <c r="D4424" s="9" t="str">
        <f t="shared" ref="D4424:D4425" si="713">HYPERLINK("https://www.linkedin.com/ad-library/detail/1148809954","Open Ad")</f>
        <v>Open Ad</v>
      </c>
      <c r="E4424" s="6" t="s">
        <v>91</v>
      </c>
      <c r="F4424" s="6" t="s">
        <v>8022</v>
      </c>
      <c r="G4424" s="6" t="s">
        <v>8342</v>
      </c>
      <c r="H4424" s="6" t="s">
        <v>55</v>
      </c>
      <c r="I4424" s="6" t="s">
        <v>8273</v>
      </c>
      <c r="J4424" s="6" t="s">
        <v>91</v>
      </c>
      <c r="K4424" s="12" t="str">
        <f t="shared" ref="K4424:K4425" si="714">HYPERLINK("https://media.licdn.com/dms/image/v2/D4E10AQHWBSAv8yIJ1Q/image-shrink_1280/B4EZybChrqIEAg-/0/1772127657140/Directory1AIVisibilityAgencyDirectorypng?e=2147483647&amp;v=beta&amp;t=GNhKLHJ19CMay96XBo6Nig-ruRSdoSKvl1ZlFYRysUM","View Creative")</f>
        <v>View Creative</v>
      </c>
      <c r="L4424" s="6" t="s">
        <v>62</v>
      </c>
      <c r="M4424" s="6" t="s">
        <v>8270</v>
      </c>
      <c r="N4424" s="6" t="s">
        <v>8343</v>
      </c>
      <c r="O4424" s="36" t="s">
        <v>7541</v>
      </c>
      <c r="P4424" s="36" t="s">
        <v>7542</v>
      </c>
      <c r="Q4424" s="38"/>
    </row>
    <row r="4425">
      <c r="A4425" s="6" t="s">
        <v>8270</v>
      </c>
      <c r="B4425" s="6" t="s">
        <v>8271</v>
      </c>
      <c r="C4425" s="6">
        <v>374.0</v>
      </c>
      <c r="D4425" s="9" t="str">
        <f t="shared" si="713"/>
        <v>Open Ad</v>
      </c>
      <c r="E4425" s="6" t="s">
        <v>91</v>
      </c>
      <c r="F4425" s="6" t="s">
        <v>8022</v>
      </c>
      <c r="G4425" s="6" t="s">
        <v>8342</v>
      </c>
      <c r="H4425" s="6" t="s">
        <v>55</v>
      </c>
      <c r="I4425" s="6" t="s">
        <v>8273</v>
      </c>
      <c r="J4425" s="6" t="s">
        <v>91</v>
      </c>
      <c r="K4425" s="12" t="str">
        <f t="shared" si="714"/>
        <v>View Creative</v>
      </c>
      <c r="L4425" s="6" t="s">
        <v>62</v>
      </c>
      <c r="M4425" s="6" t="s">
        <v>8270</v>
      </c>
      <c r="N4425" s="6" t="s">
        <v>8343</v>
      </c>
      <c r="O4425" s="36" t="s">
        <v>7541</v>
      </c>
      <c r="P4425" s="36" t="s">
        <v>7542</v>
      </c>
      <c r="Q4425" s="38"/>
    </row>
    <row r="4426">
      <c r="A4426" s="6" t="s">
        <v>8270</v>
      </c>
      <c r="B4426" s="6" t="s">
        <v>8271</v>
      </c>
      <c r="C4426" s="6">
        <v>375.0</v>
      </c>
      <c r="D4426" s="9" t="str">
        <f t="shared" ref="D4426:D4427" si="715">HYPERLINK("https://www.linkedin.com/ad-library/detail/1149609984","Open Ad")</f>
        <v>Open Ad</v>
      </c>
      <c r="E4426" s="6" t="s">
        <v>91</v>
      </c>
      <c r="F4426" s="6" t="s">
        <v>8022</v>
      </c>
      <c r="G4426" s="6" t="s">
        <v>8346</v>
      </c>
      <c r="H4426" s="6" t="s">
        <v>55</v>
      </c>
      <c r="I4426" s="6" t="s">
        <v>8273</v>
      </c>
      <c r="J4426" s="6" t="s">
        <v>91</v>
      </c>
      <c r="K4426" s="12" t="str">
        <f t="shared" ref="K4426:K4429" si="716">HYPERLINK("https://media.licdn.com/dms/image/v2/D4E10AQHRCGOPh43vUQ/image-shrink_1280/B4EZybCoqaGsAc-/0/1772127686008/Directory3FindTrustedAISearchExpertspng?e=2147483647&amp;v=beta&amp;t=deb9Vu57y6uAoG3vF1CvnEoPwvQwnu2_BtLte3bXNSg","View Creative")</f>
        <v>View Creative</v>
      </c>
      <c r="L4426" s="6" t="s">
        <v>62</v>
      </c>
      <c r="M4426" s="6" t="s">
        <v>8270</v>
      </c>
      <c r="N4426" s="6" t="s">
        <v>8343</v>
      </c>
      <c r="O4426" s="36" t="s">
        <v>7541</v>
      </c>
      <c r="P4426" s="36" t="s">
        <v>7542</v>
      </c>
      <c r="Q4426" s="38"/>
    </row>
    <row r="4427">
      <c r="A4427" s="6" t="s">
        <v>8270</v>
      </c>
      <c r="B4427" s="6" t="s">
        <v>8271</v>
      </c>
      <c r="C4427" s="6">
        <v>376.0</v>
      </c>
      <c r="D4427" s="9" t="str">
        <f t="shared" si="715"/>
        <v>Open Ad</v>
      </c>
      <c r="E4427" s="6" t="s">
        <v>91</v>
      </c>
      <c r="F4427" s="6" t="s">
        <v>8022</v>
      </c>
      <c r="G4427" s="6" t="s">
        <v>8346</v>
      </c>
      <c r="H4427" s="6" t="s">
        <v>55</v>
      </c>
      <c r="I4427" s="6" t="s">
        <v>8273</v>
      </c>
      <c r="J4427" s="6" t="s">
        <v>91</v>
      </c>
      <c r="K4427" s="12" t="str">
        <f t="shared" si="716"/>
        <v>View Creative</v>
      </c>
      <c r="L4427" s="6" t="s">
        <v>62</v>
      </c>
      <c r="M4427" s="6" t="s">
        <v>8270</v>
      </c>
      <c r="N4427" s="6" t="s">
        <v>8343</v>
      </c>
      <c r="O4427" s="36" t="s">
        <v>7541</v>
      </c>
      <c r="P4427" s="36" t="s">
        <v>7542</v>
      </c>
      <c r="Q4427" s="38"/>
    </row>
    <row r="4428">
      <c r="A4428" s="6" t="s">
        <v>8270</v>
      </c>
      <c r="B4428" s="6" t="s">
        <v>8271</v>
      </c>
      <c r="C4428" s="6">
        <v>377.0</v>
      </c>
      <c r="D4428" s="9" t="str">
        <f t="shared" ref="D4428:D4429" si="717">HYPERLINK("https://www.linkedin.com/ad-library/detail/1148909064","Open Ad")</f>
        <v>Open Ad</v>
      </c>
      <c r="E4428" s="6" t="s">
        <v>91</v>
      </c>
      <c r="F4428" s="6" t="s">
        <v>8022</v>
      </c>
      <c r="G4428" s="6" t="s">
        <v>8346</v>
      </c>
      <c r="H4428" s="6" t="s">
        <v>55</v>
      </c>
      <c r="I4428" s="6" t="s">
        <v>8273</v>
      </c>
      <c r="J4428" s="6" t="s">
        <v>91</v>
      </c>
      <c r="K4428" s="12" t="str">
        <f t="shared" si="716"/>
        <v>View Creative</v>
      </c>
      <c r="L4428" s="6" t="s">
        <v>62</v>
      </c>
      <c r="M4428" s="6" t="s">
        <v>8270</v>
      </c>
      <c r="N4428" s="6" t="s">
        <v>8343</v>
      </c>
      <c r="O4428" s="36" t="s">
        <v>7541</v>
      </c>
      <c r="P4428" s="36" t="s">
        <v>7542</v>
      </c>
      <c r="Q4428" s="38"/>
    </row>
    <row r="4429">
      <c r="A4429" s="6" t="s">
        <v>8270</v>
      </c>
      <c r="B4429" s="6" t="s">
        <v>8271</v>
      </c>
      <c r="C4429" s="6">
        <v>378.0</v>
      </c>
      <c r="D4429" s="9" t="str">
        <f t="shared" si="717"/>
        <v>Open Ad</v>
      </c>
      <c r="E4429" s="6" t="s">
        <v>91</v>
      </c>
      <c r="F4429" s="6" t="s">
        <v>8022</v>
      </c>
      <c r="G4429" s="6" t="s">
        <v>8346</v>
      </c>
      <c r="H4429" s="6" t="s">
        <v>55</v>
      </c>
      <c r="I4429" s="6" t="s">
        <v>8273</v>
      </c>
      <c r="J4429" s="6" t="s">
        <v>91</v>
      </c>
      <c r="K4429" s="12" t="str">
        <f t="shared" si="716"/>
        <v>View Creative</v>
      </c>
      <c r="L4429" s="6" t="s">
        <v>62</v>
      </c>
      <c r="M4429" s="6" t="s">
        <v>8270</v>
      </c>
      <c r="N4429" s="6" t="s">
        <v>8343</v>
      </c>
      <c r="O4429" s="36" t="s">
        <v>7541</v>
      </c>
      <c r="P4429" s="36" t="s">
        <v>7542</v>
      </c>
      <c r="Q4429" s="38"/>
    </row>
    <row r="4430">
      <c r="A4430" s="6" t="s">
        <v>8270</v>
      </c>
      <c r="B4430" s="6" t="s">
        <v>8271</v>
      </c>
      <c r="C4430" s="6">
        <v>379.0</v>
      </c>
      <c r="D4430" s="9" t="str">
        <f t="shared" ref="D4430:D4431" si="718">HYPERLINK("https://www.linkedin.com/ad-library/detail/1150610394","Open Ad")</f>
        <v>Open Ad</v>
      </c>
      <c r="E4430" s="6" t="s">
        <v>91</v>
      </c>
      <c r="F4430" s="6" t="s">
        <v>8022</v>
      </c>
      <c r="G4430" s="6" t="s">
        <v>8334</v>
      </c>
      <c r="H4430" s="6" t="s">
        <v>55</v>
      </c>
      <c r="I4430" s="6" t="s">
        <v>8273</v>
      </c>
      <c r="J4430" s="6" t="s">
        <v>91</v>
      </c>
      <c r="K4430" s="12" t="str">
        <f t="shared" ref="K4430:K4431" si="719">HYPERLINK("https://media.licdn.com/dms/image/v2/D4E10AQHXCJsPgcZ4_w/image-shrink_1280/B4EZybCon0JgAg-/0/1772127685657/Directory3GetExpertHelpforAISearchpng?e=2147483647&amp;v=beta&amp;t=HfUSY3XU6uwbZY8wgAX7_lRR7s287cOzcCtZklwj4H0","View Creative")</f>
        <v>View Creative</v>
      </c>
      <c r="L4430" s="6" t="s">
        <v>62</v>
      </c>
      <c r="M4430" s="6" t="s">
        <v>8270</v>
      </c>
      <c r="N4430" s="6" t="s">
        <v>8343</v>
      </c>
      <c r="O4430" s="36" t="s">
        <v>7541</v>
      </c>
      <c r="P4430" s="36" t="s">
        <v>7542</v>
      </c>
      <c r="Q4430" s="38"/>
    </row>
    <row r="4431">
      <c r="A4431" s="6" t="s">
        <v>8270</v>
      </c>
      <c r="B4431" s="6" t="s">
        <v>8271</v>
      </c>
      <c r="C4431" s="6">
        <v>380.0</v>
      </c>
      <c r="D4431" s="9" t="str">
        <f t="shared" si="718"/>
        <v>Open Ad</v>
      </c>
      <c r="E4431" s="6" t="s">
        <v>91</v>
      </c>
      <c r="F4431" s="6" t="s">
        <v>8022</v>
      </c>
      <c r="G4431" s="6" t="s">
        <v>8334</v>
      </c>
      <c r="H4431" s="6" t="s">
        <v>55</v>
      </c>
      <c r="I4431" s="6" t="s">
        <v>8273</v>
      </c>
      <c r="J4431" s="6" t="s">
        <v>91</v>
      </c>
      <c r="K4431" s="12" t="str">
        <f t="shared" si="719"/>
        <v>View Creative</v>
      </c>
      <c r="L4431" s="6" t="s">
        <v>62</v>
      </c>
      <c r="M4431" s="6" t="s">
        <v>8270</v>
      </c>
      <c r="N4431" s="6" t="s">
        <v>8343</v>
      </c>
      <c r="O4431" s="36" t="s">
        <v>7541</v>
      </c>
      <c r="P4431" s="36" t="s">
        <v>7542</v>
      </c>
      <c r="Q4431" s="38"/>
    </row>
    <row r="4432">
      <c r="A4432" s="6" t="s">
        <v>8270</v>
      </c>
      <c r="B4432" s="6" t="s">
        <v>8271</v>
      </c>
      <c r="C4432" s="6">
        <v>381.0</v>
      </c>
      <c r="D4432" s="9" t="str">
        <f t="shared" ref="D4432:D4433" si="720">HYPERLINK("https://www.linkedin.com/ad-library/detail/1150009404","Open Ad")</f>
        <v>Open Ad</v>
      </c>
      <c r="E4432" s="6" t="s">
        <v>91</v>
      </c>
      <c r="F4432" s="6" t="s">
        <v>8022</v>
      </c>
      <c r="G4432" s="6" t="s">
        <v>8337</v>
      </c>
      <c r="H4432" s="6" t="s">
        <v>55</v>
      </c>
      <c r="I4432" s="6" t="s">
        <v>8273</v>
      </c>
      <c r="J4432" s="6" t="s">
        <v>91</v>
      </c>
      <c r="K4432" s="12" t="str">
        <f t="shared" ref="K4432:K4433" si="721">HYPERLINK("https://media.licdn.com/dms/image/v2/D4E10AQFh3wRxQvxaHQ/image-shrink_1280/B4EZybCootIEAc-/0/1772127685632/Directory3AIVisibilityAgencyDirectorypng?e=2147483647&amp;v=beta&amp;t=M1uiPNOy86K4MsoZ3jwd4aJvyNEBdZcCGNZCw8tfIyo","View Creative")</f>
        <v>View Creative</v>
      </c>
      <c r="L4432" s="6" t="s">
        <v>62</v>
      </c>
      <c r="M4432" s="6" t="s">
        <v>8270</v>
      </c>
      <c r="N4432" s="6" t="s">
        <v>8343</v>
      </c>
      <c r="O4432" s="36" t="s">
        <v>7541</v>
      </c>
      <c r="P4432" s="36" t="s">
        <v>7542</v>
      </c>
      <c r="Q4432" s="38"/>
    </row>
    <row r="4433">
      <c r="A4433" s="6" t="s">
        <v>8270</v>
      </c>
      <c r="B4433" s="6" t="s">
        <v>8271</v>
      </c>
      <c r="C4433" s="6">
        <v>382.0</v>
      </c>
      <c r="D4433" s="9" t="str">
        <f t="shared" si="720"/>
        <v>Open Ad</v>
      </c>
      <c r="E4433" s="6" t="s">
        <v>91</v>
      </c>
      <c r="F4433" s="6" t="s">
        <v>8022</v>
      </c>
      <c r="G4433" s="6" t="s">
        <v>8337</v>
      </c>
      <c r="H4433" s="6" t="s">
        <v>55</v>
      </c>
      <c r="I4433" s="6" t="s">
        <v>8273</v>
      </c>
      <c r="J4433" s="6" t="s">
        <v>91</v>
      </c>
      <c r="K4433" s="12" t="str">
        <f t="shared" si="721"/>
        <v>View Creative</v>
      </c>
      <c r="L4433" s="6" t="s">
        <v>62</v>
      </c>
      <c r="M4433" s="6" t="s">
        <v>8270</v>
      </c>
      <c r="N4433" s="6" t="s">
        <v>8343</v>
      </c>
      <c r="O4433" s="36" t="s">
        <v>7541</v>
      </c>
      <c r="P4433" s="36" t="s">
        <v>7542</v>
      </c>
      <c r="Q4433" s="38"/>
    </row>
    <row r="4434">
      <c r="A4434" s="6" t="s">
        <v>8270</v>
      </c>
      <c r="B4434" s="6" t="s">
        <v>8271</v>
      </c>
      <c r="C4434" s="6">
        <v>383.0</v>
      </c>
      <c r="D4434" s="9" t="str">
        <f t="shared" ref="D4434:D4435" si="722">HYPERLINK("https://www.linkedin.com/ad-library/detail/1150809734","Open Ad")</f>
        <v>Open Ad</v>
      </c>
      <c r="E4434" s="6" t="s">
        <v>91</v>
      </c>
      <c r="F4434" s="6" t="s">
        <v>8022</v>
      </c>
      <c r="G4434" s="6" t="s">
        <v>8342</v>
      </c>
      <c r="H4434" s="6" t="s">
        <v>55</v>
      </c>
      <c r="I4434" s="6" t="s">
        <v>8273</v>
      </c>
      <c r="J4434" s="6" t="s">
        <v>91</v>
      </c>
      <c r="K4434" s="12" t="str">
        <f t="shared" ref="K4434:K4435" si="723">HYPERLINK("https://media.licdn.com/dms/image/v2/D4E10AQHWBSAv8yIJ1Q/image-shrink_1280/B4EZybChrqIEAg-/0/1772127657140/Directory1AIVisibilityAgencyDirectorypng?e=2147483647&amp;v=beta&amp;t=GNhKLHJ19CMay96XBo6Nig-ruRSdoSKvl1ZlFYRysUM","View Creative")</f>
        <v>View Creative</v>
      </c>
      <c r="L4434" s="6" t="s">
        <v>62</v>
      </c>
      <c r="M4434" s="6" t="s">
        <v>8270</v>
      </c>
      <c r="N4434" s="6" t="s">
        <v>8343</v>
      </c>
      <c r="O4434" s="36" t="s">
        <v>7541</v>
      </c>
      <c r="P4434" s="36" t="s">
        <v>7542</v>
      </c>
      <c r="Q4434" s="38"/>
    </row>
    <row r="4435">
      <c r="A4435" s="6" t="s">
        <v>8270</v>
      </c>
      <c r="B4435" s="6" t="s">
        <v>8271</v>
      </c>
      <c r="C4435" s="6">
        <v>384.0</v>
      </c>
      <c r="D4435" s="9" t="str">
        <f t="shared" si="722"/>
        <v>Open Ad</v>
      </c>
      <c r="E4435" s="6" t="s">
        <v>91</v>
      </c>
      <c r="F4435" s="6" t="s">
        <v>8022</v>
      </c>
      <c r="G4435" s="6" t="s">
        <v>8342</v>
      </c>
      <c r="H4435" s="6" t="s">
        <v>55</v>
      </c>
      <c r="I4435" s="6" t="s">
        <v>8273</v>
      </c>
      <c r="J4435" s="6" t="s">
        <v>91</v>
      </c>
      <c r="K4435" s="12" t="str">
        <f t="shared" si="723"/>
        <v>View Creative</v>
      </c>
      <c r="L4435" s="6" t="s">
        <v>62</v>
      </c>
      <c r="M4435" s="6" t="s">
        <v>8270</v>
      </c>
      <c r="N4435" s="6" t="s">
        <v>8343</v>
      </c>
      <c r="O4435" s="36" t="s">
        <v>7541</v>
      </c>
      <c r="P4435" s="36" t="s">
        <v>7542</v>
      </c>
      <c r="Q4435" s="38"/>
    </row>
    <row r="4436">
      <c r="A4436" s="6" t="s">
        <v>8270</v>
      </c>
      <c r="B4436" s="6" t="s">
        <v>8271</v>
      </c>
      <c r="C4436" s="6">
        <v>385.0</v>
      </c>
      <c r="D4436" s="9" t="str">
        <f t="shared" ref="D4436:D4437" si="724">HYPERLINK("https://www.linkedin.com/ad-library/detail/1150009304","Open Ad")</f>
        <v>Open Ad</v>
      </c>
      <c r="E4436" s="6" t="s">
        <v>91</v>
      </c>
      <c r="F4436" s="6" t="s">
        <v>8022</v>
      </c>
      <c r="G4436" s="6" t="s">
        <v>8331</v>
      </c>
      <c r="H4436" s="6" t="s">
        <v>55</v>
      </c>
      <c r="I4436" s="6" t="s">
        <v>8273</v>
      </c>
      <c r="J4436" s="6" t="s">
        <v>91</v>
      </c>
      <c r="K4436" s="12" t="str">
        <f t="shared" ref="K4436:K4437" si="725">HYPERLINK("https://media.licdn.com/dms/image/v2/D4E10AQGtKok9G8Co_w/image-shrink_1280/B4EZybCoR6GYAc-/0/1772127684186/Directory1GetExpertHelpforAISearchpng?e=2147483647&amp;v=beta&amp;t=yrXbbpw2S9-81UaSPTZiQy5YHeY24f0r4iwEMY9FO9E","View Creative")</f>
        <v>View Creative</v>
      </c>
      <c r="L4436" s="6" t="s">
        <v>62</v>
      </c>
      <c r="M4436" s="6" t="s">
        <v>8270</v>
      </c>
      <c r="N4436" s="6" t="s">
        <v>8343</v>
      </c>
      <c r="O4436" s="36" t="s">
        <v>7541</v>
      </c>
      <c r="P4436" s="36" t="s">
        <v>7542</v>
      </c>
      <c r="Q4436" s="38"/>
    </row>
    <row r="4437">
      <c r="A4437" s="6" t="s">
        <v>8270</v>
      </c>
      <c r="B4437" s="6" t="s">
        <v>8271</v>
      </c>
      <c r="C4437" s="6">
        <v>386.0</v>
      </c>
      <c r="D4437" s="9" t="str">
        <f t="shared" si="724"/>
        <v>Open Ad</v>
      </c>
      <c r="E4437" s="6" t="s">
        <v>91</v>
      </c>
      <c r="F4437" s="6" t="s">
        <v>8022</v>
      </c>
      <c r="G4437" s="6" t="s">
        <v>8331</v>
      </c>
      <c r="H4437" s="6" t="s">
        <v>55</v>
      </c>
      <c r="I4437" s="6" t="s">
        <v>8273</v>
      </c>
      <c r="J4437" s="6" t="s">
        <v>91</v>
      </c>
      <c r="K4437" s="12" t="str">
        <f t="shared" si="725"/>
        <v>View Creative</v>
      </c>
      <c r="L4437" s="6" t="s">
        <v>62</v>
      </c>
      <c r="M4437" s="6" t="s">
        <v>8270</v>
      </c>
      <c r="N4437" s="6" t="s">
        <v>8343</v>
      </c>
      <c r="O4437" s="36" t="s">
        <v>7541</v>
      </c>
      <c r="P4437" s="36" t="s">
        <v>7542</v>
      </c>
      <c r="Q4437" s="38"/>
    </row>
    <row r="4438">
      <c r="A4438" s="6" t="s">
        <v>8270</v>
      </c>
      <c r="B4438" s="6" t="s">
        <v>8271</v>
      </c>
      <c r="C4438" s="6">
        <v>387.0</v>
      </c>
      <c r="D4438" s="9" t="str">
        <f t="shared" ref="D4438:D4439" si="726">HYPERLINK("https://www.linkedin.com/ad-library/detail/1150309624","Open Ad")</f>
        <v>Open Ad</v>
      </c>
      <c r="E4438" s="6" t="s">
        <v>91</v>
      </c>
      <c r="F4438" s="6" t="s">
        <v>8022</v>
      </c>
      <c r="G4438" s="6" t="s">
        <v>8342</v>
      </c>
      <c r="H4438" s="6" t="s">
        <v>55</v>
      </c>
      <c r="I4438" s="6" t="s">
        <v>8273</v>
      </c>
      <c r="J4438" s="6" t="s">
        <v>91</v>
      </c>
      <c r="K4438" s="12" t="str">
        <f t="shared" ref="K4438:K4443" si="727">HYPERLINK("https://media.licdn.com/dms/image/v2/D4E10AQHWBSAv8yIJ1Q/image-shrink_1280/B4EZybChrqIEAg-/0/1772127657140/Directory1AIVisibilityAgencyDirectorypng?e=2147483647&amp;v=beta&amp;t=GNhKLHJ19CMay96XBo6Nig-ruRSdoSKvl1ZlFYRysUM","View Creative")</f>
        <v>View Creative</v>
      </c>
      <c r="L4438" s="6" t="s">
        <v>62</v>
      </c>
      <c r="M4438" s="6" t="s">
        <v>8270</v>
      </c>
      <c r="N4438" s="6" t="s">
        <v>8343</v>
      </c>
      <c r="O4438" s="36" t="s">
        <v>7541</v>
      </c>
      <c r="P4438" s="36" t="s">
        <v>7542</v>
      </c>
      <c r="Q4438" s="38"/>
    </row>
    <row r="4439">
      <c r="A4439" s="6" t="s">
        <v>8270</v>
      </c>
      <c r="B4439" s="6" t="s">
        <v>8271</v>
      </c>
      <c r="C4439" s="6">
        <v>388.0</v>
      </c>
      <c r="D4439" s="9" t="str">
        <f t="shared" si="726"/>
        <v>Open Ad</v>
      </c>
      <c r="E4439" s="6" t="s">
        <v>91</v>
      </c>
      <c r="F4439" s="6" t="s">
        <v>8022</v>
      </c>
      <c r="G4439" s="6" t="s">
        <v>8342</v>
      </c>
      <c r="H4439" s="6" t="s">
        <v>55</v>
      </c>
      <c r="I4439" s="6" t="s">
        <v>8273</v>
      </c>
      <c r="J4439" s="6" t="s">
        <v>91</v>
      </c>
      <c r="K4439" s="12" t="str">
        <f t="shared" si="727"/>
        <v>View Creative</v>
      </c>
      <c r="L4439" s="6" t="s">
        <v>62</v>
      </c>
      <c r="M4439" s="6" t="s">
        <v>8270</v>
      </c>
      <c r="N4439" s="6" t="s">
        <v>8343</v>
      </c>
      <c r="O4439" s="36" t="s">
        <v>7541</v>
      </c>
      <c r="P4439" s="36" t="s">
        <v>7542</v>
      </c>
      <c r="Q4439" s="38"/>
    </row>
    <row r="4440">
      <c r="A4440" s="6" t="s">
        <v>8270</v>
      </c>
      <c r="B4440" s="6" t="s">
        <v>8271</v>
      </c>
      <c r="C4440" s="6">
        <v>389.0</v>
      </c>
      <c r="D4440" s="9" t="str">
        <f t="shared" ref="D4440:D4441" si="728">HYPERLINK("https://www.linkedin.com/ad-library/detail/1149810584","Open Ad")</f>
        <v>Open Ad</v>
      </c>
      <c r="E4440" s="6" t="s">
        <v>91</v>
      </c>
      <c r="F4440" s="6" t="s">
        <v>8022</v>
      </c>
      <c r="G4440" s="6" t="s">
        <v>8342</v>
      </c>
      <c r="H4440" s="6" t="s">
        <v>55</v>
      </c>
      <c r="I4440" s="6" t="s">
        <v>8273</v>
      </c>
      <c r="J4440" s="6" t="s">
        <v>91</v>
      </c>
      <c r="K4440" s="12" t="str">
        <f t="shared" si="727"/>
        <v>View Creative</v>
      </c>
      <c r="L4440" s="6" t="s">
        <v>62</v>
      </c>
      <c r="M4440" s="6" t="s">
        <v>8270</v>
      </c>
      <c r="N4440" s="6" t="s">
        <v>8343</v>
      </c>
      <c r="O4440" s="36" t="s">
        <v>7541</v>
      </c>
      <c r="P4440" s="36" t="s">
        <v>7542</v>
      </c>
      <c r="Q4440" s="38"/>
    </row>
    <row r="4441">
      <c r="A4441" s="6" t="s">
        <v>8270</v>
      </c>
      <c r="B4441" s="6" t="s">
        <v>8271</v>
      </c>
      <c r="C4441" s="6">
        <v>390.0</v>
      </c>
      <c r="D4441" s="9" t="str">
        <f t="shared" si="728"/>
        <v>Open Ad</v>
      </c>
      <c r="E4441" s="6" t="s">
        <v>91</v>
      </c>
      <c r="F4441" s="6" t="s">
        <v>8022</v>
      </c>
      <c r="G4441" s="6" t="s">
        <v>8342</v>
      </c>
      <c r="H4441" s="6" t="s">
        <v>55</v>
      </c>
      <c r="I4441" s="6" t="s">
        <v>8273</v>
      </c>
      <c r="J4441" s="6" t="s">
        <v>91</v>
      </c>
      <c r="K4441" s="12" t="str">
        <f t="shared" si="727"/>
        <v>View Creative</v>
      </c>
      <c r="L4441" s="6" t="s">
        <v>62</v>
      </c>
      <c r="M4441" s="6" t="s">
        <v>8270</v>
      </c>
      <c r="N4441" s="6" t="s">
        <v>8343</v>
      </c>
      <c r="O4441" s="36" t="s">
        <v>7541</v>
      </c>
      <c r="P4441" s="36" t="s">
        <v>7542</v>
      </c>
      <c r="Q4441" s="38"/>
    </row>
    <row r="4442">
      <c r="A4442" s="6" t="s">
        <v>8270</v>
      </c>
      <c r="B4442" s="6" t="s">
        <v>8271</v>
      </c>
      <c r="C4442" s="6">
        <v>391.0</v>
      </c>
      <c r="D4442" s="9" t="str">
        <f t="shared" ref="D4442:D4443" si="729">HYPERLINK("https://www.linkedin.com/ad-library/detail/1150602394","Open Ad")</f>
        <v>Open Ad</v>
      </c>
      <c r="E4442" s="6" t="s">
        <v>91</v>
      </c>
      <c r="F4442" s="6" t="s">
        <v>8022</v>
      </c>
      <c r="G4442" s="6" t="s">
        <v>8342</v>
      </c>
      <c r="H4442" s="6" t="s">
        <v>55</v>
      </c>
      <c r="I4442" s="6" t="s">
        <v>8273</v>
      </c>
      <c r="J4442" s="6" t="s">
        <v>91</v>
      </c>
      <c r="K4442" s="12" t="str">
        <f t="shared" si="727"/>
        <v>View Creative</v>
      </c>
      <c r="L4442" s="6" t="s">
        <v>62</v>
      </c>
      <c r="M4442" s="6" t="s">
        <v>8270</v>
      </c>
      <c r="N4442" s="6"/>
      <c r="O4442" s="36" t="s">
        <v>7541</v>
      </c>
      <c r="P4442" s="36" t="s">
        <v>7542</v>
      </c>
      <c r="Q4442" s="38"/>
    </row>
    <row r="4443">
      <c r="A4443" s="6" t="s">
        <v>8270</v>
      </c>
      <c r="B4443" s="6" t="s">
        <v>8271</v>
      </c>
      <c r="C4443" s="6">
        <v>392.0</v>
      </c>
      <c r="D4443" s="9" t="str">
        <f t="shared" si="729"/>
        <v>Open Ad</v>
      </c>
      <c r="E4443" s="6" t="s">
        <v>91</v>
      </c>
      <c r="F4443" s="6" t="s">
        <v>8022</v>
      </c>
      <c r="G4443" s="6" t="s">
        <v>8342</v>
      </c>
      <c r="H4443" s="6" t="s">
        <v>55</v>
      </c>
      <c r="I4443" s="6" t="s">
        <v>8273</v>
      </c>
      <c r="J4443" s="6" t="s">
        <v>91</v>
      </c>
      <c r="K4443" s="12" t="str">
        <f t="shared" si="727"/>
        <v>View Creative</v>
      </c>
      <c r="L4443" s="6" t="s">
        <v>62</v>
      </c>
      <c r="M4443" s="6" t="s">
        <v>8270</v>
      </c>
      <c r="N4443" s="6"/>
      <c r="O4443" s="36" t="s">
        <v>7541</v>
      </c>
      <c r="P4443" s="36" t="s">
        <v>7542</v>
      </c>
      <c r="Q4443" s="38"/>
    </row>
    <row r="4444">
      <c r="A4444" s="6" t="s">
        <v>8270</v>
      </c>
      <c r="B4444" s="6" t="s">
        <v>8271</v>
      </c>
      <c r="C4444" s="6">
        <v>393.0</v>
      </c>
      <c r="D4444" s="9" t="str">
        <f t="shared" ref="D4444:D4445" si="730">HYPERLINK("https://www.linkedin.com/ad-library/detail/1149810594","Open Ad")</f>
        <v>Open Ad</v>
      </c>
      <c r="E4444" s="6" t="s">
        <v>91</v>
      </c>
      <c r="F4444" s="6" t="s">
        <v>8022</v>
      </c>
      <c r="G4444" s="6" t="s">
        <v>8347</v>
      </c>
      <c r="H4444" s="6" t="s">
        <v>55</v>
      </c>
      <c r="I4444" s="6" t="s">
        <v>8273</v>
      </c>
      <c r="J4444" s="6" t="s">
        <v>91</v>
      </c>
      <c r="K4444" s="12" t="str">
        <f t="shared" ref="K4444:K4445" si="731">HYPERLINK("https://media.licdn.com/dms/image/v2/D4E10AQEujPuW92_whg/image-shrink_1280/B4EZybChqwHMAc-/0/1772127657019/Directory2AIVisibilityAgencyDirectorypng?e=2147483647&amp;v=beta&amp;t=Z6MAKWzMej5_jYQRlmJ4y7bDcR6D_e69xbTN9r9L-9o","View Creative")</f>
        <v>View Creative</v>
      </c>
      <c r="L4444" s="6" t="s">
        <v>62</v>
      </c>
      <c r="M4444" s="6" t="s">
        <v>8270</v>
      </c>
      <c r="N4444" s="6" t="s">
        <v>8343</v>
      </c>
      <c r="O4444" s="36" t="s">
        <v>7541</v>
      </c>
      <c r="P4444" s="36" t="s">
        <v>7542</v>
      </c>
      <c r="Q4444" s="38"/>
    </row>
    <row r="4445">
      <c r="A4445" s="6" t="s">
        <v>8270</v>
      </c>
      <c r="B4445" s="6" t="s">
        <v>8271</v>
      </c>
      <c r="C4445" s="6">
        <v>394.0</v>
      </c>
      <c r="D4445" s="9" t="str">
        <f t="shared" si="730"/>
        <v>Open Ad</v>
      </c>
      <c r="E4445" s="6" t="s">
        <v>91</v>
      </c>
      <c r="F4445" s="6" t="s">
        <v>8022</v>
      </c>
      <c r="G4445" s="6" t="s">
        <v>8347</v>
      </c>
      <c r="H4445" s="6" t="s">
        <v>55</v>
      </c>
      <c r="I4445" s="6" t="s">
        <v>8273</v>
      </c>
      <c r="J4445" s="6" t="s">
        <v>91</v>
      </c>
      <c r="K4445" s="12" t="str">
        <f t="shared" si="731"/>
        <v>View Creative</v>
      </c>
      <c r="L4445" s="6" t="s">
        <v>62</v>
      </c>
      <c r="M4445" s="6" t="s">
        <v>8270</v>
      </c>
      <c r="N4445" s="6" t="s">
        <v>8343</v>
      </c>
      <c r="O4445" s="36" t="s">
        <v>7541</v>
      </c>
      <c r="P4445" s="36" t="s">
        <v>7542</v>
      </c>
      <c r="Q4445" s="38"/>
    </row>
    <row r="4446">
      <c r="A4446" s="6" t="s">
        <v>8270</v>
      </c>
      <c r="B4446" s="6" t="s">
        <v>8271</v>
      </c>
      <c r="C4446" s="6">
        <v>395.0</v>
      </c>
      <c r="D4446" s="9" t="str">
        <f t="shared" ref="D4446:D4447" si="732">HYPERLINK("https://www.linkedin.com/ad-library/detail/1149002754","Open Ad")</f>
        <v>Open Ad</v>
      </c>
      <c r="E4446" s="6" t="s">
        <v>91</v>
      </c>
      <c r="F4446" s="6" t="s">
        <v>8022</v>
      </c>
      <c r="G4446" s="6" t="s">
        <v>8346</v>
      </c>
      <c r="H4446" s="6" t="s">
        <v>55</v>
      </c>
      <c r="I4446" s="6" t="s">
        <v>8273</v>
      </c>
      <c r="J4446" s="6" t="s">
        <v>91</v>
      </c>
      <c r="K4446" s="12" t="str">
        <f t="shared" ref="K4446:K4447" si="733">HYPERLINK("https://media.licdn.com/dms/image/v2/D4E10AQHRCGOPh43vUQ/image-shrink_1280/B4EZybCoqaGsAc-/0/1772127686008/Directory3FindTrustedAISearchExpertspng?e=2147483647&amp;v=beta&amp;t=deb9Vu57y6uAoG3vF1CvnEoPwvQwnu2_BtLte3bXNSg","View Creative")</f>
        <v>View Creative</v>
      </c>
      <c r="L4446" s="6" t="s">
        <v>62</v>
      </c>
      <c r="M4446" s="6" t="s">
        <v>8270</v>
      </c>
      <c r="N4446" s="6"/>
      <c r="O4446" s="36" t="s">
        <v>7541</v>
      </c>
      <c r="P4446" s="36" t="s">
        <v>7542</v>
      </c>
      <c r="Q4446" s="38"/>
    </row>
    <row r="4447">
      <c r="A4447" s="6" t="s">
        <v>8270</v>
      </c>
      <c r="B4447" s="6" t="s">
        <v>8271</v>
      </c>
      <c r="C4447" s="6">
        <v>396.0</v>
      </c>
      <c r="D4447" s="9" t="str">
        <f t="shared" si="732"/>
        <v>Open Ad</v>
      </c>
      <c r="E4447" s="6" t="s">
        <v>91</v>
      </c>
      <c r="F4447" s="6" t="s">
        <v>8022</v>
      </c>
      <c r="G4447" s="6" t="s">
        <v>8346</v>
      </c>
      <c r="H4447" s="6" t="s">
        <v>55</v>
      </c>
      <c r="I4447" s="6" t="s">
        <v>8273</v>
      </c>
      <c r="J4447" s="6" t="s">
        <v>91</v>
      </c>
      <c r="K4447" s="12" t="str">
        <f t="shared" si="733"/>
        <v>View Creative</v>
      </c>
      <c r="L4447" s="6" t="s">
        <v>62</v>
      </c>
      <c r="M4447" s="6" t="s">
        <v>8270</v>
      </c>
      <c r="N4447" s="6"/>
      <c r="O4447" s="36" t="s">
        <v>7541</v>
      </c>
      <c r="P4447" s="36" t="s">
        <v>7542</v>
      </c>
      <c r="Q4447" s="38"/>
    </row>
    <row r="4448">
      <c r="A4448" s="6" t="s">
        <v>8270</v>
      </c>
      <c r="B4448" s="6" t="s">
        <v>8271</v>
      </c>
      <c r="C4448" s="6">
        <v>397.0</v>
      </c>
      <c r="D4448" s="9" t="str">
        <f t="shared" ref="D4448:D4449" si="734">HYPERLINK("https://www.linkedin.com/ad-library/detail/1149510544","Open Ad")</f>
        <v>Open Ad</v>
      </c>
      <c r="E4448" s="6" t="s">
        <v>91</v>
      </c>
      <c r="F4448" s="6" t="s">
        <v>8022</v>
      </c>
      <c r="G4448" s="6" t="s">
        <v>8334</v>
      </c>
      <c r="H4448" s="6" t="s">
        <v>55</v>
      </c>
      <c r="I4448" s="6" t="s">
        <v>8273</v>
      </c>
      <c r="J4448" s="6" t="s">
        <v>91</v>
      </c>
      <c r="K4448" s="12" t="str">
        <f t="shared" ref="K4448:K4449" si="735">HYPERLINK("https://media.licdn.com/dms/image/v2/D4E10AQHXCJsPgcZ4_w/image-shrink_1280/B4EZybCon0JgAg-/0/1772127685657/Directory3GetExpertHelpforAISearchpng?e=2147483647&amp;v=beta&amp;t=HfUSY3XU6uwbZY8wgAX7_lRR7s287cOzcCtZklwj4H0","View Creative")</f>
        <v>View Creative</v>
      </c>
      <c r="L4448" s="6" t="s">
        <v>62</v>
      </c>
      <c r="M4448" s="6" t="s">
        <v>8270</v>
      </c>
      <c r="N4448" s="6" t="s">
        <v>8343</v>
      </c>
      <c r="O4448" s="36" t="s">
        <v>7541</v>
      </c>
      <c r="P4448" s="36" t="s">
        <v>7542</v>
      </c>
      <c r="Q4448" s="38"/>
    </row>
    <row r="4449">
      <c r="A4449" s="6" t="s">
        <v>8270</v>
      </c>
      <c r="B4449" s="6" t="s">
        <v>8271</v>
      </c>
      <c r="C4449" s="6">
        <v>398.0</v>
      </c>
      <c r="D4449" s="9" t="str">
        <f t="shared" si="734"/>
        <v>Open Ad</v>
      </c>
      <c r="E4449" s="6" t="s">
        <v>91</v>
      </c>
      <c r="F4449" s="6" t="s">
        <v>8022</v>
      </c>
      <c r="G4449" s="6" t="s">
        <v>8334</v>
      </c>
      <c r="H4449" s="6" t="s">
        <v>55</v>
      </c>
      <c r="I4449" s="6" t="s">
        <v>8273</v>
      </c>
      <c r="J4449" s="6" t="s">
        <v>91</v>
      </c>
      <c r="K4449" s="12" t="str">
        <f t="shared" si="735"/>
        <v>View Creative</v>
      </c>
      <c r="L4449" s="6" t="s">
        <v>62</v>
      </c>
      <c r="M4449" s="6" t="s">
        <v>8270</v>
      </c>
      <c r="N4449" s="6" t="s">
        <v>8343</v>
      </c>
      <c r="O4449" s="36" t="s">
        <v>7541</v>
      </c>
      <c r="P4449" s="36" t="s">
        <v>7542</v>
      </c>
      <c r="Q4449" s="38"/>
    </row>
    <row r="4450">
      <c r="A4450" s="6" t="s">
        <v>8270</v>
      </c>
      <c r="B4450" s="6" t="s">
        <v>8271</v>
      </c>
      <c r="C4450" s="6">
        <v>399.0</v>
      </c>
      <c r="D4450" s="9" t="str">
        <f t="shared" ref="D4450:D4451" si="736">HYPERLINK("https://www.linkedin.com/ad-library/detail/1148901494","Open Ad")</f>
        <v>Open Ad</v>
      </c>
      <c r="E4450" s="6" t="s">
        <v>91</v>
      </c>
      <c r="F4450" s="6" t="s">
        <v>8022</v>
      </c>
      <c r="G4450" s="6" t="s">
        <v>8342</v>
      </c>
      <c r="H4450" s="6" t="s">
        <v>55</v>
      </c>
      <c r="I4450" s="6" t="s">
        <v>8273</v>
      </c>
      <c r="J4450" s="6" t="s">
        <v>91</v>
      </c>
      <c r="K4450" s="12" t="str">
        <f t="shared" ref="K4450:K4451" si="737">HYPERLINK("https://media.licdn.com/dms/image/v2/D4E10AQHWBSAv8yIJ1Q/image-shrink_1280/B4EZybChrqIEAg-/0/1772127657140/Directory1AIVisibilityAgencyDirectorypng?e=2147483647&amp;v=beta&amp;t=GNhKLHJ19CMay96XBo6Nig-ruRSdoSKvl1ZlFYRysUM","View Creative")</f>
        <v>View Creative</v>
      </c>
      <c r="L4450" s="6" t="s">
        <v>62</v>
      </c>
      <c r="M4450" s="6" t="s">
        <v>8270</v>
      </c>
      <c r="N4450" s="6"/>
      <c r="O4450" s="36" t="s">
        <v>7541</v>
      </c>
      <c r="P4450" s="36" t="s">
        <v>7542</v>
      </c>
      <c r="Q4450" s="38"/>
    </row>
    <row r="4451">
      <c r="A4451" s="6" t="s">
        <v>8270</v>
      </c>
      <c r="B4451" s="6" t="s">
        <v>8271</v>
      </c>
      <c r="C4451" s="6">
        <v>400.0</v>
      </c>
      <c r="D4451" s="9" t="str">
        <f t="shared" si="736"/>
        <v>Open Ad</v>
      </c>
      <c r="E4451" s="6" t="s">
        <v>91</v>
      </c>
      <c r="F4451" s="6" t="s">
        <v>8022</v>
      </c>
      <c r="G4451" s="6" t="s">
        <v>8342</v>
      </c>
      <c r="H4451" s="6" t="s">
        <v>55</v>
      </c>
      <c r="I4451" s="6" t="s">
        <v>8273</v>
      </c>
      <c r="J4451" s="6" t="s">
        <v>91</v>
      </c>
      <c r="K4451" s="12" t="str">
        <f t="shared" si="737"/>
        <v>View Creative</v>
      </c>
      <c r="L4451" s="6" t="s">
        <v>62</v>
      </c>
      <c r="M4451" s="6" t="s">
        <v>8270</v>
      </c>
      <c r="N4451" s="6"/>
      <c r="O4451" s="36" t="s">
        <v>7541</v>
      </c>
      <c r="P4451" s="36" t="s">
        <v>7542</v>
      </c>
      <c r="Q4451" s="38"/>
    </row>
    <row r="4452">
      <c r="A4452" s="6" t="s">
        <v>8270</v>
      </c>
      <c r="B4452" s="6" t="s">
        <v>8271</v>
      </c>
      <c r="C4452" s="6">
        <v>401.0</v>
      </c>
      <c r="D4452" s="9" t="str">
        <f t="shared" ref="D4452:D4453" si="738">HYPERLINK("https://www.linkedin.com/ad-library/detail/1149409434","Open Ad")</f>
        <v>Open Ad</v>
      </c>
      <c r="E4452" s="6" t="s">
        <v>91</v>
      </c>
      <c r="F4452" s="6" t="s">
        <v>8022</v>
      </c>
      <c r="G4452" s="6" t="s">
        <v>8335</v>
      </c>
      <c r="H4452" s="6" t="s">
        <v>55</v>
      </c>
      <c r="I4452" s="6" t="s">
        <v>8273</v>
      </c>
      <c r="J4452" s="6" t="s">
        <v>91</v>
      </c>
      <c r="K4452" s="12" t="str">
        <f t="shared" ref="K4452:K4453" si="739">HYPERLINK("https://media.licdn.com/dms/image/v2/D4E10AQENGNql_Hfi3w/image-shrink_1280/B4EZybChuMHkAc-/0/1772127657303/Directory2GetExpertHelpforAISearchpng?e=2147483647&amp;v=beta&amp;t=N05A1GpFf-MaOO-coxz8xvXUeDa3TTrq2hacW3d7_j4","View Creative")</f>
        <v>View Creative</v>
      </c>
      <c r="L4452" s="6" t="s">
        <v>62</v>
      </c>
      <c r="M4452" s="6" t="s">
        <v>8270</v>
      </c>
      <c r="N4452" s="6" t="s">
        <v>8343</v>
      </c>
      <c r="O4452" s="36" t="s">
        <v>7541</v>
      </c>
      <c r="P4452" s="36" t="s">
        <v>7542</v>
      </c>
      <c r="Q4452" s="38"/>
    </row>
    <row r="4453">
      <c r="A4453" s="6" t="s">
        <v>8270</v>
      </c>
      <c r="B4453" s="6" t="s">
        <v>8271</v>
      </c>
      <c r="C4453" s="6">
        <v>402.0</v>
      </c>
      <c r="D4453" s="9" t="str">
        <f t="shared" si="738"/>
        <v>Open Ad</v>
      </c>
      <c r="E4453" s="6" t="s">
        <v>91</v>
      </c>
      <c r="F4453" s="6" t="s">
        <v>8022</v>
      </c>
      <c r="G4453" s="6" t="s">
        <v>8335</v>
      </c>
      <c r="H4453" s="6" t="s">
        <v>55</v>
      </c>
      <c r="I4453" s="6" t="s">
        <v>8273</v>
      </c>
      <c r="J4453" s="6" t="s">
        <v>91</v>
      </c>
      <c r="K4453" s="12" t="str">
        <f t="shared" si="739"/>
        <v>View Creative</v>
      </c>
      <c r="L4453" s="6" t="s">
        <v>62</v>
      </c>
      <c r="M4453" s="6" t="s">
        <v>8270</v>
      </c>
      <c r="N4453" s="6" t="s">
        <v>8343</v>
      </c>
      <c r="O4453" s="36" t="s">
        <v>7541</v>
      </c>
      <c r="P4453" s="36" t="s">
        <v>7542</v>
      </c>
      <c r="Q4453" s="38"/>
    </row>
    <row r="4454">
      <c r="A4454" s="6" t="s">
        <v>8270</v>
      </c>
      <c r="B4454" s="6" t="s">
        <v>8271</v>
      </c>
      <c r="C4454" s="6">
        <v>403.0</v>
      </c>
      <c r="D4454" s="9" t="str">
        <f t="shared" ref="D4454:D4455" si="740">HYPERLINK("https://www.linkedin.com/ad-library/detail/1149810554","Open Ad")</f>
        <v>Open Ad</v>
      </c>
      <c r="E4454" s="6" t="s">
        <v>91</v>
      </c>
      <c r="F4454" s="6" t="s">
        <v>8022</v>
      </c>
      <c r="G4454" s="6" t="s">
        <v>8337</v>
      </c>
      <c r="H4454" s="6" t="s">
        <v>55</v>
      </c>
      <c r="I4454" s="6" t="s">
        <v>8273</v>
      </c>
      <c r="J4454" s="6" t="s">
        <v>91</v>
      </c>
      <c r="K4454" s="12" t="str">
        <f t="shared" ref="K4454:K4455" si="741">HYPERLINK("https://media.licdn.com/dms/image/v2/D4E10AQFh3wRxQvxaHQ/image-shrink_1280/B4EZybCootIEAc-/0/1772127685632/Directory3AIVisibilityAgencyDirectorypng?e=2147483647&amp;v=beta&amp;t=M1uiPNOy86K4MsoZ3jwd4aJvyNEBdZcCGNZCw8tfIyo","View Creative")</f>
        <v>View Creative</v>
      </c>
      <c r="L4454" s="6" t="s">
        <v>62</v>
      </c>
      <c r="M4454" s="6" t="s">
        <v>8270</v>
      </c>
      <c r="N4454" s="6" t="s">
        <v>8343</v>
      </c>
      <c r="O4454" s="36" t="s">
        <v>7541</v>
      </c>
      <c r="P4454" s="36" t="s">
        <v>7542</v>
      </c>
      <c r="Q4454" s="38"/>
    </row>
    <row r="4455">
      <c r="A4455" s="6" t="s">
        <v>8270</v>
      </c>
      <c r="B4455" s="6" t="s">
        <v>8271</v>
      </c>
      <c r="C4455" s="6">
        <v>404.0</v>
      </c>
      <c r="D4455" s="9" t="str">
        <f t="shared" si="740"/>
        <v>Open Ad</v>
      </c>
      <c r="E4455" s="6" t="s">
        <v>91</v>
      </c>
      <c r="F4455" s="6" t="s">
        <v>8022</v>
      </c>
      <c r="G4455" s="6" t="s">
        <v>8337</v>
      </c>
      <c r="H4455" s="6" t="s">
        <v>55</v>
      </c>
      <c r="I4455" s="6" t="s">
        <v>8273</v>
      </c>
      <c r="J4455" s="6" t="s">
        <v>91</v>
      </c>
      <c r="K4455" s="12" t="str">
        <f t="shared" si="741"/>
        <v>View Creative</v>
      </c>
      <c r="L4455" s="6" t="s">
        <v>62</v>
      </c>
      <c r="M4455" s="6" t="s">
        <v>8270</v>
      </c>
      <c r="N4455" s="6" t="s">
        <v>8343</v>
      </c>
      <c r="O4455" s="36" t="s">
        <v>7541</v>
      </c>
      <c r="P4455" s="36" t="s">
        <v>7542</v>
      </c>
      <c r="Q4455" s="38"/>
    </row>
    <row r="4456">
      <c r="A4456" s="6" t="s">
        <v>8270</v>
      </c>
      <c r="B4456" s="6" t="s">
        <v>8271</v>
      </c>
      <c r="C4456" s="6">
        <v>405.0</v>
      </c>
      <c r="D4456" s="9" t="str">
        <f t="shared" ref="D4456:D4457" si="742">HYPERLINK("https://www.linkedin.com/ad-library/detail/1149903044","Open Ad")</f>
        <v>Open Ad</v>
      </c>
      <c r="E4456" s="6" t="s">
        <v>91</v>
      </c>
      <c r="F4456" s="6" t="s">
        <v>8022</v>
      </c>
      <c r="G4456" s="6" t="s">
        <v>8334</v>
      </c>
      <c r="H4456" s="6" t="s">
        <v>55</v>
      </c>
      <c r="I4456" s="6" t="s">
        <v>8273</v>
      </c>
      <c r="J4456" s="6" t="s">
        <v>91</v>
      </c>
      <c r="K4456" s="12" t="str">
        <f t="shared" ref="K4456:K4457" si="743">HYPERLINK("https://media.licdn.com/dms/image/v2/D4E10AQHXCJsPgcZ4_w/image-shrink_1280/B4EZybCon0JgAg-/0/1772127685657/Directory3GetExpertHelpforAISearchpng?e=2147483647&amp;v=beta&amp;t=HfUSY3XU6uwbZY8wgAX7_lRR7s287cOzcCtZklwj4H0","View Creative")</f>
        <v>View Creative</v>
      </c>
      <c r="L4456" s="6" t="s">
        <v>62</v>
      </c>
      <c r="M4456" s="6" t="s">
        <v>8270</v>
      </c>
      <c r="N4456" s="6"/>
      <c r="O4456" s="36" t="s">
        <v>7541</v>
      </c>
      <c r="P4456" s="36" t="s">
        <v>7542</v>
      </c>
      <c r="Q4456" s="38"/>
    </row>
    <row r="4457">
      <c r="A4457" s="6" t="s">
        <v>8270</v>
      </c>
      <c r="B4457" s="6" t="s">
        <v>8271</v>
      </c>
      <c r="C4457" s="6">
        <v>406.0</v>
      </c>
      <c r="D4457" s="9" t="str">
        <f t="shared" si="742"/>
        <v>Open Ad</v>
      </c>
      <c r="E4457" s="6" t="s">
        <v>91</v>
      </c>
      <c r="F4457" s="6" t="s">
        <v>8022</v>
      </c>
      <c r="G4457" s="6" t="s">
        <v>8334</v>
      </c>
      <c r="H4457" s="6" t="s">
        <v>55</v>
      </c>
      <c r="I4457" s="6" t="s">
        <v>8273</v>
      </c>
      <c r="J4457" s="6" t="s">
        <v>91</v>
      </c>
      <c r="K4457" s="12" t="str">
        <f t="shared" si="743"/>
        <v>View Creative</v>
      </c>
      <c r="L4457" s="6" t="s">
        <v>62</v>
      </c>
      <c r="M4457" s="6" t="s">
        <v>8270</v>
      </c>
      <c r="N4457" s="6"/>
      <c r="O4457" s="36" t="s">
        <v>7541</v>
      </c>
      <c r="P4457" s="36" t="s">
        <v>7542</v>
      </c>
      <c r="Q4457" s="38"/>
    </row>
    <row r="4458">
      <c r="A4458" s="6" t="s">
        <v>8270</v>
      </c>
      <c r="B4458" s="6" t="s">
        <v>8271</v>
      </c>
      <c r="C4458" s="6">
        <v>407.0</v>
      </c>
      <c r="D4458" s="9" t="str">
        <f t="shared" ref="D4458:D4459" si="744">HYPERLINK("https://www.linkedin.com/ad-library/detail/1149402134","Open Ad")</f>
        <v>Open Ad</v>
      </c>
      <c r="E4458" s="6" t="s">
        <v>91</v>
      </c>
      <c r="F4458" s="6" t="s">
        <v>8022</v>
      </c>
      <c r="G4458" s="6" t="s">
        <v>8335</v>
      </c>
      <c r="H4458" s="6" t="s">
        <v>55</v>
      </c>
      <c r="I4458" s="6" t="s">
        <v>8273</v>
      </c>
      <c r="J4458" s="6" t="s">
        <v>91</v>
      </c>
      <c r="K4458" s="12" t="str">
        <f t="shared" ref="K4458:K4459" si="745">HYPERLINK("https://media.licdn.com/dms/image/v2/D4E10AQENGNql_Hfi3w/image-shrink_1280/B4EZybChuMHkAc-/0/1772127657303/Directory2GetExpertHelpforAISearchpng?e=2147483647&amp;v=beta&amp;t=N05A1GpFf-MaOO-coxz8xvXUeDa3TTrq2hacW3d7_j4","View Creative")</f>
        <v>View Creative</v>
      </c>
      <c r="L4458" s="6" t="s">
        <v>62</v>
      </c>
      <c r="M4458" s="6" t="s">
        <v>8270</v>
      </c>
      <c r="N4458" s="6"/>
      <c r="O4458" s="36" t="s">
        <v>7541</v>
      </c>
      <c r="P4458" s="36" t="s">
        <v>7542</v>
      </c>
      <c r="Q4458" s="38"/>
    </row>
    <row r="4459">
      <c r="A4459" s="6" t="s">
        <v>8270</v>
      </c>
      <c r="B4459" s="6" t="s">
        <v>8271</v>
      </c>
      <c r="C4459" s="6">
        <v>408.0</v>
      </c>
      <c r="D4459" s="9" t="str">
        <f t="shared" si="744"/>
        <v>Open Ad</v>
      </c>
      <c r="E4459" s="6" t="s">
        <v>91</v>
      </c>
      <c r="F4459" s="6" t="s">
        <v>8022</v>
      </c>
      <c r="G4459" s="6" t="s">
        <v>8335</v>
      </c>
      <c r="H4459" s="6" t="s">
        <v>55</v>
      </c>
      <c r="I4459" s="6" t="s">
        <v>8273</v>
      </c>
      <c r="J4459" s="6" t="s">
        <v>91</v>
      </c>
      <c r="K4459" s="12" t="str">
        <f t="shared" si="745"/>
        <v>View Creative</v>
      </c>
      <c r="L4459" s="6" t="s">
        <v>62</v>
      </c>
      <c r="M4459" s="6" t="s">
        <v>8270</v>
      </c>
      <c r="N4459" s="6"/>
      <c r="O4459" s="36" t="s">
        <v>7541</v>
      </c>
      <c r="P4459" s="36" t="s">
        <v>7542</v>
      </c>
      <c r="Q4459" s="38"/>
    </row>
    <row r="4460">
      <c r="A4460" s="6" t="s">
        <v>8270</v>
      </c>
      <c r="B4460" s="6" t="s">
        <v>8271</v>
      </c>
      <c r="C4460" s="6">
        <v>409.0</v>
      </c>
      <c r="D4460" s="9" t="str">
        <f t="shared" ref="D4460:D4461" si="746">HYPERLINK("https://www.linkedin.com/ad-library/detail/1148802334","Open Ad")</f>
        <v>Open Ad</v>
      </c>
      <c r="E4460" s="6" t="s">
        <v>91</v>
      </c>
      <c r="F4460" s="6" t="s">
        <v>8022</v>
      </c>
      <c r="G4460" s="6" t="s">
        <v>8337</v>
      </c>
      <c r="H4460" s="6" t="s">
        <v>55</v>
      </c>
      <c r="I4460" s="6" t="s">
        <v>8273</v>
      </c>
      <c r="J4460" s="6" t="s">
        <v>91</v>
      </c>
      <c r="K4460" s="12" t="str">
        <f t="shared" ref="K4460:K4461" si="747">HYPERLINK("https://media.licdn.com/dms/image/v2/D4E10AQFh3wRxQvxaHQ/image-shrink_1280/B4EZybCootIEAc-/0/1772127685632/Directory3AIVisibilityAgencyDirectorypng?e=2147483647&amp;v=beta&amp;t=M1uiPNOy86K4MsoZ3jwd4aJvyNEBdZcCGNZCw8tfIyo","View Creative")</f>
        <v>View Creative</v>
      </c>
      <c r="L4460" s="6" t="s">
        <v>62</v>
      </c>
      <c r="M4460" s="6" t="s">
        <v>8270</v>
      </c>
      <c r="N4460" s="6"/>
      <c r="O4460" s="36" t="s">
        <v>7541</v>
      </c>
      <c r="P4460" s="36" t="s">
        <v>7542</v>
      </c>
      <c r="Q4460" s="38"/>
    </row>
    <row r="4461">
      <c r="A4461" s="6" t="s">
        <v>8270</v>
      </c>
      <c r="B4461" s="6" t="s">
        <v>8271</v>
      </c>
      <c r="C4461" s="6">
        <v>410.0</v>
      </c>
      <c r="D4461" s="9" t="str">
        <f t="shared" si="746"/>
        <v>Open Ad</v>
      </c>
      <c r="E4461" s="6" t="s">
        <v>91</v>
      </c>
      <c r="F4461" s="6" t="s">
        <v>8022</v>
      </c>
      <c r="G4461" s="6" t="s">
        <v>8337</v>
      </c>
      <c r="H4461" s="6" t="s">
        <v>55</v>
      </c>
      <c r="I4461" s="6" t="s">
        <v>8273</v>
      </c>
      <c r="J4461" s="6" t="s">
        <v>91</v>
      </c>
      <c r="K4461" s="12" t="str">
        <f t="shared" si="747"/>
        <v>View Creative</v>
      </c>
      <c r="L4461" s="6" t="s">
        <v>62</v>
      </c>
      <c r="M4461" s="6" t="s">
        <v>8270</v>
      </c>
      <c r="N4461" s="6"/>
      <c r="O4461" s="36" t="s">
        <v>7541</v>
      </c>
      <c r="P4461" s="36" t="s">
        <v>7542</v>
      </c>
      <c r="Q4461" s="38"/>
    </row>
    <row r="4462">
      <c r="A4462" s="6" t="s">
        <v>8270</v>
      </c>
      <c r="B4462" s="6" t="s">
        <v>8271</v>
      </c>
      <c r="C4462" s="6">
        <v>411.0</v>
      </c>
      <c r="D4462" s="9" t="str">
        <f t="shared" ref="D4462:D4463" si="748">HYPERLINK("https://www.linkedin.com/ad-library/detail/1148809924","Open Ad")</f>
        <v>Open Ad</v>
      </c>
      <c r="E4462" s="6" t="s">
        <v>91</v>
      </c>
      <c r="F4462" s="6" t="s">
        <v>8022</v>
      </c>
      <c r="G4462" s="6" t="s">
        <v>8342</v>
      </c>
      <c r="H4462" s="6" t="s">
        <v>55</v>
      </c>
      <c r="I4462" s="6" t="s">
        <v>8273</v>
      </c>
      <c r="J4462" s="6" t="s">
        <v>91</v>
      </c>
      <c r="K4462" s="12" t="str">
        <f t="shared" ref="K4462:K4463" si="749">HYPERLINK("https://media.licdn.com/dms/image/v2/D4E10AQHWBSAv8yIJ1Q/image-shrink_1280/B4EZybChrqIEAg-/0/1772127657140/Directory1AIVisibilityAgencyDirectorypng?e=2147483647&amp;v=beta&amp;t=GNhKLHJ19CMay96XBo6Nig-ruRSdoSKvl1ZlFYRysUM","View Creative")</f>
        <v>View Creative</v>
      </c>
      <c r="L4462" s="6" t="s">
        <v>62</v>
      </c>
      <c r="M4462" s="6" t="s">
        <v>8270</v>
      </c>
      <c r="N4462" s="6" t="s">
        <v>8343</v>
      </c>
      <c r="O4462" s="36" t="s">
        <v>7541</v>
      </c>
      <c r="P4462" s="36" t="s">
        <v>7542</v>
      </c>
      <c r="Q4462" s="38"/>
    </row>
    <row r="4463">
      <c r="A4463" s="6" t="s">
        <v>8270</v>
      </c>
      <c r="B4463" s="6" t="s">
        <v>8271</v>
      </c>
      <c r="C4463" s="6">
        <v>412.0</v>
      </c>
      <c r="D4463" s="9" t="str">
        <f t="shared" si="748"/>
        <v>Open Ad</v>
      </c>
      <c r="E4463" s="6" t="s">
        <v>91</v>
      </c>
      <c r="F4463" s="6" t="s">
        <v>8022</v>
      </c>
      <c r="G4463" s="6" t="s">
        <v>8342</v>
      </c>
      <c r="H4463" s="6" t="s">
        <v>55</v>
      </c>
      <c r="I4463" s="6" t="s">
        <v>8273</v>
      </c>
      <c r="J4463" s="6" t="s">
        <v>91</v>
      </c>
      <c r="K4463" s="12" t="str">
        <f t="shared" si="749"/>
        <v>View Creative</v>
      </c>
      <c r="L4463" s="6" t="s">
        <v>62</v>
      </c>
      <c r="M4463" s="6" t="s">
        <v>8270</v>
      </c>
      <c r="N4463" s="6" t="s">
        <v>8343</v>
      </c>
      <c r="O4463" s="36" t="s">
        <v>7541</v>
      </c>
      <c r="P4463" s="36" t="s">
        <v>7542</v>
      </c>
      <c r="Q4463" s="38"/>
    </row>
    <row r="4464">
      <c r="A4464" s="6" t="s">
        <v>8270</v>
      </c>
      <c r="B4464" s="6" t="s">
        <v>8271</v>
      </c>
      <c r="C4464" s="6">
        <v>413.0</v>
      </c>
      <c r="D4464" s="9" t="str">
        <f t="shared" ref="D4464:D4465" si="750">HYPERLINK("https://www.linkedin.com/ad-library/detail/1148809934","Open Ad")</f>
        <v>Open Ad</v>
      </c>
      <c r="E4464" s="6" t="s">
        <v>91</v>
      </c>
      <c r="F4464" s="6" t="s">
        <v>8022</v>
      </c>
      <c r="G4464" s="6" t="s">
        <v>8331</v>
      </c>
      <c r="H4464" s="6" t="s">
        <v>55</v>
      </c>
      <c r="I4464" s="6" t="s">
        <v>8273</v>
      </c>
      <c r="J4464" s="6" t="s">
        <v>91</v>
      </c>
      <c r="K4464" s="12" t="str">
        <f t="shared" ref="K4464:K4465" si="751">HYPERLINK("https://media.licdn.com/dms/image/v2/D4E10AQGtKok9G8Co_w/image-shrink_1280/B4EZybCoR6GYAc-/0/1772127684186/Directory1GetExpertHelpforAISearchpng?e=2147483647&amp;v=beta&amp;t=yrXbbpw2S9-81UaSPTZiQy5YHeY24f0r4iwEMY9FO9E","View Creative")</f>
        <v>View Creative</v>
      </c>
      <c r="L4464" s="6" t="s">
        <v>62</v>
      </c>
      <c r="M4464" s="6" t="s">
        <v>8270</v>
      </c>
      <c r="N4464" s="6" t="s">
        <v>8343</v>
      </c>
      <c r="O4464" s="36" t="s">
        <v>7541</v>
      </c>
      <c r="P4464" s="36" t="s">
        <v>7542</v>
      </c>
      <c r="Q4464" s="38"/>
    </row>
    <row r="4465">
      <c r="A4465" s="6" t="s">
        <v>8270</v>
      </c>
      <c r="B4465" s="6" t="s">
        <v>8271</v>
      </c>
      <c r="C4465" s="6">
        <v>414.0</v>
      </c>
      <c r="D4465" s="9" t="str">
        <f t="shared" si="750"/>
        <v>Open Ad</v>
      </c>
      <c r="E4465" s="6" t="s">
        <v>91</v>
      </c>
      <c r="F4465" s="6" t="s">
        <v>8022</v>
      </c>
      <c r="G4465" s="6" t="s">
        <v>8331</v>
      </c>
      <c r="H4465" s="6" t="s">
        <v>55</v>
      </c>
      <c r="I4465" s="6" t="s">
        <v>8273</v>
      </c>
      <c r="J4465" s="6" t="s">
        <v>91</v>
      </c>
      <c r="K4465" s="12" t="str">
        <f t="shared" si="751"/>
        <v>View Creative</v>
      </c>
      <c r="L4465" s="6" t="s">
        <v>62</v>
      </c>
      <c r="M4465" s="6" t="s">
        <v>8270</v>
      </c>
      <c r="N4465" s="6" t="s">
        <v>8343</v>
      </c>
      <c r="O4465" s="36" t="s">
        <v>7541</v>
      </c>
      <c r="P4465" s="36" t="s">
        <v>7542</v>
      </c>
      <c r="Q4465" s="38"/>
    </row>
    <row r="4466">
      <c r="A4466" s="6" t="s">
        <v>8270</v>
      </c>
      <c r="B4466" s="6" t="s">
        <v>8271</v>
      </c>
      <c r="C4466" s="6">
        <v>415.0</v>
      </c>
      <c r="D4466" s="9" t="str">
        <f t="shared" ref="D4466:D4467" si="752">HYPERLINK("https://www.linkedin.com/ad-library/detail/1148609294","Open Ad")</f>
        <v>Open Ad</v>
      </c>
      <c r="E4466" s="6" t="s">
        <v>91</v>
      </c>
      <c r="F4466" s="6" t="s">
        <v>8022</v>
      </c>
      <c r="G4466" s="6" t="s">
        <v>8335</v>
      </c>
      <c r="H4466" s="6" t="s">
        <v>55</v>
      </c>
      <c r="I4466" s="6" t="s">
        <v>8273</v>
      </c>
      <c r="J4466" s="6" t="s">
        <v>91</v>
      </c>
      <c r="K4466" s="12" t="str">
        <f t="shared" ref="K4466:K4467" si="753">HYPERLINK("https://media.licdn.com/dms/image/v2/D4E10AQENGNql_Hfi3w/image-shrink_1280/B4EZybChuMHkAc-/0/1772127657303/Directory2GetExpertHelpforAISearchpng?e=2147483647&amp;v=beta&amp;t=N05A1GpFf-MaOO-coxz8xvXUeDa3TTrq2hacW3d7_j4","View Creative")</f>
        <v>View Creative</v>
      </c>
      <c r="L4466" s="6" t="s">
        <v>62</v>
      </c>
      <c r="M4466" s="6" t="s">
        <v>8270</v>
      </c>
      <c r="N4466" s="6" t="s">
        <v>8343</v>
      </c>
      <c r="O4466" s="36" t="s">
        <v>7541</v>
      </c>
      <c r="P4466" s="36" t="s">
        <v>7542</v>
      </c>
      <c r="Q4466" s="38"/>
    </row>
    <row r="4467">
      <c r="A4467" s="6" t="s">
        <v>8270</v>
      </c>
      <c r="B4467" s="6" t="s">
        <v>8271</v>
      </c>
      <c r="C4467" s="6">
        <v>416.0</v>
      </c>
      <c r="D4467" s="9" t="str">
        <f t="shared" si="752"/>
        <v>Open Ad</v>
      </c>
      <c r="E4467" s="6" t="s">
        <v>91</v>
      </c>
      <c r="F4467" s="6" t="s">
        <v>8022</v>
      </c>
      <c r="G4467" s="6" t="s">
        <v>8335</v>
      </c>
      <c r="H4467" s="6" t="s">
        <v>55</v>
      </c>
      <c r="I4467" s="6" t="s">
        <v>8273</v>
      </c>
      <c r="J4467" s="6" t="s">
        <v>91</v>
      </c>
      <c r="K4467" s="12" t="str">
        <f t="shared" si="753"/>
        <v>View Creative</v>
      </c>
      <c r="L4467" s="6" t="s">
        <v>62</v>
      </c>
      <c r="M4467" s="6" t="s">
        <v>8270</v>
      </c>
      <c r="N4467" s="6" t="s">
        <v>8343</v>
      </c>
      <c r="O4467" s="36" t="s">
        <v>7541</v>
      </c>
      <c r="P4467" s="36" t="s">
        <v>7542</v>
      </c>
      <c r="Q4467" s="38"/>
    </row>
    <row r="4468">
      <c r="A4468" s="6" t="s">
        <v>8270</v>
      </c>
      <c r="B4468" s="6" t="s">
        <v>8271</v>
      </c>
      <c r="C4468" s="6">
        <v>417.0</v>
      </c>
      <c r="D4468" s="9" t="str">
        <f t="shared" ref="D4468:D4469" si="754">HYPERLINK("https://www.linkedin.com/ad-library/detail/1150101874","Open Ad")</f>
        <v>Open Ad</v>
      </c>
      <c r="E4468" s="6" t="s">
        <v>91</v>
      </c>
      <c r="F4468" s="6" t="s">
        <v>8022</v>
      </c>
      <c r="G4468" s="6" t="s">
        <v>8335</v>
      </c>
      <c r="H4468" s="6" t="s">
        <v>55</v>
      </c>
      <c r="I4468" s="6" t="s">
        <v>8273</v>
      </c>
      <c r="J4468" s="6" t="s">
        <v>91</v>
      </c>
      <c r="K4468" s="12" t="str">
        <f t="shared" ref="K4468:K4469" si="755">HYPERLINK("https://media.licdn.com/dms/image/v2/D4E10AQGxjTOn07fzcA/image-shrink_1280/B4EZybChtQKIAg-/0/1772127657278/Directory1FindTrustedAISearchExpertspng?e=2147483647&amp;v=beta&amp;t=aR8A0uldYLiXsowkszpzW6mgBZgZU3py0uDUqMekhdo","View Creative")</f>
        <v>View Creative</v>
      </c>
      <c r="L4468" s="6" t="s">
        <v>62</v>
      </c>
      <c r="M4468" s="6" t="s">
        <v>8270</v>
      </c>
      <c r="N4468" s="6"/>
      <c r="O4468" s="36" t="s">
        <v>7541</v>
      </c>
      <c r="P4468" s="36" t="s">
        <v>7542</v>
      </c>
      <c r="Q4468" s="38"/>
    </row>
    <row r="4469">
      <c r="A4469" s="6" t="s">
        <v>8270</v>
      </c>
      <c r="B4469" s="6" t="s">
        <v>8271</v>
      </c>
      <c r="C4469" s="6">
        <v>418.0</v>
      </c>
      <c r="D4469" s="9" t="str">
        <f t="shared" si="754"/>
        <v>Open Ad</v>
      </c>
      <c r="E4469" s="6" t="s">
        <v>91</v>
      </c>
      <c r="F4469" s="6" t="s">
        <v>8022</v>
      </c>
      <c r="G4469" s="6" t="s">
        <v>8335</v>
      </c>
      <c r="H4469" s="6" t="s">
        <v>55</v>
      </c>
      <c r="I4469" s="6" t="s">
        <v>8273</v>
      </c>
      <c r="J4469" s="6" t="s">
        <v>91</v>
      </c>
      <c r="K4469" s="12" t="str">
        <f t="shared" si="755"/>
        <v>View Creative</v>
      </c>
      <c r="L4469" s="6" t="s">
        <v>62</v>
      </c>
      <c r="M4469" s="6" t="s">
        <v>8270</v>
      </c>
      <c r="N4469" s="6"/>
      <c r="O4469" s="36" t="s">
        <v>7541</v>
      </c>
      <c r="P4469" s="36" t="s">
        <v>7542</v>
      </c>
      <c r="Q4469" s="38"/>
    </row>
    <row r="4470">
      <c r="A4470" s="6" t="s">
        <v>8270</v>
      </c>
      <c r="B4470" s="6" t="s">
        <v>8271</v>
      </c>
      <c r="C4470" s="6">
        <v>419.0</v>
      </c>
      <c r="D4470" s="9" t="str">
        <f t="shared" ref="D4470:D4471" si="756">HYPERLINK("https://www.linkedin.com/ad-library/detail/1148909034","Open Ad")</f>
        <v>Open Ad</v>
      </c>
      <c r="E4470" s="6" t="s">
        <v>91</v>
      </c>
      <c r="F4470" s="6" t="s">
        <v>8022</v>
      </c>
      <c r="G4470" s="6" t="s">
        <v>8347</v>
      </c>
      <c r="H4470" s="6" t="s">
        <v>55</v>
      </c>
      <c r="I4470" s="6" t="s">
        <v>8273</v>
      </c>
      <c r="J4470" s="6" t="s">
        <v>91</v>
      </c>
      <c r="K4470" s="12" t="str">
        <f t="shared" ref="K4470:K4471" si="757">HYPERLINK("https://media.licdn.com/dms/image/v2/D4E10AQEujPuW92_whg/image-shrink_1280/B4EZybChqwHMAc-/0/1772127657019/Directory2AIVisibilityAgencyDirectorypng?e=2147483647&amp;v=beta&amp;t=Z6MAKWzMej5_jYQRlmJ4y7bDcR6D_e69xbTN9r9L-9o","View Creative")</f>
        <v>View Creative</v>
      </c>
      <c r="L4470" s="6" t="s">
        <v>62</v>
      </c>
      <c r="M4470" s="6" t="s">
        <v>8270</v>
      </c>
      <c r="N4470" s="6" t="s">
        <v>8343</v>
      </c>
      <c r="O4470" s="36" t="s">
        <v>7541</v>
      </c>
      <c r="P4470" s="36" t="s">
        <v>7542</v>
      </c>
      <c r="Q4470" s="38"/>
    </row>
    <row r="4471">
      <c r="A4471" s="6" t="s">
        <v>8270</v>
      </c>
      <c r="B4471" s="6" t="s">
        <v>8271</v>
      </c>
      <c r="C4471" s="6">
        <v>420.0</v>
      </c>
      <c r="D4471" s="9" t="str">
        <f t="shared" si="756"/>
        <v>Open Ad</v>
      </c>
      <c r="E4471" s="6" t="s">
        <v>91</v>
      </c>
      <c r="F4471" s="6" t="s">
        <v>8022</v>
      </c>
      <c r="G4471" s="6" t="s">
        <v>8347</v>
      </c>
      <c r="H4471" s="6" t="s">
        <v>55</v>
      </c>
      <c r="I4471" s="6" t="s">
        <v>8273</v>
      </c>
      <c r="J4471" s="6" t="s">
        <v>91</v>
      </c>
      <c r="K4471" s="12" t="str">
        <f t="shared" si="757"/>
        <v>View Creative</v>
      </c>
      <c r="L4471" s="6" t="s">
        <v>62</v>
      </c>
      <c r="M4471" s="6" t="s">
        <v>8270</v>
      </c>
      <c r="N4471" s="6" t="s">
        <v>8343</v>
      </c>
      <c r="O4471" s="36" t="s">
        <v>7541</v>
      </c>
      <c r="P4471" s="36" t="s">
        <v>7542</v>
      </c>
      <c r="Q4471" s="38"/>
    </row>
    <row r="4472">
      <c r="A4472" s="6" t="s">
        <v>8270</v>
      </c>
      <c r="B4472" s="6" t="s">
        <v>8271</v>
      </c>
      <c r="C4472" s="6">
        <v>421.0</v>
      </c>
      <c r="D4472" s="9" t="str">
        <f t="shared" ref="D4472:D4473" si="758">HYPERLINK("https://www.linkedin.com/ad-library/detail/1150809484","Open Ad")</f>
        <v>Open Ad</v>
      </c>
      <c r="E4472" s="6" t="s">
        <v>91</v>
      </c>
      <c r="F4472" s="6" t="s">
        <v>8022</v>
      </c>
      <c r="G4472" s="6" t="s">
        <v>8342</v>
      </c>
      <c r="H4472" s="6" t="s">
        <v>55</v>
      </c>
      <c r="I4472" s="6" t="s">
        <v>8273</v>
      </c>
      <c r="J4472" s="6" t="s">
        <v>91</v>
      </c>
      <c r="K4472" s="12" t="str">
        <f t="shared" ref="K4472:K4473" si="759">HYPERLINK("https://media.licdn.com/dms/image/v2/D4E10AQHWBSAv8yIJ1Q/image-shrink_1280/B4EZybChrqIEAg-/0/1772127657140/Directory1AIVisibilityAgencyDirectorypng?e=2147483647&amp;v=beta&amp;t=GNhKLHJ19CMay96XBo6Nig-ruRSdoSKvl1ZlFYRysUM","View Creative")</f>
        <v>View Creative</v>
      </c>
      <c r="L4472" s="6" t="s">
        <v>62</v>
      </c>
      <c r="M4472" s="6" t="s">
        <v>8270</v>
      </c>
      <c r="N4472" s="6" t="s">
        <v>8343</v>
      </c>
      <c r="O4472" s="36" t="s">
        <v>7541</v>
      </c>
      <c r="P4472" s="36" t="s">
        <v>7542</v>
      </c>
      <c r="Q4472" s="38"/>
    </row>
    <row r="4473">
      <c r="A4473" s="6" t="s">
        <v>8270</v>
      </c>
      <c r="B4473" s="6" t="s">
        <v>8271</v>
      </c>
      <c r="C4473" s="6">
        <v>422.0</v>
      </c>
      <c r="D4473" s="9" t="str">
        <f t="shared" si="758"/>
        <v>Open Ad</v>
      </c>
      <c r="E4473" s="6" t="s">
        <v>91</v>
      </c>
      <c r="F4473" s="6" t="s">
        <v>8022</v>
      </c>
      <c r="G4473" s="6" t="s">
        <v>8342</v>
      </c>
      <c r="H4473" s="6" t="s">
        <v>55</v>
      </c>
      <c r="I4473" s="6" t="s">
        <v>8273</v>
      </c>
      <c r="J4473" s="6" t="s">
        <v>91</v>
      </c>
      <c r="K4473" s="12" t="str">
        <f t="shared" si="759"/>
        <v>View Creative</v>
      </c>
      <c r="L4473" s="6" t="s">
        <v>62</v>
      </c>
      <c r="M4473" s="6" t="s">
        <v>8270</v>
      </c>
      <c r="N4473" s="6" t="s">
        <v>8343</v>
      </c>
      <c r="O4473" s="36" t="s">
        <v>7541</v>
      </c>
      <c r="P4473" s="36" t="s">
        <v>7542</v>
      </c>
      <c r="Q4473" s="38"/>
    </row>
    <row r="4474">
      <c r="A4474" s="6" t="s">
        <v>8270</v>
      </c>
      <c r="B4474" s="6" t="s">
        <v>8271</v>
      </c>
      <c r="C4474" s="6">
        <v>423.0</v>
      </c>
      <c r="D4474" s="9" t="str">
        <f t="shared" ref="D4474:D4475" si="760">HYPERLINK("https://www.linkedin.com/ad-library/detail/1149910854","Open Ad")</f>
        <v>Open Ad</v>
      </c>
      <c r="E4474" s="6" t="s">
        <v>91</v>
      </c>
      <c r="F4474" s="6" t="s">
        <v>8022</v>
      </c>
      <c r="G4474" s="6" t="s">
        <v>8335</v>
      </c>
      <c r="H4474" s="6" t="s">
        <v>55</v>
      </c>
      <c r="I4474" s="6" t="s">
        <v>8273</v>
      </c>
      <c r="J4474" s="6" t="s">
        <v>91</v>
      </c>
      <c r="K4474" s="12" t="str">
        <f t="shared" ref="K4474:K4475" si="761">HYPERLINK("https://media.licdn.com/dms/image/v2/D4E10AQGxjTOn07fzcA/image-shrink_1280/B4EZybChtQKIAg-/0/1772127657278/Directory1FindTrustedAISearchExpertspng?e=2147483647&amp;v=beta&amp;t=aR8A0uldYLiXsowkszpzW6mgBZgZU3py0uDUqMekhdo","View Creative")</f>
        <v>View Creative</v>
      </c>
      <c r="L4474" s="6" t="s">
        <v>62</v>
      </c>
      <c r="M4474" s="6" t="s">
        <v>8270</v>
      </c>
      <c r="N4474" s="6" t="s">
        <v>8343</v>
      </c>
      <c r="O4474" s="36" t="s">
        <v>7541</v>
      </c>
      <c r="P4474" s="36" t="s">
        <v>7542</v>
      </c>
      <c r="Q4474" s="38"/>
    </row>
    <row r="4475">
      <c r="A4475" s="6" t="s">
        <v>8270</v>
      </c>
      <c r="B4475" s="6" t="s">
        <v>8271</v>
      </c>
      <c r="C4475" s="6">
        <v>424.0</v>
      </c>
      <c r="D4475" s="9" t="str">
        <f t="shared" si="760"/>
        <v>Open Ad</v>
      </c>
      <c r="E4475" s="6" t="s">
        <v>91</v>
      </c>
      <c r="F4475" s="6" t="s">
        <v>8022</v>
      </c>
      <c r="G4475" s="6" t="s">
        <v>8335</v>
      </c>
      <c r="H4475" s="6" t="s">
        <v>55</v>
      </c>
      <c r="I4475" s="6" t="s">
        <v>8273</v>
      </c>
      <c r="J4475" s="6" t="s">
        <v>91</v>
      </c>
      <c r="K4475" s="12" t="str">
        <f t="shared" si="761"/>
        <v>View Creative</v>
      </c>
      <c r="L4475" s="6" t="s">
        <v>62</v>
      </c>
      <c r="M4475" s="6" t="s">
        <v>8270</v>
      </c>
      <c r="N4475" s="6" t="s">
        <v>8343</v>
      </c>
      <c r="O4475" s="36" t="s">
        <v>7541</v>
      </c>
      <c r="P4475" s="36" t="s">
        <v>7542</v>
      </c>
      <c r="Q4475" s="38"/>
    </row>
    <row r="4476">
      <c r="A4476" s="6" t="s">
        <v>8270</v>
      </c>
      <c r="B4476" s="6" t="s">
        <v>8271</v>
      </c>
      <c r="C4476" s="6">
        <v>425.0</v>
      </c>
      <c r="D4476" s="9" t="str">
        <f t="shared" ref="D4476:D4477" si="762">HYPERLINK("https://www.linkedin.com/ad-library/detail/1149110584","Open Ad")</f>
        <v>Open Ad</v>
      </c>
      <c r="E4476" s="6" t="s">
        <v>91</v>
      </c>
      <c r="F4476" s="6" t="s">
        <v>8022</v>
      </c>
      <c r="G4476" s="6" t="s">
        <v>8346</v>
      </c>
      <c r="H4476" s="6" t="s">
        <v>55</v>
      </c>
      <c r="I4476" s="6" t="s">
        <v>8273</v>
      </c>
      <c r="J4476" s="6" t="s">
        <v>91</v>
      </c>
      <c r="K4476" s="12" t="str">
        <f t="shared" ref="K4476:K4477" si="763">HYPERLINK("https://media.licdn.com/dms/image/v2/D4E10AQHRCGOPh43vUQ/image-shrink_1280/B4EZybCoqaGsAc-/0/1772127686008/Directory3FindTrustedAISearchExpertspng?e=2147483647&amp;v=beta&amp;t=deb9Vu57y6uAoG3vF1CvnEoPwvQwnu2_BtLte3bXNSg","View Creative")</f>
        <v>View Creative</v>
      </c>
      <c r="L4476" s="6" t="s">
        <v>62</v>
      </c>
      <c r="M4476" s="6" t="s">
        <v>8270</v>
      </c>
      <c r="N4476" s="6" t="s">
        <v>8351</v>
      </c>
      <c r="O4476" s="36" t="s">
        <v>7541</v>
      </c>
      <c r="P4476" s="36" t="s">
        <v>7542</v>
      </c>
      <c r="Q4476" s="38"/>
    </row>
    <row r="4477">
      <c r="A4477" s="6" t="s">
        <v>8270</v>
      </c>
      <c r="B4477" s="6" t="s">
        <v>8271</v>
      </c>
      <c r="C4477" s="6">
        <v>426.0</v>
      </c>
      <c r="D4477" s="9" t="str">
        <f t="shared" si="762"/>
        <v>Open Ad</v>
      </c>
      <c r="E4477" s="6" t="s">
        <v>91</v>
      </c>
      <c r="F4477" s="6" t="s">
        <v>8022</v>
      </c>
      <c r="G4477" s="6" t="s">
        <v>8346</v>
      </c>
      <c r="H4477" s="6" t="s">
        <v>55</v>
      </c>
      <c r="I4477" s="6" t="s">
        <v>8273</v>
      </c>
      <c r="J4477" s="6" t="s">
        <v>91</v>
      </c>
      <c r="K4477" s="12" t="str">
        <f t="shared" si="763"/>
        <v>View Creative</v>
      </c>
      <c r="L4477" s="6" t="s">
        <v>62</v>
      </c>
      <c r="M4477" s="6" t="s">
        <v>8270</v>
      </c>
      <c r="N4477" s="6" t="s">
        <v>8351</v>
      </c>
      <c r="O4477" s="36" t="s">
        <v>7541</v>
      </c>
      <c r="P4477" s="36" t="s">
        <v>7542</v>
      </c>
      <c r="Q4477" s="38"/>
    </row>
    <row r="4478">
      <c r="A4478" s="6" t="s">
        <v>8270</v>
      </c>
      <c r="B4478" s="6" t="s">
        <v>8271</v>
      </c>
      <c r="C4478" s="6">
        <v>427.0</v>
      </c>
      <c r="D4478" s="9" t="str">
        <f t="shared" ref="D4478:D4479" si="764">HYPERLINK("https://www.linkedin.com/ad-library/detail/1149110594","Open Ad")</f>
        <v>Open Ad</v>
      </c>
      <c r="E4478" s="6" t="s">
        <v>91</v>
      </c>
      <c r="F4478" s="6" t="s">
        <v>8022</v>
      </c>
      <c r="G4478" s="6" t="s">
        <v>8337</v>
      </c>
      <c r="H4478" s="6" t="s">
        <v>55</v>
      </c>
      <c r="I4478" s="6" t="s">
        <v>8273</v>
      </c>
      <c r="J4478" s="6" t="s">
        <v>91</v>
      </c>
      <c r="K4478" s="12" t="str">
        <f t="shared" ref="K4478:K4479" si="765">HYPERLINK("https://media.licdn.com/dms/image/v2/D4E10AQFh3wRxQvxaHQ/image-shrink_1280/B4EZybCootIEAc-/0/1772127685632/Directory3AIVisibilityAgencyDirectorypng?e=2147483647&amp;v=beta&amp;t=M1uiPNOy86K4MsoZ3jwd4aJvyNEBdZcCGNZCw8tfIyo","View Creative")</f>
        <v>View Creative</v>
      </c>
      <c r="L4478" s="6" t="s">
        <v>62</v>
      </c>
      <c r="M4478" s="6" t="s">
        <v>8270</v>
      </c>
      <c r="N4478" s="6" t="s">
        <v>8343</v>
      </c>
      <c r="O4478" s="36" t="s">
        <v>7541</v>
      </c>
      <c r="P4478" s="36" t="s">
        <v>7542</v>
      </c>
      <c r="Q4478" s="38"/>
    </row>
    <row r="4479">
      <c r="A4479" s="6" t="s">
        <v>8270</v>
      </c>
      <c r="B4479" s="6" t="s">
        <v>8271</v>
      </c>
      <c r="C4479" s="6">
        <v>428.0</v>
      </c>
      <c r="D4479" s="9" t="str">
        <f t="shared" si="764"/>
        <v>Open Ad</v>
      </c>
      <c r="E4479" s="6" t="s">
        <v>91</v>
      </c>
      <c r="F4479" s="6" t="s">
        <v>8022</v>
      </c>
      <c r="G4479" s="6" t="s">
        <v>8337</v>
      </c>
      <c r="H4479" s="6" t="s">
        <v>55</v>
      </c>
      <c r="I4479" s="6" t="s">
        <v>8273</v>
      </c>
      <c r="J4479" s="6" t="s">
        <v>91</v>
      </c>
      <c r="K4479" s="12" t="str">
        <f t="shared" si="765"/>
        <v>View Creative</v>
      </c>
      <c r="L4479" s="6" t="s">
        <v>62</v>
      </c>
      <c r="M4479" s="6" t="s">
        <v>8270</v>
      </c>
      <c r="N4479" s="6" t="s">
        <v>8343</v>
      </c>
      <c r="O4479" s="36" t="s">
        <v>7541</v>
      </c>
      <c r="P4479" s="36" t="s">
        <v>7542</v>
      </c>
      <c r="Q4479" s="38"/>
    </row>
    <row r="4480">
      <c r="A4480" s="6" t="s">
        <v>8270</v>
      </c>
      <c r="B4480" s="6" t="s">
        <v>8271</v>
      </c>
      <c r="C4480" s="6">
        <v>429.0</v>
      </c>
      <c r="D4480" s="9" t="str">
        <f t="shared" ref="D4480:D4481" si="766">HYPERLINK("https://www.linkedin.com/ad-library/detail/1150301874","Open Ad")</f>
        <v>Open Ad</v>
      </c>
      <c r="E4480" s="6" t="s">
        <v>91</v>
      </c>
      <c r="F4480" s="6" t="s">
        <v>8022</v>
      </c>
      <c r="G4480" s="6" t="s">
        <v>8331</v>
      </c>
      <c r="H4480" s="6" t="s">
        <v>55</v>
      </c>
      <c r="I4480" s="6" t="s">
        <v>8273</v>
      </c>
      <c r="J4480" s="6" t="s">
        <v>91</v>
      </c>
      <c r="K4480" s="12" t="str">
        <f t="shared" ref="K4480:K4481" si="767">HYPERLINK("https://media.licdn.com/dms/image/v2/D4E10AQGtKok9G8Co_w/image-shrink_1280/B4EZybCoR6GYAc-/0/1772127684186/Directory1GetExpertHelpforAISearchpng?e=2147483647&amp;v=beta&amp;t=yrXbbpw2S9-81UaSPTZiQy5YHeY24f0r4iwEMY9FO9E","View Creative")</f>
        <v>View Creative</v>
      </c>
      <c r="L4480" s="6" t="s">
        <v>62</v>
      </c>
      <c r="M4480" s="6" t="s">
        <v>8270</v>
      </c>
      <c r="N4480" s="6"/>
      <c r="O4480" s="36" t="s">
        <v>7541</v>
      </c>
      <c r="P4480" s="36" t="s">
        <v>7542</v>
      </c>
      <c r="Q4480" s="38"/>
    </row>
    <row r="4481">
      <c r="A4481" s="6" t="s">
        <v>8270</v>
      </c>
      <c r="B4481" s="6" t="s">
        <v>8271</v>
      </c>
      <c r="C4481" s="6">
        <v>430.0</v>
      </c>
      <c r="D4481" s="9" t="str">
        <f t="shared" si="766"/>
        <v>Open Ad</v>
      </c>
      <c r="E4481" s="6" t="s">
        <v>91</v>
      </c>
      <c r="F4481" s="6" t="s">
        <v>8022</v>
      </c>
      <c r="G4481" s="6" t="s">
        <v>8331</v>
      </c>
      <c r="H4481" s="6" t="s">
        <v>55</v>
      </c>
      <c r="I4481" s="6" t="s">
        <v>8273</v>
      </c>
      <c r="J4481" s="6" t="s">
        <v>91</v>
      </c>
      <c r="K4481" s="12" t="str">
        <f t="shared" si="767"/>
        <v>View Creative</v>
      </c>
      <c r="L4481" s="6" t="s">
        <v>62</v>
      </c>
      <c r="M4481" s="6" t="s">
        <v>8270</v>
      </c>
      <c r="N4481" s="6"/>
      <c r="O4481" s="36" t="s">
        <v>7541</v>
      </c>
      <c r="P4481" s="36" t="s">
        <v>7542</v>
      </c>
      <c r="Q4481" s="38"/>
    </row>
    <row r="4482">
      <c r="A4482" s="6" t="s">
        <v>8270</v>
      </c>
      <c r="B4482" s="6" t="s">
        <v>8271</v>
      </c>
      <c r="C4482" s="6">
        <v>431.0</v>
      </c>
      <c r="D4482" s="9" t="str">
        <f t="shared" ref="D4482:D4483" si="768">HYPERLINK("https://www.linkedin.com/ad-library/detail/1149310094","Open Ad")</f>
        <v>Open Ad</v>
      </c>
      <c r="E4482" s="6" t="s">
        <v>91</v>
      </c>
      <c r="F4482" s="6" t="s">
        <v>8022</v>
      </c>
      <c r="G4482" s="6" t="s">
        <v>8346</v>
      </c>
      <c r="H4482" s="6" t="s">
        <v>55</v>
      </c>
      <c r="I4482" s="6" t="s">
        <v>8273</v>
      </c>
      <c r="J4482" s="6" t="s">
        <v>91</v>
      </c>
      <c r="K4482" s="12" t="str">
        <f t="shared" ref="K4482:K4483" si="769">HYPERLINK("https://media.licdn.com/dms/image/v2/D4E10AQHRCGOPh43vUQ/image-shrink_1280/B4EZybCoqaGsAc-/0/1772127686008/Directory3FindTrustedAISearchExpertspng?e=2147483647&amp;v=beta&amp;t=deb9Vu57y6uAoG3vF1CvnEoPwvQwnu2_BtLte3bXNSg","View Creative")</f>
        <v>View Creative</v>
      </c>
      <c r="L4482" s="6" t="s">
        <v>62</v>
      </c>
      <c r="M4482" s="6" t="s">
        <v>8270</v>
      </c>
      <c r="N4482" s="6" t="s">
        <v>8343</v>
      </c>
      <c r="O4482" s="36" t="s">
        <v>7541</v>
      </c>
      <c r="P4482" s="36" t="s">
        <v>7542</v>
      </c>
      <c r="Q4482" s="38"/>
    </row>
    <row r="4483">
      <c r="A4483" s="6" t="s">
        <v>8270</v>
      </c>
      <c r="B4483" s="6" t="s">
        <v>8271</v>
      </c>
      <c r="C4483" s="6">
        <v>432.0</v>
      </c>
      <c r="D4483" s="9" t="str">
        <f t="shared" si="768"/>
        <v>Open Ad</v>
      </c>
      <c r="E4483" s="6" t="s">
        <v>91</v>
      </c>
      <c r="F4483" s="6" t="s">
        <v>8022</v>
      </c>
      <c r="G4483" s="6" t="s">
        <v>8346</v>
      </c>
      <c r="H4483" s="6" t="s">
        <v>55</v>
      </c>
      <c r="I4483" s="6" t="s">
        <v>8273</v>
      </c>
      <c r="J4483" s="6" t="s">
        <v>91</v>
      </c>
      <c r="K4483" s="12" t="str">
        <f t="shared" si="769"/>
        <v>View Creative</v>
      </c>
      <c r="L4483" s="6" t="s">
        <v>62</v>
      </c>
      <c r="M4483" s="6" t="s">
        <v>8270</v>
      </c>
      <c r="N4483" s="6" t="s">
        <v>8343</v>
      </c>
      <c r="O4483" s="36" t="s">
        <v>7541</v>
      </c>
      <c r="P4483" s="36" t="s">
        <v>7542</v>
      </c>
      <c r="Q4483" s="38"/>
    </row>
    <row r="4484">
      <c r="A4484" s="6" t="s">
        <v>8270</v>
      </c>
      <c r="B4484" s="6" t="s">
        <v>8271</v>
      </c>
      <c r="C4484" s="6">
        <v>433.0</v>
      </c>
      <c r="D4484" s="9" t="str">
        <f t="shared" ref="D4484:D4485" si="770">HYPERLINK("https://www.linkedin.com/ad-library/detail/1150708194","Open Ad")</f>
        <v>Open Ad</v>
      </c>
      <c r="E4484" s="6" t="s">
        <v>91</v>
      </c>
      <c r="F4484" s="6" t="s">
        <v>8022</v>
      </c>
      <c r="G4484" s="6" t="s">
        <v>8331</v>
      </c>
      <c r="H4484" s="6" t="s">
        <v>55</v>
      </c>
      <c r="I4484" s="6" t="s">
        <v>8273</v>
      </c>
      <c r="J4484" s="6" t="s">
        <v>91</v>
      </c>
      <c r="K4484" s="12" t="str">
        <f t="shared" ref="K4484:K4485" si="771">HYPERLINK("https://media.licdn.com/dms/image/v2/D4E10AQGtKok9G8Co_w/image-shrink_1280/B4EZybCoR6GYAc-/0/1772127684186/Directory1GetExpertHelpforAISearchpng?e=2147483647&amp;v=beta&amp;t=yrXbbpw2S9-81UaSPTZiQy5YHeY24f0r4iwEMY9FO9E","View Creative")</f>
        <v>View Creative</v>
      </c>
      <c r="L4484" s="6" t="s">
        <v>62</v>
      </c>
      <c r="M4484" s="6" t="s">
        <v>8270</v>
      </c>
      <c r="N4484" s="6" t="s">
        <v>8343</v>
      </c>
      <c r="O4484" s="36" t="s">
        <v>7541</v>
      </c>
      <c r="P4484" s="36" t="s">
        <v>7542</v>
      </c>
      <c r="Q4484" s="38"/>
    </row>
    <row r="4485">
      <c r="A4485" s="6" t="s">
        <v>8270</v>
      </c>
      <c r="B4485" s="6" t="s">
        <v>8271</v>
      </c>
      <c r="C4485" s="6">
        <v>434.0</v>
      </c>
      <c r="D4485" s="9" t="str">
        <f t="shared" si="770"/>
        <v>Open Ad</v>
      </c>
      <c r="E4485" s="6" t="s">
        <v>91</v>
      </c>
      <c r="F4485" s="6" t="s">
        <v>8022</v>
      </c>
      <c r="G4485" s="6" t="s">
        <v>8331</v>
      </c>
      <c r="H4485" s="6" t="s">
        <v>55</v>
      </c>
      <c r="I4485" s="6" t="s">
        <v>8273</v>
      </c>
      <c r="J4485" s="6" t="s">
        <v>91</v>
      </c>
      <c r="K4485" s="12" t="str">
        <f t="shared" si="771"/>
        <v>View Creative</v>
      </c>
      <c r="L4485" s="6" t="s">
        <v>62</v>
      </c>
      <c r="M4485" s="6" t="s">
        <v>8270</v>
      </c>
      <c r="N4485" s="6" t="s">
        <v>8343</v>
      </c>
      <c r="O4485" s="36" t="s">
        <v>7541</v>
      </c>
      <c r="P4485" s="36" t="s">
        <v>7542</v>
      </c>
      <c r="Q4485" s="38"/>
    </row>
    <row r="4486">
      <c r="A4486" s="6" t="s">
        <v>8270</v>
      </c>
      <c r="B4486" s="6" t="s">
        <v>8271</v>
      </c>
      <c r="C4486" s="6">
        <v>435.0</v>
      </c>
      <c r="D4486" s="9" t="str">
        <f t="shared" ref="D4486:D4487" si="772">HYPERLINK("https://www.linkedin.com/ad-library/detail/1150602384","Open Ad")</f>
        <v>Open Ad</v>
      </c>
      <c r="E4486" s="6" t="s">
        <v>91</v>
      </c>
      <c r="F4486" s="6" t="s">
        <v>8022</v>
      </c>
      <c r="G4486" s="6" t="s">
        <v>8342</v>
      </c>
      <c r="H4486" s="6" t="s">
        <v>55</v>
      </c>
      <c r="I4486" s="6" t="s">
        <v>8273</v>
      </c>
      <c r="J4486" s="6" t="s">
        <v>91</v>
      </c>
      <c r="K4486" s="12" t="str">
        <f t="shared" ref="K4486:K4487" si="773">HYPERLINK("https://media.licdn.com/dms/image/v2/D4E10AQHWBSAv8yIJ1Q/image-shrink_1280/B4EZybChrqIEAg-/0/1772127657140/Directory1AIVisibilityAgencyDirectorypng?e=2147483647&amp;v=beta&amp;t=GNhKLHJ19CMay96XBo6Nig-ruRSdoSKvl1ZlFYRysUM","View Creative")</f>
        <v>View Creative</v>
      </c>
      <c r="L4486" s="6" t="s">
        <v>62</v>
      </c>
      <c r="M4486" s="6" t="s">
        <v>8270</v>
      </c>
      <c r="N4486" s="6"/>
      <c r="O4486" s="36" t="s">
        <v>7541</v>
      </c>
      <c r="P4486" s="36" t="s">
        <v>7542</v>
      </c>
      <c r="Q4486" s="38"/>
    </row>
    <row r="4487">
      <c r="A4487" s="6" t="s">
        <v>8270</v>
      </c>
      <c r="B4487" s="6" t="s">
        <v>8271</v>
      </c>
      <c r="C4487" s="6">
        <v>436.0</v>
      </c>
      <c r="D4487" s="9" t="str">
        <f t="shared" si="772"/>
        <v>Open Ad</v>
      </c>
      <c r="E4487" s="6" t="s">
        <v>91</v>
      </c>
      <c r="F4487" s="6" t="s">
        <v>8022</v>
      </c>
      <c r="G4487" s="6" t="s">
        <v>8342</v>
      </c>
      <c r="H4487" s="6" t="s">
        <v>55</v>
      </c>
      <c r="I4487" s="6" t="s">
        <v>8273</v>
      </c>
      <c r="J4487" s="6" t="s">
        <v>91</v>
      </c>
      <c r="K4487" s="12" t="str">
        <f t="shared" si="773"/>
        <v>View Creative</v>
      </c>
      <c r="L4487" s="6" t="s">
        <v>62</v>
      </c>
      <c r="M4487" s="6" t="s">
        <v>8270</v>
      </c>
      <c r="N4487" s="6"/>
      <c r="O4487" s="36" t="s">
        <v>7541</v>
      </c>
      <c r="P4487" s="36" t="s">
        <v>7542</v>
      </c>
      <c r="Q4487" s="38"/>
    </row>
    <row r="4488">
      <c r="A4488" s="6" t="s">
        <v>8270</v>
      </c>
      <c r="B4488" s="6" t="s">
        <v>8271</v>
      </c>
      <c r="C4488" s="6">
        <v>437.0</v>
      </c>
      <c r="D4488" s="9" t="str">
        <f t="shared" ref="D4488:D4489" si="774">HYPERLINK("https://www.linkedin.com/ad-library/detail/1150602374","Open Ad")</f>
        <v>Open Ad</v>
      </c>
      <c r="E4488" s="6" t="s">
        <v>91</v>
      </c>
      <c r="F4488" s="6" t="s">
        <v>8022</v>
      </c>
      <c r="G4488" s="6" t="s">
        <v>8347</v>
      </c>
      <c r="H4488" s="6" t="s">
        <v>55</v>
      </c>
      <c r="I4488" s="6" t="s">
        <v>8273</v>
      </c>
      <c r="J4488" s="6" t="s">
        <v>91</v>
      </c>
      <c r="K4488" s="12" t="str">
        <f t="shared" ref="K4488:K4489" si="775">HYPERLINK("https://media.licdn.com/dms/image/v2/D4E10AQEujPuW92_whg/image-shrink_1280/B4EZybChqwHMAc-/0/1772127657019/Directory2AIVisibilityAgencyDirectorypng?e=2147483647&amp;v=beta&amp;t=Z6MAKWzMej5_jYQRlmJ4y7bDcR6D_e69xbTN9r9L-9o","View Creative")</f>
        <v>View Creative</v>
      </c>
      <c r="L4488" s="6" t="s">
        <v>62</v>
      </c>
      <c r="M4488" s="6" t="s">
        <v>8270</v>
      </c>
      <c r="N4488" s="6"/>
      <c r="O4488" s="36" t="s">
        <v>7541</v>
      </c>
      <c r="P4488" s="36" t="s">
        <v>7542</v>
      </c>
      <c r="Q4488" s="38"/>
    </row>
    <row r="4489">
      <c r="A4489" s="6" t="s">
        <v>8270</v>
      </c>
      <c r="B4489" s="6" t="s">
        <v>8271</v>
      </c>
      <c r="C4489" s="6">
        <v>438.0</v>
      </c>
      <c r="D4489" s="9" t="str">
        <f t="shared" si="774"/>
        <v>Open Ad</v>
      </c>
      <c r="E4489" s="6" t="s">
        <v>91</v>
      </c>
      <c r="F4489" s="6" t="s">
        <v>8022</v>
      </c>
      <c r="G4489" s="6" t="s">
        <v>8347</v>
      </c>
      <c r="H4489" s="6" t="s">
        <v>55</v>
      </c>
      <c r="I4489" s="6" t="s">
        <v>8273</v>
      </c>
      <c r="J4489" s="6" t="s">
        <v>91</v>
      </c>
      <c r="K4489" s="12" t="str">
        <f t="shared" si="775"/>
        <v>View Creative</v>
      </c>
      <c r="L4489" s="6" t="s">
        <v>62</v>
      </c>
      <c r="M4489" s="6" t="s">
        <v>8270</v>
      </c>
      <c r="N4489" s="6"/>
      <c r="O4489" s="36" t="s">
        <v>7541</v>
      </c>
      <c r="P4489" s="36" t="s">
        <v>7542</v>
      </c>
      <c r="Q4489" s="38"/>
    </row>
    <row r="4490">
      <c r="A4490" s="6" t="s">
        <v>8270</v>
      </c>
      <c r="B4490" s="6" t="s">
        <v>8271</v>
      </c>
      <c r="C4490" s="6">
        <v>439.0</v>
      </c>
      <c r="D4490" s="9" t="str">
        <f t="shared" ref="D4490:D4491" si="776">HYPERLINK("https://www.linkedin.com/ad-library/detail/1150202024","Open Ad")</f>
        <v>Open Ad</v>
      </c>
      <c r="E4490" s="6" t="s">
        <v>91</v>
      </c>
      <c r="F4490" s="6" t="s">
        <v>8022</v>
      </c>
      <c r="G4490" s="6" t="s">
        <v>8342</v>
      </c>
      <c r="H4490" s="6" t="s">
        <v>55</v>
      </c>
      <c r="I4490" s="6" t="s">
        <v>8273</v>
      </c>
      <c r="J4490" s="6" t="s">
        <v>91</v>
      </c>
      <c r="K4490" s="12" t="str">
        <f t="shared" ref="K4490:K4491" si="777">HYPERLINK("https://media.licdn.com/dms/image/v2/D4E10AQHWBSAv8yIJ1Q/image-shrink_1280/B4EZybChrqIEAg-/0/1772127657140/Directory1AIVisibilityAgencyDirectorypng?e=2147483647&amp;v=beta&amp;t=GNhKLHJ19CMay96XBo6Nig-ruRSdoSKvl1ZlFYRysUM","View Creative")</f>
        <v>View Creative</v>
      </c>
      <c r="L4490" s="6" t="s">
        <v>62</v>
      </c>
      <c r="M4490" s="6" t="s">
        <v>8270</v>
      </c>
      <c r="N4490" s="6"/>
      <c r="O4490" s="36" t="s">
        <v>7541</v>
      </c>
      <c r="P4490" s="36" t="s">
        <v>7542</v>
      </c>
      <c r="Q4490" s="38"/>
    </row>
    <row r="4491">
      <c r="A4491" s="6" t="s">
        <v>8270</v>
      </c>
      <c r="B4491" s="6" t="s">
        <v>8271</v>
      </c>
      <c r="C4491" s="6">
        <v>440.0</v>
      </c>
      <c r="D4491" s="9" t="str">
        <f t="shared" si="776"/>
        <v>Open Ad</v>
      </c>
      <c r="E4491" s="6" t="s">
        <v>91</v>
      </c>
      <c r="F4491" s="6" t="s">
        <v>8022</v>
      </c>
      <c r="G4491" s="6" t="s">
        <v>8342</v>
      </c>
      <c r="H4491" s="6" t="s">
        <v>55</v>
      </c>
      <c r="I4491" s="6" t="s">
        <v>8273</v>
      </c>
      <c r="J4491" s="6" t="s">
        <v>91</v>
      </c>
      <c r="K4491" s="12" t="str">
        <f t="shared" si="777"/>
        <v>View Creative</v>
      </c>
      <c r="L4491" s="6" t="s">
        <v>62</v>
      </c>
      <c r="M4491" s="6" t="s">
        <v>8270</v>
      </c>
      <c r="N4491" s="6"/>
      <c r="O4491" s="36" t="s">
        <v>7541</v>
      </c>
      <c r="P4491" s="36" t="s">
        <v>7542</v>
      </c>
      <c r="Q4491" s="38"/>
    </row>
    <row r="4492">
      <c r="A4492" s="6" t="s">
        <v>8270</v>
      </c>
      <c r="B4492" s="6" t="s">
        <v>8271</v>
      </c>
      <c r="C4492" s="6">
        <v>441.0</v>
      </c>
      <c r="D4492" s="9" t="str">
        <f t="shared" ref="D4492:D4493" si="778">HYPERLINK("https://www.linkedin.com/ad-library/detail/1150589354","Open Ad")</f>
        <v>Open Ad</v>
      </c>
      <c r="E4492" s="6" t="s">
        <v>91</v>
      </c>
      <c r="F4492" s="6" t="s">
        <v>8022</v>
      </c>
      <c r="G4492" s="6" t="s">
        <v>8348</v>
      </c>
      <c r="H4492" s="6" t="s">
        <v>55</v>
      </c>
      <c r="I4492" s="6" t="s">
        <v>8273</v>
      </c>
      <c r="J4492" s="6" t="s">
        <v>91</v>
      </c>
      <c r="K4492" s="12" t="str">
        <f t="shared" ref="K4492:K4493" si="779">HYPERLINK("https://media.licdn.com/dms/image/v2/D4E10AQEmkDLD4X437g/image-shrink_1280/B4EZyMRzsbKcAc-/0/1771880004998/ActionTracker4MeetActionspng?e=2147483647&amp;v=beta&amp;t=kBgjNRWbWwLkMbleB2r9e5Py7gwb2WX7uk3InZ1YbS8","View Creative")</f>
        <v>View Creative</v>
      </c>
      <c r="L4492" s="6" t="s">
        <v>62</v>
      </c>
      <c r="M4492" s="6" t="s">
        <v>8270</v>
      </c>
      <c r="N4492" s="6" t="s">
        <v>8352</v>
      </c>
      <c r="O4492" s="36" t="s">
        <v>7541</v>
      </c>
      <c r="P4492" s="36" t="s">
        <v>7542</v>
      </c>
      <c r="Q4492" s="38"/>
    </row>
    <row r="4493">
      <c r="A4493" s="6" t="s">
        <v>8270</v>
      </c>
      <c r="B4493" s="6" t="s">
        <v>8271</v>
      </c>
      <c r="C4493" s="6">
        <v>442.0</v>
      </c>
      <c r="D4493" s="9" t="str">
        <f t="shared" si="778"/>
        <v>Open Ad</v>
      </c>
      <c r="E4493" s="6" t="s">
        <v>91</v>
      </c>
      <c r="F4493" s="6" t="s">
        <v>8022</v>
      </c>
      <c r="G4493" s="6" t="s">
        <v>8348</v>
      </c>
      <c r="H4493" s="6" t="s">
        <v>55</v>
      </c>
      <c r="I4493" s="6" t="s">
        <v>8273</v>
      </c>
      <c r="J4493" s="6" t="s">
        <v>91</v>
      </c>
      <c r="K4493" s="12" t="str">
        <f t="shared" si="779"/>
        <v>View Creative</v>
      </c>
      <c r="L4493" s="6" t="s">
        <v>62</v>
      </c>
      <c r="M4493" s="6" t="s">
        <v>8270</v>
      </c>
      <c r="N4493" s="6" t="s">
        <v>8352</v>
      </c>
      <c r="O4493" s="36" t="s">
        <v>7541</v>
      </c>
      <c r="P4493" s="36" t="s">
        <v>7542</v>
      </c>
      <c r="Q4493" s="38"/>
    </row>
    <row r="4494">
      <c r="A4494" s="6" t="s">
        <v>8270</v>
      </c>
      <c r="B4494" s="6" t="s">
        <v>8271</v>
      </c>
      <c r="C4494" s="6">
        <v>443.0</v>
      </c>
      <c r="D4494" s="9" t="str">
        <f t="shared" ref="D4494:D4495" si="780">HYPERLINK("https://www.linkedin.com/ad-library/detail/1149702384","Open Ad")</f>
        <v>Open Ad</v>
      </c>
      <c r="E4494" s="6" t="s">
        <v>91</v>
      </c>
      <c r="F4494" s="6" t="s">
        <v>8022</v>
      </c>
      <c r="G4494" s="6" t="s">
        <v>8334</v>
      </c>
      <c r="H4494" s="6" t="s">
        <v>55</v>
      </c>
      <c r="I4494" s="6" t="s">
        <v>8273</v>
      </c>
      <c r="J4494" s="6" t="s">
        <v>91</v>
      </c>
      <c r="K4494" s="12" t="str">
        <f t="shared" ref="K4494:K4495" si="781">HYPERLINK("https://media.licdn.com/dms/image/v2/D4E10AQHXCJsPgcZ4_w/image-shrink_1280/B4EZybCon0JgAg-/0/1772127685657/Directory3GetExpertHelpforAISearchpng?e=2147483647&amp;v=beta&amp;t=HfUSY3XU6uwbZY8wgAX7_lRR7s287cOzcCtZklwj4H0","View Creative")</f>
        <v>View Creative</v>
      </c>
      <c r="L4494" s="6" t="s">
        <v>62</v>
      </c>
      <c r="M4494" s="6" t="s">
        <v>8270</v>
      </c>
      <c r="N4494" s="6"/>
      <c r="O4494" s="36" t="s">
        <v>7541</v>
      </c>
      <c r="P4494" s="36" t="s">
        <v>7542</v>
      </c>
      <c r="Q4494" s="38"/>
    </row>
    <row r="4495">
      <c r="A4495" s="6" t="s">
        <v>8270</v>
      </c>
      <c r="B4495" s="6" t="s">
        <v>8271</v>
      </c>
      <c r="C4495" s="6">
        <v>444.0</v>
      </c>
      <c r="D4495" s="9" t="str">
        <f t="shared" si="780"/>
        <v>Open Ad</v>
      </c>
      <c r="E4495" s="6" t="s">
        <v>91</v>
      </c>
      <c r="F4495" s="6" t="s">
        <v>8022</v>
      </c>
      <c r="G4495" s="6" t="s">
        <v>8334</v>
      </c>
      <c r="H4495" s="6" t="s">
        <v>55</v>
      </c>
      <c r="I4495" s="6" t="s">
        <v>8273</v>
      </c>
      <c r="J4495" s="6" t="s">
        <v>91</v>
      </c>
      <c r="K4495" s="12" t="str">
        <f t="shared" si="781"/>
        <v>View Creative</v>
      </c>
      <c r="L4495" s="6" t="s">
        <v>62</v>
      </c>
      <c r="M4495" s="6" t="s">
        <v>8270</v>
      </c>
      <c r="N4495" s="6"/>
      <c r="O4495" s="36" t="s">
        <v>7541</v>
      </c>
      <c r="P4495" s="36" t="s">
        <v>7542</v>
      </c>
      <c r="Q4495" s="38"/>
    </row>
    <row r="4496">
      <c r="A4496" s="6" t="s">
        <v>8270</v>
      </c>
      <c r="B4496" s="6" t="s">
        <v>8271</v>
      </c>
      <c r="C4496" s="6">
        <v>445.0</v>
      </c>
      <c r="D4496" s="9" t="str">
        <f t="shared" ref="D4496:D4497" si="782">HYPERLINK("https://www.linkedin.com/ad-library/detail/1150488864","Open Ad")</f>
        <v>Open Ad</v>
      </c>
      <c r="E4496" s="6" t="s">
        <v>91</v>
      </c>
      <c r="F4496" s="6" t="s">
        <v>8022</v>
      </c>
      <c r="G4496" s="6" t="s">
        <v>8344</v>
      </c>
      <c r="H4496" s="6" t="s">
        <v>55</v>
      </c>
      <c r="I4496" s="6" t="s">
        <v>8273</v>
      </c>
      <c r="J4496" s="6" t="s">
        <v>91</v>
      </c>
      <c r="K4496" s="12" t="str">
        <f t="shared" ref="K4496:K4497" si="783">HYPERLINK("https://media.licdn.com/dms/image/v2/D4E10AQE2-Q-XQyh4jQ/image-shrink_1280/B4EZyMSYfcGkAc-/0/1771880155697/Revolut1YourAIvisibilitymetricsnowcomewithnextstepspng?e=2147483647&amp;v=beta&amp;t=LKmS_a81BSZ-NPd8l1zFFSH_lc6bELzX32H4-DFcGM0","View Creative")</f>
        <v>View Creative</v>
      </c>
      <c r="L4496" s="6" t="s">
        <v>62</v>
      </c>
      <c r="M4496" s="6" t="s">
        <v>8270</v>
      </c>
      <c r="N4496" s="6" t="s">
        <v>8352</v>
      </c>
      <c r="O4496" s="36" t="s">
        <v>7541</v>
      </c>
      <c r="P4496" s="36" t="s">
        <v>7542</v>
      </c>
      <c r="Q4496" s="38"/>
    </row>
    <row r="4497">
      <c r="A4497" s="6" t="s">
        <v>8270</v>
      </c>
      <c r="B4497" s="6" t="s">
        <v>8271</v>
      </c>
      <c r="C4497" s="6">
        <v>446.0</v>
      </c>
      <c r="D4497" s="9" t="str">
        <f t="shared" si="782"/>
        <v>Open Ad</v>
      </c>
      <c r="E4497" s="6" t="s">
        <v>91</v>
      </c>
      <c r="F4497" s="6" t="s">
        <v>8022</v>
      </c>
      <c r="G4497" s="6" t="s">
        <v>8344</v>
      </c>
      <c r="H4497" s="6" t="s">
        <v>55</v>
      </c>
      <c r="I4497" s="6" t="s">
        <v>8273</v>
      </c>
      <c r="J4497" s="6" t="s">
        <v>91</v>
      </c>
      <c r="K4497" s="12" t="str">
        <f t="shared" si="783"/>
        <v>View Creative</v>
      </c>
      <c r="L4497" s="6" t="s">
        <v>62</v>
      </c>
      <c r="M4497" s="6" t="s">
        <v>8270</v>
      </c>
      <c r="N4497" s="6" t="s">
        <v>8352</v>
      </c>
      <c r="O4497" s="36" t="s">
        <v>7541</v>
      </c>
      <c r="P4497" s="36" t="s">
        <v>7542</v>
      </c>
      <c r="Q4497" s="38"/>
    </row>
    <row r="4498">
      <c r="A4498" s="6" t="s">
        <v>8270</v>
      </c>
      <c r="B4498" s="6" t="s">
        <v>8271</v>
      </c>
      <c r="C4498" s="6">
        <v>447.0</v>
      </c>
      <c r="D4498" s="9" t="str">
        <f t="shared" ref="D4498:D4499" si="784">HYPERLINK("https://www.linkedin.com/ad-library/detail/1148901484","Open Ad")</f>
        <v>Open Ad</v>
      </c>
      <c r="E4498" s="6" t="s">
        <v>91</v>
      </c>
      <c r="F4498" s="6" t="s">
        <v>8022</v>
      </c>
      <c r="G4498" s="6" t="s">
        <v>8335</v>
      </c>
      <c r="H4498" s="6" t="s">
        <v>55</v>
      </c>
      <c r="I4498" s="6" t="s">
        <v>8273</v>
      </c>
      <c r="J4498" s="6" t="s">
        <v>91</v>
      </c>
      <c r="K4498" s="12" t="str">
        <f t="shared" ref="K4498:K4499" si="785">HYPERLINK("https://media.licdn.com/dms/image/v2/D4E10AQENGNql_Hfi3w/image-shrink_1280/B4EZybChuMHkAc-/0/1772127657303/Directory2GetExpertHelpforAISearchpng?e=2147483647&amp;v=beta&amp;t=N05A1GpFf-MaOO-coxz8xvXUeDa3TTrq2hacW3d7_j4","View Creative")</f>
        <v>View Creative</v>
      </c>
      <c r="L4498" s="6" t="s">
        <v>62</v>
      </c>
      <c r="M4498" s="6" t="s">
        <v>8270</v>
      </c>
      <c r="N4498" s="6"/>
      <c r="O4498" s="36" t="s">
        <v>7541</v>
      </c>
      <c r="P4498" s="36" t="s">
        <v>7542</v>
      </c>
      <c r="Q4498" s="38"/>
    </row>
    <row r="4499">
      <c r="A4499" s="6" t="s">
        <v>8270</v>
      </c>
      <c r="B4499" s="6" t="s">
        <v>8271</v>
      </c>
      <c r="C4499" s="6">
        <v>448.0</v>
      </c>
      <c r="D4499" s="9" t="str">
        <f t="shared" si="784"/>
        <v>Open Ad</v>
      </c>
      <c r="E4499" s="6" t="s">
        <v>91</v>
      </c>
      <c r="F4499" s="6" t="s">
        <v>8022</v>
      </c>
      <c r="G4499" s="6" t="s">
        <v>8335</v>
      </c>
      <c r="H4499" s="6" t="s">
        <v>55</v>
      </c>
      <c r="I4499" s="6" t="s">
        <v>8273</v>
      </c>
      <c r="J4499" s="6" t="s">
        <v>91</v>
      </c>
      <c r="K4499" s="12" t="str">
        <f t="shared" si="785"/>
        <v>View Creative</v>
      </c>
      <c r="L4499" s="6" t="s">
        <v>62</v>
      </c>
      <c r="M4499" s="6" t="s">
        <v>8270</v>
      </c>
      <c r="N4499" s="6"/>
      <c r="O4499" s="36" t="s">
        <v>7541</v>
      </c>
      <c r="P4499" s="36" t="s">
        <v>7542</v>
      </c>
      <c r="Q4499" s="38"/>
    </row>
    <row r="4500">
      <c r="A4500" s="6" t="s">
        <v>8270</v>
      </c>
      <c r="B4500" s="6" t="s">
        <v>8271</v>
      </c>
      <c r="C4500" s="6">
        <v>449.0</v>
      </c>
      <c r="D4500" s="9" t="str">
        <f t="shared" ref="D4500:D4501" si="786">HYPERLINK("https://www.linkedin.com/ad-library/detail/1148901474","Open Ad")</f>
        <v>Open Ad</v>
      </c>
      <c r="E4500" s="6" t="s">
        <v>91</v>
      </c>
      <c r="F4500" s="6" t="s">
        <v>8022</v>
      </c>
      <c r="G4500" s="6" t="s">
        <v>8346</v>
      </c>
      <c r="H4500" s="6" t="s">
        <v>55</v>
      </c>
      <c r="I4500" s="6" t="s">
        <v>8273</v>
      </c>
      <c r="J4500" s="6" t="s">
        <v>91</v>
      </c>
      <c r="K4500" s="12" t="str">
        <f t="shared" ref="K4500:K4501" si="787">HYPERLINK("https://media.licdn.com/dms/image/v2/D4E10AQHRCGOPh43vUQ/image-shrink_1280/B4EZybCoqaGsAc-/0/1772127686008/Directory3FindTrustedAISearchExpertspng?e=2147483647&amp;v=beta&amp;t=deb9Vu57y6uAoG3vF1CvnEoPwvQwnu2_BtLte3bXNSg","View Creative")</f>
        <v>View Creative</v>
      </c>
      <c r="L4500" s="6" t="s">
        <v>62</v>
      </c>
      <c r="M4500" s="6" t="s">
        <v>8270</v>
      </c>
      <c r="N4500" s="6"/>
      <c r="O4500" s="36" t="s">
        <v>7541</v>
      </c>
      <c r="P4500" s="36" t="s">
        <v>7542</v>
      </c>
      <c r="Q4500" s="38"/>
    </row>
    <row r="4501">
      <c r="A4501" s="6" t="s">
        <v>8270</v>
      </c>
      <c r="B4501" s="6" t="s">
        <v>8271</v>
      </c>
      <c r="C4501" s="6">
        <v>450.0</v>
      </c>
      <c r="D4501" s="9" t="str">
        <f t="shared" si="786"/>
        <v>Open Ad</v>
      </c>
      <c r="E4501" s="6" t="s">
        <v>91</v>
      </c>
      <c r="F4501" s="6" t="s">
        <v>8022</v>
      </c>
      <c r="G4501" s="6" t="s">
        <v>8346</v>
      </c>
      <c r="H4501" s="6" t="s">
        <v>55</v>
      </c>
      <c r="I4501" s="6" t="s">
        <v>8273</v>
      </c>
      <c r="J4501" s="6" t="s">
        <v>91</v>
      </c>
      <c r="K4501" s="12" t="str">
        <f t="shared" si="787"/>
        <v>View Creative</v>
      </c>
      <c r="L4501" s="6" t="s">
        <v>62</v>
      </c>
      <c r="M4501" s="6" t="s">
        <v>8270</v>
      </c>
      <c r="N4501" s="6"/>
      <c r="O4501" s="36" t="s">
        <v>7541</v>
      </c>
      <c r="P4501" s="36" t="s">
        <v>7542</v>
      </c>
      <c r="Q4501" s="38"/>
    </row>
    <row r="4502">
      <c r="A4502" s="6" t="s">
        <v>8270</v>
      </c>
      <c r="B4502" s="6" t="s">
        <v>8271</v>
      </c>
      <c r="C4502" s="6">
        <v>451.0</v>
      </c>
      <c r="D4502" s="9" t="str">
        <f t="shared" ref="D4502:D4503" si="788">HYPERLINK("https://www.linkedin.com/ad-library/detail/1148901464","Open Ad")</f>
        <v>Open Ad</v>
      </c>
      <c r="E4502" s="6" t="s">
        <v>91</v>
      </c>
      <c r="F4502" s="6" t="s">
        <v>8022</v>
      </c>
      <c r="G4502" s="6" t="s">
        <v>8335</v>
      </c>
      <c r="H4502" s="6" t="s">
        <v>55</v>
      </c>
      <c r="I4502" s="6" t="s">
        <v>8273</v>
      </c>
      <c r="J4502" s="6" t="s">
        <v>91</v>
      </c>
      <c r="K4502" s="12" t="str">
        <f t="shared" ref="K4502:K4503" si="789">HYPERLINK("https://media.licdn.com/dms/image/v2/D4E10AQGxjTOn07fzcA/image-shrink_1280/B4EZybChtQKIAg-/0/1772127657278/Directory1FindTrustedAISearchExpertspng?e=2147483647&amp;v=beta&amp;t=aR8A0uldYLiXsowkszpzW6mgBZgZU3py0uDUqMekhdo","View Creative")</f>
        <v>View Creative</v>
      </c>
      <c r="L4502" s="6" t="s">
        <v>62</v>
      </c>
      <c r="M4502" s="6" t="s">
        <v>8270</v>
      </c>
      <c r="N4502" s="6"/>
      <c r="O4502" s="36" t="s">
        <v>7541</v>
      </c>
      <c r="P4502" s="36" t="s">
        <v>7542</v>
      </c>
      <c r="Q4502" s="38"/>
    </row>
    <row r="4503">
      <c r="A4503" s="6" t="s">
        <v>8270</v>
      </c>
      <c r="B4503" s="6" t="s">
        <v>8271</v>
      </c>
      <c r="C4503" s="6">
        <v>452.0</v>
      </c>
      <c r="D4503" s="9" t="str">
        <f t="shared" si="788"/>
        <v>Open Ad</v>
      </c>
      <c r="E4503" s="6" t="s">
        <v>91</v>
      </c>
      <c r="F4503" s="6" t="s">
        <v>8022</v>
      </c>
      <c r="G4503" s="6" t="s">
        <v>8335</v>
      </c>
      <c r="H4503" s="6" t="s">
        <v>55</v>
      </c>
      <c r="I4503" s="6" t="s">
        <v>8273</v>
      </c>
      <c r="J4503" s="6" t="s">
        <v>91</v>
      </c>
      <c r="K4503" s="12" t="str">
        <f t="shared" si="789"/>
        <v>View Creative</v>
      </c>
      <c r="L4503" s="6" t="s">
        <v>62</v>
      </c>
      <c r="M4503" s="6" t="s">
        <v>8270</v>
      </c>
      <c r="N4503" s="6"/>
      <c r="O4503" s="36" t="s">
        <v>7541</v>
      </c>
      <c r="P4503" s="36" t="s">
        <v>7542</v>
      </c>
      <c r="Q4503" s="38"/>
    </row>
    <row r="4504">
      <c r="A4504" s="6" t="s">
        <v>8270</v>
      </c>
      <c r="B4504" s="6" t="s">
        <v>8271</v>
      </c>
      <c r="C4504" s="6">
        <v>453.0</v>
      </c>
      <c r="D4504" s="9" t="str">
        <f t="shared" ref="D4504:D4505" si="790">HYPERLINK("https://www.linkedin.com/ad-library/detail/1149402124","Open Ad")</f>
        <v>Open Ad</v>
      </c>
      <c r="E4504" s="6" t="s">
        <v>91</v>
      </c>
      <c r="F4504" s="6" t="s">
        <v>8022</v>
      </c>
      <c r="G4504" s="6" t="s">
        <v>8347</v>
      </c>
      <c r="H4504" s="6" t="s">
        <v>55</v>
      </c>
      <c r="I4504" s="6" t="s">
        <v>8273</v>
      </c>
      <c r="J4504" s="6" t="s">
        <v>91</v>
      </c>
      <c r="K4504" s="12" t="str">
        <f t="shared" ref="K4504:K4505" si="791">HYPERLINK("https://media.licdn.com/dms/image/v2/D4E10AQEujPuW92_whg/image-shrink_1280/B4EZybChqwHMAc-/0/1772127657019/Directory2AIVisibilityAgencyDirectorypng?e=2147483647&amp;v=beta&amp;t=Z6MAKWzMej5_jYQRlmJ4y7bDcR6D_e69xbTN9r9L-9o","View Creative")</f>
        <v>View Creative</v>
      </c>
      <c r="L4504" s="6" t="s">
        <v>62</v>
      </c>
      <c r="M4504" s="6" t="s">
        <v>8270</v>
      </c>
      <c r="N4504" s="6"/>
      <c r="O4504" s="36" t="s">
        <v>7541</v>
      </c>
      <c r="P4504" s="36" t="s">
        <v>7542</v>
      </c>
      <c r="Q4504" s="38"/>
    </row>
    <row r="4505">
      <c r="A4505" s="6" t="s">
        <v>8270</v>
      </c>
      <c r="B4505" s="6" t="s">
        <v>8271</v>
      </c>
      <c r="C4505" s="6">
        <v>454.0</v>
      </c>
      <c r="D4505" s="9" t="str">
        <f t="shared" si="790"/>
        <v>Open Ad</v>
      </c>
      <c r="E4505" s="6" t="s">
        <v>91</v>
      </c>
      <c r="F4505" s="6" t="s">
        <v>8022</v>
      </c>
      <c r="G4505" s="6" t="s">
        <v>8347</v>
      </c>
      <c r="H4505" s="6" t="s">
        <v>55</v>
      </c>
      <c r="I4505" s="6" t="s">
        <v>8273</v>
      </c>
      <c r="J4505" s="6" t="s">
        <v>91</v>
      </c>
      <c r="K4505" s="12" t="str">
        <f t="shared" si="791"/>
        <v>View Creative</v>
      </c>
      <c r="L4505" s="6" t="s">
        <v>62</v>
      </c>
      <c r="M4505" s="6" t="s">
        <v>8270</v>
      </c>
      <c r="N4505" s="6"/>
      <c r="O4505" s="36" t="s">
        <v>7541</v>
      </c>
      <c r="P4505" s="36" t="s">
        <v>7542</v>
      </c>
      <c r="Q4505" s="38"/>
    </row>
    <row r="4506">
      <c r="A4506" s="6" t="s">
        <v>8270</v>
      </c>
      <c r="B4506" s="6" t="s">
        <v>8271</v>
      </c>
      <c r="C4506" s="6">
        <v>455.0</v>
      </c>
      <c r="D4506" s="9" t="str">
        <f t="shared" ref="D4506:D4507" si="792">HYPERLINK("https://www.linkedin.com/ad-library/detail/1149201834","Open Ad")</f>
        <v>Open Ad</v>
      </c>
      <c r="E4506" s="6" t="s">
        <v>91</v>
      </c>
      <c r="F4506" s="6" t="s">
        <v>8022</v>
      </c>
      <c r="G4506" s="6" t="s">
        <v>8334</v>
      </c>
      <c r="H4506" s="6" t="s">
        <v>55</v>
      </c>
      <c r="I4506" s="6" t="s">
        <v>8273</v>
      </c>
      <c r="J4506" s="6" t="s">
        <v>91</v>
      </c>
      <c r="K4506" s="12" t="str">
        <f t="shared" ref="K4506:K4507" si="793">HYPERLINK("https://media.licdn.com/dms/image/v2/D4E10AQHXCJsPgcZ4_w/image-shrink_1280/B4EZybCon0JgAg-/0/1772127685657/Directory3GetExpertHelpforAISearchpng?e=2147483647&amp;v=beta&amp;t=HfUSY3XU6uwbZY8wgAX7_lRR7s287cOzcCtZklwj4H0","View Creative")</f>
        <v>View Creative</v>
      </c>
      <c r="L4506" s="6" t="s">
        <v>62</v>
      </c>
      <c r="M4506" s="6" t="s">
        <v>8270</v>
      </c>
      <c r="N4506" s="6"/>
      <c r="O4506" s="36" t="s">
        <v>7541</v>
      </c>
      <c r="P4506" s="36" t="s">
        <v>7542</v>
      </c>
      <c r="Q4506" s="38"/>
    </row>
    <row r="4507">
      <c r="A4507" s="6" t="s">
        <v>8270</v>
      </c>
      <c r="B4507" s="6" t="s">
        <v>8271</v>
      </c>
      <c r="C4507" s="6">
        <v>456.0</v>
      </c>
      <c r="D4507" s="9" t="str">
        <f t="shared" si="792"/>
        <v>Open Ad</v>
      </c>
      <c r="E4507" s="6" t="s">
        <v>91</v>
      </c>
      <c r="F4507" s="6" t="s">
        <v>8022</v>
      </c>
      <c r="G4507" s="6" t="s">
        <v>8334</v>
      </c>
      <c r="H4507" s="6" t="s">
        <v>55</v>
      </c>
      <c r="I4507" s="6" t="s">
        <v>8273</v>
      </c>
      <c r="J4507" s="6" t="s">
        <v>91</v>
      </c>
      <c r="K4507" s="12" t="str">
        <f t="shared" si="793"/>
        <v>View Creative</v>
      </c>
      <c r="L4507" s="6" t="s">
        <v>62</v>
      </c>
      <c r="M4507" s="6" t="s">
        <v>8270</v>
      </c>
      <c r="N4507" s="6"/>
      <c r="O4507" s="36" t="s">
        <v>7541</v>
      </c>
      <c r="P4507" s="36" t="s">
        <v>7542</v>
      </c>
      <c r="Q4507" s="38"/>
    </row>
    <row r="4508">
      <c r="A4508" s="6" t="s">
        <v>8270</v>
      </c>
      <c r="B4508" s="6" t="s">
        <v>8271</v>
      </c>
      <c r="C4508" s="6">
        <v>457.0</v>
      </c>
      <c r="D4508" s="9" t="str">
        <f t="shared" ref="D4508:D4509" si="794">HYPERLINK("https://www.linkedin.com/ad-library/detail/1148802324","Open Ad")</f>
        <v>Open Ad</v>
      </c>
      <c r="E4508" s="6" t="s">
        <v>91</v>
      </c>
      <c r="F4508" s="6" t="s">
        <v>8022</v>
      </c>
      <c r="G4508" s="6" t="s">
        <v>8335</v>
      </c>
      <c r="H4508" s="6" t="s">
        <v>55</v>
      </c>
      <c r="I4508" s="6" t="s">
        <v>8273</v>
      </c>
      <c r="J4508" s="6" t="s">
        <v>91</v>
      </c>
      <c r="K4508" s="12" t="str">
        <f t="shared" ref="K4508:K4509" si="795">HYPERLINK("https://media.licdn.com/dms/image/v2/D4E10AQGxjTOn07fzcA/image-shrink_1280/B4EZybChtQKIAg-/0/1772127657278/Directory1FindTrustedAISearchExpertspng?e=2147483647&amp;v=beta&amp;t=aR8A0uldYLiXsowkszpzW6mgBZgZU3py0uDUqMekhdo","View Creative")</f>
        <v>View Creative</v>
      </c>
      <c r="L4508" s="6" t="s">
        <v>62</v>
      </c>
      <c r="M4508" s="6" t="s">
        <v>8270</v>
      </c>
      <c r="N4508" s="6"/>
      <c r="O4508" s="36" t="s">
        <v>7541</v>
      </c>
      <c r="P4508" s="36" t="s">
        <v>7542</v>
      </c>
      <c r="Q4508" s="38"/>
    </row>
    <row r="4509">
      <c r="A4509" s="6" t="s">
        <v>8270</v>
      </c>
      <c r="B4509" s="6" t="s">
        <v>8271</v>
      </c>
      <c r="C4509" s="6">
        <v>458.0</v>
      </c>
      <c r="D4509" s="9" t="str">
        <f t="shared" si="794"/>
        <v>Open Ad</v>
      </c>
      <c r="E4509" s="6" t="s">
        <v>91</v>
      </c>
      <c r="F4509" s="6" t="s">
        <v>8022</v>
      </c>
      <c r="G4509" s="6" t="s">
        <v>8335</v>
      </c>
      <c r="H4509" s="6" t="s">
        <v>55</v>
      </c>
      <c r="I4509" s="6" t="s">
        <v>8273</v>
      </c>
      <c r="J4509" s="6" t="s">
        <v>91</v>
      </c>
      <c r="K4509" s="12" t="str">
        <f t="shared" si="795"/>
        <v>View Creative</v>
      </c>
      <c r="L4509" s="6" t="s">
        <v>62</v>
      </c>
      <c r="M4509" s="6" t="s">
        <v>8270</v>
      </c>
      <c r="N4509" s="6"/>
      <c r="O4509" s="36" t="s">
        <v>7541</v>
      </c>
      <c r="P4509" s="36" t="s">
        <v>7542</v>
      </c>
      <c r="Q4509" s="38"/>
    </row>
    <row r="4510">
      <c r="A4510" s="6" t="s">
        <v>8270</v>
      </c>
      <c r="B4510" s="6" t="s">
        <v>8271</v>
      </c>
      <c r="C4510" s="6">
        <v>459.0</v>
      </c>
      <c r="D4510" s="9" t="str">
        <f t="shared" ref="D4510:D4511" si="796">HYPERLINK("https://www.linkedin.com/ad-library/detail/1148489364","Open Ad")</f>
        <v>Open Ad</v>
      </c>
      <c r="E4510" s="6" t="s">
        <v>91</v>
      </c>
      <c r="F4510" s="6" t="s">
        <v>8022</v>
      </c>
      <c r="G4510" s="6" t="s">
        <v>8350</v>
      </c>
      <c r="H4510" s="6" t="s">
        <v>55</v>
      </c>
      <c r="I4510" s="6" t="s">
        <v>8273</v>
      </c>
      <c r="J4510" s="6" t="s">
        <v>91</v>
      </c>
      <c r="K4510" s="12" t="str">
        <f t="shared" ref="K4510:K4511" si="797">HYPERLINK("https://media.licdn.com/dms/image/v2/D4E10AQEv4ItHpKi5pw/image-shrink_1280/B4EZyMQ4yWJsAc-/0/1771879763685/Revolut2FromAIsearchanalyticstoclearnextstepspng?e=2147483647&amp;v=beta&amp;t=YAFKK7AlmHSQR1kB7FUxy0Mpp2F4zE3XX62bSVzcuTc","View Creative")</f>
        <v>View Creative</v>
      </c>
      <c r="L4510" s="6" t="s">
        <v>62</v>
      </c>
      <c r="M4510" s="6" t="s">
        <v>8270</v>
      </c>
      <c r="N4510" s="6" t="s">
        <v>8352</v>
      </c>
      <c r="O4510" s="36" t="s">
        <v>7541</v>
      </c>
      <c r="P4510" s="36" t="s">
        <v>7542</v>
      </c>
      <c r="Q4510" s="38"/>
    </row>
    <row r="4511">
      <c r="A4511" s="6" t="s">
        <v>8270</v>
      </c>
      <c r="B4511" s="6" t="s">
        <v>8271</v>
      </c>
      <c r="C4511" s="6">
        <v>460.0</v>
      </c>
      <c r="D4511" s="9" t="str">
        <f t="shared" si="796"/>
        <v>Open Ad</v>
      </c>
      <c r="E4511" s="6" t="s">
        <v>91</v>
      </c>
      <c r="F4511" s="6" t="s">
        <v>8022</v>
      </c>
      <c r="G4511" s="6" t="s">
        <v>8350</v>
      </c>
      <c r="H4511" s="6" t="s">
        <v>55</v>
      </c>
      <c r="I4511" s="6" t="s">
        <v>8273</v>
      </c>
      <c r="J4511" s="6" t="s">
        <v>91</v>
      </c>
      <c r="K4511" s="12" t="str">
        <f t="shared" si="797"/>
        <v>View Creative</v>
      </c>
      <c r="L4511" s="6" t="s">
        <v>62</v>
      </c>
      <c r="M4511" s="6" t="s">
        <v>8270</v>
      </c>
      <c r="N4511" s="6" t="s">
        <v>8352</v>
      </c>
      <c r="O4511" s="36" t="s">
        <v>7541</v>
      </c>
      <c r="P4511" s="36" t="s">
        <v>7542</v>
      </c>
      <c r="Q4511" s="38"/>
    </row>
    <row r="4512">
      <c r="A4512" s="6" t="s">
        <v>8270</v>
      </c>
      <c r="B4512" s="6" t="s">
        <v>8271</v>
      </c>
      <c r="C4512" s="6">
        <v>461.0</v>
      </c>
      <c r="D4512" s="9" t="str">
        <f t="shared" ref="D4512:D4513" si="798">HYPERLINK("https://www.linkedin.com/ad-library/detail/1149302274","Open Ad")</f>
        <v>Open Ad</v>
      </c>
      <c r="E4512" s="6" t="s">
        <v>91</v>
      </c>
      <c r="F4512" s="6" t="s">
        <v>8022</v>
      </c>
      <c r="G4512" s="6" t="s">
        <v>8337</v>
      </c>
      <c r="H4512" s="6" t="s">
        <v>55</v>
      </c>
      <c r="I4512" s="6" t="s">
        <v>8273</v>
      </c>
      <c r="J4512" s="6" t="s">
        <v>91</v>
      </c>
      <c r="K4512" s="12" t="str">
        <f t="shared" ref="K4512:K4513" si="799">HYPERLINK("https://media.licdn.com/dms/image/v2/D4E10AQFh3wRxQvxaHQ/image-shrink_1280/B4EZybCootIEAc-/0/1772127685632/Directory3AIVisibilityAgencyDirectorypng?e=2147483647&amp;v=beta&amp;t=M1uiPNOy86K4MsoZ3jwd4aJvyNEBdZcCGNZCw8tfIyo","View Creative")</f>
        <v>View Creative</v>
      </c>
      <c r="L4512" s="6" t="s">
        <v>62</v>
      </c>
      <c r="M4512" s="6" t="s">
        <v>8270</v>
      </c>
      <c r="N4512" s="6"/>
      <c r="O4512" s="36" t="s">
        <v>7541</v>
      </c>
      <c r="P4512" s="36" t="s">
        <v>7542</v>
      </c>
      <c r="Q4512" s="38"/>
    </row>
    <row r="4513">
      <c r="A4513" s="6" t="s">
        <v>8270</v>
      </c>
      <c r="B4513" s="6" t="s">
        <v>8271</v>
      </c>
      <c r="C4513" s="6">
        <v>462.0</v>
      </c>
      <c r="D4513" s="9" t="str">
        <f t="shared" si="798"/>
        <v>Open Ad</v>
      </c>
      <c r="E4513" s="6" t="s">
        <v>91</v>
      </c>
      <c r="F4513" s="6" t="s">
        <v>8022</v>
      </c>
      <c r="G4513" s="6" t="s">
        <v>8337</v>
      </c>
      <c r="H4513" s="6" t="s">
        <v>55</v>
      </c>
      <c r="I4513" s="6" t="s">
        <v>8273</v>
      </c>
      <c r="J4513" s="6" t="s">
        <v>91</v>
      </c>
      <c r="K4513" s="12" t="str">
        <f t="shared" si="799"/>
        <v>View Creative</v>
      </c>
      <c r="L4513" s="6" t="s">
        <v>62</v>
      </c>
      <c r="M4513" s="6" t="s">
        <v>8270</v>
      </c>
      <c r="N4513" s="6"/>
      <c r="O4513" s="36" t="s">
        <v>7541</v>
      </c>
      <c r="P4513" s="36" t="s">
        <v>7542</v>
      </c>
      <c r="Q4513" s="38"/>
    </row>
    <row r="4514">
      <c r="A4514" s="6" t="s">
        <v>8270</v>
      </c>
      <c r="B4514" s="6" t="s">
        <v>8271</v>
      </c>
      <c r="C4514" s="6">
        <v>463.0</v>
      </c>
      <c r="D4514" s="9" t="str">
        <f t="shared" ref="D4514:D4515" si="800">HYPERLINK("https://www.linkedin.com/ad-library/detail/1149302264","Open Ad")</f>
        <v>Open Ad</v>
      </c>
      <c r="E4514" s="6" t="s">
        <v>91</v>
      </c>
      <c r="F4514" s="6" t="s">
        <v>8022</v>
      </c>
      <c r="G4514" s="6" t="s">
        <v>8346</v>
      </c>
      <c r="H4514" s="6" t="s">
        <v>55</v>
      </c>
      <c r="I4514" s="6" t="s">
        <v>8273</v>
      </c>
      <c r="J4514" s="6" t="s">
        <v>91</v>
      </c>
      <c r="K4514" s="12" t="str">
        <f t="shared" ref="K4514:K4515" si="801">HYPERLINK("https://media.licdn.com/dms/image/v2/D4E10AQHRCGOPh43vUQ/image-shrink_1280/B4EZybCoqaGsAc-/0/1772127686008/Directory3FindTrustedAISearchExpertspng?e=2147483647&amp;v=beta&amp;t=deb9Vu57y6uAoG3vF1CvnEoPwvQwnu2_BtLte3bXNSg","View Creative")</f>
        <v>View Creative</v>
      </c>
      <c r="L4514" s="6" t="s">
        <v>62</v>
      </c>
      <c r="M4514" s="6" t="s">
        <v>8270</v>
      </c>
      <c r="N4514" s="6"/>
      <c r="O4514" s="36" t="s">
        <v>7541</v>
      </c>
      <c r="P4514" s="36" t="s">
        <v>7542</v>
      </c>
      <c r="Q4514" s="38"/>
    </row>
    <row r="4515">
      <c r="A4515" s="6" t="s">
        <v>8270</v>
      </c>
      <c r="B4515" s="6" t="s">
        <v>8271</v>
      </c>
      <c r="C4515" s="6">
        <v>464.0</v>
      </c>
      <c r="D4515" s="9" t="str">
        <f t="shared" si="800"/>
        <v>Open Ad</v>
      </c>
      <c r="E4515" s="6" t="s">
        <v>91</v>
      </c>
      <c r="F4515" s="6" t="s">
        <v>8022</v>
      </c>
      <c r="G4515" s="6" t="s">
        <v>8346</v>
      </c>
      <c r="H4515" s="6" t="s">
        <v>55</v>
      </c>
      <c r="I4515" s="6" t="s">
        <v>8273</v>
      </c>
      <c r="J4515" s="6" t="s">
        <v>91</v>
      </c>
      <c r="K4515" s="12" t="str">
        <f t="shared" si="801"/>
        <v>View Creative</v>
      </c>
      <c r="L4515" s="6" t="s">
        <v>62</v>
      </c>
      <c r="M4515" s="6" t="s">
        <v>8270</v>
      </c>
      <c r="N4515" s="6"/>
      <c r="O4515" s="36" t="s">
        <v>7541</v>
      </c>
      <c r="P4515" s="36" t="s">
        <v>7542</v>
      </c>
      <c r="Q4515" s="38"/>
    </row>
    <row r="4516">
      <c r="A4516" s="6" t="s">
        <v>8270</v>
      </c>
      <c r="B4516" s="6" t="s">
        <v>8271</v>
      </c>
      <c r="C4516" s="6">
        <v>465.0</v>
      </c>
      <c r="D4516" s="9" t="str">
        <f t="shared" ref="D4516:D4517" si="802">HYPERLINK("https://www.linkedin.com/ad-library/detail/1148702634","Open Ad")</f>
        <v>Open Ad</v>
      </c>
      <c r="E4516" s="6" t="s">
        <v>91</v>
      </c>
      <c r="F4516" s="6" t="s">
        <v>8022</v>
      </c>
      <c r="G4516" s="6" t="s">
        <v>8337</v>
      </c>
      <c r="H4516" s="6" t="s">
        <v>55</v>
      </c>
      <c r="I4516" s="6" t="s">
        <v>8273</v>
      </c>
      <c r="J4516" s="6" t="s">
        <v>91</v>
      </c>
      <c r="K4516" s="12" t="str">
        <f t="shared" ref="K4516:K4517" si="803">HYPERLINK("https://media.licdn.com/dms/image/v2/D4E10AQFh3wRxQvxaHQ/image-shrink_1280/B4EZybCootIEAc-/0/1772127685632/Directory3AIVisibilityAgencyDirectorypng?e=2147483647&amp;v=beta&amp;t=M1uiPNOy86K4MsoZ3jwd4aJvyNEBdZcCGNZCw8tfIyo","View Creative")</f>
        <v>View Creative</v>
      </c>
      <c r="L4516" s="6" t="s">
        <v>62</v>
      </c>
      <c r="M4516" s="6" t="s">
        <v>8270</v>
      </c>
      <c r="N4516" s="6"/>
      <c r="O4516" s="36" t="s">
        <v>7541</v>
      </c>
      <c r="P4516" s="36" t="s">
        <v>7542</v>
      </c>
      <c r="Q4516" s="38"/>
    </row>
    <row r="4517">
      <c r="A4517" s="6" t="s">
        <v>8270</v>
      </c>
      <c r="B4517" s="6" t="s">
        <v>8271</v>
      </c>
      <c r="C4517" s="6">
        <v>466.0</v>
      </c>
      <c r="D4517" s="9" t="str">
        <f t="shared" si="802"/>
        <v>Open Ad</v>
      </c>
      <c r="E4517" s="6" t="s">
        <v>91</v>
      </c>
      <c r="F4517" s="6" t="s">
        <v>8022</v>
      </c>
      <c r="G4517" s="6" t="s">
        <v>8337</v>
      </c>
      <c r="H4517" s="6" t="s">
        <v>55</v>
      </c>
      <c r="I4517" s="6" t="s">
        <v>8273</v>
      </c>
      <c r="J4517" s="6" t="s">
        <v>91</v>
      </c>
      <c r="K4517" s="12" t="str">
        <f t="shared" si="803"/>
        <v>View Creative</v>
      </c>
      <c r="L4517" s="6" t="s">
        <v>62</v>
      </c>
      <c r="M4517" s="6" t="s">
        <v>8270</v>
      </c>
      <c r="N4517" s="6"/>
      <c r="O4517" s="36" t="s">
        <v>7541</v>
      </c>
      <c r="P4517" s="36" t="s">
        <v>7542</v>
      </c>
      <c r="Q4517" s="38"/>
    </row>
    <row r="4518">
      <c r="A4518" s="6" t="s">
        <v>8270</v>
      </c>
      <c r="B4518" s="6" t="s">
        <v>8271</v>
      </c>
      <c r="C4518" s="6">
        <v>467.0</v>
      </c>
      <c r="D4518" s="9" t="str">
        <f t="shared" ref="D4518:D4519" si="804">HYPERLINK("https://www.linkedin.com/ad-library/detail/1149302284","Open Ad")</f>
        <v>Open Ad</v>
      </c>
      <c r="E4518" s="6" t="s">
        <v>91</v>
      </c>
      <c r="F4518" s="6" t="s">
        <v>8022</v>
      </c>
      <c r="G4518" s="6" t="s">
        <v>8331</v>
      </c>
      <c r="H4518" s="6" t="s">
        <v>55</v>
      </c>
      <c r="I4518" s="6" t="s">
        <v>8273</v>
      </c>
      <c r="J4518" s="6" t="s">
        <v>91</v>
      </c>
      <c r="K4518" s="12" t="str">
        <f t="shared" ref="K4518:K4519" si="805">HYPERLINK("https://media.licdn.com/dms/image/v2/D4E10AQGtKok9G8Co_w/image-shrink_1280/B4EZybCoR6GYAc-/0/1772127684186/Directory1GetExpertHelpforAISearchpng?e=2147483647&amp;v=beta&amp;t=yrXbbpw2S9-81UaSPTZiQy5YHeY24f0r4iwEMY9FO9E","View Creative")</f>
        <v>View Creative</v>
      </c>
      <c r="L4518" s="6" t="s">
        <v>62</v>
      </c>
      <c r="M4518" s="6" t="s">
        <v>8270</v>
      </c>
      <c r="N4518" s="6"/>
      <c r="O4518" s="36" t="s">
        <v>7541</v>
      </c>
      <c r="P4518" s="36" t="s">
        <v>7542</v>
      </c>
      <c r="Q4518" s="38"/>
    </row>
    <row r="4519">
      <c r="A4519" s="6" t="s">
        <v>8270</v>
      </c>
      <c r="B4519" s="6" t="s">
        <v>8271</v>
      </c>
      <c r="C4519" s="6">
        <v>468.0</v>
      </c>
      <c r="D4519" s="9" t="str">
        <f t="shared" si="804"/>
        <v>Open Ad</v>
      </c>
      <c r="E4519" s="6" t="s">
        <v>91</v>
      </c>
      <c r="F4519" s="6" t="s">
        <v>8022</v>
      </c>
      <c r="G4519" s="6" t="s">
        <v>8331</v>
      </c>
      <c r="H4519" s="6" t="s">
        <v>55</v>
      </c>
      <c r="I4519" s="6" t="s">
        <v>8273</v>
      </c>
      <c r="J4519" s="6" t="s">
        <v>91</v>
      </c>
      <c r="K4519" s="12" t="str">
        <f t="shared" si="805"/>
        <v>View Creative</v>
      </c>
      <c r="L4519" s="6" t="s">
        <v>62</v>
      </c>
      <c r="M4519" s="6" t="s">
        <v>8270</v>
      </c>
      <c r="N4519" s="6"/>
      <c r="O4519" s="36" t="s">
        <v>7541</v>
      </c>
      <c r="P4519" s="36" t="s">
        <v>7542</v>
      </c>
      <c r="Q4519" s="38"/>
    </row>
    <row r="4520">
      <c r="A4520" s="6" t="s">
        <v>8270</v>
      </c>
      <c r="B4520" s="6" t="s">
        <v>8271</v>
      </c>
      <c r="C4520" s="6">
        <v>469.0</v>
      </c>
      <c r="D4520" s="9" t="str">
        <f t="shared" ref="D4520:D4521" si="806">HYPERLINK("https://www.linkedin.com/ad-library/detail/1149602564","Open Ad")</f>
        <v>Open Ad</v>
      </c>
      <c r="E4520" s="6" t="s">
        <v>91</v>
      </c>
      <c r="F4520" s="6" t="s">
        <v>8022</v>
      </c>
      <c r="G4520" s="6" t="s">
        <v>8335</v>
      </c>
      <c r="H4520" s="6" t="s">
        <v>55</v>
      </c>
      <c r="I4520" s="6" t="s">
        <v>8273</v>
      </c>
      <c r="J4520" s="6" t="s">
        <v>91</v>
      </c>
      <c r="K4520" s="12" t="str">
        <f t="shared" ref="K4520:K4521" si="807">HYPERLINK("https://media.licdn.com/dms/image/v2/D4E10AQENGNql_Hfi3w/image-shrink_1280/B4EZybChuMHkAc-/0/1772127657303/Directory2GetExpertHelpforAISearchpng?e=2147483647&amp;v=beta&amp;t=N05A1GpFf-MaOO-coxz8xvXUeDa3TTrq2hacW3d7_j4","View Creative")</f>
        <v>View Creative</v>
      </c>
      <c r="L4520" s="6" t="s">
        <v>62</v>
      </c>
      <c r="M4520" s="6" t="s">
        <v>8270</v>
      </c>
      <c r="N4520" s="6"/>
      <c r="O4520" s="36" t="s">
        <v>7541</v>
      </c>
      <c r="P4520" s="36" t="s">
        <v>7542</v>
      </c>
      <c r="Q4520" s="38"/>
    </row>
    <row r="4521">
      <c r="A4521" s="6" t="s">
        <v>8270</v>
      </c>
      <c r="B4521" s="6" t="s">
        <v>8271</v>
      </c>
      <c r="C4521" s="6">
        <v>470.0</v>
      </c>
      <c r="D4521" s="9" t="str">
        <f t="shared" si="806"/>
        <v>Open Ad</v>
      </c>
      <c r="E4521" s="6" t="s">
        <v>91</v>
      </c>
      <c r="F4521" s="6" t="s">
        <v>8022</v>
      </c>
      <c r="G4521" s="6" t="s">
        <v>8335</v>
      </c>
      <c r="H4521" s="6" t="s">
        <v>55</v>
      </c>
      <c r="I4521" s="6" t="s">
        <v>8273</v>
      </c>
      <c r="J4521" s="6" t="s">
        <v>91</v>
      </c>
      <c r="K4521" s="12" t="str">
        <f t="shared" si="807"/>
        <v>View Creative</v>
      </c>
      <c r="L4521" s="6" t="s">
        <v>62</v>
      </c>
      <c r="M4521" s="6" t="s">
        <v>8270</v>
      </c>
      <c r="N4521" s="6"/>
      <c r="O4521" s="36" t="s">
        <v>7541</v>
      </c>
      <c r="P4521" s="36" t="s">
        <v>7542</v>
      </c>
      <c r="Q4521" s="38"/>
    </row>
    <row r="4522">
      <c r="A4522" s="6" t="s">
        <v>8270</v>
      </c>
      <c r="B4522" s="6" t="s">
        <v>8271</v>
      </c>
      <c r="C4522" s="6">
        <v>471.0</v>
      </c>
      <c r="D4522" s="9" t="str">
        <f t="shared" ref="D4522:D4523" si="808">HYPERLINK("https://www.linkedin.com/ad-library/detail/1148702644","Open Ad")</f>
        <v>Open Ad</v>
      </c>
      <c r="E4522" s="6" t="s">
        <v>91</v>
      </c>
      <c r="F4522" s="6" t="s">
        <v>8022</v>
      </c>
      <c r="G4522" s="6" t="s">
        <v>8331</v>
      </c>
      <c r="H4522" s="6" t="s">
        <v>55</v>
      </c>
      <c r="I4522" s="6" t="s">
        <v>8273</v>
      </c>
      <c r="J4522" s="6" t="s">
        <v>91</v>
      </c>
      <c r="K4522" s="12" t="str">
        <f t="shared" ref="K4522:K4523" si="809">HYPERLINK("https://media.licdn.com/dms/image/v2/D4E10AQGtKok9G8Co_w/image-shrink_1280/B4EZybCoR6GYAc-/0/1772127684186/Directory1GetExpertHelpforAISearchpng?e=2147483647&amp;v=beta&amp;t=yrXbbpw2S9-81UaSPTZiQy5YHeY24f0r4iwEMY9FO9E","View Creative")</f>
        <v>View Creative</v>
      </c>
      <c r="L4522" s="6" t="s">
        <v>62</v>
      </c>
      <c r="M4522" s="6" t="s">
        <v>8270</v>
      </c>
      <c r="N4522" s="6"/>
      <c r="O4522" s="36" t="s">
        <v>7541</v>
      </c>
      <c r="P4522" s="36" t="s">
        <v>7542</v>
      </c>
      <c r="Q4522" s="38"/>
    </row>
    <row r="4523">
      <c r="A4523" s="6" t="s">
        <v>8270</v>
      </c>
      <c r="B4523" s="6" t="s">
        <v>8271</v>
      </c>
      <c r="C4523" s="6">
        <v>472.0</v>
      </c>
      <c r="D4523" s="9" t="str">
        <f t="shared" si="808"/>
        <v>Open Ad</v>
      </c>
      <c r="E4523" s="6" t="s">
        <v>91</v>
      </c>
      <c r="F4523" s="6" t="s">
        <v>8022</v>
      </c>
      <c r="G4523" s="6" t="s">
        <v>8331</v>
      </c>
      <c r="H4523" s="6" t="s">
        <v>55</v>
      </c>
      <c r="I4523" s="6" t="s">
        <v>8273</v>
      </c>
      <c r="J4523" s="6" t="s">
        <v>91</v>
      </c>
      <c r="K4523" s="12" t="str">
        <f t="shared" si="809"/>
        <v>View Creative</v>
      </c>
      <c r="L4523" s="6" t="s">
        <v>62</v>
      </c>
      <c r="M4523" s="6" t="s">
        <v>8270</v>
      </c>
      <c r="N4523" s="6"/>
      <c r="O4523" s="36" t="s">
        <v>7541</v>
      </c>
      <c r="P4523" s="36" t="s">
        <v>7542</v>
      </c>
      <c r="Q4523" s="38"/>
    </row>
    <row r="4524">
      <c r="A4524" s="6" t="s">
        <v>8270</v>
      </c>
      <c r="B4524" s="6" t="s">
        <v>8271</v>
      </c>
      <c r="C4524" s="6">
        <v>473.0</v>
      </c>
      <c r="D4524" s="9" t="str">
        <f t="shared" ref="D4524:D4525" si="810">HYPERLINK("https://www.linkedin.com/ad-library/detail/1150289124","Open Ad")</f>
        <v>Open Ad</v>
      </c>
      <c r="E4524" s="6" t="s">
        <v>91</v>
      </c>
      <c r="F4524" s="6" t="s">
        <v>8022</v>
      </c>
      <c r="G4524" s="6" t="s">
        <v>8350</v>
      </c>
      <c r="H4524" s="6" t="s">
        <v>55</v>
      </c>
      <c r="I4524" s="6" t="s">
        <v>8273</v>
      </c>
      <c r="J4524" s="6" t="s">
        <v>91</v>
      </c>
      <c r="K4524" s="12" t="str">
        <f t="shared" ref="K4524:K4525" si="811">HYPERLINK("https://media.licdn.com/dms/image/v2/D4E10AQHXd2CW_zULWg/image-shrink_1280/B4EZyMTHeUIMAc-/0/1771880348132/ActionTracker2YourAIvisibilitymetricsnowcomewithnextstepspng?e=2147483647&amp;v=beta&amp;t=NzDfAuilwUb2OeIQyBhjLRFVPNtcg2-ZxbDzGP7o3vs","View Creative")</f>
        <v>View Creative</v>
      </c>
      <c r="L4524" s="6" t="s">
        <v>62</v>
      </c>
      <c r="M4524" s="6" t="s">
        <v>8270</v>
      </c>
      <c r="N4524" s="6" t="s">
        <v>8352</v>
      </c>
      <c r="O4524" s="36" t="s">
        <v>7541</v>
      </c>
      <c r="P4524" s="36" t="s">
        <v>7542</v>
      </c>
      <c r="Q4524" s="38"/>
    </row>
    <row r="4525">
      <c r="A4525" s="6" t="s">
        <v>8270</v>
      </c>
      <c r="B4525" s="6" t="s">
        <v>8271</v>
      </c>
      <c r="C4525" s="6">
        <v>474.0</v>
      </c>
      <c r="D4525" s="9" t="str">
        <f t="shared" si="810"/>
        <v>Open Ad</v>
      </c>
      <c r="E4525" s="6" t="s">
        <v>91</v>
      </c>
      <c r="F4525" s="6" t="s">
        <v>8022</v>
      </c>
      <c r="G4525" s="6" t="s">
        <v>8350</v>
      </c>
      <c r="H4525" s="6" t="s">
        <v>55</v>
      </c>
      <c r="I4525" s="6" t="s">
        <v>8273</v>
      </c>
      <c r="J4525" s="6" t="s">
        <v>91</v>
      </c>
      <c r="K4525" s="12" t="str">
        <f t="shared" si="811"/>
        <v>View Creative</v>
      </c>
      <c r="L4525" s="6" t="s">
        <v>62</v>
      </c>
      <c r="M4525" s="6" t="s">
        <v>8270</v>
      </c>
      <c r="N4525" s="6" t="s">
        <v>8352</v>
      </c>
      <c r="O4525" s="36" t="s">
        <v>7541</v>
      </c>
      <c r="P4525" s="36" t="s">
        <v>7542</v>
      </c>
      <c r="Q4525" s="38"/>
    </row>
    <row r="4526">
      <c r="A4526" s="6" t="s">
        <v>8270</v>
      </c>
      <c r="B4526" s="6" t="s">
        <v>8271</v>
      </c>
      <c r="C4526" s="6">
        <v>475.0</v>
      </c>
      <c r="D4526" s="9" t="str">
        <f t="shared" ref="D4526:D4527" si="812">HYPERLINK("https://www.linkedin.com/ad-library/detail/1149102944","Open Ad")</f>
        <v>Open Ad</v>
      </c>
      <c r="E4526" s="6" t="s">
        <v>91</v>
      </c>
      <c r="F4526" s="6" t="s">
        <v>8022</v>
      </c>
      <c r="G4526" s="6" t="s">
        <v>8347</v>
      </c>
      <c r="H4526" s="6" t="s">
        <v>55</v>
      </c>
      <c r="I4526" s="6" t="s">
        <v>8273</v>
      </c>
      <c r="J4526" s="6" t="s">
        <v>91</v>
      </c>
      <c r="K4526" s="12" t="str">
        <f t="shared" ref="K4526:K4527" si="813">HYPERLINK("https://media.licdn.com/dms/image/v2/D4E10AQEujPuW92_whg/image-shrink_1280/B4EZybChqwHMAc-/0/1772127657019/Directory2AIVisibilityAgencyDirectorypng?e=2147483647&amp;v=beta&amp;t=Z6MAKWzMej5_jYQRlmJ4y7bDcR6D_e69xbTN9r9L-9o","View Creative")</f>
        <v>View Creative</v>
      </c>
      <c r="L4526" s="6" t="s">
        <v>62</v>
      </c>
      <c r="M4526" s="6" t="s">
        <v>8270</v>
      </c>
      <c r="N4526" s="6"/>
      <c r="O4526" s="36" t="s">
        <v>7541</v>
      </c>
      <c r="P4526" s="36" t="s">
        <v>7542</v>
      </c>
      <c r="Q4526" s="38"/>
    </row>
    <row r="4527">
      <c r="A4527" s="6" t="s">
        <v>8270</v>
      </c>
      <c r="B4527" s="6" t="s">
        <v>8271</v>
      </c>
      <c r="C4527" s="6">
        <v>476.0</v>
      </c>
      <c r="D4527" s="9" t="str">
        <f t="shared" si="812"/>
        <v>Open Ad</v>
      </c>
      <c r="E4527" s="6" t="s">
        <v>91</v>
      </c>
      <c r="F4527" s="6" t="s">
        <v>8022</v>
      </c>
      <c r="G4527" s="6" t="s">
        <v>8347</v>
      </c>
      <c r="H4527" s="6" t="s">
        <v>55</v>
      </c>
      <c r="I4527" s="6" t="s">
        <v>8273</v>
      </c>
      <c r="J4527" s="6" t="s">
        <v>91</v>
      </c>
      <c r="K4527" s="12" t="str">
        <f t="shared" si="813"/>
        <v>View Creative</v>
      </c>
      <c r="L4527" s="6" t="s">
        <v>62</v>
      </c>
      <c r="M4527" s="6" t="s">
        <v>8270</v>
      </c>
      <c r="N4527" s="6"/>
      <c r="O4527" s="36" t="s">
        <v>7541</v>
      </c>
      <c r="P4527" s="36" t="s">
        <v>7542</v>
      </c>
      <c r="Q4527" s="38"/>
    </row>
    <row r="4528">
      <c r="A4528" s="6" t="s">
        <v>8270</v>
      </c>
      <c r="B4528" s="6" t="s">
        <v>8271</v>
      </c>
      <c r="C4528" s="6">
        <v>477.0</v>
      </c>
      <c r="D4528" s="9" t="str">
        <f t="shared" ref="D4528:D4529" si="814">HYPERLINK("https://www.linkedin.com/ad-library/detail/1150802364","Open Ad")</f>
        <v>Open Ad</v>
      </c>
      <c r="E4528" s="6" t="s">
        <v>91</v>
      </c>
      <c r="F4528" s="6" t="s">
        <v>8022</v>
      </c>
      <c r="G4528" s="6" t="s">
        <v>8342</v>
      </c>
      <c r="H4528" s="6" t="s">
        <v>55</v>
      </c>
      <c r="I4528" s="6" t="s">
        <v>8273</v>
      </c>
      <c r="J4528" s="6" t="s">
        <v>91</v>
      </c>
      <c r="K4528" s="12" t="str">
        <f t="shared" ref="K4528:K4529" si="815">HYPERLINK("https://media.licdn.com/dms/image/v2/D4E10AQHWBSAv8yIJ1Q/image-shrink_1280/B4EZybChrqIEAg-/0/1772127657140/Directory1AIVisibilityAgencyDirectorypng?e=2147483647&amp;v=beta&amp;t=GNhKLHJ19CMay96XBo6Nig-ruRSdoSKvl1ZlFYRysUM","View Creative")</f>
        <v>View Creative</v>
      </c>
      <c r="L4528" s="6" t="s">
        <v>62</v>
      </c>
      <c r="M4528" s="6" t="s">
        <v>8270</v>
      </c>
      <c r="N4528" s="6"/>
      <c r="O4528" s="36" t="s">
        <v>7541</v>
      </c>
      <c r="P4528" s="36" t="s">
        <v>7542</v>
      </c>
      <c r="Q4528" s="38"/>
    </row>
    <row r="4529">
      <c r="A4529" s="6" t="s">
        <v>8270</v>
      </c>
      <c r="B4529" s="6" t="s">
        <v>8271</v>
      </c>
      <c r="C4529" s="6">
        <v>478.0</v>
      </c>
      <c r="D4529" s="9" t="str">
        <f t="shared" si="814"/>
        <v>Open Ad</v>
      </c>
      <c r="E4529" s="6" t="s">
        <v>91</v>
      </c>
      <c r="F4529" s="6" t="s">
        <v>8022</v>
      </c>
      <c r="G4529" s="6" t="s">
        <v>8342</v>
      </c>
      <c r="H4529" s="6" t="s">
        <v>55</v>
      </c>
      <c r="I4529" s="6" t="s">
        <v>8273</v>
      </c>
      <c r="J4529" s="6" t="s">
        <v>91</v>
      </c>
      <c r="K4529" s="12" t="str">
        <f t="shared" si="815"/>
        <v>View Creative</v>
      </c>
      <c r="L4529" s="6" t="s">
        <v>62</v>
      </c>
      <c r="M4529" s="6" t="s">
        <v>8270</v>
      </c>
      <c r="N4529" s="6"/>
      <c r="O4529" s="36" t="s">
        <v>7541</v>
      </c>
      <c r="P4529" s="36" t="s">
        <v>7542</v>
      </c>
      <c r="Q4529" s="38"/>
    </row>
    <row r="4530">
      <c r="A4530" s="6" t="s">
        <v>8270</v>
      </c>
      <c r="B4530" s="6" t="s">
        <v>8271</v>
      </c>
      <c r="C4530" s="6">
        <v>479.0</v>
      </c>
      <c r="D4530" s="9" t="str">
        <f t="shared" ref="D4530:D4531" si="816">HYPERLINK("https://www.linkedin.com/ad-library/detail/1148789324","Open Ad")</f>
        <v>Open Ad</v>
      </c>
      <c r="E4530" s="6" t="s">
        <v>91</v>
      </c>
      <c r="F4530" s="6" t="s">
        <v>8022</v>
      </c>
      <c r="G4530" s="6" t="s">
        <v>8344</v>
      </c>
      <c r="H4530" s="6" t="s">
        <v>55</v>
      </c>
      <c r="I4530" s="6" t="s">
        <v>8273</v>
      </c>
      <c r="J4530" s="6" t="s">
        <v>91</v>
      </c>
      <c r="K4530" s="12" t="str">
        <f t="shared" ref="K4530:K4531" si="817">HYPERLINK("https://media.licdn.com/dms/image/v2/D4E10AQG_fR28v9KqCQ/image-shrink_1280/B4EZyMQzWuH0Ag-/0/1771879741823/ActionTracker1FromAIsearchanalyticstoclearnextstepspng?e=2147483647&amp;v=beta&amp;t=0vyT_z6hi-EJzcEE7BFeO1VVAl3pIj2aVVBCz9EPkk0","View Creative")</f>
        <v>View Creative</v>
      </c>
      <c r="L4530" s="6" t="s">
        <v>62</v>
      </c>
      <c r="M4530" s="6" t="s">
        <v>8270</v>
      </c>
      <c r="N4530" s="6" t="s">
        <v>8352</v>
      </c>
      <c r="O4530" s="36" t="s">
        <v>7541</v>
      </c>
      <c r="P4530" s="36" t="s">
        <v>7542</v>
      </c>
      <c r="Q4530" s="38"/>
    </row>
    <row r="4531">
      <c r="A4531" s="6" t="s">
        <v>8270</v>
      </c>
      <c r="B4531" s="6" t="s">
        <v>8271</v>
      </c>
      <c r="C4531" s="6">
        <v>480.0</v>
      </c>
      <c r="D4531" s="9" t="str">
        <f t="shared" si="816"/>
        <v>Open Ad</v>
      </c>
      <c r="E4531" s="6" t="s">
        <v>91</v>
      </c>
      <c r="F4531" s="6" t="s">
        <v>8022</v>
      </c>
      <c r="G4531" s="6" t="s">
        <v>8344</v>
      </c>
      <c r="H4531" s="6" t="s">
        <v>55</v>
      </c>
      <c r="I4531" s="6" t="s">
        <v>8273</v>
      </c>
      <c r="J4531" s="6" t="s">
        <v>91</v>
      </c>
      <c r="K4531" s="12" t="str">
        <f t="shared" si="817"/>
        <v>View Creative</v>
      </c>
      <c r="L4531" s="6" t="s">
        <v>62</v>
      </c>
      <c r="M4531" s="6" t="s">
        <v>8270</v>
      </c>
      <c r="N4531" s="6" t="s">
        <v>8352</v>
      </c>
      <c r="O4531" s="36" t="s">
        <v>7541</v>
      </c>
      <c r="P4531" s="36" t="s">
        <v>7542</v>
      </c>
      <c r="Q4531" s="38"/>
    </row>
    <row r="4532">
      <c r="A4532" s="6" t="s">
        <v>8270</v>
      </c>
      <c r="B4532" s="6" t="s">
        <v>8271</v>
      </c>
      <c r="C4532" s="6">
        <v>481.0</v>
      </c>
      <c r="D4532" s="9" t="str">
        <f t="shared" ref="D4532:D4533" si="818">HYPERLINK("https://www.linkedin.com/ad-library/detail/1150301864","Open Ad")</f>
        <v>Open Ad</v>
      </c>
      <c r="E4532" s="6" t="s">
        <v>91</v>
      </c>
      <c r="F4532" s="6" t="s">
        <v>8022</v>
      </c>
      <c r="G4532" s="6" t="s">
        <v>8342</v>
      </c>
      <c r="H4532" s="6" t="s">
        <v>55</v>
      </c>
      <c r="I4532" s="6" t="s">
        <v>8273</v>
      </c>
      <c r="J4532" s="6" t="s">
        <v>91</v>
      </c>
      <c r="K4532" s="12" t="str">
        <f t="shared" ref="K4532:K4533" si="819">HYPERLINK("https://media.licdn.com/dms/image/v2/D4E10AQHWBSAv8yIJ1Q/image-shrink_1280/B4EZybChrqIEAg-/0/1772127657140/Directory1AIVisibilityAgencyDirectorypng?e=2147483647&amp;v=beta&amp;t=GNhKLHJ19CMay96XBo6Nig-ruRSdoSKvl1ZlFYRysUM","View Creative")</f>
        <v>View Creative</v>
      </c>
      <c r="L4532" s="6" t="s">
        <v>62</v>
      </c>
      <c r="M4532" s="6" t="s">
        <v>8270</v>
      </c>
      <c r="N4532" s="6"/>
      <c r="O4532" s="36" t="s">
        <v>7541</v>
      </c>
      <c r="P4532" s="36" t="s">
        <v>7542</v>
      </c>
      <c r="Q4532" s="38"/>
    </row>
    <row r="4533">
      <c r="A4533" s="6" t="s">
        <v>8270</v>
      </c>
      <c r="B4533" s="6" t="s">
        <v>8271</v>
      </c>
      <c r="C4533" s="6">
        <v>482.0</v>
      </c>
      <c r="D4533" s="9" t="str">
        <f t="shared" si="818"/>
        <v>Open Ad</v>
      </c>
      <c r="E4533" s="6" t="s">
        <v>91</v>
      </c>
      <c r="F4533" s="6" t="s">
        <v>8022</v>
      </c>
      <c r="G4533" s="6" t="s">
        <v>8342</v>
      </c>
      <c r="H4533" s="6" t="s">
        <v>55</v>
      </c>
      <c r="I4533" s="6" t="s">
        <v>8273</v>
      </c>
      <c r="J4533" s="6" t="s">
        <v>91</v>
      </c>
      <c r="K4533" s="12" t="str">
        <f t="shared" si="819"/>
        <v>View Creative</v>
      </c>
      <c r="L4533" s="6" t="s">
        <v>62</v>
      </c>
      <c r="M4533" s="6" t="s">
        <v>8270</v>
      </c>
      <c r="N4533" s="6"/>
      <c r="O4533" s="36" t="s">
        <v>7541</v>
      </c>
      <c r="P4533" s="36" t="s">
        <v>7542</v>
      </c>
      <c r="Q4533" s="38"/>
    </row>
    <row r="4534">
      <c r="A4534" s="6" t="s">
        <v>8270</v>
      </c>
      <c r="B4534" s="6" t="s">
        <v>8271</v>
      </c>
      <c r="C4534" s="6">
        <v>483.0</v>
      </c>
      <c r="D4534" s="9" t="str">
        <f t="shared" ref="D4534:D4535" si="820">HYPERLINK("https://www.linkedin.com/ad-library/detail/1149389054","Open Ad")</f>
        <v>Open Ad</v>
      </c>
      <c r="E4534" s="6" t="s">
        <v>91</v>
      </c>
      <c r="F4534" s="6" t="s">
        <v>8022</v>
      </c>
      <c r="G4534" s="6" t="s">
        <v>8348</v>
      </c>
      <c r="H4534" s="6" t="s">
        <v>55</v>
      </c>
      <c r="I4534" s="6" t="s">
        <v>8273</v>
      </c>
      <c r="J4534" s="6" t="s">
        <v>91</v>
      </c>
      <c r="K4534" s="12" t="str">
        <f t="shared" ref="K4534:K4535" si="821">HYPERLINK("https://media.licdn.com/dms/image/v2/D4E10AQEmkDLD4X437g/image-shrink_1280/B4EZyMRzsbKcAc-/0/1771880004998/ActionTracker4MeetActionspng?e=2147483647&amp;v=beta&amp;t=kBgjNRWbWwLkMbleB2r9e5Py7gwb2WX7uk3InZ1YbS8","View Creative")</f>
        <v>View Creative</v>
      </c>
      <c r="L4534" s="6" t="s">
        <v>62</v>
      </c>
      <c r="M4534" s="6" t="s">
        <v>8270</v>
      </c>
      <c r="N4534" s="6"/>
      <c r="O4534" s="36" t="s">
        <v>7541</v>
      </c>
      <c r="P4534" s="36" t="s">
        <v>7542</v>
      </c>
      <c r="Q4534" s="38"/>
    </row>
    <row r="4535">
      <c r="A4535" s="6" t="s">
        <v>8270</v>
      </c>
      <c r="B4535" s="6" t="s">
        <v>8271</v>
      </c>
      <c r="C4535" s="6">
        <v>484.0</v>
      </c>
      <c r="D4535" s="9" t="str">
        <f t="shared" si="820"/>
        <v>Open Ad</v>
      </c>
      <c r="E4535" s="6" t="s">
        <v>91</v>
      </c>
      <c r="F4535" s="6" t="s">
        <v>8022</v>
      </c>
      <c r="G4535" s="6" t="s">
        <v>8348</v>
      </c>
      <c r="H4535" s="6" t="s">
        <v>55</v>
      </c>
      <c r="I4535" s="6" t="s">
        <v>8273</v>
      </c>
      <c r="J4535" s="6" t="s">
        <v>91</v>
      </c>
      <c r="K4535" s="12" t="str">
        <f t="shared" si="821"/>
        <v>View Creative</v>
      </c>
      <c r="L4535" s="6" t="s">
        <v>62</v>
      </c>
      <c r="M4535" s="6" t="s">
        <v>8270</v>
      </c>
      <c r="N4535" s="6"/>
      <c r="O4535" s="36" t="s">
        <v>7541</v>
      </c>
      <c r="P4535" s="36" t="s">
        <v>7542</v>
      </c>
      <c r="Q4535" s="38"/>
    </row>
    <row r="4536">
      <c r="A4536" s="6" t="s">
        <v>8270</v>
      </c>
      <c r="B4536" s="6" t="s">
        <v>8271</v>
      </c>
      <c r="C4536" s="6">
        <v>485.0</v>
      </c>
      <c r="D4536" s="9" t="str">
        <f t="shared" ref="D4536:D4537" si="822">HYPERLINK("https://www.linkedin.com/ad-library/detail/1150487894","Open Ad")</f>
        <v>Open Ad</v>
      </c>
      <c r="E4536" s="6" t="s">
        <v>91</v>
      </c>
      <c r="F4536" s="6" t="s">
        <v>8022</v>
      </c>
      <c r="G4536" s="6" t="s">
        <v>8344</v>
      </c>
      <c r="H4536" s="6" t="s">
        <v>55</v>
      </c>
      <c r="I4536" s="6" t="s">
        <v>8273</v>
      </c>
      <c r="J4536" s="6" t="s">
        <v>91</v>
      </c>
      <c r="K4536" s="12" t="str">
        <f t="shared" ref="K4536:K4537" si="823">HYPERLINK("https://media.licdn.com/dms/image/v2/D4E10AQE2-Q-XQyh4jQ/image-shrink_1280/B4EZyMSYfcGkAc-/0/1771880155697/Revolut1YourAIvisibilitymetricsnowcomewithnextstepspng?e=2147483647&amp;v=beta&amp;t=LKmS_a81BSZ-NPd8l1zFFSH_lc6bELzX32H4-DFcGM0","View Creative")</f>
        <v>View Creative</v>
      </c>
      <c r="L4536" s="6" t="s">
        <v>62</v>
      </c>
      <c r="M4536" s="6" t="s">
        <v>8270</v>
      </c>
      <c r="N4536" s="6" t="s">
        <v>8352</v>
      </c>
      <c r="O4536" s="36" t="s">
        <v>7541</v>
      </c>
      <c r="P4536" s="36" t="s">
        <v>7542</v>
      </c>
      <c r="Q4536" s="38"/>
    </row>
    <row r="4537">
      <c r="A4537" s="6" t="s">
        <v>8270</v>
      </c>
      <c r="B4537" s="6" t="s">
        <v>8271</v>
      </c>
      <c r="C4537" s="6">
        <v>486.0</v>
      </c>
      <c r="D4537" s="9" t="str">
        <f t="shared" si="822"/>
        <v>Open Ad</v>
      </c>
      <c r="E4537" s="6" t="s">
        <v>91</v>
      </c>
      <c r="F4537" s="6" t="s">
        <v>8022</v>
      </c>
      <c r="G4537" s="6" t="s">
        <v>8344</v>
      </c>
      <c r="H4537" s="6" t="s">
        <v>55</v>
      </c>
      <c r="I4537" s="6" t="s">
        <v>8273</v>
      </c>
      <c r="J4537" s="6" t="s">
        <v>91</v>
      </c>
      <c r="K4537" s="12" t="str">
        <f t="shared" si="823"/>
        <v>View Creative</v>
      </c>
      <c r="L4537" s="6" t="s">
        <v>62</v>
      </c>
      <c r="M4537" s="6" t="s">
        <v>8270</v>
      </c>
      <c r="N4537" s="6" t="s">
        <v>8352</v>
      </c>
      <c r="O4537" s="36" t="s">
        <v>7541</v>
      </c>
      <c r="P4537" s="36" t="s">
        <v>7542</v>
      </c>
      <c r="Q4537" s="38"/>
    </row>
    <row r="4538">
      <c r="A4538" s="6" t="s">
        <v>8270</v>
      </c>
      <c r="B4538" s="6" t="s">
        <v>8271</v>
      </c>
      <c r="C4538" s="6">
        <v>487.0</v>
      </c>
      <c r="D4538" s="9" t="str">
        <f t="shared" ref="D4538:D4539" si="824">HYPERLINK("https://www.linkedin.com/ad-library/detail/1149889604","Open Ad")</f>
        <v>Open Ad</v>
      </c>
      <c r="E4538" s="6" t="s">
        <v>91</v>
      </c>
      <c r="F4538" s="6" t="s">
        <v>8022</v>
      </c>
      <c r="G4538" s="6" t="s">
        <v>8344</v>
      </c>
      <c r="H4538" s="6" t="s">
        <v>55</v>
      </c>
      <c r="I4538" s="6" t="s">
        <v>8273</v>
      </c>
      <c r="J4538" s="6" t="s">
        <v>91</v>
      </c>
      <c r="K4538" s="12" t="str">
        <f t="shared" ref="K4538:K4541" si="825">HYPERLINK("https://media.licdn.com/dms/image/v2/D4E10AQG_fR28v9KqCQ/image-shrink_1280/B4EZyMQzWuH0Ag-/0/1771879741823/ActionTracker1FromAIsearchanalyticstoclearnextstepspng?e=2147483647&amp;v=beta&amp;t=0vyT_z6hi-EJzcEE7BFeO1VVAl3pIj2aVVBCz9EPkk0","View Creative")</f>
        <v>View Creative</v>
      </c>
      <c r="L4538" s="6" t="s">
        <v>62</v>
      </c>
      <c r="M4538" s="6" t="s">
        <v>8270</v>
      </c>
      <c r="N4538" s="6"/>
      <c r="O4538" s="36" t="s">
        <v>7541</v>
      </c>
      <c r="P4538" s="36" t="s">
        <v>7542</v>
      </c>
      <c r="Q4538" s="38"/>
    </row>
    <row r="4539">
      <c r="A4539" s="6" t="s">
        <v>8270</v>
      </c>
      <c r="B4539" s="6" t="s">
        <v>8271</v>
      </c>
      <c r="C4539" s="6">
        <v>488.0</v>
      </c>
      <c r="D4539" s="9" t="str">
        <f t="shared" si="824"/>
        <v>Open Ad</v>
      </c>
      <c r="E4539" s="6" t="s">
        <v>91</v>
      </c>
      <c r="F4539" s="6" t="s">
        <v>8022</v>
      </c>
      <c r="G4539" s="6" t="s">
        <v>8344</v>
      </c>
      <c r="H4539" s="6" t="s">
        <v>55</v>
      </c>
      <c r="I4539" s="6" t="s">
        <v>8273</v>
      </c>
      <c r="J4539" s="6" t="s">
        <v>91</v>
      </c>
      <c r="K4539" s="12" t="str">
        <f t="shared" si="825"/>
        <v>View Creative</v>
      </c>
      <c r="L4539" s="6" t="s">
        <v>62</v>
      </c>
      <c r="M4539" s="6" t="s">
        <v>8270</v>
      </c>
      <c r="N4539" s="6"/>
      <c r="O4539" s="36" t="s">
        <v>7541</v>
      </c>
      <c r="P4539" s="36" t="s">
        <v>7542</v>
      </c>
      <c r="Q4539" s="38"/>
    </row>
    <row r="4540">
      <c r="A4540" s="6" t="s">
        <v>8270</v>
      </c>
      <c r="B4540" s="6" t="s">
        <v>8271</v>
      </c>
      <c r="C4540" s="6">
        <v>489.0</v>
      </c>
      <c r="D4540" s="9" t="str">
        <f t="shared" ref="D4540:D4541" si="826">HYPERLINK("https://www.linkedin.com/ad-library/detail/1150187764","Open Ad")</f>
        <v>Open Ad</v>
      </c>
      <c r="E4540" s="6" t="s">
        <v>91</v>
      </c>
      <c r="F4540" s="6" t="s">
        <v>8022</v>
      </c>
      <c r="G4540" s="6" t="s">
        <v>8344</v>
      </c>
      <c r="H4540" s="6" t="s">
        <v>55</v>
      </c>
      <c r="I4540" s="6" t="s">
        <v>8273</v>
      </c>
      <c r="J4540" s="6" t="s">
        <v>91</v>
      </c>
      <c r="K4540" s="12" t="str">
        <f t="shared" si="825"/>
        <v>View Creative</v>
      </c>
      <c r="L4540" s="6" t="s">
        <v>62</v>
      </c>
      <c r="M4540" s="6" t="s">
        <v>8270</v>
      </c>
      <c r="N4540" s="6" t="s">
        <v>8353</v>
      </c>
      <c r="O4540" s="36" t="s">
        <v>7541</v>
      </c>
      <c r="P4540" s="36" t="s">
        <v>7542</v>
      </c>
      <c r="Q4540" s="38"/>
    </row>
    <row r="4541">
      <c r="A4541" s="6" t="s">
        <v>8270</v>
      </c>
      <c r="B4541" s="6" t="s">
        <v>8271</v>
      </c>
      <c r="C4541" s="6">
        <v>490.0</v>
      </c>
      <c r="D4541" s="9" t="str">
        <f t="shared" si="826"/>
        <v>Open Ad</v>
      </c>
      <c r="E4541" s="6" t="s">
        <v>91</v>
      </c>
      <c r="F4541" s="6" t="s">
        <v>8022</v>
      </c>
      <c r="G4541" s="6" t="s">
        <v>8344</v>
      </c>
      <c r="H4541" s="6" t="s">
        <v>55</v>
      </c>
      <c r="I4541" s="6" t="s">
        <v>8273</v>
      </c>
      <c r="J4541" s="6" t="s">
        <v>91</v>
      </c>
      <c r="K4541" s="12" t="str">
        <f t="shared" si="825"/>
        <v>View Creative</v>
      </c>
      <c r="L4541" s="6" t="s">
        <v>62</v>
      </c>
      <c r="M4541" s="6" t="s">
        <v>8270</v>
      </c>
      <c r="N4541" s="6" t="s">
        <v>8353</v>
      </c>
      <c r="O4541" s="36" t="s">
        <v>7541</v>
      </c>
      <c r="P4541" s="36" t="s">
        <v>7542</v>
      </c>
      <c r="Q4541" s="38"/>
    </row>
    <row r="4542">
      <c r="A4542" s="6" t="s">
        <v>8270</v>
      </c>
      <c r="B4542" s="6" t="s">
        <v>8271</v>
      </c>
      <c r="C4542" s="6">
        <v>491.0</v>
      </c>
      <c r="D4542" s="9" t="str">
        <f t="shared" ref="D4542:D4543" si="827">HYPERLINK("https://www.linkedin.com/ad-library/detail/1150188914","Open Ad")</f>
        <v>Open Ad</v>
      </c>
      <c r="E4542" s="6" t="s">
        <v>91</v>
      </c>
      <c r="F4542" s="6" t="s">
        <v>8022</v>
      </c>
      <c r="G4542" s="6" t="s">
        <v>8348</v>
      </c>
      <c r="H4542" s="6" t="s">
        <v>55</v>
      </c>
      <c r="I4542" s="6" t="s">
        <v>8273</v>
      </c>
      <c r="J4542" s="6" t="s">
        <v>91</v>
      </c>
      <c r="K4542" s="12" t="str">
        <f t="shared" ref="K4542:K4543" si="828">HYPERLINK("https://media.licdn.com/dms/image/v2/D4E10AQEmkDLD4X437g/image-shrink_1280/B4EZyMRzsbKcAc-/0/1771880004998/ActionTracker4MeetActionspng?e=2147483647&amp;v=beta&amp;t=kBgjNRWbWwLkMbleB2r9e5Py7gwb2WX7uk3InZ1YbS8","View Creative")</f>
        <v>View Creative</v>
      </c>
      <c r="L4542" s="6" t="s">
        <v>62</v>
      </c>
      <c r="M4542" s="6" t="s">
        <v>8270</v>
      </c>
      <c r="N4542" s="6" t="s">
        <v>8353</v>
      </c>
      <c r="O4542" s="36" t="s">
        <v>7541</v>
      </c>
      <c r="P4542" s="36" t="s">
        <v>7542</v>
      </c>
      <c r="Q4542" s="38"/>
    </row>
    <row r="4543">
      <c r="A4543" s="6" t="s">
        <v>8270</v>
      </c>
      <c r="B4543" s="6" t="s">
        <v>8271</v>
      </c>
      <c r="C4543" s="6">
        <v>492.0</v>
      </c>
      <c r="D4543" s="9" t="str">
        <f t="shared" si="827"/>
        <v>Open Ad</v>
      </c>
      <c r="E4543" s="6" t="s">
        <v>91</v>
      </c>
      <c r="F4543" s="6" t="s">
        <v>8022</v>
      </c>
      <c r="G4543" s="6" t="s">
        <v>8348</v>
      </c>
      <c r="H4543" s="6" t="s">
        <v>55</v>
      </c>
      <c r="I4543" s="6" t="s">
        <v>8273</v>
      </c>
      <c r="J4543" s="6" t="s">
        <v>91</v>
      </c>
      <c r="K4543" s="12" t="str">
        <f t="shared" si="828"/>
        <v>View Creative</v>
      </c>
      <c r="L4543" s="6" t="s">
        <v>62</v>
      </c>
      <c r="M4543" s="6" t="s">
        <v>8270</v>
      </c>
      <c r="N4543" s="6" t="s">
        <v>8353</v>
      </c>
      <c r="O4543" s="36" t="s">
        <v>7541</v>
      </c>
      <c r="P4543" s="36" t="s">
        <v>7542</v>
      </c>
      <c r="Q4543" s="38"/>
    </row>
    <row r="4544">
      <c r="A4544" s="6" t="s">
        <v>8270</v>
      </c>
      <c r="B4544" s="6" t="s">
        <v>8271</v>
      </c>
      <c r="C4544" s="6">
        <v>493.0</v>
      </c>
      <c r="D4544" s="9" t="str">
        <f t="shared" ref="D4544:D4545" si="829">HYPERLINK("https://www.linkedin.com/ad-library/detail/1150387994","Open Ad")</f>
        <v>Open Ad</v>
      </c>
      <c r="E4544" s="6" t="s">
        <v>91</v>
      </c>
      <c r="F4544" s="6" t="s">
        <v>8022</v>
      </c>
      <c r="G4544" s="6" t="s">
        <v>8350</v>
      </c>
      <c r="H4544" s="6" t="s">
        <v>55</v>
      </c>
      <c r="I4544" s="6" t="s">
        <v>8273</v>
      </c>
      <c r="J4544" s="6" t="s">
        <v>91</v>
      </c>
      <c r="K4544" s="12" t="str">
        <f t="shared" ref="K4544:K4545" si="830">HYPERLINK("https://media.licdn.com/dms/image/v2/D4E10AQEv4ItHpKi5pw/image-shrink_1280/B4EZyMQ4yWJsAc-/0/1771879763685/Revolut2FromAIsearchanalyticstoclearnextstepspng?e=2147483647&amp;v=beta&amp;t=YAFKK7AlmHSQR1kB7FUxy0Mpp2F4zE3XX62bSVzcuTc","View Creative")</f>
        <v>View Creative</v>
      </c>
      <c r="L4544" s="6" t="s">
        <v>62</v>
      </c>
      <c r="M4544" s="6" t="s">
        <v>8270</v>
      </c>
      <c r="N4544" s="6" t="s">
        <v>8353</v>
      </c>
      <c r="O4544" s="36" t="s">
        <v>7541</v>
      </c>
      <c r="P4544" s="36" t="s">
        <v>7542</v>
      </c>
      <c r="Q4544" s="38"/>
    </row>
    <row r="4545">
      <c r="A4545" s="6" t="s">
        <v>8270</v>
      </c>
      <c r="B4545" s="6" t="s">
        <v>8271</v>
      </c>
      <c r="C4545" s="6">
        <v>494.0</v>
      </c>
      <c r="D4545" s="9" t="str">
        <f t="shared" si="829"/>
        <v>Open Ad</v>
      </c>
      <c r="E4545" s="6" t="s">
        <v>91</v>
      </c>
      <c r="F4545" s="6" t="s">
        <v>8022</v>
      </c>
      <c r="G4545" s="6" t="s">
        <v>8350</v>
      </c>
      <c r="H4545" s="6" t="s">
        <v>55</v>
      </c>
      <c r="I4545" s="6" t="s">
        <v>8273</v>
      </c>
      <c r="J4545" s="6" t="s">
        <v>91</v>
      </c>
      <c r="K4545" s="12" t="str">
        <f t="shared" si="830"/>
        <v>View Creative</v>
      </c>
      <c r="L4545" s="6" t="s">
        <v>62</v>
      </c>
      <c r="M4545" s="6" t="s">
        <v>8270</v>
      </c>
      <c r="N4545" s="6" t="s">
        <v>8353</v>
      </c>
      <c r="O4545" s="36" t="s">
        <v>7541</v>
      </c>
      <c r="P4545" s="36" t="s">
        <v>7542</v>
      </c>
      <c r="Q4545" s="38"/>
    </row>
    <row r="4546">
      <c r="A4546" s="6" t="s">
        <v>8270</v>
      </c>
      <c r="B4546" s="6" t="s">
        <v>8271</v>
      </c>
      <c r="C4546" s="6">
        <v>495.0</v>
      </c>
      <c r="D4546" s="9" t="str">
        <f t="shared" ref="D4546:D4547" si="831">HYPERLINK("https://www.linkedin.com/ad-library/detail/1149588284","Open Ad")</f>
        <v>Open Ad</v>
      </c>
      <c r="E4546" s="6" t="s">
        <v>91</v>
      </c>
      <c r="F4546" s="6" t="s">
        <v>8022</v>
      </c>
      <c r="G4546" s="6" t="s">
        <v>8344</v>
      </c>
      <c r="H4546" s="6" t="s">
        <v>55</v>
      </c>
      <c r="I4546" s="6" t="s">
        <v>8273</v>
      </c>
      <c r="J4546" s="6" t="s">
        <v>91</v>
      </c>
      <c r="K4546" s="12" t="str">
        <f t="shared" ref="K4546:K4547" si="832">HYPERLINK("https://media.licdn.com/dms/image/v2/D4E10AQE2-Q-XQyh4jQ/image-shrink_1280/B4EZyMSYfcGkAc-/0/1771880155697/Revolut1YourAIvisibilitymetricsnowcomewithnextstepspng?e=2147483647&amp;v=beta&amp;t=LKmS_a81BSZ-NPd8l1zFFSH_lc6bELzX32H4-DFcGM0","View Creative")</f>
        <v>View Creative</v>
      </c>
      <c r="L4546" s="6" t="s">
        <v>62</v>
      </c>
      <c r="M4546" s="6" t="s">
        <v>8270</v>
      </c>
      <c r="N4546" s="6" t="s">
        <v>8353</v>
      </c>
      <c r="O4546" s="36" t="s">
        <v>7541</v>
      </c>
      <c r="P4546" s="36" t="s">
        <v>7542</v>
      </c>
      <c r="Q4546" s="38"/>
    </row>
    <row r="4547">
      <c r="A4547" s="6" t="s">
        <v>8270</v>
      </c>
      <c r="B4547" s="6" t="s">
        <v>8271</v>
      </c>
      <c r="C4547" s="6">
        <v>496.0</v>
      </c>
      <c r="D4547" s="9" t="str">
        <f t="shared" si="831"/>
        <v>Open Ad</v>
      </c>
      <c r="E4547" s="6" t="s">
        <v>91</v>
      </c>
      <c r="F4547" s="6" t="s">
        <v>8022</v>
      </c>
      <c r="G4547" s="6" t="s">
        <v>8344</v>
      </c>
      <c r="H4547" s="6" t="s">
        <v>55</v>
      </c>
      <c r="I4547" s="6" t="s">
        <v>8273</v>
      </c>
      <c r="J4547" s="6" t="s">
        <v>91</v>
      </c>
      <c r="K4547" s="12" t="str">
        <f t="shared" si="832"/>
        <v>View Creative</v>
      </c>
      <c r="L4547" s="6" t="s">
        <v>62</v>
      </c>
      <c r="M4547" s="6" t="s">
        <v>8270</v>
      </c>
      <c r="N4547" s="6" t="s">
        <v>8353</v>
      </c>
      <c r="O4547" s="36" t="s">
        <v>7541</v>
      </c>
      <c r="P4547" s="36" t="s">
        <v>7542</v>
      </c>
      <c r="Q4547" s="38"/>
    </row>
    <row r="4548">
      <c r="A4548" s="6" t="s">
        <v>8270</v>
      </c>
      <c r="B4548" s="6" t="s">
        <v>8271</v>
      </c>
      <c r="C4548" s="6">
        <v>497.0</v>
      </c>
      <c r="D4548" s="9" t="str">
        <f t="shared" ref="D4548:D4549" si="833">HYPERLINK("https://www.linkedin.com/ad-library/detail/1150187844","Open Ad")</f>
        <v>Open Ad</v>
      </c>
      <c r="E4548" s="6" t="s">
        <v>91</v>
      </c>
      <c r="F4548" s="6" t="s">
        <v>8022</v>
      </c>
      <c r="G4548" s="6" t="s">
        <v>8344</v>
      </c>
      <c r="H4548" s="6" t="s">
        <v>55</v>
      </c>
      <c r="I4548" s="6" t="s">
        <v>8273</v>
      </c>
      <c r="J4548" s="6" t="s">
        <v>91</v>
      </c>
      <c r="K4548" s="12" t="str">
        <f t="shared" ref="K4548:K4549" si="834">HYPERLINK("https://media.licdn.com/dms/image/v2/D4E10AQG_fR28v9KqCQ/image-shrink_1280/B4EZyMQzWuH0Ag-/0/1771879741823/ActionTracker1FromAIsearchanalyticstoclearnextstepspng?e=2147483647&amp;v=beta&amp;t=0vyT_z6hi-EJzcEE7BFeO1VVAl3pIj2aVVBCz9EPkk0","View Creative")</f>
        <v>View Creative</v>
      </c>
      <c r="L4548" s="6" t="s">
        <v>62</v>
      </c>
      <c r="M4548" s="6" t="s">
        <v>8270</v>
      </c>
      <c r="N4548" s="6" t="s">
        <v>8352</v>
      </c>
      <c r="O4548" s="36" t="s">
        <v>7541</v>
      </c>
      <c r="P4548" s="36" t="s">
        <v>7542</v>
      </c>
      <c r="Q4548" s="38"/>
    </row>
    <row r="4549">
      <c r="A4549" s="6" t="s">
        <v>8270</v>
      </c>
      <c r="B4549" s="6" t="s">
        <v>8271</v>
      </c>
      <c r="C4549" s="6">
        <v>498.0</v>
      </c>
      <c r="D4549" s="9" t="str">
        <f t="shared" si="833"/>
        <v>Open Ad</v>
      </c>
      <c r="E4549" s="6" t="s">
        <v>91</v>
      </c>
      <c r="F4549" s="6" t="s">
        <v>8022</v>
      </c>
      <c r="G4549" s="6" t="s">
        <v>8344</v>
      </c>
      <c r="H4549" s="6" t="s">
        <v>55</v>
      </c>
      <c r="I4549" s="6" t="s">
        <v>8273</v>
      </c>
      <c r="J4549" s="6" t="s">
        <v>91</v>
      </c>
      <c r="K4549" s="12" t="str">
        <f t="shared" si="834"/>
        <v>View Creative</v>
      </c>
      <c r="L4549" s="6" t="s">
        <v>62</v>
      </c>
      <c r="M4549" s="6" t="s">
        <v>8270</v>
      </c>
      <c r="N4549" s="6" t="s">
        <v>8352</v>
      </c>
      <c r="O4549" s="36" t="s">
        <v>7541</v>
      </c>
      <c r="P4549" s="36" t="s">
        <v>7542</v>
      </c>
      <c r="Q4549" s="38"/>
    </row>
    <row r="4550">
      <c r="A4550" s="6" t="s">
        <v>8270</v>
      </c>
      <c r="B4550" s="6" t="s">
        <v>8271</v>
      </c>
      <c r="C4550" s="6">
        <v>499.0</v>
      </c>
      <c r="D4550" s="9" t="str">
        <f t="shared" ref="D4550:D4551" si="835">HYPERLINK("https://www.linkedin.com/ad-library/detail/1150687434","Open Ad")</f>
        <v>Open Ad</v>
      </c>
      <c r="E4550" s="6" t="s">
        <v>91</v>
      </c>
      <c r="F4550" s="6" t="s">
        <v>8022</v>
      </c>
      <c r="G4550" s="6" t="s">
        <v>8350</v>
      </c>
      <c r="H4550" s="6" t="s">
        <v>55</v>
      </c>
      <c r="I4550" s="6" t="s">
        <v>8273</v>
      </c>
      <c r="J4550" s="6" t="s">
        <v>91</v>
      </c>
      <c r="K4550" s="12" t="str">
        <f t="shared" ref="K4550:K4551" si="836">HYPERLINK("https://media.licdn.com/dms/image/v2/D4E10AQHXd2CW_zULWg/image-shrink_1280/B4EZyMTHeUIMAc-/0/1771880348132/ActionTracker2YourAIvisibilitymetricsnowcomewithnextstepspng?e=2147483647&amp;v=beta&amp;t=NzDfAuilwUb2OeIQyBhjLRFVPNtcg2-ZxbDzGP7o3vs","View Creative")</f>
        <v>View Creative</v>
      </c>
      <c r="L4550" s="6" t="s">
        <v>62</v>
      </c>
      <c r="M4550" s="6" t="s">
        <v>8270</v>
      </c>
      <c r="N4550" s="6" t="s">
        <v>8353</v>
      </c>
      <c r="O4550" s="36" t="s">
        <v>7541</v>
      </c>
      <c r="P4550" s="36" t="s">
        <v>7542</v>
      </c>
      <c r="Q4550" s="38"/>
    </row>
    <row r="4551">
      <c r="A4551" s="6" t="s">
        <v>8270</v>
      </c>
      <c r="B4551" s="6" t="s">
        <v>8271</v>
      </c>
      <c r="C4551" s="6">
        <v>500.0</v>
      </c>
      <c r="D4551" s="9" t="str">
        <f t="shared" si="835"/>
        <v>Open Ad</v>
      </c>
      <c r="E4551" s="6" t="s">
        <v>91</v>
      </c>
      <c r="F4551" s="6" t="s">
        <v>8022</v>
      </c>
      <c r="G4551" s="6" t="s">
        <v>8350</v>
      </c>
      <c r="H4551" s="6" t="s">
        <v>55</v>
      </c>
      <c r="I4551" s="6" t="s">
        <v>8273</v>
      </c>
      <c r="J4551" s="6" t="s">
        <v>91</v>
      </c>
      <c r="K4551" s="12" t="str">
        <f t="shared" si="836"/>
        <v>View Creative</v>
      </c>
      <c r="L4551" s="6" t="s">
        <v>62</v>
      </c>
      <c r="M4551" s="6" t="s">
        <v>8270</v>
      </c>
      <c r="N4551" s="6" t="s">
        <v>8353</v>
      </c>
      <c r="O4551" s="36" t="s">
        <v>7541</v>
      </c>
      <c r="P4551" s="36" t="s">
        <v>7542</v>
      </c>
      <c r="Q4551" s="38"/>
    </row>
    <row r="4552">
      <c r="A4552" s="6" t="s">
        <v>8270</v>
      </c>
      <c r="B4552" s="6" t="s">
        <v>8271</v>
      </c>
      <c r="C4552" s="6">
        <v>501.0</v>
      </c>
      <c r="D4552" s="9" t="str">
        <f t="shared" ref="D4552:D4553" si="837">HYPERLINK("https://www.linkedin.com/ad-library/detail/1148789284","Open Ad")</f>
        <v>Open Ad</v>
      </c>
      <c r="E4552" s="6" t="s">
        <v>91</v>
      </c>
      <c r="F4552" s="6" t="s">
        <v>8022</v>
      </c>
      <c r="G4552" s="6" t="s">
        <v>8350</v>
      </c>
      <c r="H4552" s="6" t="s">
        <v>55</v>
      </c>
      <c r="I4552" s="6" t="s">
        <v>8273</v>
      </c>
      <c r="J4552" s="6" t="s">
        <v>91</v>
      </c>
      <c r="K4552" s="12" t="str">
        <f t="shared" ref="K4552:K4553" si="838">HYPERLINK("https://media.licdn.com/dms/image/v2/D4E10AQEv4ItHpKi5pw/image-shrink_1280/B4EZyMQ4yWJsAc-/0/1771879763685/Revolut2FromAIsearchanalyticstoclearnextstepspng?e=2147483647&amp;v=beta&amp;t=YAFKK7AlmHSQR1kB7FUxy0Mpp2F4zE3XX62bSVzcuTc","View Creative")</f>
        <v>View Creative</v>
      </c>
      <c r="L4552" s="6" t="s">
        <v>62</v>
      </c>
      <c r="M4552" s="6" t="s">
        <v>8270</v>
      </c>
      <c r="N4552" s="6" t="s">
        <v>8353</v>
      </c>
      <c r="O4552" s="36" t="s">
        <v>7541</v>
      </c>
      <c r="P4552" s="36" t="s">
        <v>7542</v>
      </c>
      <c r="Q4552" s="38"/>
    </row>
    <row r="4553">
      <c r="A4553" s="6" t="s">
        <v>8270</v>
      </c>
      <c r="B4553" s="6" t="s">
        <v>8271</v>
      </c>
      <c r="C4553" s="6">
        <v>502.0</v>
      </c>
      <c r="D4553" s="9" t="str">
        <f t="shared" si="837"/>
        <v>Open Ad</v>
      </c>
      <c r="E4553" s="6" t="s">
        <v>91</v>
      </c>
      <c r="F4553" s="6" t="s">
        <v>8022</v>
      </c>
      <c r="G4553" s="6" t="s">
        <v>8350</v>
      </c>
      <c r="H4553" s="6" t="s">
        <v>55</v>
      </c>
      <c r="I4553" s="6" t="s">
        <v>8273</v>
      </c>
      <c r="J4553" s="6" t="s">
        <v>91</v>
      </c>
      <c r="K4553" s="12" t="str">
        <f t="shared" si="838"/>
        <v>View Creative</v>
      </c>
      <c r="L4553" s="6" t="s">
        <v>62</v>
      </c>
      <c r="M4553" s="6" t="s">
        <v>8270</v>
      </c>
      <c r="N4553" s="6" t="s">
        <v>8353</v>
      </c>
      <c r="O4553" s="36" t="s">
        <v>7541</v>
      </c>
      <c r="P4553" s="36" t="s">
        <v>7542</v>
      </c>
      <c r="Q4553" s="38"/>
    </row>
    <row r="4554">
      <c r="A4554" s="6" t="s">
        <v>8270</v>
      </c>
      <c r="B4554" s="6" t="s">
        <v>8271</v>
      </c>
      <c r="C4554" s="6">
        <v>503.0</v>
      </c>
      <c r="D4554" s="9" t="str">
        <f t="shared" ref="D4554:D4555" si="839">HYPERLINK("https://www.linkedin.com/ad-library/detail/1150287934","Open Ad")</f>
        <v>Open Ad</v>
      </c>
      <c r="E4554" s="6" t="s">
        <v>91</v>
      </c>
      <c r="F4554" s="6" t="s">
        <v>8022</v>
      </c>
      <c r="G4554" s="6" t="s">
        <v>8348</v>
      </c>
      <c r="H4554" s="6" t="s">
        <v>55</v>
      </c>
      <c r="I4554" s="6" t="s">
        <v>8273</v>
      </c>
      <c r="J4554" s="6" t="s">
        <v>91</v>
      </c>
      <c r="K4554" s="12" t="str">
        <f t="shared" ref="K4554:K4557" si="840">HYPERLINK("https://media.licdn.com/dms/image/v2/D4E10AQEmkDLD4X437g/image-shrink_1280/B4EZyMRzsbKcAc-/0/1771880004998/ActionTracker4MeetActionspng?e=2147483647&amp;v=beta&amp;t=kBgjNRWbWwLkMbleB2r9e5Py7gwb2WX7uk3InZ1YbS8","View Creative")</f>
        <v>View Creative</v>
      </c>
      <c r="L4554" s="6" t="s">
        <v>62</v>
      </c>
      <c r="M4554" s="6" t="s">
        <v>8270</v>
      </c>
      <c r="N4554" s="6" t="s">
        <v>8353</v>
      </c>
      <c r="O4554" s="36" t="s">
        <v>7541</v>
      </c>
      <c r="P4554" s="36" t="s">
        <v>7542</v>
      </c>
      <c r="Q4554" s="38"/>
    </row>
    <row r="4555">
      <c r="A4555" s="6" t="s">
        <v>8270</v>
      </c>
      <c r="B4555" s="6" t="s">
        <v>8271</v>
      </c>
      <c r="C4555" s="6">
        <v>504.0</v>
      </c>
      <c r="D4555" s="9" t="str">
        <f t="shared" si="839"/>
        <v>Open Ad</v>
      </c>
      <c r="E4555" s="6" t="s">
        <v>91</v>
      </c>
      <c r="F4555" s="6" t="s">
        <v>8022</v>
      </c>
      <c r="G4555" s="6" t="s">
        <v>8348</v>
      </c>
      <c r="H4555" s="6" t="s">
        <v>55</v>
      </c>
      <c r="I4555" s="6" t="s">
        <v>8273</v>
      </c>
      <c r="J4555" s="6" t="s">
        <v>91</v>
      </c>
      <c r="K4555" s="12" t="str">
        <f t="shared" si="840"/>
        <v>View Creative</v>
      </c>
      <c r="L4555" s="6" t="s">
        <v>62</v>
      </c>
      <c r="M4555" s="6" t="s">
        <v>8270</v>
      </c>
      <c r="N4555" s="6" t="s">
        <v>8353</v>
      </c>
      <c r="O4555" s="36" t="s">
        <v>7541</v>
      </c>
      <c r="P4555" s="36" t="s">
        <v>7542</v>
      </c>
      <c r="Q4555" s="38"/>
    </row>
    <row r="4556">
      <c r="A4556" s="6" t="s">
        <v>8270</v>
      </c>
      <c r="B4556" s="6" t="s">
        <v>8271</v>
      </c>
      <c r="C4556" s="6">
        <v>505.0</v>
      </c>
      <c r="D4556" s="9" t="str">
        <f t="shared" ref="D4556:D4557" si="841">HYPERLINK("https://www.linkedin.com/ad-library/detail/1148788364","Open Ad")</f>
        <v>Open Ad</v>
      </c>
      <c r="E4556" s="6" t="s">
        <v>91</v>
      </c>
      <c r="F4556" s="6" t="s">
        <v>8022</v>
      </c>
      <c r="G4556" s="6" t="s">
        <v>8348</v>
      </c>
      <c r="H4556" s="6" t="s">
        <v>55</v>
      </c>
      <c r="I4556" s="6" t="s">
        <v>8273</v>
      </c>
      <c r="J4556" s="6" t="s">
        <v>91</v>
      </c>
      <c r="K4556" s="12" t="str">
        <f t="shared" si="840"/>
        <v>View Creative</v>
      </c>
      <c r="L4556" s="6" t="s">
        <v>62</v>
      </c>
      <c r="M4556" s="6" t="s">
        <v>8270</v>
      </c>
      <c r="N4556" s="6" t="s">
        <v>8352</v>
      </c>
      <c r="O4556" s="36" t="s">
        <v>7541</v>
      </c>
      <c r="P4556" s="36" t="s">
        <v>7542</v>
      </c>
      <c r="Q4556" s="38"/>
    </row>
    <row r="4557">
      <c r="A4557" s="6" t="s">
        <v>8270</v>
      </c>
      <c r="B4557" s="6" t="s">
        <v>8271</v>
      </c>
      <c r="C4557" s="6">
        <v>506.0</v>
      </c>
      <c r="D4557" s="9" t="str">
        <f t="shared" si="841"/>
        <v>Open Ad</v>
      </c>
      <c r="E4557" s="6" t="s">
        <v>91</v>
      </c>
      <c r="F4557" s="6" t="s">
        <v>8022</v>
      </c>
      <c r="G4557" s="6" t="s">
        <v>8348</v>
      </c>
      <c r="H4557" s="6" t="s">
        <v>55</v>
      </c>
      <c r="I4557" s="6" t="s">
        <v>8273</v>
      </c>
      <c r="J4557" s="6" t="s">
        <v>91</v>
      </c>
      <c r="K4557" s="12" t="str">
        <f t="shared" si="840"/>
        <v>View Creative</v>
      </c>
      <c r="L4557" s="6" t="s">
        <v>62</v>
      </c>
      <c r="M4557" s="6" t="s">
        <v>8270</v>
      </c>
      <c r="N4557" s="6" t="s">
        <v>8352</v>
      </c>
      <c r="O4557" s="36" t="s">
        <v>7541</v>
      </c>
      <c r="P4557" s="36" t="s">
        <v>7542</v>
      </c>
      <c r="Q4557" s="38"/>
    </row>
    <row r="4558">
      <c r="A4558" s="6" t="s">
        <v>8270</v>
      </c>
      <c r="B4558" s="6" t="s">
        <v>8271</v>
      </c>
      <c r="C4558" s="6">
        <v>507.0</v>
      </c>
      <c r="D4558" s="9" t="str">
        <f t="shared" ref="D4558:D4559" si="842">HYPERLINK("https://www.linkedin.com/ad-library/detail/1149488434","Open Ad")</f>
        <v>Open Ad</v>
      </c>
      <c r="E4558" s="6" t="s">
        <v>91</v>
      </c>
      <c r="F4558" s="6" t="s">
        <v>8022</v>
      </c>
      <c r="G4558" s="6" t="s">
        <v>8350</v>
      </c>
      <c r="H4558" s="6" t="s">
        <v>55</v>
      </c>
      <c r="I4558" s="6" t="s">
        <v>8273</v>
      </c>
      <c r="J4558" s="6" t="s">
        <v>91</v>
      </c>
      <c r="K4558" s="12" t="str">
        <f t="shared" ref="K4558:K4559" si="843">HYPERLINK("https://media.licdn.com/dms/image/v2/D4E10AQEv4ItHpKi5pw/image-shrink_1280/B4EZyMQ4yWJsAc-/0/1771879763685/Revolut2FromAIsearchanalyticstoclearnextstepspng?e=2147483647&amp;v=beta&amp;t=YAFKK7AlmHSQR1kB7FUxy0Mpp2F4zE3XX62bSVzcuTc","View Creative")</f>
        <v>View Creative</v>
      </c>
      <c r="L4558" s="6" t="s">
        <v>62</v>
      </c>
      <c r="M4558" s="6" t="s">
        <v>8270</v>
      </c>
      <c r="N4558" s="6" t="s">
        <v>8352</v>
      </c>
      <c r="O4558" s="36" t="s">
        <v>7541</v>
      </c>
      <c r="P4558" s="36" t="s">
        <v>7542</v>
      </c>
      <c r="Q4558" s="38"/>
    </row>
    <row r="4559">
      <c r="A4559" s="6" t="s">
        <v>8270</v>
      </c>
      <c r="B4559" s="6" t="s">
        <v>8271</v>
      </c>
      <c r="C4559" s="6">
        <v>508.0</v>
      </c>
      <c r="D4559" s="9" t="str">
        <f t="shared" si="842"/>
        <v>Open Ad</v>
      </c>
      <c r="E4559" s="6" t="s">
        <v>91</v>
      </c>
      <c r="F4559" s="6" t="s">
        <v>8022</v>
      </c>
      <c r="G4559" s="6" t="s">
        <v>8350</v>
      </c>
      <c r="H4559" s="6" t="s">
        <v>55</v>
      </c>
      <c r="I4559" s="6" t="s">
        <v>8273</v>
      </c>
      <c r="J4559" s="6" t="s">
        <v>91</v>
      </c>
      <c r="K4559" s="12" t="str">
        <f t="shared" si="843"/>
        <v>View Creative</v>
      </c>
      <c r="L4559" s="6" t="s">
        <v>62</v>
      </c>
      <c r="M4559" s="6" t="s">
        <v>8270</v>
      </c>
      <c r="N4559" s="6" t="s">
        <v>8352</v>
      </c>
      <c r="O4559" s="36" t="s">
        <v>7541</v>
      </c>
      <c r="P4559" s="36" t="s">
        <v>7542</v>
      </c>
      <c r="Q4559" s="38"/>
    </row>
    <row r="4560">
      <c r="A4560" s="6" t="s">
        <v>8270</v>
      </c>
      <c r="B4560" s="6" t="s">
        <v>8271</v>
      </c>
      <c r="C4560" s="6">
        <v>509.0</v>
      </c>
      <c r="D4560" s="9" t="str">
        <f t="shared" ref="D4560:D4561" si="844">HYPERLINK("https://www.linkedin.com/ad-library/detail/1146428324","Open Ad")</f>
        <v>Open Ad</v>
      </c>
      <c r="E4560" s="6" t="s">
        <v>91</v>
      </c>
      <c r="F4560" s="6" t="s">
        <v>8022</v>
      </c>
      <c r="G4560" s="6" t="s">
        <v>8344</v>
      </c>
      <c r="H4560" s="6" t="s">
        <v>55</v>
      </c>
      <c r="I4560" s="6" t="s">
        <v>8273</v>
      </c>
      <c r="J4560" s="6" t="s">
        <v>91</v>
      </c>
      <c r="K4560" s="12" t="str">
        <f t="shared" ref="K4560:K4561" si="845">HYPERLINK("https://media.licdn.com/dms/image/v2/D4E10AQG_fR28v9KqCQ/image-shrink_1280/B4EZyMQzWuH0Ag-/0/1771879741823/ActionTracker1FromAIsearchanalyticstoclearnextstepspng?e=2147483647&amp;v=beta&amp;t=0vyT_z6hi-EJzcEE7BFeO1VVAl3pIj2aVVBCz9EPkk0","View Creative")</f>
        <v>View Creative</v>
      </c>
      <c r="L4560" s="6" t="s">
        <v>62</v>
      </c>
      <c r="M4560" s="6" t="s">
        <v>8270</v>
      </c>
      <c r="N4560" s="6"/>
      <c r="O4560" s="36" t="s">
        <v>7541</v>
      </c>
      <c r="P4560" s="36" t="s">
        <v>7542</v>
      </c>
      <c r="Q4560" s="38"/>
    </row>
    <row r="4561">
      <c r="A4561" s="6" t="s">
        <v>8270</v>
      </c>
      <c r="B4561" s="6" t="s">
        <v>8271</v>
      </c>
      <c r="C4561" s="6">
        <v>510.0</v>
      </c>
      <c r="D4561" s="9" t="str">
        <f t="shared" si="844"/>
        <v>Open Ad</v>
      </c>
      <c r="E4561" s="6" t="s">
        <v>91</v>
      </c>
      <c r="F4561" s="6" t="s">
        <v>8022</v>
      </c>
      <c r="G4561" s="6" t="s">
        <v>8344</v>
      </c>
      <c r="H4561" s="6" t="s">
        <v>55</v>
      </c>
      <c r="I4561" s="6" t="s">
        <v>8273</v>
      </c>
      <c r="J4561" s="6" t="s">
        <v>91</v>
      </c>
      <c r="K4561" s="12" t="str">
        <f t="shared" si="845"/>
        <v>View Creative</v>
      </c>
      <c r="L4561" s="6" t="s">
        <v>62</v>
      </c>
      <c r="M4561" s="6" t="s">
        <v>8270</v>
      </c>
      <c r="N4561" s="6"/>
      <c r="O4561" s="36" t="s">
        <v>7541</v>
      </c>
      <c r="P4561" s="36" t="s">
        <v>7542</v>
      </c>
      <c r="Q4561" s="38"/>
    </row>
    <row r="4562">
      <c r="A4562" s="6" t="s">
        <v>8270</v>
      </c>
      <c r="B4562" s="6" t="s">
        <v>8271</v>
      </c>
      <c r="C4562" s="6">
        <v>511.0</v>
      </c>
      <c r="D4562" s="9" t="str">
        <f t="shared" ref="D4562:D4563" si="846">HYPERLINK("https://www.linkedin.com/ad-library/detail/1148489314","Open Ad")</f>
        <v>Open Ad</v>
      </c>
      <c r="E4562" s="6" t="s">
        <v>91</v>
      </c>
      <c r="F4562" s="6" t="s">
        <v>8022</v>
      </c>
      <c r="G4562" s="6" t="s">
        <v>8344</v>
      </c>
      <c r="H4562" s="6" t="s">
        <v>55</v>
      </c>
      <c r="I4562" s="6" t="s">
        <v>8273</v>
      </c>
      <c r="J4562" s="6" t="s">
        <v>91</v>
      </c>
      <c r="K4562" s="12" t="str">
        <f t="shared" ref="K4562:K4563" si="847">HYPERLINK("https://media.licdn.com/dms/image/v2/D4E10AQE2-Q-XQyh4jQ/image-shrink_1280/B4EZyMSYfcGkAc-/0/1771880155697/Revolut1YourAIvisibilitymetricsnowcomewithnextstepspng?e=2147483647&amp;v=beta&amp;t=LKmS_a81BSZ-NPd8l1zFFSH_lc6bELzX32H4-DFcGM0","View Creative")</f>
        <v>View Creative</v>
      </c>
      <c r="L4562" s="6" t="s">
        <v>62</v>
      </c>
      <c r="M4562" s="6" t="s">
        <v>8270</v>
      </c>
      <c r="N4562" s="6" t="s">
        <v>8353</v>
      </c>
      <c r="O4562" s="36" t="s">
        <v>7541</v>
      </c>
      <c r="P4562" s="36" t="s">
        <v>7542</v>
      </c>
      <c r="Q4562" s="38"/>
    </row>
    <row r="4563">
      <c r="A4563" s="6" t="s">
        <v>8270</v>
      </c>
      <c r="B4563" s="6" t="s">
        <v>8271</v>
      </c>
      <c r="C4563" s="6">
        <v>512.0</v>
      </c>
      <c r="D4563" s="9" t="str">
        <f t="shared" si="846"/>
        <v>Open Ad</v>
      </c>
      <c r="E4563" s="6" t="s">
        <v>91</v>
      </c>
      <c r="F4563" s="6" t="s">
        <v>8022</v>
      </c>
      <c r="G4563" s="6" t="s">
        <v>8344</v>
      </c>
      <c r="H4563" s="6" t="s">
        <v>55</v>
      </c>
      <c r="I4563" s="6" t="s">
        <v>8273</v>
      </c>
      <c r="J4563" s="6" t="s">
        <v>91</v>
      </c>
      <c r="K4563" s="12" t="str">
        <f t="shared" si="847"/>
        <v>View Creative</v>
      </c>
      <c r="L4563" s="6" t="s">
        <v>62</v>
      </c>
      <c r="M4563" s="6" t="s">
        <v>8270</v>
      </c>
      <c r="N4563" s="6" t="s">
        <v>8353</v>
      </c>
      <c r="O4563" s="36" t="s">
        <v>7541</v>
      </c>
      <c r="P4563" s="36" t="s">
        <v>7542</v>
      </c>
      <c r="Q4563" s="38"/>
    </row>
    <row r="4564">
      <c r="A4564" s="6" t="s">
        <v>8270</v>
      </c>
      <c r="B4564" s="6" t="s">
        <v>8271</v>
      </c>
      <c r="C4564" s="6">
        <v>513.0</v>
      </c>
      <c r="D4564" s="9" t="str">
        <f t="shared" ref="D4564:D4565" si="848">HYPERLINK("https://www.linkedin.com/ad-library/detail/1150588444","Open Ad")</f>
        <v>Open Ad</v>
      </c>
      <c r="E4564" s="6" t="s">
        <v>91</v>
      </c>
      <c r="F4564" s="6" t="s">
        <v>8022</v>
      </c>
      <c r="G4564" s="6" t="s">
        <v>8350</v>
      </c>
      <c r="H4564" s="6" t="s">
        <v>55</v>
      </c>
      <c r="I4564" s="6" t="s">
        <v>8273</v>
      </c>
      <c r="J4564" s="6" t="s">
        <v>91</v>
      </c>
      <c r="K4564" s="12" t="str">
        <f t="shared" ref="K4564:K4567" si="849">HYPERLINK("https://media.licdn.com/dms/image/v2/D4E10AQHXd2CW_zULWg/image-shrink_1280/B4EZyMTHeUIMAc-/0/1771880348132/ActionTracker2YourAIvisibilitymetricsnowcomewithnextstepspng?e=2147483647&amp;v=beta&amp;t=NzDfAuilwUb2OeIQyBhjLRFVPNtcg2-ZxbDzGP7o3vs","View Creative")</f>
        <v>View Creative</v>
      </c>
      <c r="L4564" s="6" t="s">
        <v>62</v>
      </c>
      <c r="M4564" s="6" t="s">
        <v>8270</v>
      </c>
      <c r="N4564" s="6" t="s">
        <v>8352</v>
      </c>
      <c r="O4564" s="36" t="s">
        <v>7541</v>
      </c>
      <c r="P4564" s="36" t="s">
        <v>7542</v>
      </c>
      <c r="Q4564" s="38"/>
    </row>
    <row r="4565">
      <c r="A4565" s="6" t="s">
        <v>8270</v>
      </c>
      <c r="B4565" s="6" t="s">
        <v>8271</v>
      </c>
      <c r="C4565" s="6">
        <v>514.0</v>
      </c>
      <c r="D4565" s="9" t="str">
        <f t="shared" si="848"/>
        <v>Open Ad</v>
      </c>
      <c r="E4565" s="6" t="s">
        <v>91</v>
      </c>
      <c r="F4565" s="6" t="s">
        <v>8022</v>
      </c>
      <c r="G4565" s="6" t="s">
        <v>8350</v>
      </c>
      <c r="H4565" s="6" t="s">
        <v>55</v>
      </c>
      <c r="I4565" s="6" t="s">
        <v>8273</v>
      </c>
      <c r="J4565" s="6" t="s">
        <v>91</v>
      </c>
      <c r="K4565" s="12" t="str">
        <f t="shared" si="849"/>
        <v>View Creative</v>
      </c>
      <c r="L4565" s="6" t="s">
        <v>62</v>
      </c>
      <c r="M4565" s="6" t="s">
        <v>8270</v>
      </c>
      <c r="N4565" s="6" t="s">
        <v>8352</v>
      </c>
      <c r="O4565" s="36" t="s">
        <v>7541</v>
      </c>
      <c r="P4565" s="36" t="s">
        <v>7542</v>
      </c>
      <c r="Q4565" s="38"/>
    </row>
    <row r="4566">
      <c r="A4566" s="6" t="s">
        <v>8270</v>
      </c>
      <c r="B4566" s="6" t="s">
        <v>8271</v>
      </c>
      <c r="C4566" s="6">
        <v>515.0</v>
      </c>
      <c r="D4566" s="9" t="str">
        <f t="shared" ref="D4566:D4567" si="850">HYPERLINK("https://www.linkedin.com/ad-library/detail/1150589304","Open Ad")</f>
        <v>Open Ad</v>
      </c>
      <c r="E4566" s="6" t="s">
        <v>91</v>
      </c>
      <c r="F4566" s="6" t="s">
        <v>8022</v>
      </c>
      <c r="G4566" s="6" t="s">
        <v>8350</v>
      </c>
      <c r="H4566" s="6" t="s">
        <v>55</v>
      </c>
      <c r="I4566" s="6" t="s">
        <v>8273</v>
      </c>
      <c r="J4566" s="6" t="s">
        <v>91</v>
      </c>
      <c r="K4566" s="12" t="str">
        <f t="shared" si="849"/>
        <v>View Creative</v>
      </c>
      <c r="L4566" s="6" t="s">
        <v>62</v>
      </c>
      <c r="M4566" s="6" t="s">
        <v>8270</v>
      </c>
      <c r="N4566" s="6" t="s">
        <v>8353</v>
      </c>
      <c r="O4566" s="36" t="s">
        <v>7541</v>
      </c>
      <c r="P4566" s="36" t="s">
        <v>7542</v>
      </c>
      <c r="Q4566" s="38"/>
    </row>
    <row r="4567">
      <c r="A4567" s="6" t="s">
        <v>8270</v>
      </c>
      <c r="B4567" s="6" t="s">
        <v>8271</v>
      </c>
      <c r="C4567" s="6">
        <v>516.0</v>
      </c>
      <c r="D4567" s="9" t="str">
        <f t="shared" si="850"/>
        <v>Open Ad</v>
      </c>
      <c r="E4567" s="6" t="s">
        <v>91</v>
      </c>
      <c r="F4567" s="6" t="s">
        <v>8022</v>
      </c>
      <c r="G4567" s="6" t="s">
        <v>8350</v>
      </c>
      <c r="H4567" s="6" t="s">
        <v>55</v>
      </c>
      <c r="I4567" s="6" t="s">
        <v>8273</v>
      </c>
      <c r="J4567" s="6" t="s">
        <v>91</v>
      </c>
      <c r="K4567" s="12" t="str">
        <f t="shared" si="849"/>
        <v>View Creative</v>
      </c>
      <c r="L4567" s="6" t="s">
        <v>62</v>
      </c>
      <c r="M4567" s="6" t="s">
        <v>8270</v>
      </c>
      <c r="N4567" s="6" t="s">
        <v>8353</v>
      </c>
      <c r="O4567" s="36" t="s">
        <v>7541</v>
      </c>
      <c r="P4567" s="36" t="s">
        <v>7542</v>
      </c>
      <c r="Q4567" s="38"/>
    </row>
    <row r="4568">
      <c r="A4568" s="6" t="s">
        <v>8270</v>
      </c>
      <c r="B4568" s="6" t="s">
        <v>8271</v>
      </c>
      <c r="C4568" s="6">
        <v>517.0</v>
      </c>
      <c r="D4568" s="9" t="str">
        <f t="shared" ref="D4568:D4569" si="851">HYPERLINK("https://www.linkedin.com/ad-library/detail/1147019694","Open Ad")</f>
        <v>Open Ad</v>
      </c>
      <c r="E4568" s="6" t="s">
        <v>91</v>
      </c>
      <c r="F4568" s="6" t="s">
        <v>8022</v>
      </c>
      <c r="G4568" s="6" t="s">
        <v>8344</v>
      </c>
      <c r="H4568" s="6" t="s">
        <v>55</v>
      </c>
      <c r="I4568" s="6" t="s">
        <v>8273</v>
      </c>
      <c r="J4568" s="6" t="s">
        <v>91</v>
      </c>
      <c r="K4568" s="12" t="str">
        <f t="shared" ref="K4568:K4569" si="852">HYPERLINK("https://media.licdn.com/dms/image/v2/D4E10AQE2-Q-XQyh4jQ/image-shrink_1280/B4EZyMSYfcGkAc-/0/1771880155697/Revolut1YourAIvisibilitymetricsnowcomewithnextstepspng?e=2147483647&amp;v=beta&amp;t=LKmS_a81BSZ-NPd8l1zFFSH_lc6bELzX32H4-DFcGM0","View Creative")</f>
        <v>View Creative</v>
      </c>
      <c r="L4568" s="6" t="s">
        <v>62</v>
      </c>
      <c r="M4568" s="6" t="s">
        <v>8270</v>
      </c>
      <c r="N4568" s="6"/>
      <c r="O4568" s="36" t="s">
        <v>7541</v>
      </c>
      <c r="P4568" s="36" t="s">
        <v>7542</v>
      </c>
      <c r="Q4568" s="38"/>
    </row>
    <row r="4569">
      <c r="A4569" s="6" t="s">
        <v>8270</v>
      </c>
      <c r="B4569" s="6" t="s">
        <v>8271</v>
      </c>
      <c r="C4569" s="6">
        <v>518.0</v>
      </c>
      <c r="D4569" s="9" t="str">
        <f t="shared" si="851"/>
        <v>Open Ad</v>
      </c>
      <c r="E4569" s="6" t="s">
        <v>91</v>
      </c>
      <c r="F4569" s="6" t="s">
        <v>8022</v>
      </c>
      <c r="G4569" s="6" t="s">
        <v>8344</v>
      </c>
      <c r="H4569" s="6" t="s">
        <v>55</v>
      </c>
      <c r="I4569" s="6" t="s">
        <v>8273</v>
      </c>
      <c r="J4569" s="6" t="s">
        <v>91</v>
      </c>
      <c r="K4569" s="12" t="str">
        <f t="shared" si="852"/>
        <v>View Creative</v>
      </c>
      <c r="L4569" s="6" t="s">
        <v>62</v>
      </c>
      <c r="M4569" s="6" t="s">
        <v>8270</v>
      </c>
      <c r="N4569" s="6"/>
      <c r="O4569" s="36" t="s">
        <v>7541</v>
      </c>
      <c r="P4569" s="36" t="s">
        <v>7542</v>
      </c>
      <c r="Q4569" s="38"/>
    </row>
    <row r="4570">
      <c r="A4570" s="6" t="s">
        <v>8270</v>
      </c>
      <c r="B4570" s="6" t="s">
        <v>8271</v>
      </c>
      <c r="C4570" s="6">
        <v>519.0</v>
      </c>
      <c r="D4570" s="9" t="str">
        <f t="shared" ref="D4570:D4571" si="853">HYPERLINK("https://www.linkedin.com/ad-library/detail/1148489344","Open Ad")</f>
        <v>Open Ad</v>
      </c>
      <c r="E4570" s="6" t="s">
        <v>91</v>
      </c>
      <c r="F4570" s="6" t="s">
        <v>8022</v>
      </c>
      <c r="G4570" s="6" t="s">
        <v>8350</v>
      </c>
      <c r="H4570" s="6" t="s">
        <v>55</v>
      </c>
      <c r="I4570" s="6" t="s">
        <v>8273</v>
      </c>
      <c r="J4570" s="6" t="s">
        <v>91</v>
      </c>
      <c r="K4570" s="12" t="str">
        <f t="shared" ref="K4570:K4571" si="854">HYPERLINK("https://media.licdn.com/dms/image/v2/D4E10AQHXd2CW_zULWg/image-shrink_1280/B4EZyMTHeUIMAc-/0/1771880348132/ActionTracker2YourAIvisibilitymetricsnowcomewithnextstepspng?e=2147483647&amp;v=beta&amp;t=NzDfAuilwUb2OeIQyBhjLRFVPNtcg2-ZxbDzGP7o3vs","View Creative")</f>
        <v>View Creative</v>
      </c>
      <c r="L4570" s="6" t="s">
        <v>62</v>
      </c>
      <c r="M4570" s="6" t="s">
        <v>8270</v>
      </c>
      <c r="N4570" s="6"/>
      <c r="O4570" s="36" t="s">
        <v>7541</v>
      </c>
      <c r="P4570" s="36" t="s">
        <v>7542</v>
      </c>
      <c r="Q4570" s="38"/>
    </row>
    <row r="4571">
      <c r="A4571" s="6" t="s">
        <v>8270</v>
      </c>
      <c r="B4571" s="6" t="s">
        <v>8271</v>
      </c>
      <c r="C4571" s="6">
        <v>520.0</v>
      </c>
      <c r="D4571" s="9" t="str">
        <f t="shared" si="853"/>
        <v>Open Ad</v>
      </c>
      <c r="E4571" s="6" t="s">
        <v>91</v>
      </c>
      <c r="F4571" s="6" t="s">
        <v>8022</v>
      </c>
      <c r="G4571" s="6" t="s">
        <v>8350</v>
      </c>
      <c r="H4571" s="6" t="s">
        <v>55</v>
      </c>
      <c r="I4571" s="6" t="s">
        <v>8273</v>
      </c>
      <c r="J4571" s="6" t="s">
        <v>91</v>
      </c>
      <c r="K4571" s="12" t="str">
        <f t="shared" si="854"/>
        <v>View Creative</v>
      </c>
      <c r="L4571" s="6" t="s">
        <v>62</v>
      </c>
      <c r="M4571" s="6" t="s">
        <v>8270</v>
      </c>
      <c r="N4571" s="6"/>
      <c r="O4571" s="36" t="s">
        <v>7541</v>
      </c>
      <c r="P4571" s="36" t="s">
        <v>7542</v>
      </c>
      <c r="Q4571" s="38"/>
    </row>
    <row r="4572">
      <c r="A4572" s="6" t="s">
        <v>8270</v>
      </c>
      <c r="B4572" s="6" t="s">
        <v>8271</v>
      </c>
      <c r="C4572" s="6">
        <v>521.0</v>
      </c>
      <c r="D4572" s="9" t="str">
        <f t="shared" ref="D4572:D4573" si="855">HYPERLINK("https://www.linkedin.com/ad-library/detail/1150088814","Open Ad")</f>
        <v>Open Ad</v>
      </c>
      <c r="E4572" s="6" t="s">
        <v>91</v>
      </c>
      <c r="F4572" s="6" t="s">
        <v>8022</v>
      </c>
      <c r="G4572" s="6" t="s">
        <v>8344</v>
      </c>
      <c r="H4572" s="6" t="s">
        <v>55</v>
      </c>
      <c r="I4572" s="6" t="s">
        <v>8273</v>
      </c>
      <c r="J4572" s="6" t="s">
        <v>91</v>
      </c>
      <c r="K4572" s="12" t="str">
        <f t="shared" ref="K4572:K4573" si="856">HYPERLINK("https://media.licdn.com/dms/image/v2/D4E10AQG_fR28v9KqCQ/image-shrink_1280/B4EZyMQzWuH0Ag-/0/1771879741823/ActionTracker1FromAIsearchanalyticstoclearnextstepspng?e=2147483647&amp;v=beta&amp;t=0vyT_z6hi-EJzcEE7BFeO1VVAl3pIj2aVVBCz9EPkk0","View Creative")</f>
        <v>View Creative</v>
      </c>
      <c r="L4572" s="6" t="s">
        <v>62</v>
      </c>
      <c r="M4572" s="6" t="s">
        <v>8270</v>
      </c>
      <c r="N4572" s="6" t="s">
        <v>8353</v>
      </c>
      <c r="O4572" s="36" t="s">
        <v>7541</v>
      </c>
      <c r="P4572" s="36" t="s">
        <v>7542</v>
      </c>
      <c r="Q4572" s="38"/>
    </row>
    <row r="4573">
      <c r="A4573" s="6" t="s">
        <v>8270</v>
      </c>
      <c r="B4573" s="6" t="s">
        <v>8271</v>
      </c>
      <c r="C4573" s="6">
        <v>522.0</v>
      </c>
      <c r="D4573" s="9" t="str">
        <f t="shared" si="855"/>
        <v>Open Ad</v>
      </c>
      <c r="E4573" s="6" t="s">
        <v>91</v>
      </c>
      <c r="F4573" s="6" t="s">
        <v>8022</v>
      </c>
      <c r="G4573" s="6" t="s">
        <v>8344</v>
      </c>
      <c r="H4573" s="6" t="s">
        <v>55</v>
      </c>
      <c r="I4573" s="6" t="s">
        <v>8273</v>
      </c>
      <c r="J4573" s="6" t="s">
        <v>91</v>
      </c>
      <c r="K4573" s="12" t="str">
        <f t="shared" si="856"/>
        <v>View Creative</v>
      </c>
      <c r="L4573" s="6" t="s">
        <v>62</v>
      </c>
      <c r="M4573" s="6" t="s">
        <v>8270</v>
      </c>
      <c r="N4573" s="6" t="s">
        <v>8353</v>
      </c>
      <c r="O4573" s="36" t="s">
        <v>7541</v>
      </c>
      <c r="P4573" s="36" t="s">
        <v>7542</v>
      </c>
      <c r="Q4573" s="38"/>
    </row>
    <row r="4574">
      <c r="A4574" s="6" t="s">
        <v>8270</v>
      </c>
      <c r="B4574" s="6" t="s">
        <v>8271</v>
      </c>
      <c r="C4574" s="6">
        <v>523.0</v>
      </c>
      <c r="D4574" s="9" t="str">
        <f t="shared" ref="D4574:D4575" si="857">HYPERLINK("https://www.linkedin.com/ad-library/detail/1148489334","Open Ad")</f>
        <v>Open Ad</v>
      </c>
      <c r="E4574" s="6" t="s">
        <v>91</v>
      </c>
      <c r="F4574" s="6" t="s">
        <v>8022</v>
      </c>
      <c r="G4574" s="6" t="s">
        <v>8344</v>
      </c>
      <c r="H4574" s="6" t="s">
        <v>55</v>
      </c>
      <c r="I4574" s="6" t="s">
        <v>8273</v>
      </c>
      <c r="J4574" s="6" t="s">
        <v>91</v>
      </c>
      <c r="K4574" s="12" t="str">
        <f t="shared" ref="K4574:K4575" si="858">HYPERLINK("https://media.licdn.com/dms/image/v2/D4E10AQE2-Q-XQyh4jQ/image-shrink_1280/B4EZyMSYfcGkAc-/0/1771880155697/Revolut1YourAIvisibilitymetricsnowcomewithnextstepspng?e=2147483647&amp;v=beta&amp;t=LKmS_a81BSZ-NPd8l1zFFSH_lc6bELzX32H4-DFcGM0","View Creative")</f>
        <v>View Creative</v>
      </c>
      <c r="L4574" s="6" t="s">
        <v>62</v>
      </c>
      <c r="M4574" s="6" t="s">
        <v>8270</v>
      </c>
      <c r="N4574" s="6"/>
      <c r="O4574" s="36" t="s">
        <v>7541</v>
      </c>
      <c r="P4574" s="36" t="s">
        <v>7542</v>
      </c>
      <c r="Q4574" s="38"/>
    </row>
    <row r="4575">
      <c r="A4575" s="6" t="s">
        <v>8270</v>
      </c>
      <c r="B4575" s="6" t="s">
        <v>8271</v>
      </c>
      <c r="C4575" s="6">
        <v>524.0</v>
      </c>
      <c r="D4575" s="9" t="str">
        <f t="shared" si="857"/>
        <v>Open Ad</v>
      </c>
      <c r="E4575" s="6" t="s">
        <v>91</v>
      </c>
      <c r="F4575" s="6" t="s">
        <v>8022</v>
      </c>
      <c r="G4575" s="6" t="s">
        <v>8344</v>
      </c>
      <c r="H4575" s="6" t="s">
        <v>55</v>
      </c>
      <c r="I4575" s="6" t="s">
        <v>8273</v>
      </c>
      <c r="J4575" s="6" t="s">
        <v>91</v>
      </c>
      <c r="K4575" s="12" t="str">
        <f t="shared" si="858"/>
        <v>View Creative</v>
      </c>
      <c r="L4575" s="6" t="s">
        <v>62</v>
      </c>
      <c r="M4575" s="6" t="s">
        <v>8270</v>
      </c>
      <c r="N4575" s="6"/>
      <c r="O4575" s="36" t="s">
        <v>7541</v>
      </c>
      <c r="P4575" s="36" t="s">
        <v>7542</v>
      </c>
      <c r="Q4575" s="38"/>
    </row>
    <row r="4576">
      <c r="A4576" s="6" t="s">
        <v>8270</v>
      </c>
      <c r="B4576" s="6" t="s">
        <v>8271</v>
      </c>
      <c r="C4576" s="6">
        <v>525.0</v>
      </c>
      <c r="D4576" s="9" t="str">
        <f t="shared" ref="D4576:D4577" si="859">HYPERLINK("https://www.linkedin.com/ad-library/detail/1146231034","Open Ad")</f>
        <v>Open Ad</v>
      </c>
      <c r="E4576" s="6" t="s">
        <v>91</v>
      </c>
      <c r="F4576" s="6" t="s">
        <v>8022</v>
      </c>
      <c r="G4576" s="6" t="s">
        <v>8350</v>
      </c>
      <c r="H4576" s="6" t="s">
        <v>55</v>
      </c>
      <c r="I4576" s="6" t="s">
        <v>8273</v>
      </c>
      <c r="J4576" s="6" t="s">
        <v>91</v>
      </c>
      <c r="K4576" s="12" t="str">
        <f t="shared" ref="K4576:K4577" si="860">HYPERLINK("https://media.licdn.com/dms/image/v2/D4E10AQHXd2CW_zULWg/image-shrink_1280/B4EZyMTHeUIMAc-/0/1771880348132/ActionTracker2YourAIvisibilitymetricsnowcomewithnextstepspng?e=2147483647&amp;v=beta&amp;t=NzDfAuilwUb2OeIQyBhjLRFVPNtcg2-ZxbDzGP7o3vs","View Creative")</f>
        <v>View Creative</v>
      </c>
      <c r="L4576" s="6" t="s">
        <v>62</v>
      </c>
      <c r="M4576" s="6" t="s">
        <v>8270</v>
      </c>
      <c r="N4576" s="6"/>
      <c r="O4576" s="36" t="s">
        <v>7541</v>
      </c>
      <c r="P4576" s="36" t="s">
        <v>7542</v>
      </c>
      <c r="Q4576" s="38"/>
    </row>
    <row r="4577">
      <c r="A4577" s="6" t="s">
        <v>8270</v>
      </c>
      <c r="B4577" s="6" t="s">
        <v>8271</v>
      </c>
      <c r="C4577" s="6">
        <v>526.0</v>
      </c>
      <c r="D4577" s="9" t="str">
        <f t="shared" si="859"/>
        <v>Open Ad</v>
      </c>
      <c r="E4577" s="6" t="s">
        <v>91</v>
      </c>
      <c r="F4577" s="6" t="s">
        <v>8022</v>
      </c>
      <c r="G4577" s="6" t="s">
        <v>8350</v>
      </c>
      <c r="H4577" s="6" t="s">
        <v>55</v>
      </c>
      <c r="I4577" s="6" t="s">
        <v>8273</v>
      </c>
      <c r="J4577" s="6" t="s">
        <v>91</v>
      </c>
      <c r="K4577" s="12" t="str">
        <f t="shared" si="860"/>
        <v>View Creative</v>
      </c>
      <c r="L4577" s="6" t="s">
        <v>62</v>
      </c>
      <c r="M4577" s="6" t="s">
        <v>8270</v>
      </c>
      <c r="N4577" s="6"/>
      <c r="O4577" s="36" t="s">
        <v>7541</v>
      </c>
      <c r="P4577" s="36" t="s">
        <v>7542</v>
      </c>
      <c r="Q4577" s="38"/>
    </row>
    <row r="4578">
      <c r="A4578" s="6" t="s">
        <v>8270</v>
      </c>
      <c r="B4578" s="6" t="s">
        <v>8271</v>
      </c>
      <c r="C4578" s="6">
        <v>527.0</v>
      </c>
      <c r="D4578" s="9" t="str">
        <f t="shared" ref="D4578:D4579" si="861">HYPERLINK("https://www.linkedin.com/ad-library/detail/1149789024","Open Ad")</f>
        <v>Open Ad</v>
      </c>
      <c r="E4578" s="6" t="s">
        <v>91</v>
      </c>
      <c r="F4578" s="6" t="s">
        <v>8022</v>
      </c>
      <c r="G4578" s="6" t="s">
        <v>8350</v>
      </c>
      <c r="H4578" s="6" t="s">
        <v>55</v>
      </c>
      <c r="I4578" s="6" t="s">
        <v>8273</v>
      </c>
      <c r="J4578" s="6" t="s">
        <v>91</v>
      </c>
      <c r="K4578" s="12" t="str">
        <f t="shared" ref="K4578:K4581" si="862">HYPERLINK("https://media.licdn.com/dms/image/v2/D4E10AQEv4ItHpKi5pw/image-shrink_1280/B4EZyMQ4yWJsAc-/0/1771879763685/Revolut2FromAIsearchanalyticstoclearnextstepspng?e=2147483647&amp;v=beta&amp;t=YAFKK7AlmHSQR1kB7FUxy0Mpp2F4zE3XX62bSVzcuTc","View Creative")</f>
        <v>View Creative</v>
      </c>
      <c r="L4578" s="6" t="s">
        <v>62</v>
      </c>
      <c r="M4578" s="6" t="s">
        <v>8270</v>
      </c>
      <c r="N4578" s="6"/>
      <c r="O4578" s="36" t="s">
        <v>7541</v>
      </c>
      <c r="P4578" s="36" t="s">
        <v>7542</v>
      </c>
      <c r="Q4578" s="38"/>
    </row>
    <row r="4579">
      <c r="A4579" s="6" t="s">
        <v>8270</v>
      </c>
      <c r="B4579" s="6" t="s">
        <v>8271</v>
      </c>
      <c r="C4579" s="6">
        <v>528.0</v>
      </c>
      <c r="D4579" s="9" t="str">
        <f t="shared" si="861"/>
        <v>Open Ad</v>
      </c>
      <c r="E4579" s="6" t="s">
        <v>91</v>
      </c>
      <c r="F4579" s="6" t="s">
        <v>8022</v>
      </c>
      <c r="G4579" s="6" t="s">
        <v>8350</v>
      </c>
      <c r="H4579" s="6" t="s">
        <v>55</v>
      </c>
      <c r="I4579" s="6" t="s">
        <v>8273</v>
      </c>
      <c r="J4579" s="6" t="s">
        <v>91</v>
      </c>
      <c r="K4579" s="12" t="str">
        <f t="shared" si="862"/>
        <v>View Creative</v>
      </c>
      <c r="L4579" s="6" t="s">
        <v>62</v>
      </c>
      <c r="M4579" s="6" t="s">
        <v>8270</v>
      </c>
      <c r="N4579" s="6"/>
      <c r="O4579" s="36" t="s">
        <v>7541</v>
      </c>
      <c r="P4579" s="36" t="s">
        <v>7542</v>
      </c>
      <c r="Q4579" s="38"/>
    </row>
    <row r="4580">
      <c r="A4580" s="6" t="s">
        <v>8270</v>
      </c>
      <c r="B4580" s="6" t="s">
        <v>8271</v>
      </c>
      <c r="C4580" s="6">
        <v>529.0</v>
      </c>
      <c r="D4580" s="9" t="str">
        <f t="shared" ref="D4580:D4581" si="863">HYPERLINK("https://www.linkedin.com/ad-library/detail/1146231024","Open Ad")</f>
        <v>Open Ad</v>
      </c>
      <c r="E4580" s="6" t="s">
        <v>91</v>
      </c>
      <c r="F4580" s="6" t="s">
        <v>8022</v>
      </c>
      <c r="G4580" s="6" t="s">
        <v>8350</v>
      </c>
      <c r="H4580" s="6" t="s">
        <v>55</v>
      </c>
      <c r="I4580" s="6" t="s">
        <v>8273</v>
      </c>
      <c r="J4580" s="6" t="s">
        <v>91</v>
      </c>
      <c r="K4580" s="12" t="str">
        <f t="shared" si="862"/>
        <v>View Creative</v>
      </c>
      <c r="L4580" s="6" t="s">
        <v>62</v>
      </c>
      <c r="M4580" s="6" t="s">
        <v>8270</v>
      </c>
      <c r="N4580" s="6"/>
      <c r="O4580" s="36" t="s">
        <v>7541</v>
      </c>
      <c r="P4580" s="36" t="s">
        <v>7542</v>
      </c>
      <c r="Q4580" s="38"/>
    </row>
    <row r="4581">
      <c r="A4581" s="6" t="s">
        <v>8270</v>
      </c>
      <c r="B4581" s="6" t="s">
        <v>8271</v>
      </c>
      <c r="C4581" s="6">
        <v>530.0</v>
      </c>
      <c r="D4581" s="9" t="str">
        <f t="shared" si="863"/>
        <v>Open Ad</v>
      </c>
      <c r="E4581" s="6" t="s">
        <v>91</v>
      </c>
      <c r="F4581" s="6" t="s">
        <v>8022</v>
      </c>
      <c r="G4581" s="6" t="s">
        <v>8350</v>
      </c>
      <c r="H4581" s="6" t="s">
        <v>55</v>
      </c>
      <c r="I4581" s="6" t="s">
        <v>8273</v>
      </c>
      <c r="J4581" s="6" t="s">
        <v>91</v>
      </c>
      <c r="K4581" s="12" t="str">
        <f t="shared" si="862"/>
        <v>View Creative</v>
      </c>
      <c r="L4581" s="6" t="s">
        <v>62</v>
      </c>
      <c r="M4581" s="6" t="s">
        <v>8270</v>
      </c>
      <c r="N4581" s="6"/>
      <c r="O4581" s="36" t="s">
        <v>7541</v>
      </c>
      <c r="P4581" s="36" t="s">
        <v>7542</v>
      </c>
      <c r="Q4581" s="38"/>
    </row>
    <row r="4582">
      <c r="A4582" s="6" t="s">
        <v>8270</v>
      </c>
      <c r="B4582" s="6" t="s">
        <v>8271</v>
      </c>
      <c r="C4582" s="6">
        <v>531.0</v>
      </c>
      <c r="D4582" s="9" t="str">
        <f t="shared" ref="D4582:D4583" si="864">HYPERLINK("https://www.linkedin.com/ad-library/detail/1126580514","Open Ad")</f>
        <v>Open Ad</v>
      </c>
      <c r="E4582" s="6" t="s">
        <v>91</v>
      </c>
      <c r="F4582" s="6" t="s">
        <v>8022</v>
      </c>
      <c r="G4582" s="6" t="s">
        <v>8354</v>
      </c>
      <c r="H4582" s="6" t="s">
        <v>55</v>
      </c>
      <c r="I4582" s="6" t="s">
        <v>8273</v>
      </c>
      <c r="J4582" s="6" t="s">
        <v>91</v>
      </c>
      <c r="K4582" s="12" t="str">
        <f t="shared" ref="K4582:K4583" si="865">HYPERLINK("https://media.licdn.com/dms/image/v2/D4E10AQFBE-hGBlPdfQ/image-shrink_1280/B4EZvHPXk5GkAc-/0/1768574253788/TrackwhatAIsayspng?e=2147483647&amp;v=beta&amp;t=c2jX6FQItgO4wLlA6IAzpFa7FH4E4qDF52W5zHY4V5o","View Creative")</f>
        <v>View Creative</v>
      </c>
      <c r="L4582" s="6" t="s">
        <v>62</v>
      </c>
      <c r="M4582" s="6" t="s">
        <v>8270</v>
      </c>
      <c r="N4582" s="6"/>
      <c r="O4582" s="36" t="s">
        <v>7541</v>
      </c>
      <c r="P4582" s="36" t="s">
        <v>7542</v>
      </c>
      <c r="Q4582" s="38"/>
    </row>
    <row r="4583">
      <c r="A4583" s="6" t="s">
        <v>8270</v>
      </c>
      <c r="B4583" s="6" t="s">
        <v>8271</v>
      </c>
      <c r="C4583" s="6">
        <v>532.0</v>
      </c>
      <c r="D4583" s="9" t="str">
        <f t="shared" si="864"/>
        <v>Open Ad</v>
      </c>
      <c r="E4583" s="6" t="s">
        <v>91</v>
      </c>
      <c r="F4583" s="6" t="s">
        <v>8022</v>
      </c>
      <c r="G4583" s="6" t="s">
        <v>8354</v>
      </c>
      <c r="H4583" s="6" t="s">
        <v>55</v>
      </c>
      <c r="I4583" s="6" t="s">
        <v>8273</v>
      </c>
      <c r="J4583" s="6" t="s">
        <v>91</v>
      </c>
      <c r="K4583" s="12" t="str">
        <f t="shared" si="865"/>
        <v>View Creative</v>
      </c>
      <c r="L4583" s="6" t="s">
        <v>62</v>
      </c>
      <c r="M4583" s="6" t="s">
        <v>8270</v>
      </c>
      <c r="N4583" s="6"/>
      <c r="O4583" s="36" t="s">
        <v>7541</v>
      </c>
      <c r="P4583" s="36" t="s">
        <v>7542</v>
      </c>
      <c r="Q4583" s="38"/>
    </row>
    <row r="4584">
      <c r="A4584" s="6" t="s">
        <v>8270</v>
      </c>
      <c r="B4584" s="6" t="s">
        <v>8271</v>
      </c>
      <c r="C4584" s="6">
        <v>533.0</v>
      </c>
      <c r="D4584" s="9" t="str">
        <f t="shared" ref="D4584:D4585" si="866">HYPERLINK("https://www.linkedin.com/ad-library/detail/1124780624","Open Ad")</f>
        <v>Open Ad</v>
      </c>
      <c r="E4584" s="6" t="s">
        <v>91</v>
      </c>
      <c r="F4584" s="6" t="s">
        <v>8022</v>
      </c>
      <c r="G4584" s="6" t="s">
        <v>8355</v>
      </c>
      <c r="H4584" s="6" t="s">
        <v>55</v>
      </c>
      <c r="I4584" s="6" t="s">
        <v>8273</v>
      </c>
      <c r="J4584" s="6" t="s">
        <v>91</v>
      </c>
      <c r="K4584" s="12" t="str">
        <f t="shared" ref="K4584:K4585" si="867">HYPERLINK("https://media.licdn.com/dms/image/v2/D4E10AQFhdvl49SWZJw/image-shrink_1280/B4EZvHOpTsIIAg-/0/1768574064237/Gettrafficpng?e=2147483647&amp;v=beta&amp;t=zW2iradgKhv3Rzcgm7lLXw6UqHtXcSuZb9dYJ_IsQw0","View Creative")</f>
        <v>View Creative</v>
      </c>
      <c r="L4584" s="6" t="s">
        <v>62</v>
      </c>
      <c r="M4584" s="6" t="s">
        <v>8270</v>
      </c>
      <c r="N4584" s="6"/>
      <c r="O4584" s="36" t="s">
        <v>7541</v>
      </c>
      <c r="P4584" s="36" t="s">
        <v>7542</v>
      </c>
      <c r="Q4584" s="38"/>
    </row>
    <row r="4585">
      <c r="A4585" s="6" t="s">
        <v>8270</v>
      </c>
      <c r="B4585" s="6" t="s">
        <v>8271</v>
      </c>
      <c r="C4585" s="6">
        <v>534.0</v>
      </c>
      <c r="D4585" s="9" t="str">
        <f t="shared" si="866"/>
        <v>Open Ad</v>
      </c>
      <c r="E4585" s="6" t="s">
        <v>91</v>
      </c>
      <c r="F4585" s="6" t="s">
        <v>8022</v>
      </c>
      <c r="G4585" s="6" t="s">
        <v>8355</v>
      </c>
      <c r="H4585" s="6" t="s">
        <v>55</v>
      </c>
      <c r="I4585" s="6" t="s">
        <v>8273</v>
      </c>
      <c r="J4585" s="6" t="s">
        <v>91</v>
      </c>
      <c r="K4585" s="12" t="str">
        <f t="shared" si="867"/>
        <v>View Creative</v>
      </c>
      <c r="L4585" s="6" t="s">
        <v>62</v>
      </c>
      <c r="M4585" s="6" t="s">
        <v>8270</v>
      </c>
      <c r="N4585" s="6"/>
      <c r="O4585" s="36" t="s">
        <v>7541</v>
      </c>
      <c r="P4585" s="36" t="s">
        <v>7542</v>
      </c>
      <c r="Q4585" s="38"/>
    </row>
    <row r="4586">
      <c r="A4586" s="6" t="s">
        <v>8270</v>
      </c>
      <c r="B4586" s="6" t="s">
        <v>8271</v>
      </c>
      <c r="C4586" s="6">
        <v>535.0</v>
      </c>
      <c r="D4586" s="9" t="str">
        <f t="shared" ref="D4586:D4587" si="868">HYPERLINK("https://www.linkedin.com/ad-library/detail/1124480634","Open Ad")</f>
        <v>Open Ad</v>
      </c>
      <c r="E4586" s="6" t="s">
        <v>91</v>
      </c>
      <c r="F4586" s="6" t="s">
        <v>8022</v>
      </c>
      <c r="G4586" s="6" t="s">
        <v>8356</v>
      </c>
      <c r="H4586" s="6" t="s">
        <v>55</v>
      </c>
      <c r="I4586" s="6" t="s">
        <v>8273</v>
      </c>
      <c r="J4586" s="6" t="s">
        <v>91</v>
      </c>
      <c r="K4586" s="12" t="str">
        <f t="shared" ref="K4586:K4589" si="869">HYPERLINK("https://media.licdn.com/dms/image/v2/D4E10AQEJ3BN6TF0ShQ/image-shrink_1280/B4EZvHhgvMH8Ac-/0/1768579009905/1Trackyourvisibilitypng?e=2147483647&amp;v=beta&amp;t=kanyDacnSgkvxyWF3u29O_7mHnPNsjm8UGSWcuf78w8","View Creative")</f>
        <v>View Creative</v>
      </c>
      <c r="L4586" s="6" t="s">
        <v>62</v>
      </c>
      <c r="M4586" s="6" t="s">
        <v>8270</v>
      </c>
      <c r="N4586" s="6"/>
      <c r="O4586" s="36" t="s">
        <v>7541</v>
      </c>
      <c r="P4586" s="36" t="s">
        <v>7542</v>
      </c>
      <c r="Q4586" s="38"/>
    </row>
    <row r="4587">
      <c r="A4587" s="6" t="s">
        <v>8270</v>
      </c>
      <c r="B4587" s="6" t="s">
        <v>8271</v>
      </c>
      <c r="C4587" s="6">
        <v>536.0</v>
      </c>
      <c r="D4587" s="9" t="str">
        <f t="shared" si="868"/>
        <v>Open Ad</v>
      </c>
      <c r="E4587" s="6" t="s">
        <v>91</v>
      </c>
      <c r="F4587" s="6" t="s">
        <v>8022</v>
      </c>
      <c r="G4587" s="6" t="s">
        <v>8356</v>
      </c>
      <c r="H4587" s="6" t="s">
        <v>55</v>
      </c>
      <c r="I4587" s="6" t="s">
        <v>8273</v>
      </c>
      <c r="J4587" s="6" t="s">
        <v>91</v>
      </c>
      <c r="K4587" s="12" t="str">
        <f t="shared" si="869"/>
        <v>View Creative</v>
      </c>
      <c r="L4587" s="6" t="s">
        <v>62</v>
      </c>
      <c r="M4587" s="6" t="s">
        <v>8270</v>
      </c>
      <c r="N4587" s="6"/>
      <c r="O4587" s="36" t="s">
        <v>7541</v>
      </c>
      <c r="P4587" s="36" t="s">
        <v>7542</v>
      </c>
      <c r="Q4587" s="38"/>
    </row>
    <row r="4588">
      <c r="A4588" s="6" t="s">
        <v>8270</v>
      </c>
      <c r="B4588" s="6" t="s">
        <v>8271</v>
      </c>
      <c r="C4588" s="6">
        <v>537.0</v>
      </c>
      <c r="D4588" s="9" t="str">
        <f t="shared" ref="D4588:D4589" si="870">HYPERLINK("https://www.linkedin.com/ad-library/detail/1125280564","Open Ad")</f>
        <v>Open Ad</v>
      </c>
      <c r="E4588" s="6" t="s">
        <v>91</v>
      </c>
      <c r="F4588" s="6" t="s">
        <v>8022</v>
      </c>
      <c r="G4588" s="6" t="s">
        <v>8356</v>
      </c>
      <c r="H4588" s="6" t="s">
        <v>55</v>
      </c>
      <c r="I4588" s="6" t="s">
        <v>8273</v>
      </c>
      <c r="J4588" s="6" t="s">
        <v>91</v>
      </c>
      <c r="K4588" s="12" t="str">
        <f t="shared" si="869"/>
        <v>View Creative</v>
      </c>
      <c r="L4588" s="6" t="s">
        <v>62</v>
      </c>
      <c r="M4588" s="6" t="s">
        <v>8270</v>
      </c>
      <c r="N4588" s="6" t="s">
        <v>8357</v>
      </c>
      <c r="O4588" s="36" t="s">
        <v>7541</v>
      </c>
      <c r="P4588" s="36" t="s">
        <v>7542</v>
      </c>
      <c r="Q4588" s="38"/>
    </row>
    <row r="4589">
      <c r="A4589" s="6" t="s">
        <v>8270</v>
      </c>
      <c r="B4589" s="6" t="s">
        <v>8271</v>
      </c>
      <c r="C4589" s="6">
        <v>538.0</v>
      </c>
      <c r="D4589" s="9" t="str">
        <f t="shared" si="870"/>
        <v>Open Ad</v>
      </c>
      <c r="E4589" s="6" t="s">
        <v>91</v>
      </c>
      <c r="F4589" s="6" t="s">
        <v>8022</v>
      </c>
      <c r="G4589" s="6" t="s">
        <v>8356</v>
      </c>
      <c r="H4589" s="6" t="s">
        <v>55</v>
      </c>
      <c r="I4589" s="6" t="s">
        <v>8273</v>
      </c>
      <c r="J4589" s="6" t="s">
        <v>91</v>
      </c>
      <c r="K4589" s="12" t="str">
        <f t="shared" si="869"/>
        <v>View Creative</v>
      </c>
      <c r="L4589" s="6" t="s">
        <v>62</v>
      </c>
      <c r="M4589" s="6" t="s">
        <v>8270</v>
      </c>
      <c r="N4589" s="6" t="s">
        <v>8357</v>
      </c>
      <c r="O4589" s="36" t="s">
        <v>7541</v>
      </c>
      <c r="P4589" s="36" t="s">
        <v>7542</v>
      </c>
      <c r="Q4589" s="38"/>
    </row>
    <row r="4590">
      <c r="A4590" s="6" t="s">
        <v>8270</v>
      </c>
      <c r="B4590" s="6" t="s">
        <v>8271</v>
      </c>
      <c r="C4590" s="6">
        <v>539.0</v>
      </c>
      <c r="D4590" s="9" t="str">
        <f t="shared" ref="D4590:D4591" si="871">HYPERLINK("https://www.linkedin.com/ad-library/detail/1125280654","Open Ad")</f>
        <v>Open Ad</v>
      </c>
      <c r="E4590" s="6" t="s">
        <v>91</v>
      </c>
      <c r="F4590" s="6" t="s">
        <v>8022</v>
      </c>
      <c r="G4590" s="6" t="s">
        <v>8354</v>
      </c>
      <c r="H4590" s="6" t="s">
        <v>55</v>
      </c>
      <c r="I4590" s="6" t="s">
        <v>8273</v>
      </c>
      <c r="J4590" s="6" t="s">
        <v>91</v>
      </c>
      <c r="K4590" s="12" t="str">
        <f t="shared" ref="K4590:K4591" si="872">HYPERLINK("https://media.licdn.com/dms/image/v2/D4E10AQFBE-hGBlPdfQ/image-shrink_1280/B4EZvHPXk5GkAc-/0/1768574253788/TrackwhatAIsayspng?e=2147483647&amp;v=beta&amp;t=c2jX6FQItgO4wLlA6IAzpFa7FH4E4qDF52W5zHY4V5o","View Creative")</f>
        <v>View Creative</v>
      </c>
      <c r="L4590" s="6" t="s">
        <v>62</v>
      </c>
      <c r="M4590" s="6" t="s">
        <v>8270</v>
      </c>
      <c r="N4590" s="6"/>
      <c r="O4590" s="36" t="s">
        <v>7541</v>
      </c>
      <c r="P4590" s="36" t="s">
        <v>7542</v>
      </c>
      <c r="Q4590" s="38"/>
    </row>
    <row r="4591">
      <c r="A4591" s="6" t="s">
        <v>8270</v>
      </c>
      <c r="B4591" s="6" t="s">
        <v>8271</v>
      </c>
      <c r="C4591" s="6">
        <v>540.0</v>
      </c>
      <c r="D4591" s="9" t="str">
        <f t="shared" si="871"/>
        <v>Open Ad</v>
      </c>
      <c r="E4591" s="6" t="s">
        <v>91</v>
      </c>
      <c r="F4591" s="6" t="s">
        <v>8022</v>
      </c>
      <c r="G4591" s="6" t="s">
        <v>8354</v>
      </c>
      <c r="H4591" s="6" t="s">
        <v>55</v>
      </c>
      <c r="I4591" s="6" t="s">
        <v>8273</v>
      </c>
      <c r="J4591" s="6" t="s">
        <v>91</v>
      </c>
      <c r="K4591" s="12" t="str">
        <f t="shared" si="872"/>
        <v>View Creative</v>
      </c>
      <c r="L4591" s="6" t="s">
        <v>62</v>
      </c>
      <c r="M4591" s="6" t="s">
        <v>8270</v>
      </c>
      <c r="N4591" s="6"/>
      <c r="O4591" s="36" t="s">
        <v>7541</v>
      </c>
      <c r="P4591" s="36" t="s">
        <v>7542</v>
      </c>
      <c r="Q4591" s="38"/>
    </row>
    <row r="4592">
      <c r="A4592" s="6" t="s">
        <v>8270</v>
      </c>
      <c r="B4592" s="6" t="s">
        <v>8271</v>
      </c>
      <c r="C4592" s="6">
        <v>541.0</v>
      </c>
      <c r="D4592" s="9" t="str">
        <f t="shared" ref="D4592:D4593" si="873">HYPERLINK("https://www.linkedin.com/ad-library/detail/1124580674","Open Ad")</f>
        <v>Open Ad</v>
      </c>
      <c r="E4592" s="6" t="s">
        <v>91</v>
      </c>
      <c r="F4592" s="6" t="s">
        <v>8022</v>
      </c>
      <c r="G4592" s="6" t="s">
        <v>8358</v>
      </c>
      <c r="H4592" s="6" t="s">
        <v>55</v>
      </c>
      <c r="I4592" s="6" t="s">
        <v>8273</v>
      </c>
      <c r="J4592" s="6" t="s">
        <v>91</v>
      </c>
      <c r="K4592" s="12" t="str">
        <f t="shared" ref="K4592:K4593" si="874">HYPERLINK("https://media.licdn.com/dms/image/v2/D4E10AQHJS_17cXbRdg/image-shrink_1280/B4EZvHhKynJcAg-/0/1768578920006/1Yourorganictrafficpng?e=2147483647&amp;v=beta&amp;t=R-1DjIIQZU9ozJC_0T_K6Nf4-jGbi32oszyoTeUi4H0","View Creative")</f>
        <v>View Creative</v>
      </c>
      <c r="L4592" s="6" t="s">
        <v>62</v>
      </c>
      <c r="M4592" s="6" t="s">
        <v>8270</v>
      </c>
      <c r="N4592" s="6" t="s">
        <v>8357</v>
      </c>
      <c r="O4592" s="36" t="s">
        <v>7541</v>
      </c>
      <c r="P4592" s="36" t="s">
        <v>7542</v>
      </c>
      <c r="Q4592" s="38"/>
    </row>
    <row r="4593">
      <c r="A4593" s="6" t="s">
        <v>8270</v>
      </c>
      <c r="B4593" s="6" t="s">
        <v>8271</v>
      </c>
      <c r="C4593" s="6">
        <v>542.0</v>
      </c>
      <c r="D4593" s="9" t="str">
        <f t="shared" si="873"/>
        <v>Open Ad</v>
      </c>
      <c r="E4593" s="6" t="s">
        <v>91</v>
      </c>
      <c r="F4593" s="6" t="s">
        <v>8022</v>
      </c>
      <c r="G4593" s="6" t="s">
        <v>8358</v>
      </c>
      <c r="H4593" s="6" t="s">
        <v>55</v>
      </c>
      <c r="I4593" s="6" t="s">
        <v>8273</v>
      </c>
      <c r="J4593" s="6" t="s">
        <v>91</v>
      </c>
      <c r="K4593" s="12" t="str">
        <f t="shared" si="874"/>
        <v>View Creative</v>
      </c>
      <c r="L4593" s="6" t="s">
        <v>62</v>
      </c>
      <c r="M4593" s="6" t="s">
        <v>8270</v>
      </c>
      <c r="N4593" s="6" t="s">
        <v>8357</v>
      </c>
      <c r="O4593" s="36" t="s">
        <v>7541</v>
      </c>
      <c r="P4593" s="36" t="s">
        <v>7542</v>
      </c>
      <c r="Q4593" s="38"/>
    </row>
    <row r="4594">
      <c r="A4594" s="6" t="s">
        <v>8270</v>
      </c>
      <c r="B4594" s="6" t="s">
        <v>8271</v>
      </c>
      <c r="C4594" s="6">
        <v>543.0</v>
      </c>
      <c r="D4594" s="9" t="str">
        <f t="shared" ref="D4594:D4595" si="875">HYPERLINK("https://www.linkedin.com/ad-library/detail/1125880484","Open Ad")</f>
        <v>Open Ad</v>
      </c>
      <c r="E4594" s="6" t="s">
        <v>91</v>
      </c>
      <c r="F4594" s="6" t="s">
        <v>8022</v>
      </c>
      <c r="G4594" s="6" t="s">
        <v>8359</v>
      </c>
      <c r="H4594" s="6" t="s">
        <v>55</v>
      </c>
      <c r="I4594" s="6" t="s">
        <v>8273</v>
      </c>
      <c r="J4594" s="6" t="s">
        <v>91</v>
      </c>
      <c r="K4594" s="12" t="str">
        <f t="shared" ref="K4594:K4595" si="876">HYPERLINK("https://media.licdn.com/dms/image/v2/D4E10AQEQ0CWUOdqf5Q/image-shrink_1280/B4EZvHPErHHIAc-/0/1768574176286/Getmentionedpng?e=2147483647&amp;v=beta&amp;t=MJqK7cYTUhoCExV6KgyODJj-FCw_H7hff28vQufV73o","View Creative")</f>
        <v>View Creative</v>
      </c>
      <c r="L4594" s="6" t="s">
        <v>62</v>
      </c>
      <c r="M4594" s="6" t="s">
        <v>8270</v>
      </c>
      <c r="N4594" s="6" t="s">
        <v>8357</v>
      </c>
      <c r="O4594" s="36" t="s">
        <v>7541</v>
      </c>
      <c r="P4594" s="36" t="s">
        <v>7542</v>
      </c>
      <c r="Q4594" s="38"/>
    </row>
    <row r="4595">
      <c r="A4595" s="6" t="s">
        <v>8270</v>
      </c>
      <c r="B4595" s="6" t="s">
        <v>8271</v>
      </c>
      <c r="C4595" s="6">
        <v>544.0</v>
      </c>
      <c r="D4595" s="9" t="str">
        <f t="shared" si="875"/>
        <v>Open Ad</v>
      </c>
      <c r="E4595" s="6" t="s">
        <v>91</v>
      </c>
      <c r="F4595" s="6" t="s">
        <v>8022</v>
      </c>
      <c r="G4595" s="6" t="s">
        <v>8359</v>
      </c>
      <c r="H4595" s="6" t="s">
        <v>55</v>
      </c>
      <c r="I4595" s="6" t="s">
        <v>8273</v>
      </c>
      <c r="J4595" s="6" t="s">
        <v>91</v>
      </c>
      <c r="K4595" s="12" t="str">
        <f t="shared" si="876"/>
        <v>View Creative</v>
      </c>
      <c r="L4595" s="6" t="s">
        <v>62</v>
      </c>
      <c r="M4595" s="6" t="s">
        <v>8270</v>
      </c>
      <c r="N4595" s="6" t="s">
        <v>8357</v>
      </c>
      <c r="O4595" s="36" t="s">
        <v>7541</v>
      </c>
      <c r="P4595" s="36" t="s">
        <v>7542</v>
      </c>
      <c r="Q4595" s="38"/>
    </row>
    <row r="4596">
      <c r="A4596" s="6" t="s">
        <v>8270</v>
      </c>
      <c r="B4596" s="6" t="s">
        <v>8271</v>
      </c>
      <c r="C4596" s="6">
        <v>545.0</v>
      </c>
      <c r="D4596" s="9" t="str">
        <f t="shared" ref="D4596:D4597" si="877">HYPERLINK("https://www.linkedin.com/ad-library/detail/1125880494","Open Ad")</f>
        <v>Open Ad</v>
      </c>
      <c r="E4596" s="6" t="s">
        <v>91</v>
      </c>
      <c r="F4596" s="6" t="s">
        <v>8022</v>
      </c>
      <c r="G4596" s="6" t="s">
        <v>8354</v>
      </c>
      <c r="H4596" s="6" t="s">
        <v>55</v>
      </c>
      <c r="I4596" s="6" t="s">
        <v>8273</v>
      </c>
      <c r="J4596" s="6" t="s">
        <v>91</v>
      </c>
      <c r="K4596" s="12" t="str">
        <f t="shared" ref="K4596:K4597" si="878">HYPERLINK("https://media.licdn.com/dms/image/v2/D4E10AQFBE-hGBlPdfQ/image-shrink_1280/B4EZvHPXk5GkAc-/0/1768574253788/TrackwhatAIsayspng?e=2147483647&amp;v=beta&amp;t=c2jX6FQItgO4wLlA6IAzpFa7FH4E4qDF52W5zHY4V5o","View Creative")</f>
        <v>View Creative</v>
      </c>
      <c r="L4596" s="6" t="s">
        <v>62</v>
      </c>
      <c r="M4596" s="6" t="s">
        <v>8270</v>
      </c>
      <c r="N4596" s="6" t="s">
        <v>8357</v>
      </c>
      <c r="O4596" s="36" t="s">
        <v>7541</v>
      </c>
      <c r="P4596" s="36" t="s">
        <v>7542</v>
      </c>
      <c r="Q4596" s="38"/>
    </row>
    <row r="4597">
      <c r="A4597" s="6" t="s">
        <v>8270</v>
      </c>
      <c r="B4597" s="6" t="s">
        <v>8271</v>
      </c>
      <c r="C4597" s="6">
        <v>546.0</v>
      </c>
      <c r="D4597" s="9" t="str">
        <f t="shared" si="877"/>
        <v>Open Ad</v>
      </c>
      <c r="E4597" s="6" t="s">
        <v>91</v>
      </c>
      <c r="F4597" s="6" t="s">
        <v>8022</v>
      </c>
      <c r="G4597" s="6" t="s">
        <v>8354</v>
      </c>
      <c r="H4597" s="6" t="s">
        <v>55</v>
      </c>
      <c r="I4597" s="6" t="s">
        <v>8273</v>
      </c>
      <c r="J4597" s="6" t="s">
        <v>91</v>
      </c>
      <c r="K4597" s="12" t="str">
        <f t="shared" si="878"/>
        <v>View Creative</v>
      </c>
      <c r="L4597" s="6" t="s">
        <v>62</v>
      </c>
      <c r="M4597" s="6" t="s">
        <v>8270</v>
      </c>
      <c r="N4597" s="6" t="s">
        <v>8357</v>
      </c>
      <c r="O4597" s="36" t="s">
        <v>7541</v>
      </c>
      <c r="P4597" s="36" t="s">
        <v>7542</v>
      </c>
      <c r="Q4597" s="38"/>
    </row>
    <row r="4598">
      <c r="A4598" s="6" t="s">
        <v>8270</v>
      </c>
      <c r="B4598" s="6" t="s">
        <v>8271</v>
      </c>
      <c r="C4598" s="6">
        <v>547.0</v>
      </c>
      <c r="D4598" s="9" t="str">
        <f t="shared" ref="D4598:D4599" si="879">HYPERLINK("https://www.linkedin.com/ad-library/detail/1126580564","Open Ad")</f>
        <v>Open Ad</v>
      </c>
      <c r="E4598" s="6" t="s">
        <v>91</v>
      </c>
      <c r="F4598" s="6" t="s">
        <v>8022</v>
      </c>
      <c r="G4598" s="6" t="s">
        <v>8359</v>
      </c>
      <c r="H4598" s="6" t="s">
        <v>55</v>
      </c>
      <c r="I4598" s="6" t="s">
        <v>8273</v>
      </c>
      <c r="J4598" s="6" t="s">
        <v>91</v>
      </c>
      <c r="K4598" s="12" t="str">
        <f t="shared" ref="K4598:K4599" si="880">HYPERLINK("https://media.licdn.com/dms/image/v2/D4E10AQEQ0CWUOdqf5Q/image-shrink_1280/B4EZvHPErHHIAc-/0/1768574176286/Getmentionedpng?e=2147483647&amp;v=beta&amp;t=MJqK7cYTUhoCExV6KgyODJj-FCw_H7hff28vQufV73o","View Creative")</f>
        <v>View Creative</v>
      </c>
      <c r="L4598" s="6" t="s">
        <v>62</v>
      </c>
      <c r="M4598" s="6" t="s">
        <v>8270</v>
      </c>
      <c r="N4598" s="6"/>
      <c r="O4598" s="36" t="s">
        <v>7541</v>
      </c>
      <c r="P4598" s="36" t="s">
        <v>7542</v>
      </c>
      <c r="Q4598" s="38"/>
    </row>
    <row r="4599">
      <c r="A4599" s="6" t="s">
        <v>8270</v>
      </c>
      <c r="B4599" s="6" t="s">
        <v>8271</v>
      </c>
      <c r="C4599" s="6">
        <v>548.0</v>
      </c>
      <c r="D4599" s="9" t="str">
        <f t="shared" si="879"/>
        <v>Open Ad</v>
      </c>
      <c r="E4599" s="6" t="s">
        <v>91</v>
      </c>
      <c r="F4599" s="6" t="s">
        <v>8022</v>
      </c>
      <c r="G4599" s="6" t="s">
        <v>8359</v>
      </c>
      <c r="H4599" s="6" t="s">
        <v>55</v>
      </c>
      <c r="I4599" s="6" t="s">
        <v>8273</v>
      </c>
      <c r="J4599" s="6" t="s">
        <v>91</v>
      </c>
      <c r="K4599" s="12" t="str">
        <f t="shared" si="880"/>
        <v>View Creative</v>
      </c>
      <c r="L4599" s="6" t="s">
        <v>62</v>
      </c>
      <c r="M4599" s="6" t="s">
        <v>8270</v>
      </c>
      <c r="N4599" s="6"/>
      <c r="O4599" s="36" t="s">
        <v>7541</v>
      </c>
      <c r="P4599" s="36" t="s">
        <v>7542</v>
      </c>
      <c r="Q4599" s="38"/>
    </row>
    <row r="4600">
      <c r="A4600" s="6" t="s">
        <v>8270</v>
      </c>
      <c r="B4600" s="6" t="s">
        <v>8271</v>
      </c>
      <c r="C4600" s="6">
        <v>549.0</v>
      </c>
      <c r="D4600" s="9" t="str">
        <f t="shared" ref="D4600:D4601" si="881">HYPERLINK("https://www.linkedin.com/ad-library/detail/1125680584","Open Ad")</f>
        <v>Open Ad</v>
      </c>
      <c r="E4600" s="6" t="s">
        <v>91</v>
      </c>
      <c r="F4600" s="6" t="s">
        <v>8022</v>
      </c>
      <c r="G4600" s="6" t="s">
        <v>8358</v>
      </c>
      <c r="H4600" s="6" t="s">
        <v>55</v>
      </c>
      <c r="I4600" s="6" t="s">
        <v>8273</v>
      </c>
      <c r="J4600" s="6" t="s">
        <v>91</v>
      </c>
      <c r="K4600" s="12" t="str">
        <f t="shared" ref="K4600:K4601" si="882">HYPERLINK("https://media.licdn.com/dms/image/v2/D4E10AQHJS_17cXbRdg/image-shrink_1280/B4EZvHhKynJcAg-/0/1768578920006/1Yourorganictrafficpng?e=2147483647&amp;v=beta&amp;t=R-1DjIIQZU9ozJC_0T_K6Nf4-jGbi32oszyoTeUi4H0","View Creative")</f>
        <v>View Creative</v>
      </c>
      <c r="L4600" s="6" t="s">
        <v>62</v>
      </c>
      <c r="M4600" s="6" t="s">
        <v>8270</v>
      </c>
      <c r="N4600" s="6"/>
      <c r="O4600" s="36" t="s">
        <v>7541</v>
      </c>
      <c r="P4600" s="36" t="s">
        <v>7542</v>
      </c>
      <c r="Q4600" s="38"/>
    </row>
    <row r="4601">
      <c r="A4601" s="6" t="s">
        <v>8270</v>
      </c>
      <c r="B4601" s="6" t="s">
        <v>8271</v>
      </c>
      <c r="C4601" s="6">
        <v>550.0</v>
      </c>
      <c r="D4601" s="9" t="str">
        <f t="shared" si="881"/>
        <v>Open Ad</v>
      </c>
      <c r="E4601" s="6" t="s">
        <v>91</v>
      </c>
      <c r="F4601" s="6" t="s">
        <v>8022</v>
      </c>
      <c r="G4601" s="6" t="s">
        <v>8358</v>
      </c>
      <c r="H4601" s="6" t="s">
        <v>55</v>
      </c>
      <c r="I4601" s="6" t="s">
        <v>8273</v>
      </c>
      <c r="J4601" s="6" t="s">
        <v>91</v>
      </c>
      <c r="K4601" s="12" t="str">
        <f t="shared" si="882"/>
        <v>View Creative</v>
      </c>
      <c r="L4601" s="6" t="s">
        <v>62</v>
      </c>
      <c r="M4601" s="6" t="s">
        <v>8270</v>
      </c>
      <c r="N4601" s="6"/>
      <c r="O4601" s="36" t="s">
        <v>7541</v>
      </c>
      <c r="P4601" s="36" t="s">
        <v>7542</v>
      </c>
      <c r="Q4601" s="38"/>
    </row>
    <row r="4602">
      <c r="A4602" s="6" t="s">
        <v>8270</v>
      </c>
      <c r="B4602" s="6" t="s">
        <v>8271</v>
      </c>
      <c r="C4602" s="6">
        <v>551.0</v>
      </c>
      <c r="D4602" s="9" t="str">
        <f t="shared" ref="D4602:D4603" si="883">HYPERLINK("https://www.linkedin.com/ad-library/detail/1124980624","Open Ad")</f>
        <v>Open Ad</v>
      </c>
      <c r="E4602" s="6" t="s">
        <v>91</v>
      </c>
      <c r="F4602" s="6" t="s">
        <v>8022</v>
      </c>
      <c r="G4602" s="6" t="s">
        <v>8360</v>
      </c>
      <c r="H4602" s="6" t="s">
        <v>55</v>
      </c>
      <c r="I4602" s="6" t="s">
        <v>8273</v>
      </c>
      <c r="J4602" s="6" t="s">
        <v>91</v>
      </c>
      <c r="K4602" s="12" t="str">
        <f t="shared" ref="K4602:K4605" si="884">HYPERLINK("https://media.licdn.com/dms/image/v2/D4E10AQFeOWv4BOm3Lg/image-shrink_1280/B4EZvHgRcRGoAg-/0/1768578685071/AIsearchanalyticspng?e=2147483647&amp;v=beta&amp;t=r8ZA4O6fWX-JBdFSvxBgj_hIEsRx7sVZZ0_lepLUncw","View Creative")</f>
        <v>View Creative</v>
      </c>
      <c r="L4602" s="6" t="s">
        <v>62</v>
      </c>
      <c r="M4602" s="6" t="s">
        <v>8270</v>
      </c>
      <c r="N4602" s="6" t="s">
        <v>8357</v>
      </c>
      <c r="O4602" s="36" t="s">
        <v>7541</v>
      </c>
      <c r="P4602" s="36" t="s">
        <v>7542</v>
      </c>
      <c r="Q4602" s="38"/>
    </row>
    <row r="4603">
      <c r="A4603" s="6" t="s">
        <v>8270</v>
      </c>
      <c r="B4603" s="6" t="s">
        <v>8271</v>
      </c>
      <c r="C4603" s="6">
        <v>552.0</v>
      </c>
      <c r="D4603" s="9" t="str">
        <f t="shared" si="883"/>
        <v>Open Ad</v>
      </c>
      <c r="E4603" s="6" t="s">
        <v>91</v>
      </c>
      <c r="F4603" s="6" t="s">
        <v>8022</v>
      </c>
      <c r="G4603" s="6" t="s">
        <v>8360</v>
      </c>
      <c r="H4603" s="6" t="s">
        <v>55</v>
      </c>
      <c r="I4603" s="6" t="s">
        <v>8273</v>
      </c>
      <c r="J4603" s="6" t="s">
        <v>91</v>
      </c>
      <c r="K4603" s="12" t="str">
        <f t="shared" si="884"/>
        <v>View Creative</v>
      </c>
      <c r="L4603" s="6" t="s">
        <v>62</v>
      </c>
      <c r="M4603" s="6" t="s">
        <v>8270</v>
      </c>
      <c r="N4603" s="6" t="s">
        <v>8357</v>
      </c>
      <c r="O4603" s="36" t="s">
        <v>7541</v>
      </c>
      <c r="P4603" s="36" t="s">
        <v>7542</v>
      </c>
      <c r="Q4603" s="38"/>
    </row>
    <row r="4604">
      <c r="A4604" s="6" t="s">
        <v>8270</v>
      </c>
      <c r="B4604" s="6" t="s">
        <v>8271</v>
      </c>
      <c r="C4604" s="6">
        <v>553.0</v>
      </c>
      <c r="D4604" s="9" t="str">
        <f t="shared" ref="D4604:D4605" si="885">HYPERLINK("https://www.linkedin.com/ad-library/detail/1126280544","Open Ad")</f>
        <v>Open Ad</v>
      </c>
      <c r="E4604" s="6" t="s">
        <v>91</v>
      </c>
      <c r="F4604" s="6" t="s">
        <v>8022</v>
      </c>
      <c r="G4604" s="6" t="s">
        <v>8360</v>
      </c>
      <c r="H4604" s="6" t="s">
        <v>55</v>
      </c>
      <c r="I4604" s="6" t="s">
        <v>8273</v>
      </c>
      <c r="J4604" s="6" t="s">
        <v>91</v>
      </c>
      <c r="K4604" s="12" t="str">
        <f t="shared" si="884"/>
        <v>View Creative</v>
      </c>
      <c r="L4604" s="6" t="s">
        <v>62</v>
      </c>
      <c r="M4604" s="6" t="s">
        <v>8270</v>
      </c>
      <c r="N4604" s="6"/>
      <c r="O4604" s="36" t="s">
        <v>7541</v>
      </c>
      <c r="P4604" s="36" t="s">
        <v>7542</v>
      </c>
      <c r="Q4604" s="38"/>
    </row>
    <row r="4605">
      <c r="A4605" s="6" t="s">
        <v>8270</v>
      </c>
      <c r="B4605" s="6" t="s">
        <v>8271</v>
      </c>
      <c r="C4605" s="6">
        <v>554.0</v>
      </c>
      <c r="D4605" s="9" t="str">
        <f t="shared" si="885"/>
        <v>Open Ad</v>
      </c>
      <c r="E4605" s="6" t="s">
        <v>91</v>
      </c>
      <c r="F4605" s="6" t="s">
        <v>8022</v>
      </c>
      <c r="G4605" s="6" t="s">
        <v>8360</v>
      </c>
      <c r="H4605" s="6" t="s">
        <v>55</v>
      </c>
      <c r="I4605" s="6" t="s">
        <v>8273</v>
      </c>
      <c r="J4605" s="6" t="s">
        <v>91</v>
      </c>
      <c r="K4605" s="12" t="str">
        <f t="shared" si="884"/>
        <v>View Creative</v>
      </c>
      <c r="L4605" s="6" t="s">
        <v>62</v>
      </c>
      <c r="M4605" s="6" t="s">
        <v>8270</v>
      </c>
      <c r="N4605" s="6"/>
      <c r="O4605" s="36" t="s">
        <v>7541</v>
      </c>
      <c r="P4605" s="36" t="s">
        <v>7542</v>
      </c>
      <c r="Q4605" s="38"/>
    </row>
    <row r="4606">
      <c r="A4606" s="6" t="s">
        <v>8270</v>
      </c>
      <c r="B4606" s="6" t="s">
        <v>8271</v>
      </c>
      <c r="C4606" s="6">
        <v>555.0</v>
      </c>
      <c r="D4606" s="9" t="str">
        <f t="shared" ref="D4606:D4607" si="886">HYPERLINK("https://www.linkedin.com/ad-library/detail/1125480534","Open Ad")</f>
        <v>Open Ad</v>
      </c>
      <c r="E4606" s="6" t="s">
        <v>91</v>
      </c>
      <c r="F4606" s="6" t="s">
        <v>8022</v>
      </c>
      <c r="G4606" s="6" t="s">
        <v>8356</v>
      </c>
      <c r="H4606" s="6" t="s">
        <v>55</v>
      </c>
      <c r="I4606" s="6" t="s">
        <v>8273</v>
      </c>
      <c r="J4606" s="6" t="s">
        <v>91</v>
      </c>
      <c r="K4606" s="12" t="str">
        <f t="shared" ref="K4606:K4607" si="887">HYPERLINK("https://media.licdn.com/dms/image/v2/D4E10AQEJ3BN6TF0ShQ/image-shrink_1280/B4EZvHhgvMH8Ac-/0/1768579009905/1Trackyourvisibilitypng?e=2147483647&amp;v=beta&amp;t=kanyDacnSgkvxyWF3u29O_7mHnPNsjm8UGSWcuf78w8","View Creative")</f>
        <v>View Creative</v>
      </c>
      <c r="L4606" s="6" t="s">
        <v>62</v>
      </c>
      <c r="M4606" s="6" t="s">
        <v>8270</v>
      </c>
      <c r="N4606" s="6"/>
      <c r="O4606" s="36" t="s">
        <v>7541</v>
      </c>
      <c r="P4606" s="36" t="s">
        <v>7542</v>
      </c>
      <c r="Q4606" s="38"/>
    </row>
    <row r="4607">
      <c r="A4607" s="6" t="s">
        <v>8270</v>
      </c>
      <c r="B4607" s="6" t="s">
        <v>8271</v>
      </c>
      <c r="C4607" s="6">
        <v>556.0</v>
      </c>
      <c r="D4607" s="9" t="str">
        <f t="shared" si="886"/>
        <v>Open Ad</v>
      </c>
      <c r="E4607" s="6" t="s">
        <v>91</v>
      </c>
      <c r="F4607" s="6" t="s">
        <v>8022</v>
      </c>
      <c r="G4607" s="6" t="s">
        <v>8356</v>
      </c>
      <c r="H4607" s="6" t="s">
        <v>55</v>
      </c>
      <c r="I4607" s="6" t="s">
        <v>8273</v>
      </c>
      <c r="J4607" s="6" t="s">
        <v>91</v>
      </c>
      <c r="K4607" s="12" t="str">
        <f t="shared" si="887"/>
        <v>View Creative</v>
      </c>
      <c r="L4607" s="6" t="s">
        <v>62</v>
      </c>
      <c r="M4607" s="6" t="s">
        <v>8270</v>
      </c>
      <c r="N4607" s="6"/>
      <c r="O4607" s="36" t="s">
        <v>7541</v>
      </c>
      <c r="P4607" s="36" t="s">
        <v>7542</v>
      </c>
      <c r="Q4607" s="38"/>
    </row>
    <row r="4608">
      <c r="A4608" s="6" t="s">
        <v>8270</v>
      </c>
      <c r="B4608" s="6" t="s">
        <v>8271</v>
      </c>
      <c r="C4608" s="6">
        <v>557.0</v>
      </c>
      <c r="D4608" s="9" t="str">
        <f t="shared" ref="D4608:D4609" si="888">HYPERLINK("https://www.linkedin.com/ad-library/detail/1125180584","Open Ad")</f>
        <v>Open Ad</v>
      </c>
      <c r="E4608" s="6" t="s">
        <v>91</v>
      </c>
      <c r="F4608" s="6" t="s">
        <v>8022</v>
      </c>
      <c r="G4608" s="6" t="s">
        <v>8360</v>
      </c>
      <c r="H4608" s="6" t="s">
        <v>55</v>
      </c>
      <c r="I4608" s="6" t="s">
        <v>8273</v>
      </c>
      <c r="J4608" s="6" t="s">
        <v>91</v>
      </c>
      <c r="K4608" s="12" t="str">
        <f t="shared" ref="K4608:K4609" si="889">HYPERLINK("https://media.licdn.com/dms/image/v2/D4E10AQFeOWv4BOm3Lg/image-shrink_1280/B4EZvHgRcRGoAg-/0/1768578685071/AIsearchanalyticspng?e=2147483647&amp;v=beta&amp;t=r8ZA4O6fWX-JBdFSvxBgj_hIEsRx7sVZZ0_lepLUncw","View Creative")</f>
        <v>View Creative</v>
      </c>
      <c r="L4608" s="6" t="s">
        <v>62</v>
      </c>
      <c r="M4608" s="6" t="s">
        <v>8270</v>
      </c>
      <c r="N4608" s="6"/>
      <c r="O4608" s="36" t="s">
        <v>7541</v>
      </c>
      <c r="P4608" s="36" t="s">
        <v>7542</v>
      </c>
      <c r="Q4608" s="38"/>
    </row>
    <row r="4609">
      <c r="A4609" s="6" t="s">
        <v>8270</v>
      </c>
      <c r="B4609" s="6" t="s">
        <v>8271</v>
      </c>
      <c r="C4609" s="6">
        <v>558.0</v>
      </c>
      <c r="D4609" s="9" t="str">
        <f t="shared" si="888"/>
        <v>Open Ad</v>
      </c>
      <c r="E4609" s="6" t="s">
        <v>91</v>
      </c>
      <c r="F4609" s="6" t="s">
        <v>8022</v>
      </c>
      <c r="G4609" s="6" t="s">
        <v>8360</v>
      </c>
      <c r="H4609" s="6" t="s">
        <v>55</v>
      </c>
      <c r="I4609" s="6" t="s">
        <v>8273</v>
      </c>
      <c r="J4609" s="6" t="s">
        <v>91</v>
      </c>
      <c r="K4609" s="12" t="str">
        <f t="shared" si="889"/>
        <v>View Creative</v>
      </c>
      <c r="L4609" s="6" t="s">
        <v>62</v>
      </c>
      <c r="M4609" s="6" t="s">
        <v>8270</v>
      </c>
      <c r="N4609" s="6"/>
      <c r="O4609" s="36" t="s">
        <v>7541</v>
      </c>
      <c r="P4609" s="36" t="s">
        <v>7542</v>
      </c>
      <c r="Q4609" s="38"/>
    </row>
    <row r="4610">
      <c r="A4610" s="6" t="s">
        <v>8270</v>
      </c>
      <c r="B4610" s="6" t="s">
        <v>8271</v>
      </c>
      <c r="C4610" s="6">
        <v>559.0</v>
      </c>
      <c r="D4610" s="9" t="str">
        <f t="shared" ref="D4610:D4611" si="890">HYPERLINK("https://www.linkedin.com/ad-library/detail/1146428244","Open Ad")</f>
        <v>Open Ad</v>
      </c>
      <c r="E4610" s="6" t="s">
        <v>91</v>
      </c>
      <c r="F4610" s="6" t="s">
        <v>8022</v>
      </c>
      <c r="G4610" s="6" t="s">
        <v>8348</v>
      </c>
      <c r="H4610" s="6" t="s">
        <v>55</v>
      </c>
      <c r="I4610" s="6" t="s">
        <v>8273</v>
      </c>
      <c r="J4610" s="6" t="s">
        <v>91</v>
      </c>
      <c r="K4610" s="12" t="str">
        <f t="shared" ref="K4610:K4611" si="891">HYPERLINK("https://media.licdn.com/dms/image/v2/D4E10AQEmkDLD4X437g/image-shrink_1280/B4EZyMRzsbKcAc-/0/1771880004998/ActionTracker4MeetActionspng?e=2147483647&amp;v=beta&amp;t=kBgjNRWbWwLkMbleB2r9e5Py7gwb2WX7uk3InZ1YbS8","View Creative")</f>
        <v>View Creative</v>
      </c>
      <c r="L4610" s="6" t="s">
        <v>62</v>
      </c>
      <c r="M4610" s="6" t="s">
        <v>8270</v>
      </c>
      <c r="N4610" s="6"/>
      <c r="O4610" s="36" t="s">
        <v>7541</v>
      </c>
      <c r="P4610" s="36" t="s">
        <v>7542</v>
      </c>
      <c r="Q4610" s="38"/>
    </row>
    <row r="4611">
      <c r="A4611" s="6" t="s">
        <v>8270</v>
      </c>
      <c r="B4611" s="6" t="s">
        <v>8271</v>
      </c>
      <c r="C4611" s="6">
        <v>560.0</v>
      </c>
      <c r="D4611" s="9" t="str">
        <f t="shared" si="890"/>
        <v>Open Ad</v>
      </c>
      <c r="E4611" s="6" t="s">
        <v>91</v>
      </c>
      <c r="F4611" s="6" t="s">
        <v>8022</v>
      </c>
      <c r="G4611" s="6" t="s">
        <v>8348</v>
      </c>
      <c r="H4611" s="6" t="s">
        <v>55</v>
      </c>
      <c r="I4611" s="6" t="s">
        <v>8273</v>
      </c>
      <c r="J4611" s="6" t="s">
        <v>91</v>
      </c>
      <c r="K4611" s="12" t="str">
        <f t="shared" si="891"/>
        <v>View Creative</v>
      </c>
      <c r="L4611" s="6" t="s">
        <v>62</v>
      </c>
      <c r="M4611" s="6" t="s">
        <v>8270</v>
      </c>
      <c r="N4611" s="6"/>
      <c r="O4611" s="36" t="s">
        <v>7541</v>
      </c>
      <c r="P4611" s="36" t="s">
        <v>7542</v>
      </c>
      <c r="Q4611" s="38"/>
    </row>
    <row r="4612">
      <c r="A4612" s="6" t="s">
        <v>8270</v>
      </c>
      <c r="B4612" s="6" t="s">
        <v>8271</v>
      </c>
      <c r="C4612" s="6">
        <v>561.0</v>
      </c>
      <c r="D4612" s="9" t="str">
        <f t="shared" ref="D4612:D4613" si="892">HYPERLINK("https://www.linkedin.com/ad-library/detail/1125980624","Open Ad")</f>
        <v>Open Ad</v>
      </c>
      <c r="E4612" s="6" t="s">
        <v>91</v>
      </c>
      <c r="F4612" s="6" t="s">
        <v>8022</v>
      </c>
      <c r="G4612" s="6" t="s">
        <v>8355</v>
      </c>
      <c r="H4612" s="6" t="s">
        <v>55</v>
      </c>
      <c r="I4612" s="6" t="s">
        <v>8273</v>
      </c>
      <c r="J4612" s="6" t="s">
        <v>91</v>
      </c>
      <c r="K4612" s="12" t="str">
        <f t="shared" ref="K4612:K4613" si="893">HYPERLINK("https://media.licdn.com/dms/image/v2/D4E10AQFhdvl49SWZJw/image-shrink_1280/B4EZvHOpTsIIAg-/0/1768574064237/Gettrafficpng?e=2147483647&amp;v=beta&amp;t=zW2iradgKhv3Rzcgm7lLXw6UqHtXcSuZb9dYJ_IsQw0","View Creative")</f>
        <v>View Creative</v>
      </c>
      <c r="L4612" s="6" t="s">
        <v>62</v>
      </c>
      <c r="M4612" s="6" t="s">
        <v>8270</v>
      </c>
      <c r="N4612" s="6"/>
      <c r="O4612" s="36" t="s">
        <v>7541</v>
      </c>
      <c r="P4612" s="36" t="s">
        <v>7542</v>
      </c>
      <c r="Q4612" s="38"/>
    </row>
    <row r="4613">
      <c r="A4613" s="6" t="s">
        <v>8270</v>
      </c>
      <c r="B4613" s="6" t="s">
        <v>8271</v>
      </c>
      <c r="C4613" s="6">
        <v>562.0</v>
      </c>
      <c r="D4613" s="9" t="str">
        <f t="shared" si="892"/>
        <v>Open Ad</v>
      </c>
      <c r="E4613" s="6" t="s">
        <v>91</v>
      </c>
      <c r="F4613" s="6" t="s">
        <v>8022</v>
      </c>
      <c r="G4613" s="6" t="s">
        <v>8355</v>
      </c>
      <c r="H4613" s="6" t="s">
        <v>55</v>
      </c>
      <c r="I4613" s="6" t="s">
        <v>8273</v>
      </c>
      <c r="J4613" s="6" t="s">
        <v>91</v>
      </c>
      <c r="K4613" s="12" t="str">
        <f t="shared" si="893"/>
        <v>View Creative</v>
      </c>
      <c r="L4613" s="6" t="s">
        <v>62</v>
      </c>
      <c r="M4613" s="6" t="s">
        <v>8270</v>
      </c>
      <c r="N4613" s="6"/>
      <c r="O4613" s="36" t="s">
        <v>7541</v>
      </c>
      <c r="P4613" s="36" t="s">
        <v>7542</v>
      </c>
      <c r="Q4613" s="38"/>
    </row>
    <row r="4614">
      <c r="A4614" s="6" t="s">
        <v>8270</v>
      </c>
      <c r="B4614" s="6" t="s">
        <v>8271</v>
      </c>
      <c r="C4614" s="6">
        <v>563.0</v>
      </c>
      <c r="D4614" s="9" t="str">
        <f t="shared" ref="D4614:D4615" si="894">HYPERLINK("https://www.linkedin.com/ad-library/detail/1126180494","Open Ad")</f>
        <v>Open Ad</v>
      </c>
      <c r="E4614" s="6" t="s">
        <v>91</v>
      </c>
      <c r="F4614" s="6" t="s">
        <v>8022</v>
      </c>
      <c r="G4614" s="6" t="s">
        <v>8361</v>
      </c>
      <c r="H4614" s="6" t="s">
        <v>55</v>
      </c>
      <c r="I4614" s="6" t="s">
        <v>8273</v>
      </c>
      <c r="J4614" s="6" t="s">
        <v>91</v>
      </c>
      <c r="K4614" s="12" t="str">
        <f t="shared" ref="K4614:K4615" si="895">HYPERLINK("https://media.licdn.com/dms/image/v2/D4E10AQGzdZamj-FFtg/image-shrink_1280/B4EZvHgki1HkAg-/0/1768578763264/1Yournextcustomerpng?e=2147483647&amp;v=beta&amp;t=813tYu3iNOk44Zb_qdwCHDYOEnZ5Xj42K2DyHeDrxuM","View Creative")</f>
        <v>View Creative</v>
      </c>
      <c r="L4614" s="6" t="s">
        <v>62</v>
      </c>
      <c r="M4614" s="6" t="s">
        <v>8270</v>
      </c>
      <c r="N4614" s="6" t="s">
        <v>8357</v>
      </c>
      <c r="O4614" s="36" t="s">
        <v>7541</v>
      </c>
      <c r="P4614" s="36" t="s">
        <v>7542</v>
      </c>
      <c r="Q4614" s="38"/>
    </row>
    <row r="4615">
      <c r="A4615" s="6" t="s">
        <v>8270</v>
      </c>
      <c r="B4615" s="6" t="s">
        <v>8271</v>
      </c>
      <c r="C4615" s="6">
        <v>564.0</v>
      </c>
      <c r="D4615" s="9" t="str">
        <f t="shared" si="894"/>
        <v>Open Ad</v>
      </c>
      <c r="E4615" s="6" t="s">
        <v>91</v>
      </c>
      <c r="F4615" s="6" t="s">
        <v>8022</v>
      </c>
      <c r="G4615" s="6" t="s">
        <v>8361</v>
      </c>
      <c r="H4615" s="6" t="s">
        <v>55</v>
      </c>
      <c r="I4615" s="6" t="s">
        <v>8273</v>
      </c>
      <c r="J4615" s="6" t="s">
        <v>91</v>
      </c>
      <c r="K4615" s="12" t="str">
        <f t="shared" si="895"/>
        <v>View Creative</v>
      </c>
      <c r="L4615" s="6" t="s">
        <v>62</v>
      </c>
      <c r="M4615" s="6" t="s">
        <v>8270</v>
      </c>
      <c r="N4615" s="6" t="s">
        <v>8357</v>
      </c>
      <c r="O4615" s="36" t="s">
        <v>7541</v>
      </c>
      <c r="P4615" s="36" t="s">
        <v>7542</v>
      </c>
      <c r="Q4615" s="38"/>
    </row>
    <row r="4616">
      <c r="A4616" s="6" t="s">
        <v>8270</v>
      </c>
      <c r="B4616" s="6" t="s">
        <v>8271</v>
      </c>
      <c r="C4616" s="6">
        <v>565.0</v>
      </c>
      <c r="D4616" s="9" t="str">
        <f t="shared" ref="D4616:D4617" si="896">HYPERLINK("https://www.linkedin.com/ad-library/detail/1125980634","Open Ad")</f>
        <v>Open Ad</v>
      </c>
      <c r="E4616" s="6" t="s">
        <v>91</v>
      </c>
      <c r="F4616" s="6" t="s">
        <v>8022</v>
      </c>
      <c r="G4616" s="6" t="s">
        <v>8358</v>
      </c>
      <c r="H4616" s="6" t="s">
        <v>55</v>
      </c>
      <c r="I4616" s="6" t="s">
        <v>8273</v>
      </c>
      <c r="J4616" s="6" t="s">
        <v>91</v>
      </c>
      <c r="K4616" s="12" t="str">
        <f t="shared" ref="K4616:K4617" si="897">HYPERLINK("https://media.licdn.com/dms/image/v2/D4E10AQHJS_17cXbRdg/image-shrink_1280/B4EZvHhKynJcAg-/0/1768578920006/1Yourorganictrafficpng?e=2147483647&amp;v=beta&amp;t=R-1DjIIQZU9ozJC_0T_K6Nf4-jGbi32oszyoTeUi4H0","View Creative")</f>
        <v>View Creative</v>
      </c>
      <c r="L4616" s="6" t="s">
        <v>62</v>
      </c>
      <c r="M4616" s="6" t="s">
        <v>8270</v>
      </c>
      <c r="N4616" s="6"/>
      <c r="O4616" s="36" t="s">
        <v>7541</v>
      </c>
      <c r="P4616" s="36" t="s">
        <v>7542</v>
      </c>
      <c r="Q4616" s="38"/>
    </row>
    <row r="4617">
      <c r="A4617" s="6" t="s">
        <v>8270</v>
      </c>
      <c r="B4617" s="6" t="s">
        <v>8271</v>
      </c>
      <c r="C4617" s="6">
        <v>566.0</v>
      </c>
      <c r="D4617" s="9" t="str">
        <f t="shared" si="896"/>
        <v>Open Ad</v>
      </c>
      <c r="E4617" s="6" t="s">
        <v>91</v>
      </c>
      <c r="F4617" s="6" t="s">
        <v>8022</v>
      </c>
      <c r="G4617" s="6" t="s">
        <v>8358</v>
      </c>
      <c r="H4617" s="6" t="s">
        <v>55</v>
      </c>
      <c r="I4617" s="6" t="s">
        <v>8273</v>
      </c>
      <c r="J4617" s="6" t="s">
        <v>91</v>
      </c>
      <c r="K4617" s="12" t="str">
        <f t="shared" si="897"/>
        <v>View Creative</v>
      </c>
      <c r="L4617" s="6" t="s">
        <v>62</v>
      </c>
      <c r="M4617" s="6" t="s">
        <v>8270</v>
      </c>
      <c r="N4617" s="6"/>
      <c r="O4617" s="36" t="s">
        <v>7541</v>
      </c>
      <c r="P4617" s="36" t="s">
        <v>7542</v>
      </c>
      <c r="Q4617" s="38"/>
    </row>
    <row r="4618">
      <c r="A4618" s="6" t="s">
        <v>8270</v>
      </c>
      <c r="B4618" s="6" t="s">
        <v>8271</v>
      </c>
      <c r="C4618" s="6">
        <v>567.0</v>
      </c>
      <c r="D4618" s="9" t="str">
        <f t="shared" ref="D4618:D4619" si="898">HYPERLINK("https://www.linkedin.com/ad-library/detail/1124980754","Open Ad")</f>
        <v>Open Ad</v>
      </c>
      <c r="E4618" s="6" t="s">
        <v>91</v>
      </c>
      <c r="F4618" s="6" t="s">
        <v>8022</v>
      </c>
      <c r="G4618" s="6" t="s">
        <v>8359</v>
      </c>
      <c r="H4618" s="6" t="s">
        <v>55</v>
      </c>
      <c r="I4618" s="6" t="s">
        <v>8273</v>
      </c>
      <c r="J4618" s="6" t="s">
        <v>91</v>
      </c>
      <c r="K4618" s="12" t="str">
        <f t="shared" ref="K4618:K4619" si="899">HYPERLINK("https://media.licdn.com/dms/image/v2/D4E10AQEQ0CWUOdqf5Q/image-shrink_1280/B4EZvHPErHHIAc-/0/1768574176286/Getmentionedpng?e=2147483647&amp;v=beta&amp;t=MJqK7cYTUhoCExV6KgyODJj-FCw_H7hff28vQufV73o","View Creative")</f>
        <v>View Creative</v>
      </c>
      <c r="L4618" s="6" t="s">
        <v>62</v>
      </c>
      <c r="M4618" s="6" t="s">
        <v>8270</v>
      </c>
      <c r="N4618" s="6"/>
      <c r="O4618" s="36" t="s">
        <v>7541</v>
      </c>
      <c r="P4618" s="36" t="s">
        <v>7542</v>
      </c>
      <c r="Q4618" s="38"/>
    </row>
    <row r="4619">
      <c r="A4619" s="6" t="s">
        <v>8270</v>
      </c>
      <c r="B4619" s="6" t="s">
        <v>8271</v>
      </c>
      <c r="C4619" s="6">
        <v>568.0</v>
      </c>
      <c r="D4619" s="9" t="str">
        <f t="shared" si="898"/>
        <v>Open Ad</v>
      </c>
      <c r="E4619" s="6" t="s">
        <v>91</v>
      </c>
      <c r="F4619" s="6" t="s">
        <v>8022</v>
      </c>
      <c r="G4619" s="6" t="s">
        <v>8359</v>
      </c>
      <c r="H4619" s="6" t="s">
        <v>55</v>
      </c>
      <c r="I4619" s="6" t="s">
        <v>8273</v>
      </c>
      <c r="J4619" s="6" t="s">
        <v>91</v>
      </c>
      <c r="K4619" s="12" t="str">
        <f t="shared" si="899"/>
        <v>View Creative</v>
      </c>
      <c r="L4619" s="6" t="s">
        <v>62</v>
      </c>
      <c r="M4619" s="6" t="s">
        <v>8270</v>
      </c>
      <c r="N4619" s="6"/>
      <c r="O4619" s="36" t="s">
        <v>7541</v>
      </c>
      <c r="P4619" s="36" t="s">
        <v>7542</v>
      </c>
      <c r="Q4619" s="38"/>
    </row>
    <row r="4620">
      <c r="A4620" s="6" t="s">
        <v>8270</v>
      </c>
      <c r="B4620" s="6" t="s">
        <v>8271</v>
      </c>
      <c r="C4620" s="6">
        <v>569.0</v>
      </c>
      <c r="D4620" s="9" t="str">
        <f t="shared" ref="D4620:D4621" si="900">HYPERLINK("https://www.linkedin.com/ad-library/detail/1126380434","Open Ad")</f>
        <v>Open Ad</v>
      </c>
      <c r="E4620" s="6" t="s">
        <v>91</v>
      </c>
      <c r="F4620" s="6" t="s">
        <v>8022</v>
      </c>
      <c r="G4620" s="6" t="s">
        <v>8361</v>
      </c>
      <c r="H4620" s="6" t="s">
        <v>55</v>
      </c>
      <c r="I4620" s="6" t="s">
        <v>8273</v>
      </c>
      <c r="J4620" s="6" t="s">
        <v>91</v>
      </c>
      <c r="K4620" s="12" t="str">
        <f t="shared" ref="K4620:K4621" si="901">HYPERLINK("https://media.licdn.com/dms/image/v2/D4E10AQGzdZamj-FFtg/image-shrink_1280/B4EZvHgki1HkAg-/0/1768578763264/1Yournextcustomerpng?e=2147483647&amp;v=beta&amp;t=813tYu3iNOk44Zb_qdwCHDYOEnZ5Xj42K2DyHeDrxuM","View Creative")</f>
        <v>View Creative</v>
      </c>
      <c r="L4620" s="6" t="s">
        <v>62</v>
      </c>
      <c r="M4620" s="6" t="s">
        <v>8270</v>
      </c>
      <c r="N4620" s="6"/>
      <c r="O4620" s="36" t="s">
        <v>7541</v>
      </c>
      <c r="P4620" s="36" t="s">
        <v>7542</v>
      </c>
      <c r="Q4620" s="38"/>
    </row>
    <row r="4621">
      <c r="A4621" s="6" t="s">
        <v>8270</v>
      </c>
      <c r="B4621" s="6" t="s">
        <v>8271</v>
      </c>
      <c r="C4621" s="6">
        <v>570.0</v>
      </c>
      <c r="D4621" s="9" t="str">
        <f t="shared" si="900"/>
        <v>Open Ad</v>
      </c>
      <c r="E4621" s="6" t="s">
        <v>91</v>
      </c>
      <c r="F4621" s="6" t="s">
        <v>8022</v>
      </c>
      <c r="G4621" s="6" t="s">
        <v>8361</v>
      </c>
      <c r="H4621" s="6" t="s">
        <v>55</v>
      </c>
      <c r="I4621" s="6" t="s">
        <v>8273</v>
      </c>
      <c r="J4621" s="6" t="s">
        <v>91</v>
      </c>
      <c r="K4621" s="12" t="str">
        <f t="shared" si="901"/>
        <v>View Creative</v>
      </c>
      <c r="L4621" s="6" t="s">
        <v>62</v>
      </c>
      <c r="M4621" s="6" t="s">
        <v>8270</v>
      </c>
      <c r="N4621" s="6"/>
      <c r="O4621" s="36" t="s">
        <v>7541</v>
      </c>
      <c r="P4621" s="36" t="s">
        <v>7542</v>
      </c>
      <c r="Q4621" s="38"/>
    </row>
    <row r="4622">
      <c r="A4622" s="6" t="s">
        <v>8270</v>
      </c>
      <c r="B4622" s="6" t="s">
        <v>8271</v>
      </c>
      <c r="C4622" s="6">
        <v>571.0</v>
      </c>
      <c r="D4622" s="9" t="str">
        <f t="shared" ref="D4622:D4623" si="902">HYPERLINK("https://www.linkedin.com/ad-library/detail/1126080594","Open Ad")</f>
        <v>Open Ad</v>
      </c>
      <c r="E4622" s="6" t="s">
        <v>91</v>
      </c>
      <c r="F4622" s="6" t="s">
        <v>8022</v>
      </c>
      <c r="G4622" s="6" t="s">
        <v>8362</v>
      </c>
      <c r="H4622" s="6" t="s">
        <v>55</v>
      </c>
      <c r="I4622" s="6" t="s">
        <v>8273</v>
      </c>
      <c r="J4622" s="6" t="s">
        <v>91</v>
      </c>
      <c r="K4622" s="12" t="str">
        <f t="shared" ref="K4622:K4627" si="903">HYPERLINK("https://media.licdn.com/dms/image/v2/D4E10AQF6UPH7WMI63Q/image-shrink_1280/B4EZvHg4wgHUAc-/0/1768578846085/12026istheyearpng?e=2147483647&amp;v=beta&amp;t=je_Vle_0DuqkMG6yxq2CpIRKBNUD_kRp3xpwQZJzTgg","View Creative")</f>
        <v>View Creative</v>
      </c>
      <c r="L4622" s="6" t="s">
        <v>62</v>
      </c>
      <c r="M4622" s="6" t="s">
        <v>8270</v>
      </c>
      <c r="N4622" s="6"/>
      <c r="O4622" s="36" t="s">
        <v>7541</v>
      </c>
      <c r="P4622" s="36" t="s">
        <v>7542</v>
      </c>
      <c r="Q4622" s="38"/>
    </row>
    <row r="4623">
      <c r="A4623" s="6" t="s">
        <v>8270</v>
      </c>
      <c r="B4623" s="6" t="s">
        <v>8271</v>
      </c>
      <c r="C4623" s="6">
        <v>572.0</v>
      </c>
      <c r="D4623" s="9" t="str">
        <f t="shared" si="902"/>
        <v>Open Ad</v>
      </c>
      <c r="E4623" s="6" t="s">
        <v>91</v>
      </c>
      <c r="F4623" s="6" t="s">
        <v>8022</v>
      </c>
      <c r="G4623" s="6" t="s">
        <v>8362</v>
      </c>
      <c r="H4623" s="6" t="s">
        <v>55</v>
      </c>
      <c r="I4623" s="6" t="s">
        <v>8273</v>
      </c>
      <c r="J4623" s="6" t="s">
        <v>91</v>
      </c>
      <c r="K4623" s="12" t="str">
        <f t="shared" si="903"/>
        <v>View Creative</v>
      </c>
      <c r="L4623" s="6" t="s">
        <v>62</v>
      </c>
      <c r="M4623" s="6" t="s">
        <v>8270</v>
      </c>
      <c r="N4623" s="6"/>
      <c r="O4623" s="36" t="s">
        <v>7541</v>
      </c>
      <c r="P4623" s="36" t="s">
        <v>7542</v>
      </c>
      <c r="Q4623" s="38"/>
    </row>
    <row r="4624">
      <c r="A4624" s="6" t="s">
        <v>8270</v>
      </c>
      <c r="B4624" s="6" t="s">
        <v>8271</v>
      </c>
      <c r="C4624" s="6">
        <v>573.0</v>
      </c>
      <c r="D4624" s="9" t="str">
        <f t="shared" ref="D4624:D4625" si="904">HYPERLINK("https://www.linkedin.com/ad-library/detail/1124280524","Open Ad")</f>
        <v>Open Ad</v>
      </c>
      <c r="E4624" s="6" t="s">
        <v>91</v>
      </c>
      <c r="F4624" s="6" t="s">
        <v>8022</v>
      </c>
      <c r="G4624" s="6" t="s">
        <v>8362</v>
      </c>
      <c r="H4624" s="6" t="s">
        <v>55</v>
      </c>
      <c r="I4624" s="6" t="s">
        <v>8273</v>
      </c>
      <c r="J4624" s="6" t="s">
        <v>91</v>
      </c>
      <c r="K4624" s="12" t="str">
        <f t="shared" si="903"/>
        <v>View Creative</v>
      </c>
      <c r="L4624" s="6" t="s">
        <v>62</v>
      </c>
      <c r="M4624" s="6" t="s">
        <v>8270</v>
      </c>
      <c r="N4624" s="6"/>
      <c r="O4624" s="36" t="s">
        <v>7541</v>
      </c>
      <c r="P4624" s="36" t="s">
        <v>7542</v>
      </c>
      <c r="Q4624" s="38"/>
    </row>
    <row r="4625">
      <c r="A4625" s="6" t="s">
        <v>8270</v>
      </c>
      <c r="B4625" s="6" t="s">
        <v>8271</v>
      </c>
      <c r="C4625" s="6">
        <v>574.0</v>
      </c>
      <c r="D4625" s="9" t="str">
        <f t="shared" si="904"/>
        <v>Open Ad</v>
      </c>
      <c r="E4625" s="6" t="s">
        <v>91</v>
      </c>
      <c r="F4625" s="6" t="s">
        <v>8022</v>
      </c>
      <c r="G4625" s="6" t="s">
        <v>8362</v>
      </c>
      <c r="H4625" s="6" t="s">
        <v>55</v>
      </c>
      <c r="I4625" s="6" t="s">
        <v>8273</v>
      </c>
      <c r="J4625" s="6" t="s">
        <v>91</v>
      </c>
      <c r="K4625" s="12" t="str">
        <f t="shared" si="903"/>
        <v>View Creative</v>
      </c>
      <c r="L4625" s="6" t="s">
        <v>62</v>
      </c>
      <c r="M4625" s="6" t="s">
        <v>8270</v>
      </c>
      <c r="N4625" s="6"/>
      <c r="O4625" s="36" t="s">
        <v>7541</v>
      </c>
      <c r="P4625" s="36" t="s">
        <v>7542</v>
      </c>
      <c r="Q4625" s="38"/>
    </row>
    <row r="4626">
      <c r="A4626" s="6" t="s">
        <v>8270</v>
      </c>
      <c r="B4626" s="6" t="s">
        <v>8271</v>
      </c>
      <c r="C4626" s="6">
        <v>575.0</v>
      </c>
      <c r="D4626" s="9" t="str">
        <f t="shared" ref="D4626:D4627" si="905">HYPERLINK("https://www.linkedin.com/ad-library/detail/1125880514","Open Ad")</f>
        <v>Open Ad</v>
      </c>
      <c r="E4626" s="6" t="s">
        <v>91</v>
      </c>
      <c r="F4626" s="6" t="s">
        <v>8022</v>
      </c>
      <c r="G4626" s="6" t="s">
        <v>8362</v>
      </c>
      <c r="H4626" s="6" t="s">
        <v>55</v>
      </c>
      <c r="I4626" s="6" t="s">
        <v>8273</v>
      </c>
      <c r="J4626" s="6" t="s">
        <v>91</v>
      </c>
      <c r="K4626" s="12" t="str">
        <f t="shared" si="903"/>
        <v>View Creative</v>
      </c>
      <c r="L4626" s="6" t="s">
        <v>62</v>
      </c>
      <c r="M4626" s="6" t="s">
        <v>8270</v>
      </c>
      <c r="N4626" s="6" t="s">
        <v>8357</v>
      </c>
      <c r="O4626" s="36" t="s">
        <v>7541</v>
      </c>
      <c r="P4626" s="36" t="s">
        <v>7542</v>
      </c>
      <c r="Q4626" s="38"/>
    </row>
    <row r="4627">
      <c r="A4627" s="6" t="s">
        <v>8270</v>
      </c>
      <c r="B4627" s="6" t="s">
        <v>8271</v>
      </c>
      <c r="C4627" s="6">
        <v>576.0</v>
      </c>
      <c r="D4627" s="9" t="str">
        <f t="shared" si="905"/>
        <v>Open Ad</v>
      </c>
      <c r="E4627" s="6" t="s">
        <v>91</v>
      </c>
      <c r="F4627" s="6" t="s">
        <v>8022</v>
      </c>
      <c r="G4627" s="6" t="s">
        <v>8362</v>
      </c>
      <c r="H4627" s="6" t="s">
        <v>55</v>
      </c>
      <c r="I4627" s="6" t="s">
        <v>8273</v>
      </c>
      <c r="J4627" s="6" t="s">
        <v>91</v>
      </c>
      <c r="K4627" s="12" t="str">
        <f t="shared" si="903"/>
        <v>View Creative</v>
      </c>
      <c r="L4627" s="6" t="s">
        <v>62</v>
      </c>
      <c r="M4627" s="6" t="s">
        <v>8270</v>
      </c>
      <c r="N4627" s="6" t="s">
        <v>8357</v>
      </c>
      <c r="O4627" s="36" t="s">
        <v>7541</v>
      </c>
      <c r="P4627" s="36" t="s">
        <v>7542</v>
      </c>
      <c r="Q4627" s="38"/>
    </row>
    <row r="4628">
      <c r="A4628" s="6" t="s">
        <v>8270</v>
      </c>
      <c r="B4628" s="6" t="s">
        <v>8271</v>
      </c>
      <c r="C4628" s="6">
        <v>577.0</v>
      </c>
      <c r="D4628" s="9" t="str">
        <f t="shared" ref="D4628:D4629" si="906">HYPERLINK("https://www.linkedin.com/ad-library/detail/1124580724","Open Ad")</f>
        <v>Open Ad</v>
      </c>
      <c r="E4628" s="6" t="s">
        <v>91</v>
      </c>
      <c r="F4628" s="6" t="s">
        <v>8022</v>
      </c>
      <c r="G4628" s="6" t="s">
        <v>8361</v>
      </c>
      <c r="H4628" s="6" t="s">
        <v>55</v>
      </c>
      <c r="I4628" s="6" t="s">
        <v>8273</v>
      </c>
      <c r="J4628" s="6" t="s">
        <v>91</v>
      </c>
      <c r="K4628" s="12" t="str">
        <f t="shared" ref="K4628:K4629" si="907">HYPERLINK("https://media.licdn.com/dms/image/v2/D4E10AQGzdZamj-FFtg/image-shrink_1280/B4EZvHgki1HkAg-/0/1768578763264/1Yournextcustomerpng?e=2147483647&amp;v=beta&amp;t=813tYu3iNOk44Zb_qdwCHDYOEnZ5Xj42K2DyHeDrxuM","View Creative")</f>
        <v>View Creative</v>
      </c>
      <c r="L4628" s="6" t="s">
        <v>62</v>
      </c>
      <c r="M4628" s="6" t="s">
        <v>8270</v>
      </c>
      <c r="N4628" s="6"/>
      <c r="O4628" s="36" t="s">
        <v>7541</v>
      </c>
      <c r="P4628" s="36" t="s">
        <v>7542</v>
      </c>
      <c r="Q4628" s="38"/>
    </row>
    <row r="4629">
      <c r="A4629" s="6" t="s">
        <v>8270</v>
      </c>
      <c r="B4629" s="6" t="s">
        <v>8271</v>
      </c>
      <c r="C4629" s="6">
        <v>578.0</v>
      </c>
      <c r="D4629" s="9" t="str">
        <f t="shared" si="906"/>
        <v>Open Ad</v>
      </c>
      <c r="E4629" s="6" t="s">
        <v>91</v>
      </c>
      <c r="F4629" s="6" t="s">
        <v>8022</v>
      </c>
      <c r="G4629" s="6" t="s">
        <v>8361</v>
      </c>
      <c r="H4629" s="6" t="s">
        <v>55</v>
      </c>
      <c r="I4629" s="6" t="s">
        <v>8273</v>
      </c>
      <c r="J4629" s="6" t="s">
        <v>91</v>
      </c>
      <c r="K4629" s="12" t="str">
        <f t="shared" si="907"/>
        <v>View Creative</v>
      </c>
      <c r="L4629" s="6" t="s">
        <v>62</v>
      </c>
      <c r="M4629" s="6" t="s">
        <v>8270</v>
      </c>
      <c r="N4629" s="6"/>
      <c r="O4629" s="36" t="s">
        <v>7541</v>
      </c>
      <c r="P4629" s="36" t="s">
        <v>7542</v>
      </c>
      <c r="Q4629" s="38"/>
    </row>
    <row r="4630">
      <c r="A4630" s="6" t="s">
        <v>8270</v>
      </c>
      <c r="B4630" s="6" t="s">
        <v>8271</v>
      </c>
      <c r="C4630" s="6">
        <v>579.0</v>
      </c>
      <c r="D4630" s="9" t="str">
        <f t="shared" ref="D4630:D4631" si="908">HYPERLINK("https://www.linkedin.com/ad-library/detail/1124280484","Open Ad")</f>
        <v>Open Ad</v>
      </c>
      <c r="E4630" s="6" t="s">
        <v>91</v>
      </c>
      <c r="F4630" s="6" t="s">
        <v>8022</v>
      </c>
      <c r="G4630" s="6" t="s">
        <v>8355</v>
      </c>
      <c r="H4630" s="6" t="s">
        <v>55</v>
      </c>
      <c r="I4630" s="6" t="s">
        <v>8273</v>
      </c>
      <c r="J4630" s="6" t="s">
        <v>91</v>
      </c>
      <c r="K4630" s="12" t="str">
        <f t="shared" ref="K4630:K4631" si="909">HYPERLINK("https://media.licdn.com/dms/image/v2/D4E10AQFhdvl49SWZJw/image-shrink_1280/B4EZvHOpTsIIAg-/0/1768574064237/Gettrafficpng?e=2147483647&amp;v=beta&amp;t=zW2iradgKhv3Rzcgm7lLXw6UqHtXcSuZb9dYJ_IsQw0","View Creative")</f>
        <v>View Creative</v>
      </c>
      <c r="L4630" s="6" t="s">
        <v>62</v>
      </c>
      <c r="M4630" s="6" t="s">
        <v>8270</v>
      </c>
      <c r="N4630" s="6" t="s">
        <v>8357</v>
      </c>
      <c r="O4630" s="36" t="s">
        <v>7541</v>
      </c>
      <c r="P4630" s="36" t="s">
        <v>7542</v>
      </c>
      <c r="Q4630" s="38"/>
    </row>
    <row r="4631">
      <c r="A4631" s="6" t="s">
        <v>8270</v>
      </c>
      <c r="B4631" s="6" t="s">
        <v>8271</v>
      </c>
      <c r="C4631" s="6">
        <v>580.0</v>
      </c>
      <c r="D4631" s="9" t="str">
        <f t="shared" si="908"/>
        <v>Open Ad</v>
      </c>
      <c r="E4631" s="6" t="s">
        <v>91</v>
      </c>
      <c r="F4631" s="6" t="s">
        <v>8022</v>
      </c>
      <c r="G4631" s="6" t="s">
        <v>8355</v>
      </c>
      <c r="H4631" s="6" t="s">
        <v>55</v>
      </c>
      <c r="I4631" s="6" t="s">
        <v>8273</v>
      </c>
      <c r="J4631" s="6" t="s">
        <v>91</v>
      </c>
      <c r="K4631" s="12" t="str">
        <f t="shared" si="909"/>
        <v>View Creative</v>
      </c>
      <c r="L4631" s="6" t="s">
        <v>62</v>
      </c>
      <c r="M4631" s="6" t="s">
        <v>8270</v>
      </c>
      <c r="N4631" s="6" t="s">
        <v>8357</v>
      </c>
      <c r="O4631" s="36" t="s">
        <v>7541</v>
      </c>
      <c r="P4631" s="36" t="s">
        <v>7542</v>
      </c>
      <c r="Q4631" s="38"/>
    </row>
    <row r="4632">
      <c r="A4632" s="6" t="s">
        <v>8270</v>
      </c>
      <c r="B4632" s="6" t="s">
        <v>8271</v>
      </c>
      <c r="C4632" s="6">
        <v>581.0</v>
      </c>
      <c r="D4632" s="9" t="str">
        <f t="shared" ref="D4632:D4633" si="910">HYPERLINK("https://www.linkedin.com/ad-library/detail/1125279974","Open Ad")</f>
        <v>Open Ad</v>
      </c>
      <c r="E4632" s="6" t="s">
        <v>91</v>
      </c>
      <c r="F4632" s="6" t="s">
        <v>8022</v>
      </c>
      <c r="G4632" s="6" t="s">
        <v>8354</v>
      </c>
      <c r="H4632" s="6" t="s">
        <v>55</v>
      </c>
      <c r="I4632" s="6" t="s">
        <v>8273</v>
      </c>
      <c r="J4632" s="6" t="s">
        <v>91</v>
      </c>
      <c r="K4632" s="12" t="str">
        <f t="shared" ref="K4632:K4633" si="911">HYPERLINK("https://media.licdn.com/dms/image/v2/D4E10AQFBE-hGBlPdfQ/image-shrink_1280/B4EZvHPXk5GkAc-/0/1768574253788/TrackwhatAIsayspng?e=2147483647&amp;v=beta&amp;t=c2jX6FQItgO4wLlA6IAzpFa7FH4E4qDF52W5zHY4V5o","View Creative")</f>
        <v>View Creative</v>
      </c>
      <c r="L4632" s="6" t="s">
        <v>62</v>
      </c>
      <c r="M4632" s="6" t="s">
        <v>8270</v>
      </c>
      <c r="N4632" s="6" t="s">
        <v>8357</v>
      </c>
      <c r="O4632" s="36" t="s">
        <v>7541</v>
      </c>
      <c r="P4632" s="36" t="s">
        <v>7542</v>
      </c>
      <c r="Q4632" s="38"/>
    </row>
    <row r="4633">
      <c r="A4633" s="6" t="s">
        <v>8270</v>
      </c>
      <c r="B4633" s="6" t="s">
        <v>8271</v>
      </c>
      <c r="C4633" s="6">
        <v>582.0</v>
      </c>
      <c r="D4633" s="9" t="str">
        <f t="shared" si="910"/>
        <v>Open Ad</v>
      </c>
      <c r="E4633" s="6" t="s">
        <v>91</v>
      </c>
      <c r="F4633" s="6" t="s">
        <v>8022</v>
      </c>
      <c r="G4633" s="6" t="s">
        <v>8354</v>
      </c>
      <c r="H4633" s="6" t="s">
        <v>55</v>
      </c>
      <c r="I4633" s="6" t="s">
        <v>8273</v>
      </c>
      <c r="J4633" s="6" t="s">
        <v>91</v>
      </c>
      <c r="K4633" s="12" t="str">
        <f t="shared" si="911"/>
        <v>View Creative</v>
      </c>
      <c r="L4633" s="6" t="s">
        <v>62</v>
      </c>
      <c r="M4633" s="6" t="s">
        <v>8270</v>
      </c>
      <c r="N4633" s="6" t="s">
        <v>8357</v>
      </c>
      <c r="O4633" s="36" t="s">
        <v>7541</v>
      </c>
      <c r="P4633" s="36" t="s">
        <v>7542</v>
      </c>
      <c r="Q4633" s="38"/>
    </row>
    <row r="4634">
      <c r="A4634" s="6" t="s">
        <v>8270</v>
      </c>
      <c r="B4634" s="6" t="s">
        <v>8271</v>
      </c>
      <c r="C4634" s="6">
        <v>583.0</v>
      </c>
      <c r="D4634" s="9" t="str">
        <f t="shared" ref="D4634:D4635" si="912">HYPERLINK("https://www.linkedin.com/ad-library/detail/1125580514","Open Ad")</f>
        <v>Open Ad</v>
      </c>
      <c r="E4634" s="6" t="s">
        <v>91</v>
      </c>
      <c r="F4634" s="6" t="s">
        <v>8022</v>
      </c>
      <c r="G4634" s="6" t="s">
        <v>8361</v>
      </c>
      <c r="H4634" s="6" t="s">
        <v>55</v>
      </c>
      <c r="I4634" s="6" t="s">
        <v>8273</v>
      </c>
      <c r="J4634" s="6" t="s">
        <v>91</v>
      </c>
      <c r="K4634" s="12" t="str">
        <f t="shared" ref="K4634:K4635" si="913">HYPERLINK("https://media.licdn.com/dms/image/v2/D4E10AQGzdZamj-FFtg/image-shrink_1280/B4EZvHgki1HkAg-/0/1768578763264/1Yournextcustomerpng?e=2147483647&amp;v=beta&amp;t=813tYu3iNOk44Zb_qdwCHDYOEnZ5Xj42K2DyHeDrxuM","View Creative")</f>
        <v>View Creative</v>
      </c>
      <c r="L4634" s="6" t="s">
        <v>62</v>
      </c>
      <c r="M4634" s="6" t="s">
        <v>8270</v>
      </c>
      <c r="N4634" s="6" t="s">
        <v>8357</v>
      </c>
      <c r="O4634" s="36" t="s">
        <v>7541</v>
      </c>
      <c r="P4634" s="36" t="s">
        <v>7542</v>
      </c>
      <c r="Q4634" s="38"/>
    </row>
    <row r="4635">
      <c r="A4635" s="6" t="s">
        <v>8270</v>
      </c>
      <c r="B4635" s="6" t="s">
        <v>8271</v>
      </c>
      <c r="C4635" s="6">
        <v>584.0</v>
      </c>
      <c r="D4635" s="9" t="str">
        <f t="shared" si="912"/>
        <v>Open Ad</v>
      </c>
      <c r="E4635" s="6" t="s">
        <v>91</v>
      </c>
      <c r="F4635" s="6" t="s">
        <v>8022</v>
      </c>
      <c r="G4635" s="6" t="s">
        <v>8361</v>
      </c>
      <c r="H4635" s="6" t="s">
        <v>55</v>
      </c>
      <c r="I4635" s="6" t="s">
        <v>8273</v>
      </c>
      <c r="J4635" s="6" t="s">
        <v>91</v>
      </c>
      <c r="K4635" s="12" t="str">
        <f t="shared" si="913"/>
        <v>View Creative</v>
      </c>
      <c r="L4635" s="6" t="s">
        <v>62</v>
      </c>
      <c r="M4635" s="6" t="s">
        <v>8270</v>
      </c>
      <c r="N4635" s="6" t="s">
        <v>8357</v>
      </c>
      <c r="O4635" s="36" t="s">
        <v>7541</v>
      </c>
      <c r="P4635" s="36" t="s">
        <v>7542</v>
      </c>
      <c r="Q4635" s="38"/>
    </row>
    <row r="4636">
      <c r="A4636" s="6" t="s">
        <v>8270</v>
      </c>
      <c r="B4636" s="6" t="s">
        <v>8271</v>
      </c>
      <c r="C4636" s="6">
        <v>585.0</v>
      </c>
      <c r="D4636" s="9" t="str">
        <f t="shared" ref="D4636:D4637" si="914">HYPERLINK("https://www.linkedin.com/ad-library/detail/1125280504","Open Ad")</f>
        <v>Open Ad</v>
      </c>
      <c r="E4636" s="6" t="s">
        <v>91</v>
      </c>
      <c r="F4636" s="6" t="s">
        <v>8022</v>
      </c>
      <c r="G4636" s="6" t="s">
        <v>8355</v>
      </c>
      <c r="H4636" s="6" t="s">
        <v>55</v>
      </c>
      <c r="I4636" s="6" t="s">
        <v>8273</v>
      </c>
      <c r="J4636" s="6" t="s">
        <v>91</v>
      </c>
      <c r="K4636" s="12" t="str">
        <f t="shared" ref="K4636:K4637" si="915">HYPERLINK("https://media.licdn.com/dms/image/v2/D4E10AQFhdvl49SWZJw/image-shrink_1280/B4EZvHOpTsIIAg-/0/1768574064237/Gettrafficpng?e=2147483647&amp;v=beta&amp;t=zW2iradgKhv3Rzcgm7lLXw6UqHtXcSuZb9dYJ_IsQw0","View Creative")</f>
        <v>View Creative</v>
      </c>
      <c r="L4636" s="6" t="s">
        <v>62</v>
      </c>
      <c r="M4636" s="6" t="s">
        <v>8270</v>
      </c>
      <c r="N4636" s="6" t="s">
        <v>8357</v>
      </c>
      <c r="O4636" s="36" t="s">
        <v>7541</v>
      </c>
      <c r="P4636" s="36" t="s">
        <v>7542</v>
      </c>
      <c r="Q4636" s="38"/>
    </row>
    <row r="4637">
      <c r="A4637" s="6" t="s">
        <v>8270</v>
      </c>
      <c r="B4637" s="6" t="s">
        <v>8271</v>
      </c>
      <c r="C4637" s="6">
        <v>586.0</v>
      </c>
      <c r="D4637" s="9" t="str">
        <f t="shared" si="914"/>
        <v>Open Ad</v>
      </c>
      <c r="E4637" s="6" t="s">
        <v>91</v>
      </c>
      <c r="F4637" s="6" t="s">
        <v>8022</v>
      </c>
      <c r="G4637" s="6" t="s">
        <v>8355</v>
      </c>
      <c r="H4637" s="6" t="s">
        <v>55</v>
      </c>
      <c r="I4637" s="6" t="s">
        <v>8273</v>
      </c>
      <c r="J4637" s="6" t="s">
        <v>91</v>
      </c>
      <c r="K4637" s="12" t="str">
        <f t="shared" si="915"/>
        <v>View Creative</v>
      </c>
      <c r="L4637" s="6" t="s">
        <v>62</v>
      </c>
      <c r="M4637" s="6" t="s">
        <v>8270</v>
      </c>
      <c r="N4637" s="6" t="s">
        <v>8357</v>
      </c>
      <c r="O4637" s="36" t="s">
        <v>7541</v>
      </c>
      <c r="P4637" s="36" t="s">
        <v>7542</v>
      </c>
      <c r="Q4637" s="38"/>
    </row>
    <row r="4638">
      <c r="A4638" s="6" t="s">
        <v>8270</v>
      </c>
      <c r="B4638" s="6" t="s">
        <v>8271</v>
      </c>
      <c r="C4638" s="6">
        <v>587.0</v>
      </c>
      <c r="D4638" s="9" t="str">
        <f t="shared" ref="D4638:D4639" si="916">HYPERLINK("https://www.linkedin.com/ad-library/detail/1125180004","Open Ad")</f>
        <v>Open Ad</v>
      </c>
      <c r="E4638" s="6" t="s">
        <v>91</v>
      </c>
      <c r="F4638" s="6" t="s">
        <v>8022</v>
      </c>
      <c r="G4638" s="6" t="s">
        <v>8359</v>
      </c>
      <c r="H4638" s="6" t="s">
        <v>55</v>
      </c>
      <c r="I4638" s="6" t="s">
        <v>8273</v>
      </c>
      <c r="J4638" s="6" t="s">
        <v>91</v>
      </c>
      <c r="K4638" s="12" t="str">
        <f t="shared" ref="K4638:K4639" si="917">HYPERLINK("https://media.licdn.com/dms/image/v2/D4E10AQEQ0CWUOdqf5Q/image-shrink_1280/B4EZvHPErHHIAc-/0/1768574176286/Getmentionedpng?e=2147483647&amp;v=beta&amp;t=MJqK7cYTUhoCExV6KgyODJj-FCw_H7hff28vQufV73o","View Creative")</f>
        <v>View Creative</v>
      </c>
      <c r="L4638" s="6" t="s">
        <v>62</v>
      </c>
      <c r="M4638" s="6" t="s">
        <v>8270</v>
      </c>
      <c r="N4638" s="6" t="s">
        <v>8357</v>
      </c>
      <c r="O4638" s="36" t="s">
        <v>7541</v>
      </c>
      <c r="P4638" s="36" t="s">
        <v>7542</v>
      </c>
      <c r="Q4638" s="38"/>
    </row>
    <row r="4639">
      <c r="A4639" s="6" t="s">
        <v>8270</v>
      </c>
      <c r="B4639" s="6" t="s">
        <v>8271</v>
      </c>
      <c r="C4639" s="6">
        <v>588.0</v>
      </c>
      <c r="D4639" s="9" t="str">
        <f t="shared" si="916"/>
        <v>Open Ad</v>
      </c>
      <c r="E4639" s="6" t="s">
        <v>91</v>
      </c>
      <c r="F4639" s="6" t="s">
        <v>8022</v>
      </c>
      <c r="G4639" s="6" t="s">
        <v>8359</v>
      </c>
      <c r="H4639" s="6" t="s">
        <v>55</v>
      </c>
      <c r="I4639" s="6" t="s">
        <v>8273</v>
      </c>
      <c r="J4639" s="6" t="s">
        <v>91</v>
      </c>
      <c r="K4639" s="12" t="str">
        <f t="shared" si="917"/>
        <v>View Creative</v>
      </c>
      <c r="L4639" s="6" t="s">
        <v>62</v>
      </c>
      <c r="M4639" s="6" t="s">
        <v>8270</v>
      </c>
      <c r="N4639" s="6" t="s">
        <v>8357</v>
      </c>
      <c r="O4639" s="36" t="s">
        <v>7541</v>
      </c>
      <c r="P4639" s="36" t="s">
        <v>7542</v>
      </c>
      <c r="Q4639" s="38"/>
    </row>
    <row r="4640">
      <c r="A4640" s="6" t="s">
        <v>8270</v>
      </c>
      <c r="B4640" s="6" t="s">
        <v>8271</v>
      </c>
      <c r="C4640" s="6">
        <v>589.0</v>
      </c>
      <c r="D4640" s="9" t="str">
        <f t="shared" ref="D4640:D4641" si="918">HYPERLINK("https://www.linkedin.com/ad-library/detail/1124680624","Open Ad")</f>
        <v>Open Ad</v>
      </c>
      <c r="E4640" s="6" t="s">
        <v>91</v>
      </c>
      <c r="F4640" s="6" t="s">
        <v>8022</v>
      </c>
      <c r="G4640" s="6" t="s">
        <v>8360</v>
      </c>
      <c r="H4640" s="6" t="s">
        <v>55</v>
      </c>
      <c r="I4640" s="6" t="s">
        <v>8273</v>
      </c>
      <c r="J4640" s="6" t="s">
        <v>91</v>
      </c>
      <c r="K4640" s="12" t="str">
        <f t="shared" ref="K4640:K4641" si="919">HYPERLINK("https://media.licdn.com/dms/image/v2/D4E10AQFeOWv4BOm3Lg/image-shrink_1280/B4EZvHgRcRGoAg-/0/1768578685071/AIsearchanalyticspng?e=2147483647&amp;v=beta&amp;t=r8ZA4O6fWX-JBdFSvxBgj_hIEsRx7sVZZ0_lepLUncw","View Creative")</f>
        <v>View Creative</v>
      </c>
      <c r="L4640" s="6" t="s">
        <v>62</v>
      </c>
      <c r="M4640" s="6" t="s">
        <v>8270</v>
      </c>
      <c r="N4640" s="6" t="s">
        <v>8357</v>
      </c>
      <c r="O4640" s="36" t="s">
        <v>7541</v>
      </c>
      <c r="P4640" s="36" t="s">
        <v>7542</v>
      </c>
      <c r="Q4640" s="38"/>
    </row>
    <row r="4641">
      <c r="A4641" s="6" t="s">
        <v>8270</v>
      </c>
      <c r="B4641" s="6" t="s">
        <v>8271</v>
      </c>
      <c r="C4641" s="6">
        <v>590.0</v>
      </c>
      <c r="D4641" s="9" t="str">
        <f t="shared" si="918"/>
        <v>Open Ad</v>
      </c>
      <c r="E4641" s="6" t="s">
        <v>91</v>
      </c>
      <c r="F4641" s="6" t="s">
        <v>8022</v>
      </c>
      <c r="G4641" s="6" t="s">
        <v>8360</v>
      </c>
      <c r="H4641" s="6" t="s">
        <v>55</v>
      </c>
      <c r="I4641" s="6" t="s">
        <v>8273</v>
      </c>
      <c r="J4641" s="6" t="s">
        <v>91</v>
      </c>
      <c r="K4641" s="12" t="str">
        <f t="shared" si="919"/>
        <v>View Creative</v>
      </c>
      <c r="L4641" s="6" t="s">
        <v>62</v>
      </c>
      <c r="M4641" s="6" t="s">
        <v>8270</v>
      </c>
      <c r="N4641" s="6" t="s">
        <v>8357</v>
      </c>
      <c r="O4641" s="36" t="s">
        <v>7541</v>
      </c>
      <c r="P4641" s="36" t="s">
        <v>7542</v>
      </c>
      <c r="Q4641" s="38"/>
    </row>
    <row r="4642">
      <c r="A4642" s="6" t="s">
        <v>8270</v>
      </c>
      <c r="B4642" s="6" t="s">
        <v>8271</v>
      </c>
      <c r="C4642" s="6">
        <v>591.0</v>
      </c>
      <c r="D4642" s="9" t="str">
        <f t="shared" ref="D4642:D4643" si="920">HYPERLINK("https://www.linkedin.com/ad-library/detail/1125379924","Open Ad")</f>
        <v>Open Ad</v>
      </c>
      <c r="E4642" s="6" t="s">
        <v>91</v>
      </c>
      <c r="F4642" s="6" t="s">
        <v>8022</v>
      </c>
      <c r="G4642" s="6" t="s">
        <v>8355</v>
      </c>
      <c r="H4642" s="6" t="s">
        <v>55</v>
      </c>
      <c r="I4642" s="6" t="s">
        <v>8273</v>
      </c>
      <c r="J4642" s="6" t="s">
        <v>91</v>
      </c>
      <c r="K4642" s="12" t="str">
        <f t="shared" ref="K4642:K4643" si="921">HYPERLINK("https://media.licdn.com/dms/image/v2/D4E10AQFhdvl49SWZJw/image-shrink_1280/B4EZvHOpTsIIAg-/0/1768574064237/Gettrafficpng?e=2147483647&amp;v=beta&amp;t=zW2iradgKhv3Rzcgm7lLXw6UqHtXcSuZb9dYJ_IsQw0","View Creative")</f>
        <v>View Creative</v>
      </c>
      <c r="L4642" s="6" t="s">
        <v>62</v>
      </c>
      <c r="M4642" s="6" t="s">
        <v>8270</v>
      </c>
      <c r="N4642" s="6" t="s">
        <v>8357</v>
      </c>
      <c r="O4642" s="36" t="s">
        <v>7541</v>
      </c>
      <c r="P4642" s="36" t="s">
        <v>7542</v>
      </c>
      <c r="Q4642" s="38"/>
    </row>
    <row r="4643">
      <c r="A4643" s="6" t="s">
        <v>8270</v>
      </c>
      <c r="B4643" s="6" t="s">
        <v>8271</v>
      </c>
      <c r="C4643" s="6">
        <v>592.0</v>
      </c>
      <c r="D4643" s="9" t="str">
        <f t="shared" si="920"/>
        <v>Open Ad</v>
      </c>
      <c r="E4643" s="6" t="s">
        <v>91</v>
      </c>
      <c r="F4643" s="6" t="s">
        <v>8022</v>
      </c>
      <c r="G4643" s="6" t="s">
        <v>8355</v>
      </c>
      <c r="H4643" s="6" t="s">
        <v>55</v>
      </c>
      <c r="I4643" s="6" t="s">
        <v>8273</v>
      </c>
      <c r="J4643" s="6" t="s">
        <v>91</v>
      </c>
      <c r="K4643" s="12" t="str">
        <f t="shared" si="921"/>
        <v>View Creative</v>
      </c>
      <c r="L4643" s="6" t="s">
        <v>62</v>
      </c>
      <c r="M4643" s="6" t="s">
        <v>8270</v>
      </c>
      <c r="N4643" s="6" t="s">
        <v>8357</v>
      </c>
      <c r="O4643" s="36" t="s">
        <v>7541</v>
      </c>
      <c r="P4643" s="36" t="s">
        <v>7542</v>
      </c>
      <c r="Q4643" s="38"/>
    </row>
    <row r="4644">
      <c r="A4644" s="6" t="s">
        <v>8270</v>
      </c>
      <c r="B4644" s="6" t="s">
        <v>8271</v>
      </c>
      <c r="C4644" s="6">
        <v>593.0</v>
      </c>
      <c r="D4644" s="9" t="str">
        <f t="shared" ref="D4644:D4645" si="922">HYPERLINK("https://www.linkedin.com/ad-library/detail/1126280444","Open Ad")</f>
        <v>Open Ad</v>
      </c>
      <c r="E4644" s="6" t="s">
        <v>91</v>
      </c>
      <c r="F4644" s="6" t="s">
        <v>8022</v>
      </c>
      <c r="G4644" s="6" t="s">
        <v>8359</v>
      </c>
      <c r="H4644" s="6" t="s">
        <v>55</v>
      </c>
      <c r="I4644" s="6" t="s">
        <v>8273</v>
      </c>
      <c r="J4644" s="6" t="s">
        <v>91</v>
      </c>
      <c r="K4644" s="12" t="str">
        <f t="shared" ref="K4644:K4645" si="923">HYPERLINK("https://media.licdn.com/dms/image/v2/D4E10AQEQ0CWUOdqf5Q/image-shrink_1280/B4EZvHPErHHIAc-/0/1768574176286/Getmentionedpng?e=2147483647&amp;v=beta&amp;t=MJqK7cYTUhoCExV6KgyODJj-FCw_H7hff28vQufV73o","View Creative")</f>
        <v>View Creative</v>
      </c>
      <c r="L4644" s="6" t="s">
        <v>62</v>
      </c>
      <c r="M4644" s="6" t="s">
        <v>8270</v>
      </c>
      <c r="N4644" s="6" t="s">
        <v>8357</v>
      </c>
      <c r="O4644" s="36" t="s">
        <v>7541</v>
      </c>
      <c r="P4644" s="36" t="s">
        <v>7542</v>
      </c>
      <c r="Q4644" s="38"/>
    </row>
    <row r="4645">
      <c r="A4645" s="6" t="s">
        <v>8270</v>
      </c>
      <c r="B4645" s="6" t="s">
        <v>8271</v>
      </c>
      <c r="C4645" s="6">
        <v>594.0</v>
      </c>
      <c r="D4645" s="9" t="str">
        <f t="shared" si="922"/>
        <v>Open Ad</v>
      </c>
      <c r="E4645" s="6" t="s">
        <v>91</v>
      </c>
      <c r="F4645" s="6" t="s">
        <v>8022</v>
      </c>
      <c r="G4645" s="6" t="s">
        <v>8359</v>
      </c>
      <c r="H4645" s="6" t="s">
        <v>55</v>
      </c>
      <c r="I4645" s="6" t="s">
        <v>8273</v>
      </c>
      <c r="J4645" s="6" t="s">
        <v>91</v>
      </c>
      <c r="K4645" s="12" t="str">
        <f t="shared" si="923"/>
        <v>View Creative</v>
      </c>
      <c r="L4645" s="6" t="s">
        <v>62</v>
      </c>
      <c r="M4645" s="6" t="s">
        <v>8270</v>
      </c>
      <c r="N4645" s="6" t="s">
        <v>8357</v>
      </c>
      <c r="O4645" s="36" t="s">
        <v>7541</v>
      </c>
      <c r="P4645" s="36" t="s">
        <v>7542</v>
      </c>
      <c r="Q4645" s="38"/>
    </row>
    <row r="4646">
      <c r="A4646" s="6" t="s">
        <v>8270</v>
      </c>
      <c r="B4646" s="6" t="s">
        <v>8271</v>
      </c>
      <c r="C4646" s="6">
        <v>595.0</v>
      </c>
      <c r="D4646" s="9" t="str">
        <f t="shared" ref="D4646:D4647" si="924">HYPERLINK("https://www.linkedin.com/ad-library/detail/1124779984","Open Ad")</f>
        <v>Open Ad</v>
      </c>
      <c r="E4646" s="6" t="s">
        <v>91</v>
      </c>
      <c r="F4646" s="6" t="s">
        <v>8022</v>
      </c>
      <c r="G4646" s="6" t="s">
        <v>8356</v>
      </c>
      <c r="H4646" s="6" t="s">
        <v>55</v>
      </c>
      <c r="I4646" s="6" t="s">
        <v>8273</v>
      </c>
      <c r="J4646" s="6" t="s">
        <v>91</v>
      </c>
      <c r="K4646" s="12" t="str">
        <f t="shared" ref="K4646:K4647" si="925">HYPERLINK("https://media.licdn.com/dms/image/v2/D4E10AQEJ3BN6TF0ShQ/image-shrink_1280/B4EZvHhgvMH8Ac-/0/1768579009905/1Trackyourvisibilitypng?e=2147483647&amp;v=beta&amp;t=kanyDacnSgkvxyWF3u29O_7mHnPNsjm8UGSWcuf78w8","View Creative")</f>
        <v>View Creative</v>
      </c>
      <c r="L4646" s="6" t="s">
        <v>62</v>
      </c>
      <c r="M4646" s="6" t="s">
        <v>8270</v>
      </c>
      <c r="N4646" s="6" t="s">
        <v>8357</v>
      </c>
      <c r="O4646" s="36" t="s">
        <v>7541</v>
      </c>
      <c r="P4646" s="36" t="s">
        <v>7542</v>
      </c>
      <c r="Q4646" s="38"/>
    </row>
    <row r="4647">
      <c r="A4647" s="6" t="s">
        <v>8270</v>
      </c>
      <c r="B4647" s="6" t="s">
        <v>8271</v>
      </c>
      <c r="C4647" s="6">
        <v>596.0</v>
      </c>
      <c r="D4647" s="9" t="str">
        <f t="shared" si="924"/>
        <v>Open Ad</v>
      </c>
      <c r="E4647" s="6" t="s">
        <v>91</v>
      </c>
      <c r="F4647" s="6" t="s">
        <v>8022</v>
      </c>
      <c r="G4647" s="6" t="s">
        <v>8356</v>
      </c>
      <c r="H4647" s="6" t="s">
        <v>55</v>
      </c>
      <c r="I4647" s="6" t="s">
        <v>8273</v>
      </c>
      <c r="J4647" s="6" t="s">
        <v>91</v>
      </c>
      <c r="K4647" s="12" t="str">
        <f t="shared" si="925"/>
        <v>View Creative</v>
      </c>
      <c r="L4647" s="6" t="s">
        <v>62</v>
      </c>
      <c r="M4647" s="6" t="s">
        <v>8270</v>
      </c>
      <c r="N4647" s="6" t="s">
        <v>8357</v>
      </c>
      <c r="O4647" s="36" t="s">
        <v>7541</v>
      </c>
      <c r="P4647" s="36" t="s">
        <v>7542</v>
      </c>
      <c r="Q4647" s="38"/>
    </row>
    <row r="4648">
      <c r="A4648" s="6" t="s">
        <v>8270</v>
      </c>
      <c r="B4648" s="6" t="s">
        <v>8271</v>
      </c>
      <c r="C4648" s="6">
        <v>597.0</v>
      </c>
      <c r="D4648" s="9" t="str">
        <f t="shared" ref="D4648:D4649" si="926">HYPERLINK("https://www.linkedin.com/ad-library/detail/1093184564","Open Ad")</f>
        <v>Open Ad</v>
      </c>
      <c r="E4648" s="6" t="s">
        <v>91</v>
      </c>
      <c r="F4648" s="6" t="s">
        <v>8022</v>
      </c>
      <c r="G4648" s="6" t="s">
        <v>8359</v>
      </c>
      <c r="H4648" s="6" t="s">
        <v>55</v>
      </c>
      <c r="I4648" s="6" t="s">
        <v>8273</v>
      </c>
      <c r="J4648" s="6" t="s">
        <v>91</v>
      </c>
      <c r="K4648" s="12" t="str">
        <f t="shared" ref="K4648:K4649" si="927">HYPERLINK("https://media.licdn.com/dms/image/v2/D4E10AQEQ0CWUOdqf5Q/image-shrink_1280/B4EZvHPErHHIAc-/0/1768574176286/Getmentionedpng?e=2147483647&amp;v=beta&amp;t=MJqK7cYTUhoCExV6KgyODJj-FCw_H7hff28vQufV73o","View Creative")</f>
        <v>View Creative</v>
      </c>
      <c r="L4648" s="6" t="s">
        <v>62</v>
      </c>
      <c r="M4648" s="6" t="s">
        <v>8270</v>
      </c>
      <c r="N4648" s="6" t="s">
        <v>8357</v>
      </c>
      <c r="O4648" s="36" t="s">
        <v>7541</v>
      </c>
      <c r="P4648" s="36" t="s">
        <v>7542</v>
      </c>
      <c r="Q4648" s="38"/>
    </row>
    <row r="4649">
      <c r="A4649" s="6" t="s">
        <v>8270</v>
      </c>
      <c r="B4649" s="6" t="s">
        <v>8271</v>
      </c>
      <c r="C4649" s="6">
        <v>598.0</v>
      </c>
      <c r="D4649" s="9" t="str">
        <f t="shared" si="926"/>
        <v>Open Ad</v>
      </c>
      <c r="E4649" s="6" t="s">
        <v>91</v>
      </c>
      <c r="F4649" s="6" t="s">
        <v>8022</v>
      </c>
      <c r="G4649" s="6" t="s">
        <v>8359</v>
      </c>
      <c r="H4649" s="6" t="s">
        <v>55</v>
      </c>
      <c r="I4649" s="6" t="s">
        <v>8273</v>
      </c>
      <c r="J4649" s="6" t="s">
        <v>91</v>
      </c>
      <c r="K4649" s="12" t="str">
        <f t="shared" si="927"/>
        <v>View Creative</v>
      </c>
      <c r="L4649" s="6" t="s">
        <v>62</v>
      </c>
      <c r="M4649" s="6" t="s">
        <v>8270</v>
      </c>
      <c r="N4649" s="6" t="s">
        <v>8357</v>
      </c>
      <c r="O4649" s="36" t="s">
        <v>7541</v>
      </c>
      <c r="P4649" s="36" t="s">
        <v>7542</v>
      </c>
      <c r="Q4649" s="38"/>
    </row>
    <row r="4650">
      <c r="A4650" s="6" t="s">
        <v>8270</v>
      </c>
      <c r="B4650" s="6" t="s">
        <v>8271</v>
      </c>
      <c r="C4650" s="6">
        <v>599.0</v>
      </c>
      <c r="D4650" s="9" t="str">
        <f t="shared" ref="D4650:D4651" si="928">HYPERLINK("https://www.linkedin.com/ad-library/detail/1125780374","Open Ad")</f>
        <v>Open Ad</v>
      </c>
      <c r="E4650" s="6" t="s">
        <v>91</v>
      </c>
      <c r="F4650" s="6" t="s">
        <v>8022</v>
      </c>
      <c r="G4650" s="6" t="s">
        <v>8354</v>
      </c>
      <c r="H4650" s="6" t="s">
        <v>55</v>
      </c>
      <c r="I4650" s="6" t="s">
        <v>8273</v>
      </c>
      <c r="J4650" s="6" t="s">
        <v>91</v>
      </c>
      <c r="K4650" s="12" t="str">
        <f t="shared" ref="K4650:K4651" si="929">HYPERLINK("https://media.licdn.com/dms/image/v2/D4E10AQFBE-hGBlPdfQ/image-shrink_1280/B4EZvHPXk5GkAc-/0/1768574253788/TrackwhatAIsayspng?e=2147483647&amp;v=beta&amp;t=c2jX6FQItgO4wLlA6IAzpFa7FH4E4qDF52W5zHY4V5o","View Creative")</f>
        <v>View Creative</v>
      </c>
      <c r="L4650" s="6" t="s">
        <v>62</v>
      </c>
      <c r="M4650" s="6" t="s">
        <v>8270</v>
      </c>
      <c r="N4650" s="6" t="s">
        <v>8357</v>
      </c>
      <c r="O4650" s="36" t="s">
        <v>7541</v>
      </c>
      <c r="P4650" s="36" t="s">
        <v>7542</v>
      </c>
      <c r="Q4650" s="38"/>
    </row>
    <row r="4651">
      <c r="A4651" s="6" t="s">
        <v>8270</v>
      </c>
      <c r="B4651" s="6" t="s">
        <v>8271</v>
      </c>
      <c r="C4651" s="6">
        <v>600.0</v>
      </c>
      <c r="D4651" s="9" t="str">
        <f t="shared" si="928"/>
        <v>Open Ad</v>
      </c>
      <c r="E4651" s="6" t="s">
        <v>91</v>
      </c>
      <c r="F4651" s="6" t="s">
        <v>8022</v>
      </c>
      <c r="G4651" s="6" t="s">
        <v>8354</v>
      </c>
      <c r="H4651" s="6" t="s">
        <v>55</v>
      </c>
      <c r="I4651" s="6" t="s">
        <v>8273</v>
      </c>
      <c r="J4651" s="6" t="s">
        <v>91</v>
      </c>
      <c r="K4651" s="12" t="str">
        <f t="shared" si="929"/>
        <v>View Creative</v>
      </c>
      <c r="L4651" s="6" t="s">
        <v>62</v>
      </c>
      <c r="M4651" s="6" t="s">
        <v>8270</v>
      </c>
      <c r="N4651" s="6" t="s">
        <v>8357</v>
      </c>
      <c r="O4651" s="36" t="s">
        <v>7541</v>
      </c>
      <c r="P4651" s="36" t="s">
        <v>7542</v>
      </c>
      <c r="Q4651" s="38"/>
    </row>
    <row r="4652">
      <c r="A4652" s="6" t="s">
        <v>8270</v>
      </c>
      <c r="B4652" s="6" t="s">
        <v>8271</v>
      </c>
      <c r="C4652" s="6">
        <v>601.0</v>
      </c>
      <c r="D4652" s="9" t="str">
        <f t="shared" ref="D4652:D4653" si="930">HYPERLINK("https://www.linkedin.com/ad-library/detail/1124279924","Open Ad")</f>
        <v>Open Ad</v>
      </c>
      <c r="E4652" s="6" t="s">
        <v>91</v>
      </c>
      <c r="F4652" s="6" t="s">
        <v>8022</v>
      </c>
      <c r="G4652" s="6" t="s">
        <v>8358</v>
      </c>
      <c r="H4652" s="6" t="s">
        <v>55</v>
      </c>
      <c r="I4652" s="6" t="s">
        <v>8273</v>
      </c>
      <c r="J4652" s="6" t="s">
        <v>91</v>
      </c>
      <c r="K4652" s="12" t="str">
        <f t="shared" ref="K4652:K4653" si="931">HYPERLINK("https://media.licdn.com/dms/image/v2/D4E10AQHJS_17cXbRdg/image-shrink_1280/B4EZvHhKynJcAg-/0/1768578920006/1Yourorganictrafficpng?e=2147483647&amp;v=beta&amp;t=R-1DjIIQZU9ozJC_0T_K6Nf4-jGbi32oszyoTeUi4H0","View Creative")</f>
        <v>View Creative</v>
      </c>
      <c r="L4652" s="6" t="s">
        <v>62</v>
      </c>
      <c r="M4652" s="6" t="s">
        <v>8270</v>
      </c>
      <c r="N4652" s="6" t="s">
        <v>8357</v>
      </c>
      <c r="O4652" s="36" t="s">
        <v>7541</v>
      </c>
      <c r="P4652" s="36" t="s">
        <v>7542</v>
      </c>
      <c r="Q4652" s="38"/>
    </row>
    <row r="4653">
      <c r="A4653" s="6" t="s">
        <v>8270</v>
      </c>
      <c r="B4653" s="6" t="s">
        <v>8271</v>
      </c>
      <c r="C4653" s="6">
        <v>602.0</v>
      </c>
      <c r="D4653" s="9" t="str">
        <f t="shared" si="930"/>
        <v>Open Ad</v>
      </c>
      <c r="E4653" s="6" t="s">
        <v>91</v>
      </c>
      <c r="F4653" s="6" t="s">
        <v>8022</v>
      </c>
      <c r="G4653" s="6" t="s">
        <v>8358</v>
      </c>
      <c r="H4653" s="6" t="s">
        <v>55</v>
      </c>
      <c r="I4653" s="6" t="s">
        <v>8273</v>
      </c>
      <c r="J4653" s="6" t="s">
        <v>91</v>
      </c>
      <c r="K4653" s="12" t="str">
        <f t="shared" si="931"/>
        <v>View Creative</v>
      </c>
      <c r="L4653" s="6" t="s">
        <v>62</v>
      </c>
      <c r="M4653" s="6" t="s">
        <v>8270</v>
      </c>
      <c r="N4653" s="6" t="s">
        <v>8357</v>
      </c>
      <c r="O4653" s="36" t="s">
        <v>7541</v>
      </c>
      <c r="P4653" s="36" t="s">
        <v>7542</v>
      </c>
      <c r="Q4653" s="38"/>
    </row>
    <row r="4654">
      <c r="A4654" s="6" t="s">
        <v>8270</v>
      </c>
      <c r="B4654" s="6" t="s">
        <v>8271</v>
      </c>
      <c r="C4654" s="6">
        <v>603.0</v>
      </c>
      <c r="D4654" s="9" t="str">
        <f t="shared" ref="D4654:D4655" si="932">HYPERLINK("https://www.linkedin.com/ad-library/detail/1126480444","Open Ad")</f>
        <v>Open Ad</v>
      </c>
      <c r="E4654" s="6" t="s">
        <v>91</v>
      </c>
      <c r="F4654" s="6" t="s">
        <v>8022</v>
      </c>
      <c r="G4654" s="6" t="s">
        <v>8356</v>
      </c>
      <c r="H4654" s="6" t="s">
        <v>55</v>
      </c>
      <c r="I4654" s="6" t="s">
        <v>8273</v>
      </c>
      <c r="J4654" s="6" t="s">
        <v>91</v>
      </c>
      <c r="K4654" s="12" t="str">
        <f t="shared" ref="K4654:K4655" si="933">HYPERLINK("https://media.licdn.com/dms/image/v2/D4E10AQEJ3BN6TF0ShQ/image-shrink_1280/B4EZvHhgvMH8Ac-/0/1768579009905/1Trackyourvisibilitypng?e=2147483647&amp;v=beta&amp;t=kanyDacnSgkvxyWF3u29O_7mHnPNsjm8UGSWcuf78w8","View Creative")</f>
        <v>View Creative</v>
      </c>
      <c r="L4654" s="6" t="s">
        <v>62</v>
      </c>
      <c r="M4654" s="6" t="s">
        <v>8270</v>
      </c>
      <c r="N4654" s="6" t="s">
        <v>8357</v>
      </c>
      <c r="O4654" s="36" t="s">
        <v>7541</v>
      </c>
      <c r="P4654" s="36" t="s">
        <v>7542</v>
      </c>
      <c r="Q4654" s="38"/>
    </row>
    <row r="4655">
      <c r="A4655" s="6" t="s">
        <v>8270</v>
      </c>
      <c r="B4655" s="6" t="s">
        <v>8271</v>
      </c>
      <c r="C4655" s="6">
        <v>604.0</v>
      </c>
      <c r="D4655" s="9" t="str">
        <f t="shared" si="932"/>
        <v>Open Ad</v>
      </c>
      <c r="E4655" s="6" t="s">
        <v>91</v>
      </c>
      <c r="F4655" s="6" t="s">
        <v>8022</v>
      </c>
      <c r="G4655" s="6" t="s">
        <v>8356</v>
      </c>
      <c r="H4655" s="6" t="s">
        <v>55</v>
      </c>
      <c r="I4655" s="6" t="s">
        <v>8273</v>
      </c>
      <c r="J4655" s="6" t="s">
        <v>91</v>
      </c>
      <c r="K4655" s="12" t="str">
        <f t="shared" si="933"/>
        <v>View Creative</v>
      </c>
      <c r="L4655" s="6" t="s">
        <v>62</v>
      </c>
      <c r="M4655" s="6" t="s">
        <v>8270</v>
      </c>
      <c r="N4655" s="6" t="s">
        <v>8357</v>
      </c>
      <c r="O4655" s="36" t="s">
        <v>7541</v>
      </c>
      <c r="P4655" s="36" t="s">
        <v>7542</v>
      </c>
      <c r="Q4655" s="38"/>
    </row>
    <row r="4656">
      <c r="A4656" s="6" t="s">
        <v>8270</v>
      </c>
      <c r="B4656" s="6" t="s">
        <v>8271</v>
      </c>
      <c r="C4656" s="6">
        <v>605.0</v>
      </c>
      <c r="D4656" s="9" t="str">
        <f t="shared" ref="D4656:D4657" si="934">HYPERLINK("https://www.linkedin.com/ad-library/detail/1125380444","Open Ad")</f>
        <v>Open Ad</v>
      </c>
      <c r="E4656" s="6" t="s">
        <v>91</v>
      </c>
      <c r="F4656" s="6" t="s">
        <v>8022</v>
      </c>
      <c r="G4656" s="6" t="s">
        <v>8362</v>
      </c>
      <c r="H4656" s="6" t="s">
        <v>55</v>
      </c>
      <c r="I4656" s="6" t="s">
        <v>8273</v>
      </c>
      <c r="J4656" s="6" t="s">
        <v>91</v>
      </c>
      <c r="K4656" s="12" t="str">
        <f t="shared" ref="K4656:K4657" si="935">HYPERLINK("https://media.licdn.com/dms/image/v2/D4E10AQF6UPH7WMI63Q/image-shrink_1280/B4EZvHg4wgHUAc-/0/1768578846085/12026istheyearpng?e=2147483647&amp;v=beta&amp;t=je_Vle_0DuqkMG6yxq2CpIRKBNUD_kRp3xpwQZJzTgg","View Creative")</f>
        <v>View Creative</v>
      </c>
      <c r="L4656" s="6" t="s">
        <v>62</v>
      </c>
      <c r="M4656" s="6" t="s">
        <v>8270</v>
      </c>
      <c r="N4656" s="6" t="s">
        <v>8357</v>
      </c>
      <c r="O4656" s="36" t="s">
        <v>7541</v>
      </c>
      <c r="P4656" s="36" t="s">
        <v>7542</v>
      </c>
      <c r="Q4656" s="38"/>
    </row>
    <row r="4657">
      <c r="A4657" s="6" t="s">
        <v>8270</v>
      </c>
      <c r="B4657" s="6" t="s">
        <v>8271</v>
      </c>
      <c r="C4657" s="6">
        <v>606.0</v>
      </c>
      <c r="D4657" s="9" t="str">
        <f t="shared" si="934"/>
        <v>Open Ad</v>
      </c>
      <c r="E4657" s="6" t="s">
        <v>91</v>
      </c>
      <c r="F4657" s="6" t="s">
        <v>8022</v>
      </c>
      <c r="G4657" s="6" t="s">
        <v>8362</v>
      </c>
      <c r="H4657" s="6" t="s">
        <v>55</v>
      </c>
      <c r="I4657" s="6" t="s">
        <v>8273</v>
      </c>
      <c r="J4657" s="6" t="s">
        <v>91</v>
      </c>
      <c r="K4657" s="12" t="str">
        <f t="shared" si="935"/>
        <v>View Creative</v>
      </c>
      <c r="L4657" s="6" t="s">
        <v>62</v>
      </c>
      <c r="M4657" s="6" t="s">
        <v>8270</v>
      </c>
      <c r="N4657" s="6" t="s">
        <v>8357</v>
      </c>
      <c r="O4657" s="36" t="s">
        <v>7541</v>
      </c>
      <c r="P4657" s="36" t="s">
        <v>7542</v>
      </c>
      <c r="Q4657" s="38"/>
    </row>
    <row r="4658">
      <c r="A4658" s="6" t="s">
        <v>8270</v>
      </c>
      <c r="B4658" s="6" t="s">
        <v>8271</v>
      </c>
      <c r="C4658" s="6">
        <v>607.0</v>
      </c>
      <c r="D4658" s="9" t="str">
        <f t="shared" ref="D4658:D4659" si="936">HYPERLINK("https://www.linkedin.com/ad-library/detail/1125079894","Open Ad")</f>
        <v>Open Ad</v>
      </c>
      <c r="E4658" s="6" t="s">
        <v>91</v>
      </c>
      <c r="F4658" s="6" t="s">
        <v>8022</v>
      </c>
      <c r="G4658" s="6" t="s">
        <v>8361</v>
      </c>
      <c r="H4658" s="6" t="s">
        <v>55</v>
      </c>
      <c r="I4658" s="6" t="s">
        <v>8273</v>
      </c>
      <c r="J4658" s="6" t="s">
        <v>91</v>
      </c>
      <c r="K4658" s="12" t="str">
        <f t="shared" ref="K4658:K4659" si="937">HYPERLINK("https://media.licdn.com/dms/image/v2/D4E10AQGzdZamj-FFtg/image-shrink_1280/B4EZvHgki1HkAg-/0/1768578763264/1Yournextcustomerpng?e=2147483647&amp;v=beta&amp;t=813tYu3iNOk44Zb_qdwCHDYOEnZ5Xj42K2DyHeDrxuM","View Creative")</f>
        <v>View Creative</v>
      </c>
      <c r="L4658" s="6" t="s">
        <v>62</v>
      </c>
      <c r="M4658" s="6" t="s">
        <v>8270</v>
      </c>
      <c r="N4658" s="6" t="s">
        <v>8357</v>
      </c>
      <c r="O4658" s="36" t="s">
        <v>7541</v>
      </c>
      <c r="P4658" s="36" t="s">
        <v>7542</v>
      </c>
      <c r="Q4658" s="38"/>
    </row>
    <row r="4659">
      <c r="A4659" s="6" t="s">
        <v>8270</v>
      </c>
      <c r="B4659" s="6" t="s">
        <v>8271</v>
      </c>
      <c r="C4659" s="6">
        <v>608.0</v>
      </c>
      <c r="D4659" s="9" t="str">
        <f t="shared" si="936"/>
        <v>Open Ad</v>
      </c>
      <c r="E4659" s="6" t="s">
        <v>91</v>
      </c>
      <c r="F4659" s="6" t="s">
        <v>8022</v>
      </c>
      <c r="G4659" s="6" t="s">
        <v>8361</v>
      </c>
      <c r="H4659" s="6" t="s">
        <v>55</v>
      </c>
      <c r="I4659" s="6" t="s">
        <v>8273</v>
      </c>
      <c r="J4659" s="6" t="s">
        <v>91</v>
      </c>
      <c r="K4659" s="12" t="str">
        <f t="shared" si="937"/>
        <v>View Creative</v>
      </c>
      <c r="L4659" s="6" t="s">
        <v>62</v>
      </c>
      <c r="M4659" s="6" t="s">
        <v>8270</v>
      </c>
      <c r="N4659" s="6" t="s">
        <v>8357</v>
      </c>
      <c r="O4659" s="36" t="s">
        <v>7541</v>
      </c>
      <c r="P4659" s="36" t="s">
        <v>7542</v>
      </c>
      <c r="Q4659" s="38"/>
    </row>
    <row r="4660">
      <c r="A4660" s="6" t="s">
        <v>8270</v>
      </c>
      <c r="B4660" s="6" t="s">
        <v>8271</v>
      </c>
      <c r="C4660" s="6">
        <v>609.0</v>
      </c>
      <c r="D4660" s="9" t="str">
        <f t="shared" ref="D4660:D4661" si="938">HYPERLINK("https://www.linkedin.com/ad-library/detail/1126180454","Open Ad")</f>
        <v>Open Ad</v>
      </c>
      <c r="E4660" s="6" t="s">
        <v>91</v>
      </c>
      <c r="F4660" s="6" t="s">
        <v>8022</v>
      </c>
      <c r="G4660" s="6" t="s">
        <v>8358</v>
      </c>
      <c r="H4660" s="6" t="s">
        <v>55</v>
      </c>
      <c r="I4660" s="6" t="s">
        <v>8273</v>
      </c>
      <c r="J4660" s="6" t="s">
        <v>91</v>
      </c>
      <c r="K4660" s="12" t="str">
        <f t="shared" ref="K4660:K4661" si="939">HYPERLINK("https://media.licdn.com/dms/image/v2/D4E10AQHJS_17cXbRdg/image-shrink_1280/B4EZvHhKynJcAg-/0/1768578920006/1Yourorganictrafficpng?e=2147483647&amp;v=beta&amp;t=R-1DjIIQZU9ozJC_0T_K6Nf4-jGbi32oszyoTeUi4H0","View Creative")</f>
        <v>View Creative</v>
      </c>
      <c r="L4660" s="6" t="s">
        <v>62</v>
      </c>
      <c r="M4660" s="6" t="s">
        <v>8270</v>
      </c>
      <c r="N4660" s="6" t="s">
        <v>8357</v>
      </c>
      <c r="O4660" s="36" t="s">
        <v>7541</v>
      </c>
      <c r="P4660" s="36" t="s">
        <v>7542</v>
      </c>
      <c r="Q4660" s="38"/>
    </row>
    <row r="4661">
      <c r="A4661" s="6" t="s">
        <v>8270</v>
      </c>
      <c r="B4661" s="6" t="s">
        <v>8271</v>
      </c>
      <c r="C4661" s="6">
        <v>610.0</v>
      </c>
      <c r="D4661" s="9" t="str">
        <f t="shared" si="938"/>
        <v>Open Ad</v>
      </c>
      <c r="E4661" s="6" t="s">
        <v>91</v>
      </c>
      <c r="F4661" s="6" t="s">
        <v>8022</v>
      </c>
      <c r="G4661" s="6" t="s">
        <v>8358</v>
      </c>
      <c r="H4661" s="6" t="s">
        <v>55</v>
      </c>
      <c r="I4661" s="6" t="s">
        <v>8273</v>
      </c>
      <c r="J4661" s="6" t="s">
        <v>91</v>
      </c>
      <c r="K4661" s="12" t="str">
        <f t="shared" si="939"/>
        <v>View Creative</v>
      </c>
      <c r="L4661" s="6" t="s">
        <v>62</v>
      </c>
      <c r="M4661" s="6" t="s">
        <v>8270</v>
      </c>
      <c r="N4661" s="6" t="s">
        <v>8357</v>
      </c>
      <c r="O4661" s="36" t="s">
        <v>7541</v>
      </c>
      <c r="P4661" s="36" t="s">
        <v>7542</v>
      </c>
      <c r="Q4661" s="38"/>
    </row>
    <row r="4662">
      <c r="A4662" s="6" t="s">
        <v>8270</v>
      </c>
      <c r="B4662" s="6" t="s">
        <v>8271</v>
      </c>
      <c r="C4662" s="6">
        <v>611.0</v>
      </c>
      <c r="D4662" s="9" t="str">
        <f t="shared" ref="D4662:D4663" si="940">HYPERLINK("https://www.linkedin.com/ad-library/detail/1126079944","Open Ad")</f>
        <v>Open Ad</v>
      </c>
      <c r="E4662" s="6" t="s">
        <v>91</v>
      </c>
      <c r="F4662" s="6" t="s">
        <v>8022</v>
      </c>
      <c r="G4662" s="6" t="s">
        <v>8360</v>
      </c>
      <c r="H4662" s="6" t="s">
        <v>55</v>
      </c>
      <c r="I4662" s="6" t="s">
        <v>8273</v>
      </c>
      <c r="J4662" s="6" t="s">
        <v>91</v>
      </c>
      <c r="K4662" s="12" t="str">
        <f t="shared" ref="K4662:K4663" si="941">HYPERLINK("https://media.licdn.com/dms/image/v2/D4E10AQFeOWv4BOm3Lg/image-shrink_1280/B4EZvHgRcRGoAg-/0/1768578685071/AIsearchanalyticspng?e=2147483647&amp;v=beta&amp;t=r8ZA4O6fWX-JBdFSvxBgj_hIEsRx7sVZZ0_lepLUncw","View Creative")</f>
        <v>View Creative</v>
      </c>
      <c r="L4662" s="6" t="s">
        <v>62</v>
      </c>
      <c r="M4662" s="6" t="s">
        <v>8270</v>
      </c>
      <c r="N4662" s="6" t="s">
        <v>8357</v>
      </c>
      <c r="O4662" s="36" t="s">
        <v>7541</v>
      </c>
      <c r="P4662" s="36" t="s">
        <v>7542</v>
      </c>
      <c r="Q4662" s="38"/>
    </row>
    <row r="4663">
      <c r="A4663" s="6" t="s">
        <v>8270</v>
      </c>
      <c r="B4663" s="6" t="s">
        <v>8271</v>
      </c>
      <c r="C4663" s="6">
        <v>612.0</v>
      </c>
      <c r="D4663" s="9" t="str">
        <f t="shared" si="940"/>
        <v>Open Ad</v>
      </c>
      <c r="E4663" s="6" t="s">
        <v>91</v>
      </c>
      <c r="F4663" s="6" t="s">
        <v>8022</v>
      </c>
      <c r="G4663" s="6" t="s">
        <v>8360</v>
      </c>
      <c r="H4663" s="6" t="s">
        <v>55</v>
      </c>
      <c r="I4663" s="6" t="s">
        <v>8273</v>
      </c>
      <c r="J4663" s="6" t="s">
        <v>91</v>
      </c>
      <c r="K4663" s="12" t="str">
        <f t="shared" si="941"/>
        <v>View Creative</v>
      </c>
      <c r="L4663" s="6" t="s">
        <v>62</v>
      </c>
      <c r="M4663" s="6" t="s">
        <v>8270</v>
      </c>
      <c r="N4663" s="6" t="s">
        <v>8357</v>
      </c>
      <c r="O4663" s="36" t="s">
        <v>7541</v>
      </c>
      <c r="P4663" s="36" t="s">
        <v>7542</v>
      </c>
      <c r="Q4663" s="38"/>
    </row>
    <row r="4664">
      <c r="A4664" s="6" t="s">
        <v>8270</v>
      </c>
      <c r="B4664" s="6" t="s">
        <v>8271</v>
      </c>
      <c r="C4664" s="6">
        <v>613.0</v>
      </c>
      <c r="D4664" s="9" t="str">
        <f t="shared" ref="D4664:D4665" si="942">HYPERLINK("https://www.linkedin.com/ad-library/detail/1124980014","Open Ad")</f>
        <v>Open Ad</v>
      </c>
      <c r="E4664" s="6" t="s">
        <v>91</v>
      </c>
      <c r="F4664" s="6" t="s">
        <v>8022</v>
      </c>
      <c r="G4664" s="6" t="s">
        <v>8358</v>
      </c>
      <c r="H4664" s="6" t="s">
        <v>55</v>
      </c>
      <c r="I4664" s="6" t="s">
        <v>8273</v>
      </c>
      <c r="J4664" s="6" t="s">
        <v>91</v>
      </c>
      <c r="K4664" s="12" t="str">
        <f t="shared" ref="K4664:K4665" si="943">HYPERLINK("https://media.licdn.com/dms/image/v2/D4E10AQHJS_17cXbRdg/image-shrink_1280/B4EZvHhKynJcAg-/0/1768578920006/1Yourorganictrafficpng?e=2147483647&amp;v=beta&amp;t=R-1DjIIQZU9ozJC_0T_K6Nf4-jGbi32oszyoTeUi4H0","View Creative")</f>
        <v>View Creative</v>
      </c>
      <c r="L4664" s="6" t="s">
        <v>62</v>
      </c>
      <c r="M4664" s="6" t="s">
        <v>8270</v>
      </c>
      <c r="N4664" s="6" t="s">
        <v>8357</v>
      </c>
      <c r="O4664" s="36" t="s">
        <v>7541</v>
      </c>
      <c r="P4664" s="36" t="s">
        <v>7542</v>
      </c>
      <c r="Q4664" s="38"/>
    </row>
    <row r="4665">
      <c r="A4665" s="6" t="s">
        <v>8270</v>
      </c>
      <c r="B4665" s="6" t="s">
        <v>8271</v>
      </c>
      <c r="C4665" s="6">
        <v>614.0</v>
      </c>
      <c r="D4665" s="9" t="str">
        <f t="shared" si="942"/>
        <v>Open Ad</v>
      </c>
      <c r="E4665" s="6" t="s">
        <v>91</v>
      </c>
      <c r="F4665" s="6" t="s">
        <v>8022</v>
      </c>
      <c r="G4665" s="6" t="s">
        <v>8358</v>
      </c>
      <c r="H4665" s="6" t="s">
        <v>55</v>
      </c>
      <c r="I4665" s="6" t="s">
        <v>8273</v>
      </c>
      <c r="J4665" s="6" t="s">
        <v>91</v>
      </c>
      <c r="K4665" s="12" t="str">
        <f t="shared" si="943"/>
        <v>View Creative</v>
      </c>
      <c r="L4665" s="6" t="s">
        <v>62</v>
      </c>
      <c r="M4665" s="6" t="s">
        <v>8270</v>
      </c>
      <c r="N4665" s="6" t="s">
        <v>8357</v>
      </c>
      <c r="O4665" s="36" t="s">
        <v>7541</v>
      </c>
      <c r="P4665" s="36" t="s">
        <v>7542</v>
      </c>
      <c r="Q4665" s="38"/>
    </row>
    <row r="4666">
      <c r="A4666" s="6" t="s">
        <v>8270</v>
      </c>
      <c r="B4666" s="6" t="s">
        <v>8271</v>
      </c>
      <c r="C4666" s="6">
        <v>615.0</v>
      </c>
      <c r="D4666" s="9" t="str">
        <f t="shared" ref="D4666:D4667" si="944">HYPERLINK("https://www.linkedin.com/ad-library/detail/1124879934","Open Ad")</f>
        <v>Open Ad</v>
      </c>
      <c r="E4666" s="6" t="s">
        <v>91</v>
      </c>
      <c r="F4666" s="6" t="s">
        <v>8022</v>
      </c>
      <c r="G4666" s="6" t="s">
        <v>8360</v>
      </c>
      <c r="H4666" s="6" t="s">
        <v>55</v>
      </c>
      <c r="I4666" s="6" t="s">
        <v>8273</v>
      </c>
      <c r="J4666" s="6" t="s">
        <v>91</v>
      </c>
      <c r="K4666" s="12" t="str">
        <f t="shared" ref="K4666:K4667" si="945">HYPERLINK("https://media.licdn.com/dms/image/v2/D4E10AQFeOWv4BOm3Lg/image-shrink_1280/B4EZvHgRcRGoAg-/0/1768578685071/AIsearchanalyticspng?e=2147483647&amp;v=beta&amp;t=r8ZA4O6fWX-JBdFSvxBgj_hIEsRx7sVZZ0_lepLUncw","View Creative")</f>
        <v>View Creative</v>
      </c>
      <c r="L4666" s="6" t="s">
        <v>62</v>
      </c>
      <c r="M4666" s="6" t="s">
        <v>8270</v>
      </c>
      <c r="N4666" s="6" t="s">
        <v>8357</v>
      </c>
      <c r="O4666" s="36" t="s">
        <v>7541</v>
      </c>
      <c r="P4666" s="36" t="s">
        <v>7542</v>
      </c>
      <c r="Q4666" s="38"/>
    </row>
    <row r="4667">
      <c r="A4667" s="6" t="s">
        <v>8270</v>
      </c>
      <c r="B4667" s="6" t="s">
        <v>8271</v>
      </c>
      <c r="C4667" s="6">
        <v>616.0</v>
      </c>
      <c r="D4667" s="9" t="str">
        <f t="shared" si="944"/>
        <v>Open Ad</v>
      </c>
      <c r="E4667" s="6" t="s">
        <v>91</v>
      </c>
      <c r="F4667" s="6" t="s">
        <v>8022</v>
      </c>
      <c r="G4667" s="6" t="s">
        <v>8360</v>
      </c>
      <c r="H4667" s="6" t="s">
        <v>55</v>
      </c>
      <c r="I4667" s="6" t="s">
        <v>8273</v>
      </c>
      <c r="J4667" s="6" t="s">
        <v>91</v>
      </c>
      <c r="K4667" s="12" t="str">
        <f t="shared" si="945"/>
        <v>View Creative</v>
      </c>
      <c r="L4667" s="6" t="s">
        <v>62</v>
      </c>
      <c r="M4667" s="6" t="s">
        <v>8270</v>
      </c>
      <c r="N4667" s="6" t="s">
        <v>8357</v>
      </c>
      <c r="O4667" s="36" t="s">
        <v>7541</v>
      </c>
      <c r="P4667" s="36" t="s">
        <v>7542</v>
      </c>
      <c r="Q4667" s="38"/>
    </row>
    <row r="4668">
      <c r="A4668" s="6" t="s">
        <v>8270</v>
      </c>
      <c r="B4668" s="6" t="s">
        <v>8271</v>
      </c>
      <c r="C4668" s="6">
        <v>617.0</v>
      </c>
      <c r="D4668" s="9" t="str">
        <f t="shared" ref="D4668:D4669" si="946">HYPERLINK("https://www.linkedin.com/ad-library/detail/1124480044","Open Ad")</f>
        <v>Open Ad</v>
      </c>
      <c r="E4668" s="6" t="s">
        <v>91</v>
      </c>
      <c r="F4668" s="6" t="s">
        <v>8022</v>
      </c>
      <c r="G4668" s="6" t="s">
        <v>8361</v>
      </c>
      <c r="H4668" s="6" t="s">
        <v>55</v>
      </c>
      <c r="I4668" s="6" t="s">
        <v>8273</v>
      </c>
      <c r="J4668" s="6" t="s">
        <v>91</v>
      </c>
      <c r="K4668" s="12" t="str">
        <f t="shared" ref="K4668:K4669" si="947">HYPERLINK("https://media.licdn.com/dms/image/v2/D4E10AQGzdZamj-FFtg/image-shrink_1280/B4EZvHgki1HkAg-/0/1768578763264/1Yournextcustomerpng?e=2147483647&amp;v=beta&amp;t=813tYu3iNOk44Zb_qdwCHDYOEnZ5Xj42K2DyHeDrxuM","View Creative")</f>
        <v>View Creative</v>
      </c>
      <c r="L4668" s="6" t="s">
        <v>62</v>
      </c>
      <c r="M4668" s="6" t="s">
        <v>8270</v>
      </c>
      <c r="N4668" s="6" t="s">
        <v>8357</v>
      </c>
      <c r="O4668" s="36" t="s">
        <v>7541</v>
      </c>
      <c r="P4668" s="36" t="s">
        <v>7542</v>
      </c>
      <c r="Q4668" s="38"/>
    </row>
    <row r="4669">
      <c r="A4669" s="6" t="s">
        <v>8270</v>
      </c>
      <c r="B4669" s="6" t="s">
        <v>8271</v>
      </c>
      <c r="C4669" s="6">
        <v>618.0</v>
      </c>
      <c r="D4669" s="9" t="str">
        <f t="shared" si="946"/>
        <v>Open Ad</v>
      </c>
      <c r="E4669" s="6" t="s">
        <v>91</v>
      </c>
      <c r="F4669" s="6" t="s">
        <v>8022</v>
      </c>
      <c r="G4669" s="6" t="s">
        <v>8361</v>
      </c>
      <c r="H4669" s="6" t="s">
        <v>55</v>
      </c>
      <c r="I4669" s="6" t="s">
        <v>8273</v>
      </c>
      <c r="J4669" s="6" t="s">
        <v>91</v>
      </c>
      <c r="K4669" s="12" t="str">
        <f t="shared" si="947"/>
        <v>View Creative</v>
      </c>
      <c r="L4669" s="6" t="s">
        <v>62</v>
      </c>
      <c r="M4669" s="6" t="s">
        <v>8270</v>
      </c>
      <c r="N4669" s="6" t="s">
        <v>8357</v>
      </c>
      <c r="O4669" s="36" t="s">
        <v>7541</v>
      </c>
      <c r="P4669" s="36" t="s">
        <v>7542</v>
      </c>
      <c r="Q4669" s="38"/>
    </row>
    <row r="4670">
      <c r="A4670" s="6" t="s">
        <v>8270</v>
      </c>
      <c r="B4670" s="6" t="s">
        <v>8271</v>
      </c>
      <c r="C4670" s="6">
        <v>619.0</v>
      </c>
      <c r="D4670" s="9" t="str">
        <f t="shared" ref="D4670:D4671" si="948">HYPERLINK("https://www.linkedin.com/ad-library/detail/1126479834","Open Ad")</f>
        <v>Open Ad</v>
      </c>
      <c r="E4670" s="6" t="s">
        <v>91</v>
      </c>
      <c r="F4670" s="6" t="s">
        <v>8022</v>
      </c>
      <c r="G4670" s="6" t="s">
        <v>8362</v>
      </c>
      <c r="H4670" s="6" t="s">
        <v>55</v>
      </c>
      <c r="I4670" s="6" t="s">
        <v>8273</v>
      </c>
      <c r="J4670" s="6" t="s">
        <v>91</v>
      </c>
      <c r="K4670" s="12" t="str">
        <f t="shared" ref="K4670:K4671" si="949">HYPERLINK("https://media.licdn.com/dms/image/v2/D4E10AQF6UPH7WMI63Q/image-shrink_1280/B4EZvHg4wgHUAc-/0/1768578846085/12026istheyearpng?e=2147483647&amp;v=beta&amp;t=je_Vle_0DuqkMG6yxq2CpIRKBNUD_kRp3xpwQZJzTgg","View Creative")</f>
        <v>View Creative</v>
      </c>
      <c r="L4670" s="6" t="s">
        <v>62</v>
      </c>
      <c r="M4670" s="6" t="s">
        <v>8270</v>
      </c>
      <c r="N4670" s="6" t="s">
        <v>8357</v>
      </c>
      <c r="O4670" s="36" t="s">
        <v>7541</v>
      </c>
      <c r="P4670" s="36" t="s">
        <v>7542</v>
      </c>
      <c r="Q4670" s="38"/>
    </row>
    <row r="4671">
      <c r="A4671" s="6" t="s">
        <v>8270</v>
      </c>
      <c r="B4671" s="6" t="s">
        <v>8271</v>
      </c>
      <c r="C4671" s="6">
        <v>620.0</v>
      </c>
      <c r="D4671" s="9" t="str">
        <f t="shared" si="948"/>
        <v>Open Ad</v>
      </c>
      <c r="E4671" s="6" t="s">
        <v>91</v>
      </c>
      <c r="F4671" s="6" t="s">
        <v>8022</v>
      </c>
      <c r="G4671" s="6" t="s">
        <v>8362</v>
      </c>
      <c r="H4671" s="6" t="s">
        <v>55</v>
      </c>
      <c r="I4671" s="6" t="s">
        <v>8273</v>
      </c>
      <c r="J4671" s="6" t="s">
        <v>91</v>
      </c>
      <c r="K4671" s="12" t="str">
        <f t="shared" si="949"/>
        <v>View Creative</v>
      </c>
      <c r="L4671" s="6" t="s">
        <v>62</v>
      </c>
      <c r="M4671" s="6" t="s">
        <v>8270</v>
      </c>
      <c r="N4671" s="6" t="s">
        <v>8357</v>
      </c>
      <c r="O4671" s="36" t="s">
        <v>7541</v>
      </c>
      <c r="P4671" s="36" t="s">
        <v>7542</v>
      </c>
      <c r="Q4671" s="38"/>
    </row>
    <row r="4672">
      <c r="A4672" s="6" t="s">
        <v>8270</v>
      </c>
      <c r="B4672" s="6" t="s">
        <v>8271</v>
      </c>
      <c r="C4672" s="6">
        <v>621.0</v>
      </c>
      <c r="D4672" s="9" t="str">
        <f t="shared" ref="D4672:D4673" si="950">HYPERLINK("https://www.linkedin.com/ad-library/detail/1123484684","Open Ad")</f>
        <v>Open Ad</v>
      </c>
      <c r="E4672" s="6" t="s">
        <v>91</v>
      </c>
      <c r="F4672" s="6" t="s">
        <v>8022</v>
      </c>
      <c r="G4672" s="6" t="s">
        <v>8354</v>
      </c>
      <c r="H4672" s="6" t="s">
        <v>55</v>
      </c>
      <c r="I4672" s="6" t="s">
        <v>8273</v>
      </c>
      <c r="J4672" s="6" t="s">
        <v>91</v>
      </c>
      <c r="K4672" s="12" t="str">
        <f t="shared" ref="K4672:K4673" si="951">HYPERLINK("https://media.licdn.com/dms/image/v2/D4E10AQFBE-hGBlPdfQ/image-shrink_1280/B4EZvHPXk5GkAc-/0/1768574253788/TrackwhatAIsayspng?e=2147483647&amp;v=beta&amp;t=c2jX6FQItgO4wLlA6IAzpFa7FH4E4qDF52W5zHY4V5o","View Creative")</f>
        <v>View Creative</v>
      </c>
      <c r="L4672" s="6" t="s">
        <v>62</v>
      </c>
      <c r="M4672" s="6" t="s">
        <v>8270</v>
      </c>
      <c r="N4672" s="6" t="s">
        <v>8357</v>
      </c>
      <c r="O4672" s="36" t="s">
        <v>7541</v>
      </c>
      <c r="P4672" s="36" t="s">
        <v>7542</v>
      </c>
      <c r="Q4672" s="38"/>
    </row>
    <row r="4673">
      <c r="A4673" s="6" t="s">
        <v>8270</v>
      </c>
      <c r="B4673" s="6" t="s">
        <v>8271</v>
      </c>
      <c r="C4673" s="6">
        <v>622.0</v>
      </c>
      <c r="D4673" s="9" t="str">
        <f t="shared" si="950"/>
        <v>Open Ad</v>
      </c>
      <c r="E4673" s="6" t="s">
        <v>91</v>
      </c>
      <c r="F4673" s="6" t="s">
        <v>8022</v>
      </c>
      <c r="G4673" s="6" t="s">
        <v>8354</v>
      </c>
      <c r="H4673" s="6" t="s">
        <v>55</v>
      </c>
      <c r="I4673" s="6" t="s">
        <v>8273</v>
      </c>
      <c r="J4673" s="6" t="s">
        <v>91</v>
      </c>
      <c r="K4673" s="12" t="str">
        <f t="shared" si="951"/>
        <v>View Creative</v>
      </c>
      <c r="L4673" s="6" t="s">
        <v>62</v>
      </c>
      <c r="M4673" s="6" t="s">
        <v>8270</v>
      </c>
      <c r="N4673" s="6" t="s">
        <v>8357</v>
      </c>
      <c r="O4673" s="36" t="s">
        <v>7541</v>
      </c>
      <c r="P4673" s="36" t="s">
        <v>7542</v>
      </c>
      <c r="Q4673" s="38"/>
    </row>
    <row r="4674">
      <c r="A4674" s="6" t="s">
        <v>8270</v>
      </c>
      <c r="B4674" s="6" t="s">
        <v>8271</v>
      </c>
      <c r="C4674" s="6">
        <v>623.0</v>
      </c>
      <c r="D4674" s="9" t="str">
        <f t="shared" ref="D4674:D4675" si="952">HYPERLINK("https://www.linkedin.com/ad-library/detail/1126479874","Open Ad")</f>
        <v>Open Ad</v>
      </c>
      <c r="E4674" s="6" t="s">
        <v>91</v>
      </c>
      <c r="F4674" s="6" t="s">
        <v>8022</v>
      </c>
      <c r="G4674" s="6" t="s">
        <v>8356</v>
      </c>
      <c r="H4674" s="6" t="s">
        <v>55</v>
      </c>
      <c r="I4674" s="6" t="s">
        <v>8273</v>
      </c>
      <c r="J4674" s="6" t="s">
        <v>91</v>
      </c>
      <c r="K4674" s="12" t="str">
        <f t="shared" ref="K4674:K4675" si="953">HYPERLINK("https://media.licdn.com/dms/image/v2/D4E10AQEJ3BN6TF0ShQ/image-shrink_1280/B4EZvHhgvMH8Ac-/0/1768579009905/1Trackyourvisibilitypng?e=2147483647&amp;v=beta&amp;t=kanyDacnSgkvxyWF3u29O_7mHnPNsjm8UGSWcuf78w8","View Creative")</f>
        <v>View Creative</v>
      </c>
      <c r="L4674" s="6" t="s">
        <v>62</v>
      </c>
      <c r="M4674" s="6" t="s">
        <v>8270</v>
      </c>
      <c r="N4674" s="6" t="s">
        <v>8357</v>
      </c>
      <c r="O4674" s="36" t="s">
        <v>7541</v>
      </c>
      <c r="P4674" s="36" t="s">
        <v>7542</v>
      </c>
      <c r="Q4674" s="38"/>
    </row>
    <row r="4675">
      <c r="A4675" s="6" t="s">
        <v>8270</v>
      </c>
      <c r="B4675" s="6" t="s">
        <v>8271</v>
      </c>
      <c r="C4675" s="6">
        <v>624.0</v>
      </c>
      <c r="D4675" s="9" t="str">
        <f t="shared" si="952"/>
        <v>Open Ad</v>
      </c>
      <c r="E4675" s="6" t="s">
        <v>91</v>
      </c>
      <c r="F4675" s="6" t="s">
        <v>8022</v>
      </c>
      <c r="G4675" s="6" t="s">
        <v>8356</v>
      </c>
      <c r="H4675" s="6" t="s">
        <v>55</v>
      </c>
      <c r="I4675" s="6" t="s">
        <v>8273</v>
      </c>
      <c r="J4675" s="6" t="s">
        <v>91</v>
      </c>
      <c r="K4675" s="12" t="str">
        <f t="shared" si="953"/>
        <v>View Creative</v>
      </c>
      <c r="L4675" s="6" t="s">
        <v>62</v>
      </c>
      <c r="M4675" s="6" t="s">
        <v>8270</v>
      </c>
      <c r="N4675" s="6" t="s">
        <v>8357</v>
      </c>
      <c r="O4675" s="36" t="s">
        <v>7541</v>
      </c>
      <c r="P4675" s="36" t="s">
        <v>7542</v>
      </c>
      <c r="Q4675" s="38"/>
    </row>
    <row r="4676">
      <c r="A4676" s="6" t="s">
        <v>8270</v>
      </c>
      <c r="B4676" s="6" t="s">
        <v>8271</v>
      </c>
      <c r="C4676" s="6">
        <v>625.0</v>
      </c>
      <c r="D4676" s="9" t="str">
        <f t="shared" ref="D4676:D4677" si="954">HYPERLINK("https://www.linkedin.com/ad-library/detail/1126279934","Open Ad")</f>
        <v>Open Ad</v>
      </c>
      <c r="E4676" s="6" t="s">
        <v>91</v>
      </c>
      <c r="F4676" s="6" t="s">
        <v>8022</v>
      </c>
      <c r="G4676" s="6" t="s">
        <v>8362</v>
      </c>
      <c r="H4676" s="6" t="s">
        <v>55</v>
      </c>
      <c r="I4676" s="6" t="s">
        <v>8273</v>
      </c>
      <c r="J4676" s="6" t="s">
        <v>91</v>
      </c>
      <c r="K4676" s="12" t="str">
        <f t="shared" ref="K4676:K4677" si="955">HYPERLINK("https://media.licdn.com/dms/image/v2/D4E10AQF6UPH7WMI63Q/image-shrink_1280/B4EZvHg4wgHUAc-/0/1768578846085/12026istheyearpng?e=2147483647&amp;v=beta&amp;t=je_Vle_0DuqkMG6yxq2CpIRKBNUD_kRp3xpwQZJzTgg","View Creative")</f>
        <v>View Creative</v>
      </c>
      <c r="L4676" s="6" t="s">
        <v>62</v>
      </c>
      <c r="M4676" s="6" t="s">
        <v>8270</v>
      </c>
      <c r="N4676" s="6" t="s">
        <v>8357</v>
      </c>
      <c r="O4676" s="36" t="s">
        <v>7541</v>
      </c>
      <c r="P4676" s="36" t="s">
        <v>7542</v>
      </c>
      <c r="Q4676" s="38"/>
    </row>
    <row r="4677">
      <c r="A4677" s="6" t="s">
        <v>8270</v>
      </c>
      <c r="B4677" s="6" t="s">
        <v>8271</v>
      </c>
      <c r="C4677" s="6">
        <v>626.0</v>
      </c>
      <c r="D4677" s="9" t="str">
        <f t="shared" si="954"/>
        <v>Open Ad</v>
      </c>
      <c r="E4677" s="6" t="s">
        <v>91</v>
      </c>
      <c r="F4677" s="6" t="s">
        <v>8022</v>
      </c>
      <c r="G4677" s="6" t="s">
        <v>8362</v>
      </c>
      <c r="H4677" s="6" t="s">
        <v>55</v>
      </c>
      <c r="I4677" s="6" t="s">
        <v>8273</v>
      </c>
      <c r="J4677" s="6" t="s">
        <v>91</v>
      </c>
      <c r="K4677" s="12" t="str">
        <f t="shared" si="955"/>
        <v>View Creative</v>
      </c>
      <c r="L4677" s="6" t="s">
        <v>62</v>
      </c>
      <c r="M4677" s="6" t="s">
        <v>8270</v>
      </c>
      <c r="N4677" s="6" t="s">
        <v>8357</v>
      </c>
      <c r="O4677" s="36" t="s">
        <v>7541</v>
      </c>
      <c r="P4677" s="36" t="s">
        <v>7542</v>
      </c>
      <c r="Q4677" s="38"/>
    </row>
    <row r="4678">
      <c r="A4678" s="6" t="s">
        <v>8270</v>
      </c>
      <c r="B4678" s="6" t="s">
        <v>8271</v>
      </c>
      <c r="C4678" s="6">
        <v>627.0</v>
      </c>
      <c r="D4678" s="9" t="str">
        <f t="shared" ref="D4678:D4679" si="956">HYPERLINK("https://www.linkedin.com/ad-library/detail/916861814","Open Ad")</f>
        <v>Open Ad</v>
      </c>
      <c r="E4678" s="6" t="s">
        <v>91</v>
      </c>
      <c r="F4678" s="6" t="s">
        <v>8022</v>
      </c>
      <c r="G4678" s="6" t="s">
        <v>8363</v>
      </c>
      <c r="H4678" s="6" t="s">
        <v>55</v>
      </c>
      <c r="I4678" s="6" t="s">
        <v>8273</v>
      </c>
      <c r="J4678" s="6" t="s">
        <v>91</v>
      </c>
      <c r="K4678" s="12" t="str">
        <f t="shared" ref="K4678:K4679" si="957">HYPERLINK("https://media.licdn.com/dms/image/v2/D4E10AQGNSAIQ6QLAQA/image-shrink_1280/B4EZqXjmXGJ0AY-/0/1763479284571/4Dark-2jpg?e=2147483647&amp;v=beta&amp;t=JcZsw5Q4oi5lthxDnppFNw4twgrHMx1erlaYBtQWCPE","View Creative")</f>
        <v>View Creative</v>
      </c>
      <c r="L4678" s="6" t="s">
        <v>62</v>
      </c>
      <c r="M4678" s="6" t="s">
        <v>8270</v>
      </c>
      <c r="N4678" s="6"/>
      <c r="O4678" s="36" t="s">
        <v>7541</v>
      </c>
      <c r="P4678" s="36" t="s">
        <v>7542</v>
      </c>
      <c r="Q4678" s="38"/>
    </row>
    <row r="4679">
      <c r="A4679" s="6" t="s">
        <v>8270</v>
      </c>
      <c r="B4679" s="6" t="s">
        <v>8271</v>
      </c>
      <c r="C4679" s="6">
        <v>628.0</v>
      </c>
      <c r="D4679" s="9" t="str">
        <f t="shared" si="956"/>
        <v>Open Ad</v>
      </c>
      <c r="E4679" s="6" t="s">
        <v>91</v>
      </c>
      <c r="F4679" s="6" t="s">
        <v>8022</v>
      </c>
      <c r="G4679" s="6" t="s">
        <v>8363</v>
      </c>
      <c r="H4679" s="6" t="s">
        <v>55</v>
      </c>
      <c r="I4679" s="6" t="s">
        <v>8273</v>
      </c>
      <c r="J4679" s="6" t="s">
        <v>91</v>
      </c>
      <c r="K4679" s="12" t="str">
        <f t="shared" si="957"/>
        <v>View Creative</v>
      </c>
      <c r="L4679" s="6" t="s">
        <v>62</v>
      </c>
      <c r="M4679" s="6" t="s">
        <v>8270</v>
      </c>
      <c r="N4679" s="6"/>
      <c r="O4679" s="36" t="s">
        <v>7541</v>
      </c>
      <c r="P4679" s="36" t="s">
        <v>7542</v>
      </c>
      <c r="Q4679" s="38"/>
    </row>
    <row r="4680">
      <c r="A4680" s="6" t="s">
        <v>8270</v>
      </c>
      <c r="B4680" s="6" t="s">
        <v>8271</v>
      </c>
      <c r="C4680" s="6">
        <v>629.0</v>
      </c>
      <c r="D4680" s="9" t="str">
        <f t="shared" ref="D4680:D4681" si="958">HYPERLINK("https://www.linkedin.com/ad-library/detail/916804974","Open Ad")</f>
        <v>Open Ad</v>
      </c>
      <c r="E4680" s="6" t="s">
        <v>91</v>
      </c>
      <c r="F4680" s="6" t="s">
        <v>8022</v>
      </c>
      <c r="G4680" s="6" t="s">
        <v>8364</v>
      </c>
      <c r="H4680" s="6" t="s">
        <v>55</v>
      </c>
      <c r="I4680" s="6" t="s">
        <v>8273</v>
      </c>
      <c r="J4680" s="6" t="s">
        <v>91</v>
      </c>
      <c r="K4680" s="12" t="str">
        <f t="shared" ref="K4680:K4681" si="959">HYPERLINK("https://media.licdn.com/dms/image/v2/D4E10AQGrXINj2qMDXg/image-shrink_1280/B4EZqYq0HuKgAQ-/0/1763497952309/PeecAi-SeriesAannouncementImagepng?e=2147483647&amp;v=beta&amp;t=ZsfwRxs4S3xd7EWjZeymgk4kcg8ijKT3udTQCjD1K8o","View Creative")</f>
        <v>View Creative</v>
      </c>
      <c r="L4680" s="6" t="s">
        <v>62</v>
      </c>
      <c r="M4680" s="6" t="s">
        <v>8270</v>
      </c>
      <c r="N4680" s="6" t="s">
        <v>8365</v>
      </c>
      <c r="O4680" s="36" t="s">
        <v>7541</v>
      </c>
      <c r="P4680" s="36" t="s">
        <v>7542</v>
      </c>
      <c r="Q4680" s="38"/>
    </row>
    <row r="4681">
      <c r="A4681" s="6" t="s">
        <v>8270</v>
      </c>
      <c r="B4681" s="6" t="s">
        <v>8271</v>
      </c>
      <c r="C4681" s="6">
        <v>630.0</v>
      </c>
      <c r="D4681" s="9" t="str">
        <f t="shared" si="958"/>
        <v>Open Ad</v>
      </c>
      <c r="E4681" s="6" t="s">
        <v>91</v>
      </c>
      <c r="F4681" s="6" t="s">
        <v>8022</v>
      </c>
      <c r="G4681" s="6" t="s">
        <v>8364</v>
      </c>
      <c r="H4681" s="6" t="s">
        <v>55</v>
      </c>
      <c r="I4681" s="6" t="s">
        <v>8273</v>
      </c>
      <c r="J4681" s="6" t="s">
        <v>91</v>
      </c>
      <c r="K4681" s="12" t="str">
        <f t="shared" si="959"/>
        <v>View Creative</v>
      </c>
      <c r="L4681" s="6" t="s">
        <v>62</v>
      </c>
      <c r="M4681" s="6" t="s">
        <v>8270</v>
      </c>
      <c r="N4681" s="6" t="s">
        <v>8365</v>
      </c>
      <c r="O4681" s="36" t="s">
        <v>7541</v>
      </c>
      <c r="P4681" s="36" t="s">
        <v>7542</v>
      </c>
      <c r="Q4681" s="38"/>
    </row>
    <row r="4682">
      <c r="A4682" s="6" t="s">
        <v>8270</v>
      </c>
      <c r="B4682" s="6" t="s">
        <v>8271</v>
      </c>
      <c r="C4682" s="6">
        <v>631.0</v>
      </c>
      <c r="D4682" s="9" t="str">
        <f t="shared" ref="D4682:D4683" si="960">HYPERLINK("https://www.linkedin.com/ad-library/detail/934564104","Open Ad")</f>
        <v>Open Ad</v>
      </c>
      <c r="E4682" s="6" t="s">
        <v>91</v>
      </c>
      <c r="F4682" s="6" t="s">
        <v>8022</v>
      </c>
      <c r="G4682" s="6" t="s">
        <v>8366</v>
      </c>
      <c r="H4682" s="6" t="s">
        <v>55</v>
      </c>
      <c r="I4682" s="6" t="s">
        <v>8273</v>
      </c>
      <c r="J4682" s="6" t="s">
        <v>91</v>
      </c>
      <c r="K4682" s="12" t="str">
        <f t="shared" ref="K4682:K4683" si="961">HYPERLINK("https://media.licdn.com/dms/image/v2/D4E22AQG9mF5Fqgeeeg/feedshare-image-high-res/B4EZkPSmAcGUAo-/0/1756898157313?e=2147483647&amp;v=beta&amp;t=3_anBtahvCH0XCV-BckKHP05z2OpS8-hbvIDKpb4zBY","View Creative")</f>
        <v>View Creative</v>
      </c>
      <c r="L4682" s="6" t="s">
        <v>62</v>
      </c>
      <c r="M4682" s="6" t="s">
        <v>8270</v>
      </c>
      <c r="N4682" s="6"/>
      <c r="O4682" s="36" t="s">
        <v>7541</v>
      </c>
      <c r="P4682" s="36" t="s">
        <v>7542</v>
      </c>
      <c r="Q4682" s="38"/>
    </row>
    <row r="4683">
      <c r="A4683" s="6" t="s">
        <v>8270</v>
      </c>
      <c r="B4683" s="6" t="s">
        <v>8271</v>
      </c>
      <c r="C4683" s="6">
        <v>632.0</v>
      </c>
      <c r="D4683" s="9" t="str">
        <f t="shared" si="960"/>
        <v>Open Ad</v>
      </c>
      <c r="E4683" s="6" t="s">
        <v>91</v>
      </c>
      <c r="F4683" s="6" t="s">
        <v>8022</v>
      </c>
      <c r="G4683" s="6" t="s">
        <v>8366</v>
      </c>
      <c r="H4683" s="6" t="s">
        <v>55</v>
      </c>
      <c r="I4683" s="6" t="s">
        <v>8273</v>
      </c>
      <c r="J4683" s="6" t="s">
        <v>91</v>
      </c>
      <c r="K4683" s="12" t="str">
        <f t="shared" si="961"/>
        <v>View Creative</v>
      </c>
      <c r="L4683" s="6" t="s">
        <v>62</v>
      </c>
      <c r="M4683" s="6" t="s">
        <v>8270</v>
      </c>
      <c r="N4683" s="6"/>
      <c r="O4683" s="36" t="s">
        <v>7541</v>
      </c>
      <c r="P4683" s="36" t="s">
        <v>7542</v>
      </c>
      <c r="Q4683" s="38"/>
    </row>
    <row r="4684">
      <c r="A4684" s="6" t="s">
        <v>8270</v>
      </c>
      <c r="B4684" s="6" t="s">
        <v>8271</v>
      </c>
      <c r="C4684" s="6">
        <v>633.0</v>
      </c>
      <c r="D4684" s="9" t="str">
        <f t="shared" ref="D4684:D4685" si="962">HYPERLINK("https://www.linkedin.com/ad-library/detail/1088781354","Open Ad")</f>
        <v>Open Ad</v>
      </c>
      <c r="E4684" s="6" t="s">
        <v>91</v>
      </c>
      <c r="F4684" s="6" t="s">
        <v>8022</v>
      </c>
      <c r="G4684" s="6" t="s">
        <v>8367</v>
      </c>
      <c r="H4684" s="6" t="s">
        <v>55</v>
      </c>
      <c r="I4684" s="6" t="s">
        <v>8273</v>
      </c>
      <c r="J4684" s="6" t="s">
        <v>91</v>
      </c>
      <c r="K4684" s="12" t="str">
        <f t="shared" ref="K4684:K4685" si="963">HYPERLINK("https://media.licdn.com/dms/image/v2/D4D22AQHpDPyTImhx5w/feedshare-image-high-res/B4DZuxvQ.lHQAc-/0/1768213516550?e=2147483647&amp;v=beta&amp;t=08LI2gqWCc-E04kZnL7TgSR6HLqTvOyKiWV5PpKQrhI","View Creative")</f>
        <v>View Creative</v>
      </c>
      <c r="L4684" s="6" t="s">
        <v>62</v>
      </c>
      <c r="M4684" s="6" t="s">
        <v>8270</v>
      </c>
      <c r="N4684" s="6" t="s">
        <v>8368</v>
      </c>
      <c r="O4684" s="36" t="s">
        <v>7541</v>
      </c>
      <c r="P4684" s="36" t="s">
        <v>7542</v>
      </c>
      <c r="Q4684" s="38"/>
    </row>
    <row r="4685">
      <c r="A4685" s="6" t="s">
        <v>8270</v>
      </c>
      <c r="B4685" s="6" t="s">
        <v>8271</v>
      </c>
      <c r="C4685" s="6">
        <v>634.0</v>
      </c>
      <c r="D4685" s="9" t="str">
        <f t="shared" si="962"/>
        <v>Open Ad</v>
      </c>
      <c r="E4685" s="6" t="s">
        <v>91</v>
      </c>
      <c r="F4685" s="6" t="s">
        <v>8022</v>
      </c>
      <c r="G4685" s="6" t="s">
        <v>8367</v>
      </c>
      <c r="H4685" s="6" t="s">
        <v>55</v>
      </c>
      <c r="I4685" s="6" t="s">
        <v>8273</v>
      </c>
      <c r="J4685" s="6" t="s">
        <v>91</v>
      </c>
      <c r="K4685" s="12" t="str">
        <f t="shared" si="963"/>
        <v>View Creative</v>
      </c>
      <c r="L4685" s="6" t="s">
        <v>62</v>
      </c>
      <c r="M4685" s="6" t="s">
        <v>8270</v>
      </c>
      <c r="N4685" s="6" t="s">
        <v>8368</v>
      </c>
      <c r="O4685" s="36" t="s">
        <v>7541</v>
      </c>
      <c r="P4685" s="36" t="s">
        <v>7542</v>
      </c>
      <c r="Q4685" s="38"/>
    </row>
    <row r="4686">
      <c r="A4686" s="6" t="s">
        <v>8270</v>
      </c>
      <c r="B4686" s="6" t="s">
        <v>8271</v>
      </c>
      <c r="C4686" s="6">
        <v>635.0</v>
      </c>
      <c r="D4686" s="9" t="str">
        <f t="shared" ref="D4686:D4687" si="964">HYPERLINK("https://www.linkedin.com/ad-library/detail/934564114","Open Ad")</f>
        <v>Open Ad</v>
      </c>
      <c r="E4686" s="6" t="s">
        <v>91</v>
      </c>
      <c r="F4686" s="6" t="s">
        <v>8022</v>
      </c>
      <c r="G4686" s="6" t="s">
        <v>8366</v>
      </c>
      <c r="H4686" s="6" t="s">
        <v>55</v>
      </c>
      <c r="I4686" s="6" t="s">
        <v>8273</v>
      </c>
      <c r="J4686" s="6" t="s">
        <v>91</v>
      </c>
      <c r="K4686" s="12" t="str">
        <f t="shared" ref="K4686:K4687" si="965">HYPERLINK("https://media.licdn.com/dms/image/v2/D4E22AQG9mF5Fqgeeeg/feedshare-image-high-res/B4EZkPSmAcGUAo-/0/1756898157313?e=2147483647&amp;v=beta&amp;t=3_anBtahvCH0XCV-BckKHP05z2OpS8-hbvIDKpb4zBY","View Creative")</f>
        <v>View Creative</v>
      </c>
      <c r="L4686" s="6" t="s">
        <v>62</v>
      </c>
      <c r="M4686" s="6" t="s">
        <v>8270</v>
      </c>
      <c r="N4686" s="6"/>
      <c r="O4686" s="36" t="s">
        <v>7541</v>
      </c>
      <c r="P4686" s="36" t="s">
        <v>7542</v>
      </c>
      <c r="Q4686" s="38"/>
    </row>
    <row r="4687">
      <c r="A4687" s="6" t="s">
        <v>8270</v>
      </c>
      <c r="B4687" s="6" t="s">
        <v>8271</v>
      </c>
      <c r="C4687" s="6">
        <v>636.0</v>
      </c>
      <c r="D4687" s="9" t="str">
        <f t="shared" si="964"/>
        <v>Open Ad</v>
      </c>
      <c r="E4687" s="6" t="s">
        <v>91</v>
      </c>
      <c r="F4687" s="6" t="s">
        <v>8022</v>
      </c>
      <c r="G4687" s="6" t="s">
        <v>8366</v>
      </c>
      <c r="H4687" s="6" t="s">
        <v>55</v>
      </c>
      <c r="I4687" s="6" t="s">
        <v>8273</v>
      </c>
      <c r="J4687" s="6" t="s">
        <v>91</v>
      </c>
      <c r="K4687" s="12" t="str">
        <f t="shared" si="965"/>
        <v>View Creative</v>
      </c>
      <c r="L4687" s="6" t="s">
        <v>62</v>
      </c>
      <c r="M4687" s="6" t="s">
        <v>8270</v>
      </c>
      <c r="N4687" s="6"/>
      <c r="O4687" s="36" t="s">
        <v>7541</v>
      </c>
      <c r="P4687" s="36" t="s">
        <v>7542</v>
      </c>
      <c r="Q4687" s="38"/>
    </row>
    <row r="4688">
      <c r="A4688" s="6" t="s">
        <v>8270</v>
      </c>
      <c r="B4688" s="6" t="s">
        <v>8271</v>
      </c>
      <c r="C4688" s="6">
        <v>637.0</v>
      </c>
      <c r="D4688" s="9" t="str">
        <f>HYPERLINK("https://www.linkedin.com/ad-library/detail/934546614","Open Ad")</f>
        <v>Open Ad</v>
      </c>
      <c r="E4688" s="6" t="s">
        <v>52</v>
      </c>
      <c r="F4688" s="6" t="s">
        <v>8022</v>
      </c>
      <c r="G4688" s="6" t="s">
        <v>8369</v>
      </c>
      <c r="H4688" s="6" t="s">
        <v>55</v>
      </c>
      <c r="I4688" s="6" t="s">
        <v>8273</v>
      </c>
      <c r="J4688" s="6" t="s">
        <v>52</v>
      </c>
      <c r="K4688" s="6" t="s">
        <v>60</v>
      </c>
      <c r="L4688" s="6" t="s">
        <v>62</v>
      </c>
      <c r="M4688" s="6" t="s">
        <v>8270</v>
      </c>
      <c r="N4688" s="6"/>
      <c r="O4688" s="36" t="s">
        <v>7541</v>
      </c>
      <c r="P4688" s="36" t="s">
        <v>7542</v>
      </c>
      <c r="Q4688" s="38"/>
    </row>
    <row r="4689">
      <c r="A4689" s="6" t="s">
        <v>8270</v>
      </c>
      <c r="B4689" s="6" t="s">
        <v>8271</v>
      </c>
      <c r="C4689" s="6">
        <v>638.0</v>
      </c>
      <c r="D4689" s="9" t="str">
        <f t="shared" ref="D4689:D4690" si="966">HYPERLINK("https://www.linkedin.com/ad-library/detail/919466484","Open Ad")</f>
        <v>Open Ad</v>
      </c>
      <c r="E4689" s="6" t="s">
        <v>91</v>
      </c>
      <c r="F4689" s="6" t="s">
        <v>8022</v>
      </c>
      <c r="G4689" s="6" t="s">
        <v>8370</v>
      </c>
      <c r="H4689" s="6" t="s">
        <v>55</v>
      </c>
      <c r="I4689" s="6" t="s">
        <v>8273</v>
      </c>
      <c r="J4689" s="6" t="s">
        <v>91</v>
      </c>
      <c r="K4689" s="12" t="str">
        <f t="shared" ref="K4689:K4690" si="967">HYPERLINK("https://media.licdn.com/dms/image/v2/D4E10AQEw9fOofiMzpw/image-shrink_1280/B4EZqnXh9vGUAM-/0/1763744556203/peec_linkedin_ad-light_041jpg?e=2147483647&amp;v=beta&amp;t=FM8FwBrjUJXoRjCdPCBeRSG8-UKtbE5E0N8xjjWPqzs","View Creative")</f>
        <v>View Creative</v>
      </c>
      <c r="L4689" s="6" t="s">
        <v>62</v>
      </c>
      <c r="M4689" s="6" t="s">
        <v>8270</v>
      </c>
      <c r="N4689" s="6" t="s">
        <v>8371</v>
      </c>
      <c r="O4689" s="36" t="s">
        <v>7541</v>
      </c>
      <c r="P4689" s="36" t="s">
        <v>7542</v>
      </c>
      <c r="Q4689" s="38"/>
    </row>
    <row r="4690">
      <c r="A4690" s="6" t="s">
        <v>8270</v>
      </c>
      <c r="B4690" s="6" t="s">
        <v>8271</v>
      </c>
      <c r="C4690" s="6">
        <v>639.0</v>
      </c>
      <c r="D4690" s="9" t="str">
        <f t="shared" si="966"/>
        <v>Open Ad</v>
      </c>
      <c r="E4690" s="6" t="s">
        <v>91</v>
      </c>
      <c r="F4690" s="6" t="s">
        <v>8022</v>
      </c>
      <c r="G4690" s="6" t="s">
        <v>8370</v>
      </c>
      <c r="H4690" s="6" t="s">
        <v>55</v>
      </c>
      <c r="I4690" s="6" t="s">
        <v>8273</v>
      </c>
      <c r="J4690" s="6" t="s">
        <v>91</v>
      </c>
      <c r="K4690" s="12" t="str">
        <f t="shared" si="967"/>
        <v>View Creative</v>
      </c>
      <c r="L4690" s="6" t="s">
        <v>62</v>
      </c>
      <c r="M4690" s="6" t="s">
        <v>8270</v>
      </c>
      <c r="N4690" s="6" t="s">
        <v>8371</v>
      </c>
      <c r="O4690" s="36" t="s">
        <v>7541</v>
      </c>
      <c r="P4690" s="36" t="s">
        <v>7542</v>
      </c>
      <c r="Q4690" s="38"/>
    </row>
    <row r="4691">
      <c r="A4691" s="6" t="s">
        <v>8270</v>
      </c>
      <c r="B4691" s="6" t="s">
        <v>8271</v>
      </c>
      <c r="C4691" s="6">
        <v>640.0</v>
      </c>
      <c r="D4691" s="9" t="str">
        <f>HYPERLINK("https://www.linkedin.com/ad-library/detail/934408174","Open Ad")</f>
        <v>Open Ad</v>
      </c>
      <c r="E4691" s="6" t="s">
        <v>52</v>
      </c>
      <c r="F4691" s="6" t="s">
        <v>8022</v>
      </c>
      <c r="G4691" s="6" t="s">
        <v>8369</v>
      </c>
      <c r="H4691" s="6" t="s">
        <v>55</v>
      </c>
      <c r="I4691" s="6" t="s">
        <v>8273</v>
      </c>
      <c r="J4691" s="6" t="s">
        <v>52</v>
      </c>
      <c r="K4691" s="6" t="s">
        <v>60</v>
      </c>
      <c r="L4691" s="6" t="s">
        <v>62</v>
      </c>
      <c r="M4691" s="6" t="s">
        <v>8270</v>
      </c>
      <c r="N4691" s="6"/>
      <c r="O4691" s="36" t="s">
        <v>7541</v>
      </c>
      <c r="P4691" s="36" t="s">
        <v>7542</v>
      </c>
      <c r="Q4691" s="38"/>
    </row>
    <row r="4692">
      <c r="A4692" s="6" t="s">
        <v>8270</v>
      </c>
      <c r="B4692" s="6" t="s">
        <v>8271</v>
      </c>
      <c r="C4692" s="6">
        <v>641.0</v>
      </c>
      <c r="D4692" s="9" t="str">
        <f t="shared" ref="D4692:D4693" si="968">HYPERLINK("https://www.linkedin.com/ad-library/detail/919506544","Open Ad")</f>
        <v>Open Ad</v>
      </c>
      <c r="E4692" s="6" t="s">
        <v>91</v>
      </c>
      <c r="F4692" s="6" t="s">
        <v>8022</v>
      </c>
      <c r="G4692" s="6" t="s">
        <v>8372</v>
      </c>
      <c r="H4692" s="6" t="s">
        <v>55</v>
      </c>
      <c r="I4692" s="6" t="s">
        <v>8273</v>
      </c>
      <c r="J4692" s="6" t="s">
        <v>91</v>
      </c>
      <c r="K4692" s="12" t="str">
        <f t="shared" ref="K4692:K4693" si="969">HYPERLINK("https://media.licdn.com/dms/image/v2/D4E10AQEw9fOofiMzpw/image-shrink_1280/B4EZqnXh9vGUAM-/0/1763744556203/peec_linkedin_ad-light_041jpg?e=2147483647&amp;v=beta&amp;t=FM8FwBrjUJXoRjCdPCBeRSG8-UKtbE5E0N8xjjWPqzs","View Creative")</f>
        <v>View Creative</v>
      </c>
      <c r="L4692" s="6" t="s">
        <v>62</v>
      </c>
      <c r="M4692" s="6" t="s">
        <v>8270</v>
      </c>
      <c r="N4692" s="6" t="s">
        <v>8371</v>
      </c>
      <c r="O4692" s="36" t="s">
        <v>7541</v>
      </c>
      <c r="P4692" s="36" t="s">
        <v>7542</v>
      </c>
      <c r="Q4692" s="38"/>
    </row>
    <row r="4693">
      <c r="A4693" s="6" t="s">
        <v>8270</v>
      </c>
      <c r="B4693" s="6" t="s">
        <v>8271</v>
      </c>
      <c r="C4693" s="6">
        <v>642.0</v>
      </c>
      <c r="D4693" s="9" t="str">
        <f t="shared" si="968"/>
        <v>Open Ad</v>
      </c>
      <c r="E4693" s="6" t="s">
        <v>91</v>
      </c>
      <c r="F4693" s="6" t="s">
        <v>8022</v>
      </c>
      <c r="G4693" s="6" t="s">
        <v>8372</v>
      </c>
      <c r="H4693" s="6" t="s">
        <v>55</v>
      </c>
      <c r="I4693" s="6" t="s">
        <v>8273</v>
      </c>
      <c r="J4693" s="6" t="s">
        <v>91</v>
      </c>
      <c r="K4693" s="12" t="str">
        <f t="shared" si="969"/>
        <v>View Creative</v>
      </c>
      <c r="L4693" s="6" t="s">
        <v>62</v>
      </c>
      <c r="M4693" s="6" t="s">
        <v>8270</v>
      </c>
      <c r="N4693" s="6" t="s">
        <v>8371</v>
      </c>
      <c r="O4693" s="36" t="s">
        <v>7541</v>
      </c>
      <c r="P4693" s="36" t="s">
        <v>7542</v>
      </c>
      <c r="Q4693" s="38"/>
    </row>
    <row r="4694">
      <c r="A4694" s="6" t="s">
        <v>8270</v>
      </c>
      <c r="B4694" s="6" t="s">
        <v>8271</v>
      </c>
      <c r="C4694" s="6">
        <v>643.0</v>
      </c>
      <c r="D4694" s="9" t="str">
        <f t="shared" ref="D4694:D4695" si="970">HYPERLINK("https://www.linkedin.com/ad-library/detail/916891794","Open Ad")</f>
        <v>Open Ad</v>
      </c>
      <c r="E4694" s="6" t="s">
        <v>91</v>
      </c>
      <c r="F4694" s="6" t="s">
        <v>8022</v>
      </c>
      <c r="G4694" s="6" t="s">
        <v>8373</v>
      </c>
      <c r="H4694" s="6" t="s">
        <v>55</v>
      </c>
      <c r="I4694" s="6" t="s">
        <v>8273</v>
      </c>
      <c r="J4694" s="6" t="s">
        <v>91</v>
      </c>
      <c r="K4694" s="12" t="str">
        <f t="shared" ref="K4694:K4695" si="971">HYPERLINK("https://media.licdn.com/dms/image/v2/D4E10AQF45XRPTXtW5A/image-shrink_1280/B4EZqXhpz1GcAM-/0/1763478773949/3Darkjpg?e=2147483647&amp;v=beta&amp;t=4YvB4IIPTWmlveIYFlgySSG_pCTzhVNDBwJvzRQ8cLk","View Creative")</f>
        <v>View Creative</v>
      </c>
      <c r="L4694" s="6" t="s">
        <v>62</v>
      </c>
      <c r="M4694" s="6" t="s">
        <v>8270</v>
      </c>
      <c r="N4694" s="6"/>
      <c r="O4694" s="36" t="s">
        <v>7541</v>
      </c>
      <c r="P4694" s="36" t="s">
        <v>7542</v>
      </c>
      <c r="Q4694" s="38"/>
    </row>
    <row r="4695">
      <c r="A4695" s="6" t="s">
        <v>8270</v>
      </c>
      <c r="B4695" s="6" t="s">
        <v>8271</v>
      </c>
      <c r="C4695" s="6">
        <v>644.0</v>
      </c>
      <c r="D4695" s="9" t="str">
        <f t="shared" si="970"/>
        <v>Open Ad</v>
      </c>
      <c r="E4695" s="6" t="s">
        <v>91</v>
      </c>
      <c r="F4695" s="6" t="s">
        <v>8022</v>
      </c>
      <c r="G4695" s="6" t="s">
        <v>8373</v>
      </c>
      <c r="H4695" s="6" t="s">
        <v>55</v>
      </c>
      <c r="I4695" s="6" t="s">
        <v>8273</v>
      </c>
      <c r="J4695" s="6" t="s">
        <v>91</v>
      </c>
      <c r="K4695" s="12" t="str">
        <f t="shared" si="971"/>
        <v>View Creative</v>
      </c>
      <c r="L4695" s="6" t="s">
        <v>62</v>
      </c>
      <c r="M4695" s="6" t="s">
        <v>8270</v>
      </c>
      <c r="N4695" s="6"/>
      <c r="O4695" s="36" t="s">
        <v>7541</v>
      </c>
      <c r="P4695" s="36" t="s">
        <v>7542</v>
      </c>
      <c r="Q4695" s="38"/>
    </row>
    <row r="4696">
      <c r="A4696" s="6" t="s">
        <v>8270</v>
      </c>
      <c r="B4696" s="6" t="s">
        <v>8271</v>
      </c>
      <c r="C4696" s="6">
        <v>645.0</v>
      </c>
      <c r="D4696" s="9" t="str">
        <f t="shared" ref="D4696:D4697" si="972">HYPERLINK("https://www.linkedin.com/ad-library/detail/916715734","Open Ad")</f>
        <v>Open Ad</v>
      </c>
      <c r="E4696" s="6" t="s">
        <v>91</v>
      </c>
      <c r="F4696" s="6" t="s">
        <v>8022</v>
      </c>
      <c r="G4696" s="6" t="s">
        <v>8374</v>
      </c>
      <c r="H4696" s="6" t="s">
        <v>55</v>
      </c>
      <c r="I4696" s="6" t="s">
        <v>8273</v>
      </c>
      <c r="J4696" s="6" t="s">
        <v>91</v>
      </c>
      <c r="K4696" s="12" t="str">
        <f t="shared" ref="K4696:K4697" si="973">HYPERLINK("https://media.licdn.com/dms/image/v2/D4E10AQGrXINj2qMDXg/image-shrink_1280/B4EZqYq0HuKgAQ-/0/1763497952309/PeecAi-SeriesAannouncementImagepng?e=2147483647&amp;v=beta&amp;t=ZsfwRxs4S3xd7EWjZeymgk4kcg8ijKT3udTQCjD1K8o","View Creative")</f>
        <v>View Creative</v>
      </c>
      <c r="L4696" s="6" t="s">
        <v>62</v>
      </c>
      <c r="M4696" s="6" t="s">
        <v>8270</v>
      </c>
      <c r="N4696" s="6" t="s">
        <v>8375</v>
      </c>
      <c r="O4696" s="36" t="s">
        <v>7541</v>
      </c>
      <c r="P4696" s="36" t="s">
        <v>7542</v>
      </c>
      <c r="Q4696" s="38"/>
    </row>
    <row r="4697">
      <c r="A4697" s="6" t="s">
        <v>8270</v>
      </c>
      <c r="B4697" s="6" t="s">
        <v>8271</v>
      </c>
      <c r="C4697" s="6">
        <v>646.0</v>
      </c>
      <c r="D4697" s="9" t="str">
        <f t="shared" si="972"/>
        <v>Open Ad</v>
      </c>
      <c r="E4697" s="6" t="s">
        <v>91</v>
      </c>
      <c r="F4697" s="6" t="s">
        <v>8022</v>
      </c>
      <c r="G4697" s="6" t="s">
        <v>8374</v>
      </c>
      <c r="H4697" s="6" t="s">
        <v>55</v>
      </c>
      <c r="I4697" s="6" t="s">
        <v>8273</v>
      </c>
      <c r="J4697" s="6" t="s">
        <v>91</v>
      </c>
      <c r="K4697" s="12" t="str">
        <f t="shared" si="973"/>
        <v>View Creative</v>
      </c>
      <c r="L4697" s="6" t="s">
        <v>62</v>
      </c>
      <c r="M4697" s="6" t="s">
        <v>8270</v>
      </c>
      <c r="N4697" s="6" t="s">
        <v>8375</v>
      </c>
      <c r="O4697" s="36" t="s">
        <v>7541</v>
      </c>
      <c r="P4697" s="36" t="s">
        <v>7542</v>
      </c>
      <c r="Q4697" s="38"/>
    </row>
    <row r="4698">
      <c r="A4698" s="6" t="s">
        <v>8270</v>
      </c>
      <c r="B4698" s="6" t="s">
        <v>8271</v>
      </c>
      <c r="C4698" s="6">
        <v>647.0</v>
      </c>
      <c r="D4698" s="9" t="str">
        <f t="shared" ref="D4698:D4699" si="974">HYPERLINK("https://www.linkedin.com/ad-library/detail/916931634","Open Ad")</f>
        <v>Open Ad</v>
      </c>
      <c r="E4698" s="6" t="s">
        <v>91</v>
      </c>
      <c r="F4698" s="6" t="s">
        <v>8022</v>
      </c>
      <c r="G4698" s="6" t="s">
        <v>8363</v>
      </c>
      <c r="H4698" s="6" t="s">
        <v>55</v>
      </c>
      <c r="I4698" s="6" t="s">
        <v>8273</v>
      </c>
      <c r="J4698" s="6" t="s">
        <v>91</v>
      </c>
      <c r="K4698" s="12" t="str">
        <f t="shared" ref="K4698:K4699" si="975">HYPERLINK("https://media.licdn.com/dms/image/v2/D4E10AQExlvzvwZR9Cw/image-shrink_1280/B4EZqXjO3_JgAQ-/0/1763479187977/3Dark-2jpg?e=2147483647&amp;v=beta&amp;t=hIw8-9_xZmTLDeJdkluPd0WO2TRrUEIgeIYzXYtAh1g","View Creative")</f>
        <v>View Creative</v>
      </c>
      <c r="L4698" s="6" t="s">
        <v>62</v>
      </c>
      <c r="M4698" s="6" t="s">
        <v>8270</v>
      </c>
      <c r="N4698" s="6"/>
      <c r="O4698" s="36" t="s">
        <v>7541</v>
      </c>
      <c r="P4698" s="36" t="s">
        <v>7542</v>
      </c>
      <c r="Q4698" s="38"/>
    </row>
    <row r="4699">
      <c r="A4699" s="6" t="s">
        <v>8270</v>
      </c>
      <c r="B4699" s="6" t="s">
        <v>8271</v>
      </c>
      <c r="C4699" s="6">
        <v>648.0</v>
      </c>
      <c r="D4699" s="9" t="str">
        <f t="shared" si="974"/>
        <v>Open Ad</v>
      </c>
      <c r="E4699" s="6" t="s">
        <v>91</v>
      </c>
      <c r="F4699" s="6" t="s">
        <v>8022</v>
      </c>
      <c r="G4699" s="6" t="s">
        <v>8363</v>
      </c>
      <c r="H4699" s="6" t="s">
        <v>55</v>
      </c>
      <c r="I4699" s="6" t="s">
        <v>8273</v>
      </c>
      <c r="J4699" s="6" t="s">
        <v>91</v>
      </c>
      <c r="K4699" s="12" t="str">
        <f t="shared" si="975"/>
        <v>View Creative</v>
      </c>
      <c r="L4699" s="6" t="s">
        <v>62</v>
      </c>
      <c r="M4699" s="6" t="s">
        <v>8270</v>
      </c>
      <c r="N4699" s="6"/>
      <c r="O4699" s="36" t="s">
        <v>7541</v>
      </c>
      <c r="P4699" s="36" t="s">
        <v>7542</v>
      </c>
      <c r="Q4699" s="38"/>
    </row>
    <row r="4700">
      <c r="A4700" s="6" t="s">
        <v>8270</v>
      </c>
      <c r="B4700" s="6" t="s">
        <v>8271</v>
      </c>
      <c r="C4700" s="6">
        <v>649.0</v>
      </c>
      <c r="D4700" s="9" t="str">
        <f t="shared" ref="D4700:D4701" si="976">HYPERLINK("https://www.linkedin.com/ad-library/detail/1073685504","Open Ad")</f>
        <v>Open Ad</v>
      </c>
      <c r="E4700" s="6" t="s">
        <v>91</v>
      </c>
      <c r="F4700" s="6" t="s">
        <v>8022</v>
      </c>
      <c r="G4700" s="6" t="s">
        <v>8376</v>
      </c>
      <c r="H4700" s="6" t="s">
        <v>55</v>
      </c>
      <c r="I4700" s="6" t="s">
        <v>8273</v>
      </c>
      <c r="J4700" s="6" t="s">
        <v>91</v>
      </c>
      <c r="K4700" s="12" t="str">
        <f t="shared" ref="K4700:K4701" si="977">HYPERLINK("https://media.licdn.com/dms/image/v2/D5622AQFddpd4x2_Jpg/feedshare-shrink_1280/B56ZsmyOEoGkAs-/0/1765882260799?e=2147483647&amp;v=beta&amp;t=RolOQysPK_S2sP0JmQyfTzpkeOWizlelBK4-xs8MEX4","View Creative")</f>
        <v>View Creative</v>
      </c>
      <c r="L4700" s="6" t="s">
        <v>62</v>
      </c>
      <c r="M4700" s="6" t="s">
        <v>8270</v>
      </c>
      <c r="N4700" s="6" t="s">
        <v>8377</v>
      </c>
      <c r="O4700" s="36" t="s">
        <v>7541</v>
      </c>
      <c r="P4700" s="36" t="s">
        <v>7542</v>
      </c>
      <c r="Q4700" s="38"/>
    </row>
    <row r="4701">
      <c r="A4701" s="6" t="s">
        <v>8270</v>
      </c>
      <c r="B4701" s="6" t="s">
        <v>8271</v>
      </c>
      <c r="C4701" s="6">
        <v>650.0</v>
      </c>
      <c r="D4701" s="9" t="str">
        <f t="shared" si="976"/>
        <v>Open Ad</v>
      </c>
      <c r="E4701" s="6" t="s">
        <v>91</v>
      </c>
      <c r="F4701" s="6" t="s">
        <v>8022</v>
      </c>
      <c r="G4701" s="6" t="s">
        <v>8376</v>
      </c>
      <c r="H4701" s="6" t="s">
        <v>55</v>
      </c>
      <c r="I4701" s="6" t="s">
        <v>8273</v>
      </c>
      <c r="J4701" s="6" t="s">
        <v>91</v>
      </c>
      <c r="K4701" s="12" t="str">
        <f t="shared" si="977"/>
        <v>View Creative</v>
      </c>
      <c r="L4701" s="6" t="s">
        <v>62</v>
      </c>
      <c r="M4701" s="6" t="s">
        <v>8270</v>
      </c>
      <c r="N4701" s="6" t="s">
        <v>8377</v>
      </c>
      <c r="O4701" s="36" t="s">
        <v>7541</v>
      </c>
      <c r="P4701" s="36" t="s">
        <v>7542</v>
      </c>
      <c r="Q4701" s="38"/>
    </row>
    <row r="4702">
      <c r="A4702" s="6" t="s">
        <v>8270</v>
      </c>
      <c r="B4702" s="6" t="s">
        <v>8271</v>
      </c>
      <c r="C4702" s="6">
        <v>651.0</v>
      </c>
      <c r="D4702" s="9" t="str">
        <f t="shared" ref="D4702:D4703" si="978">HYPERLINK("https://www.linkedin.com/ad-library/detail/1070509574","Open Ad")</f>
        <v>Open Ad</v>
      </c>
      <c r="E4702" s="6" t="s">
        <v>91</v>
      </c>
      <c r="F4702" s="6" t="s">
        <v>8022</v>
      </c>
      <c r="G4702" s="6" t="s">
        <v>8378</v>
      </c>
      <c r="H4702" s="6" t="s">
        <v>55</v>
      </c>
      <c r="I4702" s="6" t="s">
        <v>8273</v>
      </c>
      <c r="J4702" s="6" t="s">
        <v>91</v>
      </c>
      <c r="K4702" s="12" t="str">
        <f t="shared" ref="K4702:K4703" si="979">HYPERLINK("https://media.licdn.com/dms/image/v2/D4D22AQEn2UAOtZRA3w/feedshare-image-high-res/B4DZsM9Gm7LYAs-/0/1765448907178?e=2147483647&amp;v=beta&amp;t=ZFtKTZNnOVmamF6ajxMGtTgwPxTDR7LD0taJoi_0ZSU","View Creative")</f>
        <v>View Creative</v>
      </c>
      <c r="L4702" s="6" t="s">
        <v>62</v>
      </c>
      <c r="M4702" s="6" t="s">
        <v>8270</v>
      </c>
      <c r="N4702" s="6" t="s">
        <v>8379</v>
      </c>
      <c r="O4702" s="36" t="s">
        <v>7541</v>
      </c>
      <c r="P4702" s="36" t="s">
        <v>7542</v>
      </c>
      <c r="Q4702" s="38"/>
    </row>
    <row r="4703">
      <c r="A4703" s="6" t="s">
        <v>8270</v>
      </c>
      <c r="B4703" s="6" t="s">
        <v>8271</v>
      </c>
      <c r="C4703" s="6">
        <v>652.0</v>
      </c>
      <c r="D4703" s="9" t="str">
        <f t="shared" si="978"/>
        <v>Open Ad</v>
      </c>
      <c r="E4703" s="6" t="s">
        <v>91</v>
      </c>
      <c r="F4703" s="6" t="s">
        <v>8022</v>
      </c>
      <c r="G4703" s="6" t="s">
        <v>8378</v>
      </c>
      <c r="H4703" s="6" t="s">
        <v>55</v>
      </c>
      <c r="I4703" s="6" t="s">
        <v>8273</v>
      </c>
      <c r="J4703" s="6" t="s">
        <v>91</v>
      </c>
      <c r="K4703" s="12" t="str">
        <f t="shared" si="979"/>
        <v>View Creative</v>
      </c>
      <c r="L4703" s="6" t="s">
        <v>62</v>
      </c>
      <c r="M4703" s="6" t="s">
        <v>8270</v>
      </c>
      <c r="N4703" s="6" t="s">
        <v>8379</v>
      </c>
      <c r="O4703" s="36" t="s">
        <v>7541</v>
      </c>
      <c r="P4703" s="36" t="s">
        <v>7542</v>
      </c>
      <c r="Q4703" s="38"/>
    </row>
    <row r="4704">
      <c r="A4704" s="6" t="s">
        <v>8270</v>
      </c>
      <c r="B4704" s="6" t="s">
        <v>8271</v>
      </c>
      <c r="C4704" s="6">
        <v>653.0</v>
      </c>
      <c r="D4704" s="9" t="str">
        <f t="shared" ref="D4704:D4705" si="980">HYPERLINK("https://www.linkedin.com/ad-library/detail/916815004","Open Ad")</f>
        <v>Open Ad</v>
      </c>
      <c r="E4704" s="6" t="s">
        <v>91</v>
      </c>
      <c r="F4704" s="6" t="s">
        <v>8022</v>
      </c>
      <c r="G4704" s="6" t="s">
        <v>8364</v>
      </c>
      <c r="H4704" s="6" t="s">
        <v>55</v>
      </c>
      <c r="I4704" s="6" t="s">
        <v>8273</v>
      </c>
      <c r="J4704" s="6" t="s">
        <v>91</v>
      </c>
      <c r="K4704" s="12" t="str">
        <f t="shared" ref="K4704:K4705" si="981">HYPERLINK("https://media.licdn.com/dms/image/v2/D4E10AQGrXINj2qMDXg/image-shrink_1280/B4EZqYq0HuKgAQ-/0/1763497952309/PeecAi-SeriesAannouncementImagepng?e=2147483647&amp;v=beta&amp;t=ZsfwRxs4S3xd7EWjZeymgk4kcg8ijKT3udTQCjD1K8o","View Creative")</f>
        <v>View Creative</v>
      </c>
      <c r="L4704" s="6" t="s">
        <v>62</v>
      </c>
      <c r="M4704" s="6" t="s">
        <v>8270</v>
      </c>
      <c r="N4704" s="6" t="s">
        <v>8365</v>
      </c>
      <c r="O4704" s="36" t="s">
        <v>7541</v>
      </c>
      <c r="P4704" s="36" t="s">
        <v>7542</v>
      </c>
      <c r="Q4704" s="38"/>
    </row>
    <row r="4705">
      <c r="A4705" s="6" t="s">
        <v>8270</v>
      </c>
      <c r="B4705" s="6" t="s">
        <v>8271</v>
      </c>
      <c r="C4705" s="6">
        <v>654.0</v>
      </c>
      <c r="D4705" s="9" t="str">
        <f t="shared" si="980"/>
        <v>Open Ad</v>
      </c>
      <c r="E4705" s="6" t="s">
        <v>91</v>
      </c>
      <c r="F4705" s="6" t="s">
        <v>8022</v>
      </c>
      <c r="G4705" s="6" t="s">
        <v>8364</v>
      </c>
      <c r="H4705" s="6" t="s">
        <v>55</v>
      </c>
      <c r="I4705" s="6" t="s">
        <v>8273</v>
      </c>
      <c r="J4705" s="6" t="s">
        <v>91</v>
      </c>
      <c r="K4705" s="12" t="str">
        <f t="shared" si="981"/>
        <v>View Creative</v>
      </c>
      <c r="L4705" s="6" t="s">
        <v>62</v>
      </c>
      <c r="M4705" s="6" t="s">
        <v>8270</v>
      </c>
      <c r="N4705" s="6" t="s">
        <v>8365</v>
      </c>
      <c r="O4705" s="36" t="s">
        <v>7541</v>
      </c>
      <c r="P4705" s="36" t="s">
        <v>7542</v>
      </c>
      <c r="Q4705" s="38"/>
    </row>
    <row r="4706">
      <c r="A4706" s="6" t="s">
        <v>8270</v>
      </c>
      <c r="B4706" s="6" t="s">
        <v>8271</v>
      </c>
      <c r="C4706" s="6">
        <v>655.0</v>
      </c>
      <c r="D4706" s="9" t="str">
        <f t="shared" ref="D4706:D4707" si="982">HYPERLINK("https://www.linkedin.com/ad-library/detail/1123284304","Open Ad")</f>
        <v>Open Ad</v>
      </c>
      <c r="E4706" s="6" t="s">
        <v>91</v>
      </c>
      <c r="F4706" s="6" t="s">
        <v>8022</v>
      </c>
      <c r="G4706" s="6" t="s">
        <v>8355</v>
      </c>
      <c r="H4706" s="6" t="s">
        <v>55</v>
      </c>
      <c r="I4706" s="6" t="s">
        <v>8273</v>
      </c>
      <c r="J4706" s="6" t="s">
        <v>91</v>
      </c>
      <c r="K4706" s="12" t="str">
        <f t="shared" ref="K4706:K4707" si="983">HYPERLINK("https://media.licdn.com/dms/image/v2/D4E10AQFhdvl49SWZJw/image-shrink_1280/B4EZvHOpTsIIAg-/0/1768574064237/Gettrafficpng?e=2147483647&amp;v=beta&amp;t=zW2iradgKhv3Rzcgm7lLXw6UqHtXcSuZb9dYJ_IsQw0","View Creative")</f>
        <v>View Creative</v>
      </c>
      <c r="L4706" s="6" t="s">
        <v>62</v>
      </c>
      <c r="M4706" s="6" t="s">
        <v>8270</v>
      </c>
      <c r="N4706" s="6" t="s">
        <v>8357</v>
      </c>
      <c r="O4706" s="36" t="s">
        <v>7541</v>
      </c>
      <c r="P4706" s="36" t="s">
        <v>7542</v>
      </c>
      <c r="Q4706" s="38"/>
    </row>
    <row r="4707">
      <c r="A4707" s="6" t="s">
        <v>8270</v>
      </c>
      <c r="B4707" s="6" t="s">
        <v>8271</v>
      </c>
      <c r="C4707" s="6">
        <v>656.0</v>
      </c>
      <c r="D4707" s="9" t="str">
        <f t="shared" si="982"/>
        <v>Open Ad</v>
      </c>
      <c r="E4707" s="6" t="s">
        <v>91</v>
      </c>
      <c r="F4707" s="6" t="s">
        <v>8022</v>
      </c>
      <c r="G4707" s="6" t="s">
        <v>8355</v>
      </c>
      <c r="H4707" s="6" t="s">
        <v>55</v>
      </c>
      <c r="I4707" s="6" t="s">
        <v>8273</v>
      </c>
      <c r="J4707" s="6" t="s">
        <v>91</v>
      </c>
      <c r="K4707" s="12" t="str">
        <f t="shared" si="983"/>
        <v>View Creative</v>
      </c>
      <c r="L4707" s="6" t="s">
        <v>62</v>
      </c>
      <c r="M4707" s="6" t="s">
        <v>8270</v>
      </c>
      <c r="N4707" s="6" t="s">
        <v>8357</v>
      </c>
      <c r="O4707" s="36" t="s">
        <v>7541</v>
      </c>
      <c r="P4707" s="36" t="s">
        <v>7542</v>
      </c>
      <c r="Q4707" s="38"/>
    </row>
    <row r="4708">
      <c r="A4708" s="6" t="s">
        <v>8270</v>
      </c>
      <c r="B4708" s="6" t="s">
        <v>8271</v>
      </c>
      <c r="C4708" s="6">
        <v>657.0</v>
      </c>
      <c r="D4708" s="9" t="str">
        <f t="shared" ref="D4708:D4709" si="984">HYPERLINK("https://www.linkedin.com/ad-library/detail/934197524","Open Ad")</f>
        <v>Open Ad</v>
      </c>
      <c r="E4708" s="6" t="s">
        <v>91</v>
      </c>
      <c r="F4708" s="6" t="s">
        <v>8022</v>
      </c>
      <c r="G4708" s="6" t="s">
        <v>8380</v>
      </c>
      <c r="H4708" s="6" t="s">
        <v>769</v>
      </c>
      <c r="I4708" s="6" t="s">
        <v>8273</v>
      </c>
      <c r="J4708" s="6" t="s">
        <v>91</v>
      </c>
      <c r="K4708" s="12" t="str">
        <f t="shared" ref="K4708:K4709" si="985">HYPERLINK("https://media.licdn.com/dms/image/v2/D4E22AQGgngbYnzzYdQ/feedshare-shrink_1280/B4EZlur.fdKUAs-/0/1758498647909?e=2147483647&amp;v=beta&amp;t=7UTsOYEzI3Pwc86ZWa9z-dZRqX-LnWK-uMKkoGxYMEw","View Creative")</f>
        <v>View Creative</v>
      </c>
      <c r="L4708" s="6" t="s">
        <v>62</v>
      </c>
      <c r="M4708" s="6" t="s">
        <v>8270</v>
      </c>
      <c r="N4708" s="6"/>
      <c r="O4708" s="36" t="s">
        <v>7541</v>
      </c>
      <c r="P4708" s="36" t="s">
        <v>7542</v>
      </c>
      <c r="Q4708" s="38"/>
    </row>
    <row r="4709">
      <c r="A4709" s="6" t="s">
        <v>8270</v>
      </c>
      <c r="B4709" s="6" t="s">
        <v>8271</v>
      </c>
      <c r="C4709" s="6">
        <v>658.0</v>
      </c>
      <c r="D4709" s="9" t="str">
        <f t="shared" si="984"/>
        <v>Open Ad</v>
      </c>
      <c r="E4709" s="6" t="s">
        <v>91</v>
      </c>
      <c r="F4709" s="6" t="s">
        <v>8022</v>
      </c>
      <c r="G4709" s="6" t="s">
        <v>8380</v>
      </c>
      <c r="H4709" s="6" t="s">
        <v>769</v>
      </c>
      <c r="I4709" s="6" t="s">
        <v>8273</v>
      </c>
      <c r="J4709" s="6" t="s">
        <v>91</v>
      </c>
      <c r="K4709" s="12" t="str">
        <f t="shared" si="985"/>
        <v>View Creative</v>
      </c>
      <c r="L4709" s="6" t="s">
        <v>62</v>
      </c>
      <c r="M4709" s="6" t="s">
        <v>8270</v>
      </c>
      <c r="N4709" s="6"/>
      <c r="O4709" s="36" t="s">
        <v>7541</v>
      </c>
      <c r="P4709" s="36" t="s">
        <v>7542</v>
      </c>
      <c r="Q4709" s="38"/>
    </row>
    <row r="4710">
      <c r="A4710" s="6" t="s">
        <v>8270</v>
      </c>
      <c r="B4710" s="6" t="s">
        <v>8271</v>
      </c>
      <c r="C4710" s="6">
        <v>659.0</v>
      </c>
      <c r="D4710" s="9" t="str">
        <f t="shared" ref="D4710:D4711" si="986">HYPERLINK("https://www.linkedin.com/ad-library/detail/916782384","Open Ad")</f>
        <v>Open Ad</v>
      </c>
      <c r="E4710" s="6" t="s">
        <v>91</v>
      </c>
      <c r="F4710" s="6" t="s">
        <v>8022</v>
      </c>
      <c r="G4710" s="6" t="s">
        <v>8373</v>
      </c>
      <c r="H4710" s="6" t="s">
        <v>55</v>
      </c>
      <c r="I4710" s="6" t="s">
        <v>8273</v>
      </c>
      <c r="J4710" s="6" t="s">
        <v>91</v>
      </c>
      <c r="K4710" s="12" t="str">
        <f t="shared" ref="K4710:K4711" si="987">HYPERLINK("https://media.licdn.com/dms/image/v2/D4E10AQGhh7LV9F74tQ/image-shrink_1280/B4EZqXkncJKkAM-/0/1763479550620/4Lightjpg?e=2147483647&amp;v=beta&amp;t=eoU5wfrx63QrhrkiifZxdA3k09DXN3GDOWhSCCpQXK8","View Creative")</f>
        <v>View Creative</v>
      </c>
      <c r="L4710" s="6" t="s">
        <v>62</v>
      </c>
      <c r="M4710" s="6" t="s">
        <v>8270</v>
      </c>
      <c r="N4710" s="6"/>
      <c r="O4710" s="36" t="s">
        <v>7541</v>
      </c>
      <c r="P4710" s="36" t="s">
        <v>7542</v>
      </c>
      <c r="Q4710" s="38"/>
    </row>
    <row r="4711">
      <c r="A4711" s="6" t="s">
        <v>8270</v>
      </c>
      <c r="B4711" s="6" t="s">
        <v>8271</v>
      </c>
      <c r="C4711" s="6">
        <v>660.0</v>
      </c>
      <c r="D4711" s="9" t="str">
        <f t="shared" si="986"/>
        <v>Open Ad</v>
      </c>
      <c r="E4711" s="6" t="s">
        <v>91</v>
      </c>
      <c r="F4711" s="6" t="s">
        <v>8022</v>
      </c>
      <c r="G4711" s="6" t="s">
        <v>8373</v>
      </c>
      <c r="H4711" s="6" t="s">
        <v>55</v>
      </c>
      <c r="I4711" s="6" t="s">
        <v>8273</v>
      </c>
      <c r="J4711" s="6" t="s">
        <v>91</v>
      </c>
      <c r="K4711" s="12" t="str">
        <f t="shared" si="987"/>
        <v>View Creative</v>
      </c>
      <c r="L4711" s="6" t="s">
        <v>62</v>
      </c>
      <c r="M4711" s="6" t="s">
        <v>8270</v>
      </c>
      <c r="N4711" s="6"/>
      <c r="O4711" s="36" t="s">
        <v>7541</v>
      </c>
      <c r="P4711" s="36" t="s">
        <v>7542</v>
      </c>
      <c r="Q4711" s="38"/>
    </row>
    <row r="4712">
      <c r="A4712" s="6" t="s">
        <v>8270</v>
      </c>
      <c r="B4712" s="6" t="s">
        <v>8271</v>
      </c>
      <c r="C4712" s="6">
        <v>661.0</v>
      </c>
      <c r="D4712" s="9" t="str">
        <f t="shared" ref="D4712:D4713" si="988">HYPERLINK("https://www.linkedin.com/ad-library/detail/916894384","Open Ad")</f>
        <v>Open Ad</v>
      </c>
      <c r="E4712" s="6" t="s">
        <v>91</v>
      </c>
      <c r="F4712" s="6" t="s">
        <v>8022</v>
      </c>
      <c r="G4712" s="6" t="s">
        <v>8364</v>
      </c>
      <c r="H4712" s="6" t="s">
        <v>55</v>
      </c>
      <c r="I4712" s="6" t="s">
        <v>8273</v>
      </c>
      <c r="J4712" s="6" t="s">
        <v>91</v>
      </c>
      <c r="K4712" s="12" t="str">
        <f t="shared" ref="K4712:K4713" si="989">HYPERLINK("https://media.licdn.com/dms/image/v2/D4E10AQGrXINj2qMDXg/image-shrink_1280/B4EZqYq0HuKgAQ-/0/1763497952309/PeecAi-SeriesAannouncementImagepng?e=2147483647&amp;v=beta&amp;t=ZsfwRxs4S3xd7EWjZeymgk4kcg8ijKT3udTQCjD1K8o","View Creative")</f>
        <v>View Creative</v>
      </c>
      <c r="L4712" s="6" t="s">
        <v>62</v>
      </c>
      <c r="M4712" s="6" t="s">
        <v>8270</v>
      </c>
      <c r="N4712" s="6" t="s">
        <v>8381</v>
      </c>
      <c r="O4712" s="36" t="s">
        <v>7541</v>
      </c>
      <c r="P4712" s="36" t="s">
        <v>7542</v>
      </c>
      <c r="Q4712" s="38"/>
    </row>
    <row r="4713">
      <c r="A4713" s="6" t="s">
        <v>8270</v>
      </c>
      <c r="B4713" s="6" t="s">
        <v>8271</v>
      </c>
      <c r="C4713" s="6">
        <v>662.0</v>
      </c>
      <c r="D4713" s="9" t="str">
        <f t="shared" si="988"/>
        <v>Open Ad</v>
      </c>
      <c r="E4713" s="6" t="s">
        <v>91</v>
      </c>
      <c r="F4713" s="6" t="s">
        <v>8022</v>
      </c>
      <c r="G4713" s="6" t="s">
        <v>8364</v>
      </c>
      <c r="H4713" s="6" t="s">
        <v>55</v>
      </c>
      <c r="I4713" s="6" t="s">
        <v>8273</v>
      </c>
      <c r="J4713" s="6" t="s">
        <v>91</v>
      </c>
      <c r="K4713" s="12" t="str">
        <f t="shared" si="989"/>
        <v>View Creative</v>
      </c>
      <c r="L4713" s="6" t="s">
        <v>62</v>
      </c>
      <c r="M4713" s="6" t="s">
        <v>8270</v>
      </c>
      <c r="N4713" s="6" t="s">
        <v>8381</v>
      </c>
      <c r="O4713" s="36" t="s">
        <v>7541</v>
      </c>
      <c r="P4713" s="36" t="s">
        <v>7542</v>
      </c>
      <c r="Q4713" s="38"/>
    </row>
    <row r="4714">
      <c r="A4714" s="6" t="s">
        <v>8270</v>
      </c>
      <c r="B4714" s="6" t="s">
        <v>8271</v>
      </c>
      <c r="C4714" s="6">
        <v>663.0</v>
      </c>
      <c r="D4714" s="9" t="str">
        <f t="shared" ref="D4714:D4715" si="990">HYPERLINK("https://www.linkedin.com/ad-library/detail/916762164","Open Ad")</f>
        <v>Open Ad</v>
      </c>
      <c r="E4714" s="6" t="s">
        <v>91</v>
      </c>
      <c r="F4714" s="6" t="s">
        <v>8022</v>
      </c>
      <c r="G4714" s="6" t="s">
        <v>8382</v>
      </c>
      <c r="H4714" s="6" t="s">
        <v>55</v>
      </c>
      <c r="I4714" s="6" t="s">
        <v>8273</v>
      </c>
      <c r="J4714" s="6" t="s">
        <v>91</v>
      </c>
      <c r="K4714" s="12" t="str">
        <f t="shared" ref="K4714:K4715" si="991">HYPERLINK("https://media.licdn.com/dms/image/v2/D4E10AQFyqNp1_XAbUA/image-shrink_1280/B4EZqXlVmuKkAU-/0/1763479739753/2Dark-1jpg?e=2147483647&amp;v=beta&amp;t=iZhl9TBautCZUHYjey6WYaA0RTOMTzCLLARQ6xpquy0","View Creative")</f>
        <v>View Creative</v>
      </c>
      <c r="L4714" s="6" t="s">
        <v>62</v>
      </c>
      <c r="M4714" s="6" t="s">
        <v>8270</v>
      </c>
      <c r="N4714" s="6"/>
      <c r="O4714" s="36" t="s">
        <v>7541</v>
      </c>
      <c r="P4714" s="36" t="s">
        <v>7542</v>
      </c>
      <c r="Q4714" s="38"/>
    </row>
    <row r="4715">
      <c r="A4715" s="6" t="s">
        <v>8270</v>
      </c>
      <c r="B4715" s="6" t="s">
        <v>8271</v>
      </c>
      <c r="C4715" s="6">
        <v>664.0</v>
      </c>
      <c r="D4715" s="9" t="str">
        <f t="shared" si="990"/>
        <v>Open Ad</v>
      </c>
      <c r="E4715" s="6" t="s">
        <v>91</v>
      </c>
      <c r="F4715" s="6" t="s">
        <v>8022</v>
      </c>
      <c r="G4715" s="6" t="s">
        <v>8382</v>
      </c>
      <c r="H4715" s="6" t="s">
        <v>55</v>
      </c>
      <c r="I4715" s="6" t="s">
        <v>8273</v>
      </c>
      <c r="J4715" s="6" t="s">
        <v>91</v>
      </c>
      <c r="K4715" s="12" t="str">
        <f t="shared" si="991"/>
        <v>View Creative</v>
      </c>
      <c r="L4715" s="6" t="s">
        <v>62</v>
      </c>
      <c r="M4715" s="6" t="s">
        <v>8270</v>
      </c>
      <c r="N4715" s="6"/>
      <c r="O4715" s="36" t="s">
        <v>7541</v>
      </c>
      <c r="P4715" s="36" t="s">
        <v>7542</v>
      </c>
      <c r="Q4715" s="38"/>
    </row>
    <row r="4716">
      <c r="A4716" s="6" t="s">
        <v>8270</v>
      </c>
      <c r="B4716" s="6" t="s">
        <v>8271</v>
      </c>
      <c r="C4716" s="6">
        <v>665.0</v>
      </c>
      <c r="D4716" s="9" t="str">
        <f t="shared" ref="D4716:D4717" si="992">HYPERLINK("https://www.linkedin.com/ad-library/detail/934326554","Open Ad")</f>
        <v>Open Ad</v>
      </c>
      <c r="E4716" s="6" t="s">
        <v>91</v>
      </c>
      <c r="F4716" s="6" t="s">
        <v>8022</v>
      </c>
      <c r="G4716" s="6" t="s">
        <v>8380</v>
      </c>
      <c r="H4716" s="6" t="s">
        <v>769</v>
      </c>
      <c r="I4716" s="6" t="s">
        <v>8273</v>
      </c>
      <c r="J4716" s="6" t="s">
        <v>91</v>
      </c>
      <c r="K4716" s="12" t="str">
        <f t="shared" ref="K4716:K4717" si="993">HYPERLINK("https://media.licdn.com/dms/image/v2/D4E22AQGgngbYnzzYdQ/feedshare-shrink_1280/B4EZlur.fdKUAs-/0/1758498647909?e=2147483647&amp;v=beta&amp;t=7UTsOYEzI3Pwc86ZWa9z-dZRqX-LnWK-uMKkoGxYMEw","View Creative")</f>
        <v>View Creative</v>
      </c>
      <c r="L4716" s="6" t="s">
        <v>62</v>
      </c>
      <c r="M4716" s="6" t="s">
        <v>8270</v>
      </c>
      <c r="N4716" s="6"/>
      <c r="O4716" s="36" t="s">
        <v>7541</v>
      </c>
      <c r="P4716" s="36" t="s">
        <v>7542</v>
      </c>
      <c r="Q4716" s="38"/>
    </row>
    <row r="4717">
      <c r="A4717" s="6" t="s">
        <v>8270</v>
      </c>
      <c r="B4717" s="6" t="s">
        <v>8271</v>
      </c>
      <c r="C4717" s="6">
        <v>666.0</v>
      </c>
      <c r="D4717" s="9" t="str">
        <f t="shared" si="992"/>
        <v>Open Ad</v>
      </c>
      <c r="E4717" s="6" t="s">
        <v>91</v>
      </c>
      <c r="F4717" s="6" t="s">
        <v>8022</v>
      </c>
      <c r="G4717" s="6" t="s">
        <v>8380</v>
      </c>
      <c r="H4717" s="6" t="s">
        <v>769</v>
      </c>
      <c r="I4717" s="6" t="s">
        <v>8273</v>
      </c>
      <c r="J4717" s="6" t="s">
        <v>91</v>
      </c>
      <c r="K4717" s="12" t="str">
        <f t="shared" si="993"/>
        <v>View Creative</v>
      </c>
      <c r="L4717" s="6" t="s">
        <v>62</v>
      </c>
      <c r="M4717" s="6" t="s">
        <v>8270</v>
      </c>
      <c r="N4717" s="6"/>
      <c r="O4717" s="36" t="s">
        <v>7541</v>
      </c>
      <c r="P4717" s="36" t="s">
        <v>7542</v>
      </c>
      <c r="Q4717" s="38"/>
    </row>
    <row r="4718">
      <c r="A4718" s="6" t="s">
        <v>8270</v>
      </c>
      <c r="B4718" s="6" t="s">
        <v>8271</v>
      </c>
      <c r="C4718" s="6">
        <v>667.0</v>
      </c>
      <c r="D4718" s="9" t="str">
        <f t="shared" ref="D4718:D4719" si="994">HYPERLINK("https://www.linkedin.com/ad-library/detail/919666484","Open Ad")</f>
        <v>Open Ad</v>
      </c>
      <c r="E4718" s="6" t="s">
        <v>91</v>
      </c>
      <c r="F4718" s="6" t="s">
        <v>8022</v>
      </c>
      <c r="G4718" s="6" t="s">
        <v>8370</v>
      </c>
      <c r="H4718" s="6" t="s">
        <v>55</v>
      </c>
      <c r="I4718" s="6" t="s">
        <v>8273</v>
      </c>
      <c r="J4718" s="6" t="s">
        <v>91</v>
      </c>
      <c r="K4718" s="12" t="str">
        <f t="shared" ref="K4718:K4721" si="995">HYPERLINK("https://media.licdn.com/dms/image/v2/D4E10AQHYboYAvoxQmA/image-shrink_1280/B4EZqnXUXmGoAM-/0/1763744500928/peec_linkedin_ad-dark_04png?e=2147483647&amp;v=beta&amp;t=dwdMbElMrffF1FIzaTi61F52Wo9BQSRysuZvI--0f0M","View Creative")</f>
        <v>View Creative</v>
      </c>
      <c r="L4718" s="6" t="s">
        <v>62</v>
      </c>
      <c r="M4718" s="6" t="s">
        <v>8270</v>
      </c>
      <c r="N4718" s="6" t="s">
        <v>8371</v>
      </c>
      <c r="O4718" s="36" t="s">
        <v>7541</v>
      </c>
      <c r="P4718" s="36" t="s">
        <v>7542</v>
      </c>
      <c r="Q4718" s="38"/>
    </row>
    <row r="4719">
      <c r="A4719" s="6" t="s">
        <v>8270</v>
      </c>
      <c r="B4719" s="6" t="s">
        <v>8271</v>
      </c>
      <c r="C4719" s="6">
        <v>668.0</v>
      </c>
      <c r="D4719" s="9" t="str">
        <f t="shared" si="994"/>
        <v>Open Ad</v>
      </c>
      <c r="E4719" s="6" t="s">
        <v>91</v>
      </c>
      <c r="F4719" s="6" t="s">
        <v>8022</v>
      </c>
      <c r="G4719" s="6" t="s">
        <v>8370</v>
      </c>
      <c r="H4719" s="6" t="s">
        <v>55</v>
      </c>
      <c r="I4719" s="6" t="s">
        <v>8273</v>
      </c>
      <c r="J4719" s="6" t="s">
        <v>91</v>
      </c>
      <c r="K4719" s="12" t="str">
        <f t="shared" si="995"/>
        <v>View Creative</v>
      </c>
      <c r="L4719" s="6" t="s">
        <v>62</v>
      </c>
      <c r="M4719" s="6" t="s">
        <v>8270</v>
      </c>
      <c r="N4719" s="6" t="s">
        <v>8371</v>
      </c>
      <c r="O4719" s="36" t="s">
        <v>7541</v>
      </c>
      <c r="P4719" s="36" t="s">
        <v>7542</v>
      </c>
      <c r="Q4719" s="38"/>
    </row>
    <row r="4720">
      <c r="A4720" s="6" t="s">
        <v>8270</v>
      </c>
      <c r="B4720" s="6" t="s">
        <v>8271</v>
      </c>
      <c r="C4720" s="6">
        <v>669.0</v>
      </c>
      <c r="D4720" s="9" t="str">
        <f t="shared" ref="D4720:D4721" si="996">HYPERLINK("https://www.linkedin.com/ad-library/detail/919476574","Open Ad")</f>
        <v>Open Ad</v>
      </c>
      <c r="E4720" s="6" t="s">
        <v>91</v>
      </c>
      <c r="F4720" s="6" t="s">
        <v>8022</v>
      </c>
      <c r="G4720" s="6" t="s">
        <v>8372</v>
      </c>
      <c r="H4720" s="6" t="s">
        <v>55</v>
      </c>
      <c r="I4720" s="6" t="s">
        <v>8273</v>
      </c>
      <c r="J4720" s="6" t="s">
        <v>91</v>
      </c>
      <c r="K4720" s="12" t="str">
        <f t="shared" si="995"/>
        <v>View Creative</v>
      </c>
      <c r="L4720" s="6" t="s">
        <v>62</v>
      </c>
      <c r="M4720" s="6" t="s">
        <v>8270</v>
      </c>
      <c r="N4720" s="6" t="s">
        <v>8371</v>
      </c>
      <c r="O4720" s="36" t="s">
        <v>7541</v>
      </c>
      <c r="P4720" s="36" t="s">
        <v>7542</v>
      </c>
      <c r="Q4720" s="38"/>
    </row>
    <row r="4721">
      <c r="A4721" s="6" t="s">
        <v>8270</v>
      </c>
      <c r="B4721" s="6" t="s">
        <v>8271</v>
      </c>
      <c r="C4721" s="6">
        <v>670.0</v>
      </c>
      <c r="D4721" s="9" t="str">
        <f t="shared" si="996"/>
        <v>Open Ad</v>
      </c>
      <c r="E4721" s="6" t="s">
        <v>91</v>
      </c>
      <c r="F4721" s="6" t="s">
        <v>8022</v>
      </c>
      <c r="G4721" s="6" t="s">
        <v>8372</v>
      </c>
      <c r="H4721" s="6" t="s">
        <v>55</v>
      </c>
      <c r="I4721" s="6" t="s">
        <v>8273</v>
      </c>
      <c r="J4721" s="6" t="s">
        <v>91</v>
      </c>
      <c r="K4721" s="12" t="str">
        <f t="shared" si="995"/>
        <v>View Creative</v>
      </c>
      <c r="L4721" s="6" t="s">
        <v>62</v>
      </c>
      <c r="M4721" s="6" t="s">
        <v>8270</v>
      </c>
      <c r="N4721" s="6" t="s">
        <v>8371</v>
      </c>
      <c r="O4721" s="36" t="s">
        <v>7541</v>
      </c>
      <c r="P4721" s="36" t="s">
        <v>7542</v>
      </c>
      <c r="Q4721" s="38"/>
    </row>
    <row r="4722">
      <c r="A4722" s="6" t="s">
        <v>8270</v>
      </c>
      <c r="B4722" s="6" t="s">
        <v>8271</v>
      </c>
      <c r="C4722" s="6">
        <v>671.0</v>
      </c>
      <c r="D4722" s="9" t="str">
        <f t="shared" ref="D4722:D4723" si="997">HYPERLINK("https://www.linkedin.com/ad-library/detail/916812484","Open Ad")</f>
        <v>Open Ad</v>
      </c>
      <c r="E4722" s="6" t="s">
        <v>91</v>
      </c>
      <c r="F4722" s="6" t="s">
        <v>8022</v>
      </c>
      <c r="G4722" s="6" t="s">
        <v>8373</v>
      </c>
      <c r="H4722" s="6" t="s">
        <v>55</v>
      </c>
      <c r="I4722" s="6" t="s">
        <v>8273</v>
      </c>
      <c r="J4722" s="6" t="s">
        <v>91</v>
      </c>
      <c r="K4722" s="12" t="str">
        <f t="shared" ref="K4722:K4723" si="998">HYPERLINK("https://media.licdn.com/dms/image/v2/D4E10AQEGBOzQY5J0Ig/image-shrink_1280/B4EZqXkFQHIIAQ-/0/1763479410773/2Darkjpg?e=2147483647&amp;v=beta&amp;t=erfq82UzNpZu5Zl5UHAnfU9yBixcEf2q-7xjAyGgUQo","View Creative")</f>
        <v>View Creative</v>
      </c>
      <c r="L4722" s="6" t="s">
        <v>62</v>
      </c>
      <c r="M4722" s="6" t="s">
        <v>8270</v>
      </c>
      <c r="N4722" s="6"/>
      <c r="O4722" s="36" t="s">
        <v>7541</v>
      </c>
      <c r="P4722" s="36" t="s">
        <v>7542</v>
      </c>
      <c r="Q4722" s="38"/>
    </row>
    <row r="4723">
      <c r="A4723" s="6" t="s">
        <v>8270</v>
      </c>
      <c r="B4723" s="6" t="s">
        <v>8271</v>
      </c>
      <c r="C4723" s="6">
        <v>672.0</v>
      </c>
      <c r="D4723" s="9" t="str">
        <f t="shared" si="997"/>
        <v>Open Ad</v>
      </c>
      <c r="E4723" s="6" t="s">
        <v>91</v>
      </c>
      <c r="F4723" s="6" t="s">
        <v>8022</v>
      </c>
      <c r="G4723" s="6" t="s">
        <v>8373</v>
      </c>
      <c r="H4723" s="6" t="s">
        <v>55</v>
      </c>
      <c r="I4723" s="6" t="s">
        <v>8273</v>
      </c>
      <c r="J4723" s="6" t="s">
        <v>91</v>
      </c>
      <c r="K4723" s="12" t="str">
        <f t="shared" si="998"/>
        <v>View Creative</v>
      </c>
      <c r="L4723" s="6" t="s">
        <v>62</v>
      </c>
      <c r="M4723" s="6" t="s">
        <v>8270</v>
      </c>
      <c r="N4723" s="6"/>
      <c r="O4723" s="36" t="s">
        <v>7541</v>
      </c>
      <c r="P4723" s="36" t="s">
        <v>7542</v>
      </c>
      <c r="Q4723" s="38"/>
    </row>
    <row r="4724">
      <c r="A4724" s="6" t="s">
        <v>8270</v>
      </c>
      <c r="B4724" s="6" t="s">
        <v>8271</v>
      </c>
      <c r="C4724" s="6">
        <v>673.0</v>
      </c>
      <c r="D4724" s="9" t="str">
        <f t="shared" ref="D4724:D4725" si="999">HYPERLINK("https://www.linkedin.com/ad-library/detail/916852064","Open Ad")</f>
        <v>Open Ad</v>
      </c>
      <c r="E4724" s="6" t="s">
        <v>91</v>
      </c>
      <c r="F4724" s="6" t="s">
        <v>8022</v>
      </c>
      <c r="G4724" s="6" t="s">
        <v>8382</v>
      </c>
      <c r="H4724" s="6" t="s">
        <v>55</v>
      </c>
      <c r="I4724" s="6" t="s">
        <v>8273</v>
      </c>
      <c r="J4724" s="6" t="s">
        <v>91</v>
      </c>
      <c r="K4724" s="12" t="str">
        <f t="shared" ref="K4724:K4725" si="1000">HYPERLINK("https://media.licdn.com/dms/image/v2/D4E10AQHnhFdk5erWzw/image-shrink_1280/B4EZqXl1jdHcAQ-/0/1763479870659/4Dark-1jpg?e=2147483647&amp;v=beta&amp;t=wQnFAsjwRWIR2Up9jZTNCEwfUoCUCC6kW19Coj1cMSo","View Creative")</f>
        <v>View Creative</v>
      </c>
      <c r="L4724" s="6" t="s">
        <v>62</v>
      </c>
      <c r="M4724" s="6" t="s">
        <v>8270</v>
      </c>
      <c r="N4724" s="6"/>
      <c r="O4724" s="36" t="s">
        <v>7541</v>
      </c>
      <c r="P4724" s="36" t="s">
        <v>7542</v>
      </c>
      <c r="Q4724" s="38"/>
    </row>
    <row r="4725">
      <c r="A4725" s="6" t="s">
        <v>8270</v>
      </c>
      <c r="B4725" s="6" t="s">
        <v>8271</v>
      </c>
      <c r="C4725" s="6">
        <v>674.0</v>
      </c>
      <c r="D4725" s="9" t="str">
        <f t="shared" si="999"/>
        <v>Open Ad</v>
      </c>
      <c r="E4725" s="6" t="s">
        <v>91</v>
      </c>
      <c r="F4725" s="6" t="s">
        <v>8022</v>
      </c>
      <c r="G4725" s="6" t="s">
        <v>8382</v>
      </c>
      <c r="H4725" s="6" t="s">
        <v>55</v>
      </c>
      <c r="I4725" s="6" t="s">
        <v>8273</v>
      </c>
      <c r="J4725" s="6" t="s">
        <v>91</v>
      </c>
      <c r="K4725" s="12" t="str">
        <f t="shared" si="1000"/>
        <v>View Creative</v>
      </c>
      <c r="L4725" s="6" t="s">
        <v>62</v>
      </c>
      <c r="M4725" s="6" t="s">
        <v>8270</v>
      </c>
      <c r="N4725" s="6"/>
      <c r="O4725" s="36" t="s">
        <v>7541</v>
      </c>
      <c r="P4725" s="36" t="s">
        <v>7542</v>
      </c>
      <c r="Q4725" s="38"/>
    </row>
    <row r="4726">
      <c r="A4726" s="6" t="s">
        <v>8270</v>
      </c>
      <c r="B4726" s="6" t="s">
        <v>8271</v>
      </c>
      <c r="C4726" s="6">
        <v>675.0</v>
      </c>
      <c r="D4726" s="9" t="str">
        <f t="shared" ref="D4726:D4727" si="1001">HYPERLINK("https://www.linkedin.com/ad-library/detail/916722994","Open Ad")</f>
        <v>Open Ad</v>
      </c>
      <c r="E4726" s="6" t="s">
        <v>91</v>
      </c>
      <c r="F4726" s="6" t="s">
        <v>8022</v>
      </c>
      <c r="G4726" s="6" t="s">
        <v>8363</v>
      </c>
      <c r="H4726" s="6" t="s">
        <v>55</v>
      </c>
      <c r="I4726" s="6" t="s">
        <v>8273</v>
      </c>
      <c r="J4726" s="6" t="s">
        <v>91</v>
      </c>
      <c r="K4726" s="12" t="str">
        <f t="shared" ref="K4726:K4727" si="1002">HYPERLINK("https://media.licdn.com/dms/image/v2/D4E10AQExlvzvwZR9Cw/image-shrink_1280/B4EZqXjO3_JgAQ-/0/1763479187977/3Dark-2jpg?e=2147483647&amp;v=beta&amp;t=hIw8-9_xZmTLDeJdkluPd0WO2TRrUEIgeIYzXYtAh1g","View Creative")</f>
        <v>View Creative</v>
      </c>
      <c r="L4726" s="6" t="s">
        <v>62</v>
      </c>
      <c r="M4726" s="6" t="s">
        <v>8270</v>
      </c>
      <c r="N4726" s="6"/>
      <c r="O4726" s="36" t="s">
        <v>7541</v>
      </c>
      <c r="P4726" s="36" t="s">
        <v>7542</v>
      </c>
      <c r="Q4726" s="38"/>
    </row>
    <row r="4727">
      <c r="A4727" s="6" t="s">
        <v>8270</v>
      </c>
      <c r="B4727" s="6" t="s">
        <v>8271</v>
      </c>
      <c r="C4727" s="6">
        <v>676.0</v>
      </c>
      <c r="D4727" s="9" t="str">
        <f t="shared" si="1001"/>
        <v>Open Ad</v>
      </c>
      <c r="E4727" s="6" t="s">
        <v>91</v>
      </c>
      <c r="F4727" s="6" t="s">
        <v>8022</v>
      </c>
      <c r="G4727" s="6" t="s">
        <v>8363</v>
      </c>
      <c r="H4727" s="6" t="s">
        <v>55</v>
      </c>
      <c r="I4727" s="6" t="s">
        <v>8273</v>
      </c>
      <c r="J4727" s="6" t="s">
        <v>91</v>
      </c>
      <c r="K4727" s="12" t="str">
        <f t="shared" si="1002"/>
        <v>View Creative</v>
      </c>
      <c r="L4727" s="6" t="s">
        <v>62</v>
      </c>
      <c r="M4727" s="6" t="s">
        <v>8270</v>
      </c>
      <c r="N4727" s="6"/>
      <c r="O4727" s="36" t="s">
        <v>7541</v>
      </c>
      <c r="P4727" s="36" t="s">
        <v>7542</v>
      </c>
      <c r="Q4727" s="38"/>
    </row>
    <row r="4728">
      <c r="A4728" s="6" t="s">
        <v>8270</v>
      </c>
      <c r="B4728" s="6" t="s">
        <v>8271</v>
      </c>
      <c r="C4728" s="6">
        <v>677.0</v>
      </c>
      <c r="D4728" s="9" t="str">
        <f t="shared" ref="D4728:D4729" si="1003">HYPERLINK("https://www.linkedin.com/ad-library/detail/916722984","Open Ad")</f>
        <v>Open Ad</v>
      </c>
      <c r="E4728" s="6" t="s">
        <v>91</v>
      </c>
      <c r="F4728" s="6" t="s">
        <v>8022</v>
      </c>
      <c r="G4728" s="6" t="s">
        <v>8363</v>
      </c>
      <c r="H4728" s="6" t="s">
        <v>55</v>
      </c>
      <c r="I4728" s="6" t="s">
        <v>8273</v>
      </c>
      <c r="J4728" s="6" t="s">
        <v>91</v>
      </c>
      <c r="K4728" s="12" t="str">
        <f t="shared" ref="K4728:K4729" si="1004">HYPERLINK("https://media.licdn.com/dms/image/v2/D4E10AQHFRHPc9FWrHg/image-shrink_1280/B4EZqXjE10HoAQ-/0/1763479146737/3Light-2jpg?e=2147483647&amp;v=beta&amp;t=rZhguR_gys1_eeccCKD40rY_p2pWztc9kFpk08d6MnM","View Creative")</f>
        <v>View Creative</v>
      </c>
      <c r="L4728" s="6" t="s">
        <v>62</v>
      </c>
      <c r="M4728" s="6" t="s">
        <v>8270</v>
      </c>
      <c r="N4728" s="6"/>
      <c r="O4728" s="36" t="s">
        <v>7541</v>
      </c>
      <c r="P4728" s="36" t="s">
        <v>7542</v>
      </c>
      <c r="Q4728" s="38"/>
    </row>
    <row r="4729">
      <c r="A4729" s="6" t="s">
        <v>8270</v>
      </c>
      <c r="B4729" s="6" t="s">
        <v>8271</v>
      </c>
      <c r="C4729" s="6">
        <v>678.0</v>
      </c>
      <c r="D4729" s="9" t="str">
        <f t="shared" si="1003"/>
        <v>Open Ad</v>
      </c>
      <c r="E4729" s="6" t="s">
        <v>91</v>
      </c>
      <c r="F4729" s="6" t="s">
        <v>8022</v>
      </c>
      <c r="G4729" s="6" t="s">
        <v>8363</v>
      </c>
      <c r="H4729" s="6" t="s">
        <v>55</v>
      </c>
      <c r="I4729" s="6" t="s">
        <v>8273</v>
      </c>
      <c r="J4729" s="6" t="s">
        <v>91</v>
      </c>
      <c r="K4729" s="12" t="str">
        <f t="shared" si="1004"/>
        <v>View Creative</v>
      </c>
      <c r="L4729" s="6" t="s">
        <v>62</v>
      </c>
      <c r="M4729" s="6" t="s">
        <v>8270</v>
      </c>
      <c r="N4729" s="6"/>
      <c r="O4729" s="36" t="s">
        <v>7541</v>
      </c>
      <c r="P4729" s="36" t="s">
        <v>7542</v>
      </c>
      <c r="Q4729" s="38"/>
    </row>
    <row r="4730">
      <c r="A4730" s="6" t="s">
        <v>8270</v>
      </c>
      <c r="B4730" s="6" t="s">
        <v>8271</v>
      </c>
      <c r="C4730" s="6">
        <v>679.0</v>
      </c>
      <c r="D4730" s="9" t="str">
        <f t="shared" ref="D4730:D4731" si="1005">HYPERLINK("https://www.linkedin.com/ad-library/detail/916911894","Open Ad")</f>
        <v>Open Ad</v>
      </c>
      <c r="E4730" s="6" t="s">
        <v>91</v>
      </c>
      <c r="F4730" s="6" t="s">
        <v>8022</v>
      </c>
      <c r="G4730" s="6" t="s">
        <v>8373</v>
      </c>
      <c r="H4730" s="6" t="s">
        <v>55</v>
      </c>
      <c r="I4730" s="6" t="s">
        <v>8273</v>
      </c>
      <c r="J4730" s="6" t="s">
        <v>91</v>
      </c>
      <c r="K4730" s="12" t="str">
        <f t="shared" ref="K4730:K4731" si="1006">HYPERLINK("https://media.licdn.com/dms/image/v2/D4E10AQEGBOzQY5J0Ig/image-shrink_1280/B4EZqXkFQHIIAQ-/0/1763479410773/2Darkjpg?e=2147483647&amp;v=beta&amp;t=erfq82UzNpZu5Zl5UHAnfU9yBixcEf2q-7xjAyGgUQo","View Creative")</f>
        <v>View Creative</v>
      </c>
      <c r="L4730" s="6" t="s">
        <v>62</v>
      </c>
      <c r="M4730" s="6" t="s">
        <v>8270</v>
      </c>
      <c r="N4730" s="6"/>
      <c r="O4730" s="36" t="s">
        <v>7541</v>
      </c>
      <c r="P4730" s="36" t="s">
        <v>7542</v>
      </c>
      <c r="Q4730" s="38"/>
    </row>
    <row r="4731">
      <c r="A4731" s="6" t="s">
        <v>8270</v>
      </c>
      <c r="B4731" s="6" t="s">
        <v>8271</v>
      </c>
      <c r="C4731" s="6">
        <v>680.0</v>
      </c>
      <c r="D4731" s="9" t="str">
        <f t="shared" si="1005"/>
        <v>Open Ad</v>
      </c>
      <c r="E4731" s="6" t="s">
        <v>91</v>
      </c>
      <c r="F4731" s="6" t="s">
        <v>8022</v>
      </c>
      <c r="G4731" s="6" t="s">
        <v>8373</v>
      </c>
      <c r="H4731" s="6" t="s">
        <v>55</v>
      </c>
      <c r="I4731" s="6" t="s">
        <v>8273</v>
      </c>
      <c r="J4731" s="6" t="s">
        <v>91</v>
      </c>
      <c r="K4731" s="12" t="str">
        <f t="shared" si="1006"/>
        <v>View Creative</v>
      </c>
      <c r="L4731" s="6" t="s">
        <v>62</v>
      </c>
      <c r="M4731" s="6" t="s">
        <v>8270</v>
      </c>
      <c r="N4731" s="6"/>
      <c r="O4731" s="36" t="s">
        <v>7541</v>
      </c>
      <c r="P4731" s="36" t="s">
        <v>7542</v>
      </c>
      <c r="Q4731" s="38"/>
    </row>
    <row r="4732">
      <c r="A4732" s="6" t="s">
        <v>8270</v>
      </c>
      <c r="B4732" s="6" t="s">
        <v>8271</v>
      </c>
      <c r="C4732" s="6">
        <v>681.0</v>
      </c>
      <c r="D4732" s="9" t="str">
        <f t="shared" ref="D4732:D4733" si="1007">HYPERLINK("https://www.linkedin.com/ad-library/detail/916752484","Open Ad")</f>
        <v>Open Ad</v>
      </c>
      <c r="E4732" s="6" t="s">
        <v>91</v>
      </c>
      <c r="F4732" s="6" t="s">
        <v>8022</v>
      </c>
      <c r="G4732" s="6" t="s">
        <v>8363</v>
      </c>
      <c r="H4732" s="6" t="s">
        <v>55</v>
      </c>
      <c r="I4732" s="6" t="s">
        <v>8273</v>
      </c>
      <c r="J4732" s="6" t="s">
        <v>91</v>
      </c>
      <c r="K4732" s="12" t="str">
        <f t="shared" ref="K4732:K4733" si="1008">HYPERLINK("https://media.licdn.com/dms/image/v2/D4E10AQHFRHPc9FWrHg/image-shrink_1280/B4EZqXjE10HoAQ-/0/1763479146737/3Light-2jpg?e=2147483647&amp;v=beta&amp;t=rZhguR_gys1_eeccCKD40rY_p2pWztc9kFpk08d6MnM","View Creative")</f>
        <v>View Creative</v>
      </c>
      <c r="L4732" s="6" t="s">
        <v>62</v>
      </c>
      <c r="M4732" s="6" t="s">
        <v>8270</v>
      </c>
      <c r="N4732" s="6"/>
      <c r="O4732" s="36" t="s">
        <v>7541</v>
      </c>
      <c r="P4732" s="36" t="s">
        <v>7542</v>
      </c>
      <c r="Q4732" s="38"/>
    </row>
    <row r="4733">
      <c r="A4733" s="6" t="s">
        <v>8270</v>
      </c>
      <c r="B4733" s="6" t="s">
        <v>8271</v>
      </c>
      <c r="C4733" s="6">
        <v>682.0</v>
      </c>
      <c r="D4733" s="9" t="str">
        <f t="shared" si="1007"/>
        <v>Open Ad</v>
      </c>
      <c r="E4733" s="6" t="s">
        <v>91</v>
      </c>
      <c r="F4733" s="6" t="s">
        <v>8022</v>
      </c>
      <c r="G4733" s="6" t="s">
        <v>8363</v>
      </c>
      <c r="H4733" s="6" t="s">
        <v>55</v>
      </c>
      <c r="I4733" s="6" t="s">
        <v>8273</v>
      </c>
      <c r="J4733" s="6" t="s">
        <v>91</v>
      </c>
      <c r="K4733" s="12" t="str">
        <f t="shared" si="1008"/>
        <v>View Creative</v>
      </c>
      <c r="L4733" s="6" t="s">
        <v>62</v>
      </c>
      <c r="M4733" s="6" t="s">
        <v>8270</v>
      </c>
      <c r="N4733" s="6"/>
      <c r="O4733" s="36" t="s">
        <v>7541</v>
      </c>
      <c r="P4733" s="36" t="s">
        <v>7542</v>
      </c>
      <c r="Q4733" s="38"/>
    </row>
    <row r="4734">
      <c r="A4734" s="6" t="s">
        <v>8270</v>
      </c>
      <c r="B4734" s="6" t="s">
        <v>8271</v>
      </c>
      <c r="C4734" s="6">
        <v>683.0</v>
      </c>
      <c r="D4734" s="9" t="str">
        <f t="shared" ref="D4734:D4735" si="1009">HYPERLINK("https://www.linkedin.com/ad-library/detail/916713294","Open Ad")</f>
        <v>Open Ad</v>
      </c>
      <c r="E4734" s="6" t="s">
        <v>91</v>
      </c>
      <c r="F4734" s="6" t="s">
        <v>8022</v>
      </c>
      <c r="G4734" s="6" t="s">
        <v>8382</v>
      </c>
      <c r="H4734" s="6" t="s">
        <v>55</v>
      </c>
      <c r="I4734" s="6" t="s">
        <v>8273</v>
      </c>
      <c r="J4734" s="6" t="s">
        <v>91</v>
      </c>
      <c r="K4734" s="12" t="str">
        <f t="shared" ref="K4734:K4735" si="1010">HYPERLINK("https://media.licdn.com/dms/image/v2/D4E10AQG-5ahZNFJ0Qw/image-shrink_1280/B4EZqXlcw9J0AQ-/0/1763479769117/3Dark-1jpg?e=2147483647&amp;v=beta&amp;t=4-8BXjQk2Kp5K6WaUT9S6iuqFLEfdncrDe1XCFFXnhA","View Creative")</f>
        <v>View Creative</v>
      </c>
      <c r="L4734" s="6" t="s">
        <v>62</v>
      </c>
      <c r="M4734" s="6" t="s">
        <v>8270</v>
      </c>
      <c r="N4734" s="6"/>
      <c r="O4734" s="36" t="s">
        <v>7541</v>
      </c>
      <c r="P4734" s="36" t="s">
        <v>7542</v>
      </c>
      <c r="Q4734" s="38"/>
    </row>
    <row r="4735">
      <c r="A4735" s="6" t="s">
        <v>8270</v>
      </c>
      <c r="B4735" s="6" t="s">
        <v>8271</v>
      </c>
      <c r="C4735" s="6">
        <v>684.0</v>
      </c>
      <c r="D4735" s="9" t="str">
        <f t="shared" si="1009"/>
        <v>Open Ad</v>
      </c>
      <c r="E4735" s="6" t="s">
        <v>91</v>
      </c>
      <c r="F4735" s="6" t="s">
        <v>8022</v>
      </c>
      <c r="G4735" s="6" t="s">
        <v>8382</v>
      </c>
      <c r="H4735" s="6" t="s">
        <v>55</v>
      </c>
      <c r="I4735" s="6" t="s">
        <v>8273</v>
      </c>
      <c r="J4735" s="6" t="s">
        <v>91</v>
      </c>
      <c r="K4735" s="12" t="str">
        <f t="shared" si="1010"/>
        <v>View Creative</v>
      </c>
      <c r="L4735" s="6" t="s">
        <v>62</v>
      </c>
      <c r="M4735" s="6" t="s">
        <v>8270</v>
      </c>
      <c r="N4735" s="6"/>
      <c r="O4735" s="36" t="s">
        <v>7541</v>
      </c>
      <c r="P4735" s="36" t="s">
        <v>7542</v>
      </c>
      <c r="Q4735" s="38"/>
    </row>
    <row r="4736">
      <c r="A4736" s="6" t="s">
        <v>8270</v>
      </c>
      <c r="B4736" s="6" t="s">
        <v>8271</v>
      </c>
      <c r="C4736" s="6">
        <v>685.0</v>
      </c>
      <c r="D4736" s="9" t="str">
        <f t="shared" ref="D4736:D4737" si="1011">HYPERLINK("https://www.linkedin.com/ad-library/detail/916842064","Open Ad")</f>
        <v>Open Ad</v>
      </c>
      <c r="E4736" s="6" t="s">
        <v>91</v>
      </c>
      <c r="F4736" s="6" t="s">
        <v>8022</v>
      </c>
      <c r="G4736" s="6" t="s">
        <v>8363</v>
      </c>
      <c r="H4736" s="6" t="s">
        <v>55</v>
      </c>
      <c r="I4736" s="6" t="s">
        <v>8273</v>
      </c>
      <c r="J4736" s="6" t="s">
        <v>91</v>
      </c>
      <c r="K4736" s="12" t="str">
        <f t="shared" ref="K4736:K4737" si="1012">HYPERLINK("https://media.licdn.com/dms/image/v2/D4E10AQHcSoWO1dYKtQ/image-shrink_1280/B4EZqXi5QAHcAQ-/0/1763479099393/2Dark-2jpg?e=2147483647&amp;v=beta&amp;t=icCzusjbqHqZBG3AQPs0VI2nQANVz543VtPBphg9iAk","View Creative")</f>
        <v>View Creative</v>
      </c>
      <c r="L4736" s="6" t="s">
        <v>62</v>
      </c>
      <c r="M4736" s="6" t="s">
        <v>8270</v>
      </c>
      <c r="N4736" s="6"/>
      <c r="O4736" s="36" t="s">
        <v>7541</v>
      </c>
      <c r="P4736" s="36" t="s">
        <v>7542</v>
      </c>
      <c r="Q4736" s="38"/>
    </row>
    <row r="4737">
      <c r="A4737" s="6" t="s">
        <v>8270</v>
      </c>
      <c r="B4737" s="6" t="s">
        <v>8271</v>
      </c>
      <c r="C4737" s="6">
        <v>686.0</v>
      </c>
      <c r="D4737" s="9" t="str">
        <f t="shared" si="1011"/>
        <v>Open Ad</v>
      </c>
      <c r="E4737" s="6" t="s">
        <v>91</v>
      </c>
      <c r="F4737" s="6" t="s">
        <v>8022</v>
      </c>
      <c r="G4737" s="6" t="s">
        <v>8363</v>
      </c>
      <c r="H4737" s="6" t="s">
        <v>55</v>
      </c>
      <c r="I4737" s="6" t="s">
        <v>8273</v>
      </c>
      <c r="J4737" s="6" t="s">
        <v>91</v>
      </c>
      <c r="K4737" s="12" t="str">
        <f t="shared" si="1012"/>
        <v>View Creative</v>
      </c>
      <c r="L4737" s="6" t="s">
        <v>62</v>
      </c>
      <c r="M4737" s="6" t="s">
        <v>8270</v>
      </c>
      <c r="N4737" s="6"/>
      <c r="O4737" s="36" t="s">
        <v>7541</v>
      </c>
      <c r="P4737" s="36" t="s">
        <v>7542</v>
      </c>
      <c r="Q4737" s="38"/>
    </row>
    <row r="4738">
      <c r="A4738" s="6" t="s">
        <v>8270</v>
      </c>
      <c r="B4738" s="6" t="s">
        <v>8271</v>
      </c>
      <c r="C4738" s="6">
        <v>687.0</v>
      </c>
      <c r="D4738" s="9" t="str">
        <f t="shared" ref="D4738:D4739" si="1013">HYPERLINK("https://www.linkedin.com/ad-library/detail/916842044","Open Ad")</f>
        <v>Open Ad</v>
      </c>
      <c r="E4738" s="6" t="s">
        <v>91</v>
      </c>
      <c r="F4738" s="6" t="s">
        <v>8022</v>
      </c>
      <c r="G4738" s="6" t="s">
        <v>8382</v>
      </c>
      <c r="H4738" s="6" t="s">
        <v>55</v>
      </c>
      <c r="I4738" s="6" t="s">
        <v>8273</v>
      </c>
      <c r="J4738" s="6" t="s">
        <v>91</v>
      </c>
      <c r="K4738" s="12" t="str">
        <f t="shared" ref="K4738:K4739" si="1014">HYPERLINK("https://media.licdn.com/dms/image/v2/D4E10AQEibW1Mbh7sqA/image-shrink_1280/B4EZqXls8NJ0AM-/0/1763479835181/4Light-1jpg?e=2147483647&amp;v=beta&amp;t=2hMSkg_WzpI0QH6KbZSxbFIXB8RwAQMadtR6L1vWDAk","View Creative")</f>
        <v>View Creative</v>
      </c>
      <c r="L4738" s="6" t="s">
        <v>62</v>
      </c>
      <c r="M4738" s="6" t="s">
        <v>8270</v>
      </c>
      <c r="N4738" s="6"/>
      <c r="O4738" s="36" t="s">
        <v>7541</v>
      </c>
      <c r="P4738" s="36" t="s">
        <v>7542</v>
      </c>
      <c r="Q4738" s="38"/>
    </row>
    <row r="4739">
      <c r="A4739" s="6" t="s">
        <v>8270</v>
      </c>
      <c r="B4739" s="6" t="s">
        <v>8271</v>
      </c>
      <c r="C4739" s="6">
        <v>688.0</v>
      </c>
      <c r="D4739" s="9" t="str">
        <f t="shared" si="1013"/>
        <v>Open Ad</v>
      </c>
      <c r="E4739" s="6" t="s">
        <v>91</v>
      </c>
      <c r="F4739" s="6" t="s">
        <v>8022</v>
      </c>
      <c r="G4739" s="6" t="s">
        <v>8382</v>
      </c>
      <c r="H4739" s="6" t="s">
        <v>55</v>
      </c>
      <c r="I4739" s="6" t="s">
        <v>8273</v>
      </c>
      <c r="J4739" s="6" t="s">
        <v>91</v>
      </c>
      <c r="K4739" s="12" t="str">
        <f t="shared" si="1014"/>
        <v>View Creative</v>
      </c>
      <c r="L4739" s="6" t="s">
        <v>62</v>
      </c>
      <c r="M4739" s="6" t="s">
        <v>8270</v>
      </c>
      <c r="N4739" s="6"/>
      <c r="O4739" s="36" t="s">
        <v>7541</v>
      </c>
      <c r="P4739" s="36" t="s">
        <v>7542</v>
      </c>
      <c r="Q4739" s="38"/>
    </row>
    <row r="4740">
      <c r="A4740" s="6" t="s">
        <v>8270</v>
      </c>
      <c r="B4740" s="6" t="s">
        <v>8271</v>
      </c>
      <c r="C4740" s="6">
        <v>689.0</v>
      </c>
      <c r="D4740" s="9" t="str">
        <f t="shared" ref="D4740:D4741" si="1015">HYPERLINK("https://www.linkedin.com/ad-library/detail/916842054","Open Ad")</f>
        <v>Open Ad</v>
      </c>
      <c r="E4740" s="6" t="s">
        <v>91</v>
      </c>
      <c r="F4740" s="6" t="s">
        <v>8022</v>
      </c>
      <c r="G4740" s="6" t="s">
        <v>8373</v>
      </c>
      <c r="H4740" s="6" t="s">
        <v>55</v>
      </c>
      <c r="I4740" s="6" t="s">
        <v>8273</v>
      </c>
      <c r="J4740" s="6" t="s">
        <v>91</v>
      </c>
      <c r="K4740" s="12" t="str">
        <f t="shared" ref="K4740:K4741" si="1016">HYPERLINK("https://media.licdn.com/dms/image/v2/D4E10AQF45XRPTXtW5A/image-shrink_1280/B4EZqXhpz1GcAM-/0/1763478773949/3Darkjpg?e=2147483647&amp;v=beta&amp;t=4YvB4IIPTWmlveIYFlgySSG_pCTzhVNDBwJvzRQ8cLk","View Creative")</f>
        <v>View Creative</v>
      </c>
      <c r="L4740" s="6" t="s">
        <v>62</v>
      </c>
      <c r="M4740" s="6" t="s">
        <v>8270</v>
      </c>
      <c r="N4740" s="6"/>
      <c r="O4740" s="36" t="s">
        <v>7541</v>
      </c>
      <c r="P4740" s="36" t="s">
        <v>7542</v>
      </c>
      <c r="Q4740" s="38"/>
    </row>
    <row r="4741">
      <c r="A4741" s="6" t="s">
        <v>8270</v>
      </c>
      <c r="B4741" s="6" t="s">
        <v>8271</v>
      </c>
      <c r="C4741" s="6">
        <v>690.0</v>
      </c>
      <c r="D4741" s="9" t="str">
        <f t="shared" si="1015"/>
        <v>Open Ad</v>
      </c>
      <c r="E4741" s="6" t="s">
        <v>91</v>
      </c>
      <c r="F4741" s="6" t="s">
        <v>8022</v>
      </c>
      <c r="G4741" s="6" t="s">
        <v>8373</v>
      </c>
      <c r="H4741" s="6" t="s">
        <v>55</v>
      </c>
      <c r="I4741" s="6" t="s">
        <v>8273</v>
      </c>
      <c r="J4741" s="6" t="s">
        <v>91</v>
      </c>
      <c r="K4741" s="12" t="str">
        <f t="shared" si="1016"/>
        <v>View Creative</v>
      </c>
      <c r="L4741" s="6" t="s">
        <v>62</v>
      </c>
      <c r="M4741" s="6" t="s">
        <v>8270</v>
      </c>
      <c r="N4741" s="6"/>
      <c r="O4741" s="36" t="s">
        <v>7541</v>
      </c>
      <c r="P4741" s="36" t="s">
        <v>7542</v>
      </c>
      <c r="Q4741" s="38"/>
    </row>
    <row r="4742">
      <c r="A4742" s="6" t="s">
        <v>8270</v>
      </c>
      <c r="B4742" s="6" t="s">
        <v>8271</v>
      </c>
      <c r="C4742" s="6">
        <v>691.0</v>
      </c>
      <c r="D4742" s="9" t="str">
        <f t="shared" ref="D4742:D4743" si="1017">HYPERLINK("https://www.linkedin.com/ad-library/detail/916782374","Open Ad")</f>
        <v>Open Ad</v>
      </c>
      <c r="E4742" s="6" t="s">
        <v>91</v>
      </c>
      <c r="F4742" s="6" t="s">
        <v>8022</v>
      </c>
      <c r="G4742" s="6" t="s">
        <v>8363</v>
      </c>
      <c r="H4742" s="6" t="s">
        <v>55</v>
      </c>
      <c r="I4742" s="6" t="s">
        <v>8273</v>
      </c>
      <c r="J4742" s="6" t="s">
        <v>91</v>
      </c>
      <c r="K4742" s="12" t="str">
        <f t="shared" ref="K4742:K4743" si="1018">HYPERLINK("https://media.licdn.com/dms/image/v2/D4E10AQENGaPDx5roqA/image-shrink_1280/B4EZqXim7FKkAM-/0/1763479024318/2Light-2jpg?e=2147483647&amp;v=beta&amp;t=DZept9KGGJUeiMjvlU1rddz-iLlsRJ0i4DTZKOx7IH4","View Creative")</f>
        <v>View Creative</v>
      </c>
      <c r="L4742" s="6" t="s">
        <v>62</v>
      </c>
      <c r="M4742" s="6" t="s">
        <v>8270</v>
      </c>
      <c r="N4742" s="6"/>
      <c r="O4742" s="36" t="s">
        <v>7541</v>
      </c>
      <c r="P4742" s="36" t="s">
        <v>7542</v>
      </c>
      <c r="Q4742" s="38"/>
    </row>
    <row r="4743">
      <c r="A4743" s="6" t="s">
        <v>8270</v>
      </c>
      <c r="B4743" s="6" t="s">
        <v>8271</v>
      </c>
      <c r="C4743" s="6">
        <v>692.0</v>
      </c>
      <c r="D4743" s="9" t="str">
        <f t="shared" si="1017"/>
        <v>Open Ad</v>
      </c>
      <c r="E4743" s="6" t="s">
        <v>91</v>
      </c>
      <c r="F4743" s="6" t="s">
        <v>8022</v>
      </c>
      <c r="G4743" s="6" t="s">
        <v>8363</v>
      </c>
      <c r="H4743" s="6" t="s">
        <v>55</v>
      </c>
      <c r="I4743" s="6" t="s">
        <v>8273</v>
      </c>
      <c r="J4743" s="6" t="s">
        <v>91</v>
      </c>
      <c r="K4743" s="12" t="str">
        <f t="shared" si="1018"/>
        <v>View Creative</v>
      </c>
      <c r="L4743" s="6" t="s">
        <v>62</v>
      </c>
      <c r="M4743" s="6" t="s">
        <v>8270</v>
      </c>
      <c r="N4743" s="6"/>
      <c r="O4743" s="36" t="s">
        <v>7541</v>
      </c>
      <c r="P4743" s="36" t="s">
        <v>7542</v>
      </c>
      <c r="Q4743" s="38"/>
    </row>
    <row r="4744">
      <c r="A4744" s="6" t="s">
        <v>8270</v>
      </c>
      <c r="B4744" s="6" t="s">
        <v>8271</v>
      </c>
      <c r="C4744" s="6">
        <v>693.0</v>
      </c>
      <c r="D4744" s="9" t="str">
        <f t="shared" ref="D4744:D4745" si="1019">HYPERLINK("https://www.linkedin.com/ad-library/detail/916931614","Open Ad")</f>
        <v>Open Ad</v>
      </c>
      <c r="E4744" s="6" t="s">
        <v>91</v>
      </c>
      <c r="F4744" s="6" t="s">
        <v>8022</v>
      </c>
      <c r="G4744" s="6" t="s">
        <v>8373</v>
      </c>
      <c r="H4744" s="6" t="s">
        <v>55</v>
      </c>
      <c r="I4744" s="6" t="s">
        <v>8273</v>
      </c>
      <c r="J4744" s="6" t="s">
        <v>91</v>
      </c>
      <c r="K4744" s="12" t="str">
        <f t="shared" ref="K4744:K4745" si="1020">HYPERLINK("https://media.licdn.com/dms/image/v2/D4E10AQEU0w4UGxx8Ag/image-shrink_1280/B4EZqXkZXlIQAQ-/0/1763479492926/3Lightjpg?e=2147483647&amp;v=beta&amp;t=_jgwspKyqLBBvgvbnQErlUU5Db0lO5w9CIE-CNaO5CA","View Creative")</f>
        <v>View Creative</v>
      </c>
      <c r="L4744" s="6" t="s">
        <v>62</v>
      </c>
      <c r="M4744" s="6" t="s">
        <v>8270</v>
      </c>
      <c r="N4744" s="6"/>
      <c r="O4744" s="36" t="s">
        <v>7541</v>
      </c>
      <c r="P4744" s="36" t="s">
        <v>7542</v>
      </c>
      <c r="Q4744" s="38"/>
    </row>
    <row r="4745">
      <c r="A4745" s="6" t="s">
        <v>8270</v>
      </c>
      <c r="B4745" s="6" t="s">
        <v>8271</v>
      </c>
      <c r="C4745" s="6">
        <v>694.0</v>
      </c>
      <c r="D4745" s="9" t="str">
        <f t="shared" si="1019"/>
        <v>Open Ad</v>
      </c>
      <c r="E4745" s="6" t="s">
        <v>91</v>
      </c>
      <c r="F4745" s="6" t="s">
        <v>8022</v>
      </c>
      <c r="G4745" s="6" t="s">
        <v>8373</v>
      </c>
      <c r="H4745" s="6" t="s">
        <v>55</v>
      </c>
      <c r="I4745" s="6" t="s">
        <v>8273</v>
      </c>
      <c r="J4745" s="6" t="s">
        <v>91</v>
      </c>
      <c r="K4745" s="12" t="str">
        <f t="shared" si="1020"/>
        <v>View Creative</v>
      </c>
      <c r="L4745" s="6" t="s">
        <v>62</v>
      </c>
      <c r="M4745" s="6" t="s">
        <v>8270</v>
      </c>
      <c r="N4745" s="6"/>
      <c r="O4745" s="36" t="s">
        <v>7541</v>
      </c>
      <c r="P4745" s="36" t="s">
        <v>7542</v>
      </c>
      <c r="Q4745" s="38"/>
    </row>
    <row r="4746">
      <c r="A4746" s="6" t="s">
        <v>8270</v>
      </c>
      <c r="B4746" s="6" t="s">
        <v>8271</v>
      </c>
      <c r="C4746" s="6">
        <v>695.0</v>
      </c>
      <c r="D4746" s="9" t="str">
        <f t="shared" ref="D4746:D4747" si="1021">HYPERLINK("https://www.linkedin.com/ad-library/detail/916713304","Open Ad")</f>
        <v>Open Ad</v>
      </c>
      <c r="E4746" s="6" t="s">
        <v>91</v>
      </c>
      <c r="F4746" s="6" t="s">
        <v>8022</v>
      </c>
      <c r="G4746" s="6" t="s">
        <v>8382</v>
      </c>
      <c r="H4746" s="6" t="s">
        <v>55</v>
      </c>
      <c r="I4746" s="6" t="s">
        <v>8273</v>
      </c>
      <c r="J4746" s="6" t="s">
        <v>91</v>
      </c>
      <c r="K4746" s="12" t="str">
        <f t="shared" ref="K4746:K4747" si="1022">HYPERLINK("https://media.licdn.com/dms/image/v2/D4E10AQG-5ahZNFJ0Qw/image-shrink_1280/B4EZqXlcw9J0AQ-/0/1763479769117/3Dark-1jpg?e=2147483647&amp;v=beta&amp;t=4-8BXjQk2Kp5K6WaUT9S6iuqFLEfdncrDe1XCFFXnhA","View Creative")</f>
        <v>View Creative</v>
      </c>
      <c r="L4746" s="6" t="s">
        <v>62</v>
      </c>
      <c r="M4746" s="6" t="s">
        <v>8270</v>
      </c>
      <c r="N4746" s="6"/>
      <c r="O4746" s="36" t="s">
        <v>7541</v>
      </c>
      <c r="P4746" s="36" t="s">
        <v>7542</v>
      </c>
      <c r="Q4746" s="38"/>
    </row>
    <row r="4747">
      <c r="A4747" s="6" t="s">
        <v>8270</v>
      </c>
      <c r="B4747" s="6" t="s">
        <v>8271</v>
      </c>
      <c r="C4747" s="6">
        <v>696.0</v>
      </c>
      <c r="D4747" s="9" t="str">
        <f t="shared" si="1021"/>
        <v>Open Ad</v>
      </c>
      <c r="E4747" s="6" t="s">
        <v>91</v>
      </c>
      <c r="F4747" s="6" t="s">
        <v>8022</v>
      </c>
      <c r="G4747" s="6" t="s">
        <v>8382</v>
      </c>
      <c r="H4747" s="6" t="s">
        <v>55</v>
      </c>
      <c r="I4747" s="6" t="s">
        <v>8273</v>
      </c>
      <c r="J4747" s="6" t="s">
        <v>91</v>
      </c>
      <c r="K4747" s="12" t="str">
        <f t="shared" si="1022"/>
        <v>View Creative</v>
      </c>
      <c r="L4747" s="6" t="s">
        <v>62</v>
      </c>
      <c r="M4747" s="6" t="s">
        <v>8270</v>
      </c>
      <c r="N4747" s="6"/>
      <c r="O4747" s="36" t="s">
        <v>7541</v>
      </c>
      <c r="P4747" s="36" t="s">
        <v>7542</v>
      </c>
      <c r="Q4747" s="38"/>
    </row>
    <row r="4748">
      <c r="A4748" s="6" t="s">
        <v>8270</v>
      </c>
      <c r="B4748" s="6" t="s">
        <v>8271</v>
      </c>
      <c r="C4748" s="6">
        <v>697.0</v>
      </c>
      <c r="D4748" s="9" t="str">
        <f t="shared" ref="D4748:D4749" si="1023">HYPERLINK("https://www.linkedin.com/ad-library/detail/916782364","Open Ad")</f>
        <v>Open Ad</v>
      </c>
      <c r="E4748" s="6" t="s">
        <v>91</v>
      </c>
      <c r="F4748" s="6" t="s">
        <v>8022</v>
      </c>
      <c r="G4748" s="6" t="s">
        <v>8382</v>
      </c>
      <c r="H4748" s="6" t="s">
        <v>55</v>
      </c>
      <c r="I4748" s="6" t="s">
        <v>8273</v>
      </c>
      <c r="J4748" s="6" t="s">
        <v>91</v>
      </c>
      <c r="K4748" s="12" t="str">
        <f t="shared" ref="K4748:K4749" si="1024">HYPERLINK("https://media.licdn.com/dms/image/v2/D4E10AQHvWSvzkkUHcQ/image-shrink_1280/B4EZqXlCzYHoAM-/0/1763479662776/2Light-1jpg?e=2147483647&amp;v=beta&amp;t=meiHpw5G1O5OMvTpODayPLwlALLEza8pvUEsF9Ht2OY","View Creative")</f>
        <v>View Creative</v>
      </c>
      <c r="L4748" s="6" t="s">
        <v>62</v>
      </c>
      <c r="M4748" s="6" t="s">
        <v>8270</v>
      </c>
      <c r="N4748" s="6"/>
      <c r="O4748" s="36" t="s">
        <v>7541</v>
      </c>
      <c r="P4748" s="36" t="s">
        <v>7542</v>
      </c>
      <c r="Q4748" s="38"/>
    </row>
    <row r="4749">
      <c r="A4749" s="6" t="s">
        <v>8270</v>
      </c>
      <c r="B4749" s="6" t="s">
        <v>8271</v>
      </c>
      <c r="C4749" s="6">
        <v>698.0</v>
      </c>
      <c r="D4749" s="9" t="str">
        <f t="shared" si="1023"/>
        <v>Open Ad</v>
      </c>
      <c r="E4749" s="6" t="s">
        <v>91</v>
      </c>
      <c r="F4749" s="6" t="s">
        <v>8022</v>
      </c>
      <c r="G4749" s="6" t="s">
        <v>8382</v>
      </c>
      <c r="H4749" s="6" t="s">
        <v>55</v>
      </c>
      <c r="I4749" s="6" t="s">
        <v>8273</v>
      </c>
      <c r="J4749" s="6" t="s">
        <v>91</v>
      </c>
      <c r="K4749" s="12" t="str">
        <f t="shared" si="1024"/>
        <v>View Creative</v>
      </c>
      <c r="L4749" s="6" t="s">
        <v>62</v>
      </c>
      <c r="M4749" s="6" t="s">
        <v>8270</v>
      </c>
      <c r="N4749" s="6"/>
      <c r="O4749" s="36" t="s">
        <v>7541</v>
      </c>
      <c r="P4749" s="36" t="s">
        <v>7542</v>
      </c>
      <c r="Q4749" s="38"/>
    </row>
    <row r="4750">
      <c r="A4750" s="6" t="s">
        <v>8270</v>
      </c>
      <c r="B4750" s="6" t="s">
        <v>8271</v>
      </c>
      <c r="C4750" s="6">
        <v>699.0</v>
      </c>
      <c r="D4750" s="9" t="str">
        <f t="shared" ref="D4750:D4751" si="1025">HYPERLINK("https://www.linkedin.com/ad-library/detail/916931624","Open Ad")</f>
        <v>Open Ad</v>
      </c>
      <c r="E4750" s="6" t="s">
        <v>91</v>
      </c>
      <c r="F4750" s="6" t="s">
        <v>8022</v>
      </c>
      <c r="G4750" s="6" t="s">
        <v>8363</v>
      </c>
      <c r="H4750" s="6" t="s">
        <v>55</v>
      </c>
      <c r="I4750" s="6" t="s">
        <v>8273</v>
      </c>
      <c r="J4750" s="6" t="s">
        <v>91</v>
      </c>
      <c r="K4750" s="12" t="str">
        <f t="shared" ref="K4750:K4751" si="1026">HYPERLINK("https://media.licdn.com/dms/image/v2/D4E10AQENGaPDx5roqA/image-shrink_1280/B4EZqXim7FKkAM-/0/1763479024318/2Light-2jpg?e=2147483647&amp;v=beta&amp;t=DZept9KGGJUeiMjvlU1rddz-iLlsRJ0i4DTZKOx7IH4","View Creative")</f>
        <v>View Creative</v>
      </c>
      <c r="L4750" s="6" t="s">
        <v>62</v>
      </c>
      <c r="M4750" s="6" t="s">
        <v>8270</v>
      </c>
      <c r="N4750" s="6"/>
      <c r="O4750" s="36" t="s">
        <v>7541</v>
      </c>
      <c r="P4750" s="36" t="s">
        <v>7542</v>
      </c>
      <c r="Q4750" s="38"/>
    </row>
    <row r="4751">
      <c r="A4751" s="6" t="s">
        <v>8270</v>
      </c>
      <c r="B4751" s="6" t="s">
        <v>8271</v>
      </c>
      <c r="C4751" s="6">
        <v>700.0</v>
      </c>
      <c r="D4751" s="9" t="str">
        <f t="shared" si="1025"/>
        <v>Open Ad</v>
      </c>
      <c r="E4751" s="6" t="s">
        <v>91</v>
      </c>
      <c r="F4751" s="6" t="s">
        <v>8022</v>
      </c>
      <c r="G4751" s="6" t="s">
        <v>8363</v>
      </c>
      <c r="H4751" s="6" t="s">
        <v>55</v>
      </c>
      <c r="I4751" s="6" t="s">
        <v>8273</v>
      </c>
      <c r="J4751" s="6" t="s">
        <v>91</v>
      </c>
      <c r="K4751" s="12" t="str">
        <f t="shared" si="1026"/>
        <v>View Creative</v>
      </c>
      <c r="L4751" s="6" t="s">
        <v>62</v>
      </c>
      <c r="M4751" s="6" t="s">
        <v>8270</v>
      </c>
      <c r="N4751" s="6"/>
      <c r="O4751" s="36" t="s">
        <v>7541</v>
      </c>
      <c r="P4751" s="36" t="s">
        <v>7542</v>
      </c>
      <c r="Q4751" s="38"/>
    </row>
    <row r="4752">
      <c r="A4752" s="6" t="s">
        <v>8270</v>
      </c>
      <c r="B4752" s="6" t="s">
        <v>8271</v>
      </c>
      <c r="C4752" s="6">
        <v>701.0</v>
      </c>
      <c r="D4752" s="9" t="str">
        <f t="shared" ref="D4752:D4753" si="1027">HYPERLINK("https://www.linkedin.com/ad-library/detail/916911904","Open Ad")</f>
        <v>Open Ad</v>
      </c>
      <c r="E4752" s="6" t="s">
        <v>91</v>
      </c>
      <c r="F4752" s="6" t="s">
        <v>8022</v>
      </c>
      <c r="G4752" s="6" t="s">
        <v>8373</v>
      </c>
      <c r="H4752" s="6" t="s">
        <v>55</v>
      </c>
      <c r="I4752" s="6" t="s">
        <v>8273</v>
      </c>
      <c r="J4752" s="6" t="s">
        <v>91</v>
      </c>
      <c r="K4752" s="12" t="str">
        <f t="shared" ref="K4752:K4753" si="1028">HYPERLINK("https://media.licdn.com/dms/image/v2/D4E10AQF05B5KrIYX3Q/image-shrink_1280/B4EZqXkxnNIUAQ-/0/1763479592401/4Darkjpg?e=2147483647&amp;v=beta&amp;t=lmbPcqoVC_Y-Wlew1o_6c5nMRLgnV8eb3NV3Xney0eU","View Creative")</f>
        <v>View Creative</v>
      </c>
      <c r="L4752" s="6" t="s">
        <v>62</v>
      </c>
      <c r="M4752" s="6" t="s">
        <v>8270</v>
      </c>
      <c r="N4752" s="6"/>
      <c r="O4752" s="36" t="s">
        <v>7541</v>
      </c>
      <c r="P4752" s="36" t="s">
        <v>7542</v>
      </c>
      <c r="Q4752" s="38"/>
    </row>
    <row r="4753">
      <c r="A4753" s="6" t="s">
        <v>8270</v>
      </c>
      <c r="B4753" s="6" t="s">
        <v>8271</v>
      </c>
      <c r="C4753" s="6">
        <v>702.0</v>
      </c>
      <c r="D4753" s="9" t="str">
        <f t="shared" si="1027"/>
        <v>Open Ad</v>
      </c>
      <c r="E4753" s="6" t="s">
        <v>91</v>
      </c>
      <c r="F4753" s="6" t="s">
        <v>8022</v>
      </c>
      <c r="G4753" s="6" t="s">
        <v>8373</v>
      </c>
      <c r="H4753" s="6" t="s">
        <v>55</v>
      </c>
      <c r="I4753" s="6" t="s">
        <v>8273</v>
      </c>
      <c r="J4753" s="6" t="s">
        <v>91</v>
      </c>
      <c r="K4753" s="12" t="str">
        <f t="shared" si="1028"/>
        <v>View Creative</v>
      </c>
      <c r="L4753" s="6" t="s">
        <v>62</v>
      </c>
      <c r="M4753" s="6" t="s">
        <v>8270</v>
      </c>
      <c r="N4753" s="6"/>
      <c r="O4753" s="36" t="s">
        <v>7541</v>
      </c>
      <c r="P4753" s="36" t="s">
        <v>7542</v>
      </c>
      <c r="Q4753" s="38"/>
    </row>
    <row r="4754">
      <c r="A4754" s="6" t="s">
        <v>8270</v>
      </c>
      <c r="B4754" s="6" t="s">
        <v>8271</v>
      </c>
      <c r="C4754" s="6">
        <v>703.0</v>
      </c>
      <c r="D4754" s="9" t="str">
        <f t="shared" ref="D4754:D4755" si="1029">HYPERLINK("https://www.linkedin.com/ad-library/detail/916822234","Open Ad")</f>
        <v>Open Ad</v>
      </c>
      <c r="E4754" s="6" t="s">
        <v>91</v>
      </c>
      <c r="F4754" s="6" t="s">
        <v>8022</v>
      </c>
      <c r="G4754" s="6" t="s">
        <v>8373</v>
      </c>
      <c r="H4754" s="6" t="s">
        <v>55</v>
      </c>
      <c r="I4754" s="6" t="s">
        <v>8273</v>
      </c>
      <c r="J4754" s="6" t="s">
        <v>91</v>
      </c>
      <c r="K4754" s="12" t="str">
        <f t="shared" ref="K4754:K4755" si="1030">HYPERLINK("https://media.licdn.com/dms/image/v2/D4E10AQGhh7LV9F74tQ/image-shrink_1280/B4EZqXkncJKkAM-/0/1763479550620/4Lightjpg?e=2147483647&amp;v=beta&amp;t=eoU5wfrx63QrhrkiifZxdA3k09DXN3GDOWhSCCpQXK8","View Creative")</f>
        <v>View Creative</v>
      </c>
      <c r="L4754" s="6" t="s">
        <v>62</v>
      </c>
      <c r="M4754" s="6" t="s">
        <v>8270</v>
      </c>
      <c r="N4754" s="6"/>
      <c r="O4754" s="36" t="s">
        <v>7541</v>
      </c>
      <c r="P4754" s="36" t="s">
        <v>7542</v>
      </c>
      <c r="Q4754" s="38"/>
    </row>
    <row r="4755">
      <c r="A4755" s="6" t="s">
        <v>8270</v>
      </c>
      <c r="B4755" s="6" t="s">
        <v>8271</v>
      </c>
      <c r="C4755" s="6">
        <v>704.0</v>
      </c>
      <c r="D4755" s="9" t="str">
        <f t="shared" si="1029"/>
        <v>Open Ad</v>
      </c>
      <c r="E4755" s="6" t="s">
        <v>91</v>
      </c>
      <c r="F4755" s="6" t="s">
        <v>8022</v>
      </c>
      <c r="G4755" s="6" t="s">
        <v>8373</v>
      </c>
      <c r="H4755" s="6" t="s">
        <v>55</v>
      </c>
      <c r="I4755" s="6" t="s">
        <v>8273</v>
      </c>
      <c r="J4755" s="6" t="s">
        <v>91</v>
      </c>
      <c r="K4755" s="12" t="str">
        <f t="shared" si="1030"/>
        <v>View Creative</v>
      </c>
      <c r="L4755" s="6" t="s">
        <v>62</v>
      </c>
      <c r="M4755" s="6" t="s">
        <v>8270</v>
      </c>
      <c r="N4755" s="6"/>
      <c r="O4755" s="36" t="s">
        <v>7541</v>
      </c>
      <c r="P4755" s="36" t="s">
        <v>7542</v>
      </c>
      <c r="Q4755" s="38"/>
    </row>
    <row r="4756">
      <c r="A4756" s="6" t="s">
        <v>8270</v>
      </c>
      <c r="B4756" s="6" t="s">
        <v>8271</v>
      </c>
      <c r="C4756" s="6">
        <v>705.0</v>
      </c>
      <c r="D4756" s="9" t="str">
        <f t="shared" ref="D4756:D4757" si="1031">HYPERLINK("https://www.linkedin.com/ad-library/detail/916812464","Open Ad")</f>
        <v>Open Ad</v>
      </c>
      <c r="E4756" s="6" t="s">
        <v>91</v>
      </c>
      <c r="F4756" s="6" t="s">
        <v>8022</v>
      </c>
      <c r="G4756" s="6" t="s">
        <v>8363</v>
      </c>
      <c r="H4756" s="6" t="s">
        <v>55</v>
      </c>
      <c r="I4756" s="6" t="s">
        <v>8273</v>
      </c>
      <c r="J4756" s="6" t="s">
        <v>91</v>
      </c>
      <c r="K4756" s="12" t="str">
        <f t="shared" ref="K4756:K4757" si="1032">HYPERLINK("https://media.licdn.com/dms/image/v2/D4E10AQGNSAIQ6QLAQA/image-shrink_1280/B4EZqXjmXGJ0AY-/0/1763479284571/4Dark-2jpg?e=2147483647&amp;v=beta&amp;t=JcZsw5Q4oi5lthxDnppFNw4twgrHMx1erlaYBtQWCPE","View Creative")</f>
        <v>View Creative</v>
      </c>
      <c r="L4756" s="6" t="s">
        <v>62</v>
      </c>
      <c r="M4756" s="6" t="s">
        <v>8270</v>
      </c>
      <c r="N4756" s="6"/>
      <c r="O4756" s="36" t="s">
        <v>7541</v>
      </c>
      <c r="P4756" s="36" t="s">
        <v>7542</v>
      </c>
      <c r="Q4756" s="38"/>
    </row>
    <row r="4757">
      <c r="A4757" s="6" t="s">
        <v>8270</v>
      </c>
      <c r="B4757" s="6" t="s">
        <v>8271</v>
      </c>
      <c r="C4757" s="6">
        <v>706.0</v>
      </c>
      <c r="D4757" s="9" t="str">
        <f t="shared" si="1031"/>
        <v>Open Ad</v>
      </c>
      <c r="E4757" s="6" t="s">
        <v>91</v>
      </c>
      <c r="F4757" s="6" t="s">
        <v>8022</v>
      </c>
      <c r="G4757" s="6" t="s">
        <v>8363</v>
      </c>
      <c r="H4757" s="6" t="s">
        <v>55</v>
      </c>
      <c r="I4757" s="6" t="s">
        <v>8273</v>
      </c>
      <c r="J4757" s="6" t="s">
        <v>91</v>
      </c>
      <c r="K4757" s="12" t="str">
        <f t="shared" si="1032"/>
        <v>View Creative</v>
      </c>
      <c r="L4757" s="6" t="s">
        <v>62</v>
      </c>
      <c r="M4757" s="6" t="s">
        <v>8270</v>
      </c>
      <c r="N4757" s="6"/>
      <c r="O4757" s="36" t="s">
        <v>7541</v>
      </c>
      <c r="P4757" s="36" t="s">
        <v>7542</v>
      </c>
      <c r="Q4757" s="38"/>
    </row>
    <row r="4758">
      <c r="A4758" s="6" t="s">
        <v>8270</v>
      </c>
      <c r="B4758" s="6" t="s">
        <v>8271</v>
      </c>
      <c r="C4758" s="6">
        <v>707.0</v>
      </c>
      <c r="D4758" s="9" t="str">
        <f t="shared" ref="D4758:D4759" si="1033">HYPERLINK("https://www.linkedin.com/ad-library/detail/916742864","Open Ad")</f>
        <v>Open Ad</v>
      </c>
      <c r="E4758" s="6" t="s">
        <v>91</v>
      </c>
      <c r="F4758" s="6" t="s">
        <v>8022</v>
      </c>
      <c r="G4758" s="6" t="s">
        <v>8382</v>
      </c>
      <c r="H4758" s="6" t="s">
        <v>55</v>
      </c>
      <c r="I4758" s="6" t="s">
        <v>8273</v>
      </c>
      <c r="J4758" s="6" t="s">
        <v>91</v>
      </c>
      <c r="K4758" s="12" t="str">
        <f t="shared" ref="K4758:K4759" si="1034">HYPERLINK("https://media.licdn.com/dms/image/v2/D4E10AQEibW1Mbh7sqA/image-shrink_1280/B4EZqXls8NJ0AM-/0/1763479835181/4Light-1jpg?e=2147483647&amp;v=beta&amp;t=2hMSkg_WzpI0QH6KbZSxbFIXB8RwAQMadtR6L1vWDAk","View Creative")</f>
        <v>View Creative</v>
      </c>
      <c r="L4758" s="6" t="s">
        <v>62</v>
      </c>
      <c r="M4758" s="6" t="s">
        <v>8270</v>
      </c>
      <c r="N4758" s="6"/>
      <c r="O4758" s="36" t="s">
        <v>7541</v>
      </c>
      <c r="P4758" s="36" t="s">
        <v>7542</v>
      </c>
      <c r="Q4758" s="38"/>
    </row>
    <row r="4759">
      <c r="A4759" s="6" t="s">
        <v>8270</v>
      </c>
      <c r="B4759" s="6" t="s">
        <v>8271</v>
      </c>
      <c r="C4759" s="6">
        <v>708.0</v>
      </c>
      <c r="D4759" s="9" t="str">
        <f t="shared" si="1033"/>
        <v>Open Ad</v>
      </c>
      <c r="E4759" s="6" t="s">
        <v>91</v>
      </c>
      <c r="F4759" s="6" t="s">
        <v>8022</v>
      </c>
      <c r="G4759" s="6" t="s">
        <v>8382</v>
      </c>
      <c r="H4759" s="6" t="s">
        <v>55</v>
      </c>
      <c r="I4759" s="6" t="s">
        <v>8273</v>
      </c>
      <c r="J4759" s="6" t="s">
        <v>91</v>
      </c>
      <c r="K4759" s="12" t="str">
        <f t="shared" si="1034"/>
        <v>View Creative</v>
      </c>
      <c r="L4759" s="6" t="s">
        <v>62</v>
      </c>
      <c r="M4759" s="6" t="s">
        <v>8270</v>
      </c>
      <c r="N4759" s="6"/>
      <c r="O4759" s="36" t="s">
        <v>7541</v>
      </c>
      <c r="P4759" s="36" t="s">
        <v>7542</v>
      </c>
      <c r="Q4759" s="38"/>
    </row>
    <row r="4760">
      <c r="A4760" s="6" t="s">
        <v>8270</v>
      </c>
      <c r="B4760" s="6" t="s">
        <v>8271</v>
      </c>
      <c r="C4760" s="6">
        <v>709.0</v>
      </c>
      <c r="D4760" s="9" t="str">
        <f t="shared" ref="D4760:D4761" si="1035">HYPERLINK("https://www.linkedin.com/ad-library/detail/916742854","Open Ad")</f>
        <v>Open Ad</v>
      </c>
      <c r="E4760" s="6" t="s">
        <v>91</v>
      </c>
      <c r="F4760" s="6" t="s">
        <v>8022</v>
      </c>
      <c r="G4760" s="6" t="s">
        <v>8363</v>
      </c>
      <c r="H4760" s="6" t="s">
        <v>55</v>
      </c>
      <c r="I4760" s="6" t="s">
        <v>8273</v>
      </c>
      <c r="J4760" s="6" t="s">
        <v>91</v>
      </c>
      <c r="K4760" s="12" t="str">
        <f t="shared" ref="K4760:K4761" si="1036">HYPERLINK("https://media.licdn.com/dms/image/v2/D4E10AQF4bTkTRfa3uA/image-shrink_1280/B4EZqXgd47HMAM-/0/1763478462911/4Light-2jpg?e=2147483647&amp;v=beta&amp;t=uK41TOo8iHj_pufRB7IRs6CRYzq8e8v7tl4rEbNjC4k","View Creative")</f>
        <v>View Creative</v>
      </c>
      <c r="L4760" s="6" t="s">
        <v>62</v>
      </c>
      <c r="M4760" s="6" t="s">
        <v>8270</v>
      </c>
      <c r="N4760" s="6"/>
      <c r="O4760" s="36" t="s">
        <v>7541</v>
      </c>
      <c r="P4760" s="36" t="s">
        <v>7542</v>
      </c>
      <c r="Q4760" s="38"/>
    </row>
    <row r="4761">
      <c r="A4761" s="6" t="s">
        <v>8270</v>
      </c>
      <c r="B4761" s="6" t="s">
        <v>8271</v>
      </c>
      <c r="C4761" s="6">
        <v>710.0</v>
      </c>
      <c r="D4761" s="9" t="str">
        <f t="shared" si="1035"/>
        <v>Open Ad</v>
      </c>
      <c r="E4761" s="6" t="s">
        <v>91</v>
      </c>
      <c r="F4761" s="6" t="s">
        <v>8022</v>
      </c>
      <c r="G4761" s="6" t="s">
        <v>8363</v>
      </c>
      <c r="H4761" s="6" t="s">
        <v>55</v>
      </c>
      <c r="I4761" s="6" t="s">
        <v>8273</v>
      </c>
      <c r="J4761" s="6" t="s">
        <v>91</v>
      </c>
      <c r="K4761" s="12" t="str">
        <f t="shared" si="1036"/>
        <v>View Creative</v>
      </c>
      <c r="L4761" s="6" t="s">
        <v>62</v>
      </c>
      <c r="M4761" s="6" t="s">
        <v>8270</v>
      </c>
      <c r="N4761" s="6"/>
      <c r="O4761" s="36" t="s">
        <v>7541</v>
      </c>
      <c r="P4761" s="36" t="s">
        <v>7542</v>
      </c>
      <c r="Q4761" s="38"/>
    </row>
    <row r="4762">
      <c r="A4762" s="6" t="s">
        <v>8270</v>
      </c>
      <c r="B4762" s="6" t="s">
        <v>8271</v>
      </c>
      <c r="C4762" s="6">
        <v>711.0</v>
      </c>
      <c r="D4762" s="9" t="str">
        <f t="shared" ref="D4762:D4763" si="1037">HYPERLINK("https://www.linkedin.com/ad-library/detail/916871994","Open Ad")</f>
        <v>Open Ad</v>
      </c>
      <c r="E4762" s="6" t="s">
        <v>91</v>
      </c>
      <c r="F4762" s="6" t="s">
        <v>8022</v>
      </c>
      <c r="G4762" s="6" t="s">
        <v>8382</v>
      </c>
      <c r="H4762" s="6" t="s">
        <v>55</v>
      </c>
      <c r="I4762" s="6" t="s">
        <v>8273</v>
      </c>
      <c r="J4762" s="6" t="s">
        <v>91</v>
      </c>
      <c r="K4762" s="12" t="str">
        <f t="shared" ref="K4762:K4763" si="1038">HYPERLINK("https://media.licdn.com/dms/image/v2/D4E10AQFyqNp1_XAbUA/image-shrink_1280/B4EZqXlVmuKkAU-/0/1763479739753/2Dark-1jpg?e=2147483647&amp;v=beta&amp;t=iZhl9TBautCZUHYjey6WYaA0RTOMTzCLLARQ6xpquy0","View Creative")</f>
        <v>View Creative</v>
      </c>
      <c r="L4762" s="6" t="s">
        <v>62</v>
      </c>
      <c r="M4762" s="6" t="s">
        <v>8270</v>
      </c>
      <c r="N4762" s="6"/>
      <c r="O4762" s="36" t="s">
        <v>7541</v>
      </c>
      <c r="P4762" s="36" t="s">
        <v>7542</v>
      </c>
      <c r="Q4762" s="38"/>
    </row>
    <row r="4763">
      <c r="A4763" s="6" t="s">
        <v>8270</v>
      </c>
      <c r="B4763" s="6" t="s">
        <v>8271</v>
      </c>
      <c r="C4763" s="6">
        <v>712.0</v>
      </c>
      <c r="D4763" s="9" t="str">
        <f t="shared" si="1037"/>
        <v>Open Ad</v>
      </c>
      <c r="E4763" s="6" t="s">
        <v>91</v>
      </c>
      <c r="F4763" s="6" t="s">
        <v>8022</v>
      </c>
      <c r="G4763" s="6" t="s">
        <v>8382</v>
      </c>
      <c r="H4763" s="6" t="s">
        <v>55</v>
      </c>
      <c r="I4763" s="6" t="s">
        <v>8273</v>
      </c>
      <c r="J4763" s="6" t="s">
        <v>91</v>
      </c>
      <c r="K4763" s="12" t="str">
        <f t="shared" si="1038"/>
        <v>View Creative</v>
      </c>
      <c r="L4763" s="6" t="s">
        <v>62</v>
      </c>
      <c r="M4763" s="6" t="s">
        <v>8270</v>
      </c>
      <c r="N4763" s="6"/>
      <c r="O4763" s="36" t="s">
        <v>7541</v>
      </c>
      <c r="P4763" s="36" t="s">
        <v>7542</v>
      </c>
      <c r="Q4763" s="38"/>
    </row>
    <row r="4764">
      <c r="A4764" s="6" t="s">
        <v>8270</v>
      </c>
      <c r="B4764" s="6" t="s">
        <v>8271</v>
      </c>
      <c r="C4764" s="6">
        <v>713.0</v>
      </c>
      <c r="D4764" s="9" t="str">
        <f t="shared" ref="D4764:D4765" si="1039">HYPERLINK("https://www.linkedin.com/ad-library/detail/916872004","Open Ad")</f>
        <v>Open Ad</v>
      </c>
      <c r="E4764" s="6" t="s">
        <v>91</v>
      </c>
      <c r="F4764" s="6" t="s">
        <v>8022</v>
      </c>
      <c r="G4764" s="6" t="s">
        <v>8382</v>
      </c>
      <c r="H4764" s="6" t="s">
        <v>55</v>
      </c>
      <c r="I4764" s="6" t="s">
        <v>8273</v>
      </c>
      <c r="J4764" s="6" t="s">
        <v>91</v>
      </c>
      <c r="K4764" s="12" t="str">
        <f t="shared" ref="K4764:K4765" si="1040">HYPERLINK("https://media.licdn.com/dms/image/v2/D4E10AQGFN_P8WCY0jA/image-shrink_1280/B4EZqXllA6IwAQ-/0/1763479802713/3Light-1jpg?e=2147483647&amp;v=beta&amp;t=moKbMnOEBsk-2jZ7gRD3BVAse4I-Gvx4cmQbqTbU_bw","View Creative")</f>
        <v>View Creative</v>
      </c>
      <c r="L4764" s="6" t="s">
        <v>62</v>
      </c>
      <c r="M4764" s="6" t="s">
        <v>8270</v>
      </c>
      <c r="N4764" s="6"/>
      <c r="O4764" s="36" t="s">
        <v>7541</v>
      </c>
      <c r="P4764" s="36" t="s">
        <v>7542</v>
      </c>
      <c r="Q4764" s="38"/>
    </row>
    <row r="4765">
      <c r="A4765" s="6" t="s">
        <v>8270</v>
      </c>
      <c r="B4765" s="6" t="s">
        <v>8271</v>
      </c>
      <c r="C4765" s="6">
        <v>714.0</v>
      </c>
      <c r="D4765" s="9" t="str">
        <f t="shared" si="1039"/>
        <v>Open Ad</v>
      </c>
      <c r="E4765" s="6" t="s">
        <v>91</v>
      </c>
      <c r="F4765" s="6" t="s">
        <v>8022</v>
      </c>
      <c r="G4765" s="6" t="s">
        <v>8382</v>
      </c>
      <c r="H4765" s="6" t="s">
        <v>55</v>
      </c>
      <c r="I4765" s="6" t="s">
        <v>8273</v>
      </c>
      <c r="J4765" s="6" t="s">
        <v>91</v>
      </c>
      <c r="K4765" s="12" t="str">
        <f t="shared" si="1040"/>
        <v>View Creative</v>
      </c>
      <c r="L4765" s="6" t="s">
        <v>62</v>
      </c>
      <c r="M4765" s="6" t="s">
        <v>8270</v>
      </c>
      <c r="N4765" s="6"/>
      <c r="O4765" s="36" t="s">
        <v>7541</v>
      </c>
      <c r="P4765" s="36" t="s">
        <v>7542</v>
      </c>
      <c r="Q4765" s="38"/>
    </row>
    <row r="4766">
      <c r="A4766" s="6" t="s">
        <v>8270</v>
      </c>
      <c r="B4766" s="6" t="s">
        <v>8271</v>
      </c>
      <c r="C4766" s="6">
        <v>715.0</v>
      </c>
      <c r="D4766" s="9" t="str">
        <f t="shared" ref="D4766:D4767" si="1041">HYPERLINK("https://www.linkedin.com/ad-library/detail/916872014","Open Ad")</f>
        <v>Open Ad</v>
      </c>
      <c r="E4766" s="6" t="s">
        <v>91</v>
      </c>
      <c r="F4766" s="6" t="s">
        <v>8022</v>
      </c>
      <c r="G4766" s="6" t="s">
        <v>8373</v>
      </c>
      <c r="H4766" s="6" t="s">
        <v>55</v>
      </c>
      <c r="I4766" s="6" t="s">
        <v>8273</v>
      </c>
      <c r="J4766" s="6" t="s">
        <v>91</v>
      </c>
      <c r="K4766" s="12" t="str">
        <f t="shared" ref="K4766:K4767" si="1042">HYPERLINK("https://media.licdn.com/dms/image/v2/D4E10AQEU0w4UGxx8Ag/image-shrink_1280/B4EZqXkZXlIQAQ-/0/1763479492926/3Lightjpg?e=2147483647&amp;v=beta&amp;t=_jgwspKyqLBBvgvbnQErlUU5Db0lO5w9CIE-CNaO5CA","View Creative")</f>
        <v>View Creative</v>
      </c>
      <c r="L4766" s="6" t="s">
        <v>62</v>
      </c>
      <c r="M4766" s="6" t="s">
        <v>8270</v>
      </c>
      <c r="N4766" s="6"/>
      <c r="O4766" s="36" t="s">
        <v>7541</v>
      </c>
      <c r="P4766" s="36" t="s">
        <v>7542</v>
      </c>
      <c r="Q4766" s="38"/>
    </row>
    <row r="4767">
      <c r="A4767" s="6" t="s">
        <v>8270</v>
      </c>
      <c r="B4767" s="6" t="s">
        <v>8271</v>
      </c>
      <c r="C4767" s="6">
        <v>716.0</v>
      </c>
      <c r="D4767" s="9" t="str">
        <f t="shared" si="1041"/>
        <v>Open Ad</v>
      </c>
      <c r="E4767" s="6" t="s">
        <v>91</v>
      </c>
      <c r="F4767" s="6" t="s">
        <v>8022</v>
      </c>
      <c r="G4767" s="6" t="s">
        <v>8373</v>
      </c>
      <c r="H4767" s="6" t="s">
        <v>55</v>
      </c>
      <c r="I4767" s="6" t="s">
        <v>8273</v>
      </c>
      <c r="J4767" s="6" t="s">
        <v>91</v>
      </c>
      <c r="K4767" s="12" t="str">
        <f t="shared" si="1042"/>
        <v>View Creative</v>
      </c>
      <c r="L4767" s="6" t="s">
        <v>62</v>
      </c>
      <c r="M4767" s="6" t="s">
        <v>8270</v>
      </c>
      <c r="N4767" s="6"/>
      <c r="O4767" s="36" t="s">
        <v>7541</v>
      </c>
      <c r="P4767" s="36" t="s">
        <v>7542</v>
      </c>
      <c r="Q4767" s="38"/>
    </row>
    <row r="4768">
      <c r="A4768" s="6" t="s">
        <v>8270</v>
      </c>
      <c r="B4768" s="6" t="s">
        <v>8271</v>
      </c>
      <c r="C4768" s="6">
        <v>717.0</v>
      </c>
      <c r="D4768" s="9" t="str">
        <f t="shared" ref="D4768:D4769" si="1043">HYPERLINK("https://www.linkedin.com/ad-library/detail/916891774","Open Ad")</f>
        <v>Open Ad</v>
      </c>
      <c r="E4768" s="6" t="s">
        <v>91</v>
      </c>
      <c r="F4768" s="6" t="s">
        <v>8022</v>
      </c>
      <c r="G4768" s="6" t="s">
        <v>8382</v>
      </c>
      <c r="H4768" s="6" t="s">
        <v>55</v>
      </c>
      <c r="I4768" s="6" t="s">
        <v>8273</v>
      </c>
      <c r="J4768" s="6" t="s">
        <v>91</v>
      </c>
      <c r="K4768" s="12" t="str">
        <f t="shared" ref="K4768:K4769" si="1044">HYPERLINK("https://media.licdn.com/dms/image/v2/D4E10AQHnhFdk5erWzw/image-shrink_1280/B4EZqXl1jdHcAQ-/0/1763479870659/4Dark-1jpg?e=2147483647&amp;v=beta&amp;t=wQnFAsjwRWIR2Up9jZTNCEwfUoCUCC6kW19Coj1cMSo","View Creative")</f>
        <v>View Creative</v>
      </c>
      <c r="L4768" s="6" t="s">
        <v>62</v>
      </c>
      <c r="M4768" s="6" t="s">
        <v>8270</v>
      </c>
      <c r="N4768" s="6"/>
      <c r="O4768" s="36" t="s">
        <v>7541</v>
      </c>
      <c r="P4768" s="36" t="s">
        <v>7542</v>
      </c>
      <c r="Q4768" s="38"/>
    </row>
    <row r="4769">
      <c r="A4769" s="6" t="s">
        <v>8270</v>
      </c>
      <c r="B4769" s="6" t="s">
        <v>8271</v>
      </c>
      <c r="C4769" s="6">
        <v>718.0</v>
      </c>
      <c r="D4769" s="9" t="str">
        <f t="shared" si="1043"/>
        <v>Open Ad</v>
      </c>
      <c r="E4769" s="6" t="s">
        <v>91</v>
      </c>
      <c r="F4769" s="6" t="s">
        <v>8022</v>
      </c>
      <c r="G4769" s="6" t="s">
        <v>8382</v>
      </c>
      <c r="H4769" s="6" t="s">
        <v>55</v>
      </c>
      <c r="I4769" s="6" t="s">
        <v>8273</v>
      </c>
      <c r="J4769" s="6" t="s">
        <v>91</v>
      </c>
      <c r="K4769" s="12" t="str">
        <f t="shared" si="1044"/>
        <v>View Creative</v>
      </c>
      <c r="L4769" s="6" t="s">
        <v>62</v>
      </c>
      <c r="M4769" s="6" t="s">
        <v>8270</v>
      </c>
      <c r="N4769" s="6"/>
      <c r="O4769" s="36" t="s">
        <v>7541</v>
      </c>
      <c r="P4769" s="36" t="s">
        <v>7542</v>
      </c>
      <c r="Q4769" s="38"/>
    </row>
    <row r="4770">
      <c r="A4770" s="6" t="s">
        <v>8270</v>
      </c>
      <c r="B4770" s="6" t="s">
        <v>8271</v>
      </c>
      <c r="C4770" s="6">
        <v>719.0</v>
      </c>
      <c r="D4770" s="9" t="str">
        <f t="shared" ref="D4770:D4771" si="1045">HYPERLINK("https://www.linkedin.com/ad-library/detail/916891784","Open Ad")</f>
        <v>Open Ad</v>
      </c>
      <c r="E4770" s="6" t="s">
        <v>91</v>
      </c>
      <c r="F4770" s="6" t="s">
        <v>8022</v>
      </c>
      <c r="G4770" s="6" t="s">
        <v>8373</v>
      </c>
      <c r="H4770" s="6" t="s">
        <v>55</v>
      </c>
      <c r="I4770" s="6" t="s">
        <v>8273</v>
      </c>
      <c r="J4770" s="6" t="s">
        <v>91</v>
      </c>
      <c r="K4770" s="12" t="str">
        <f t="shared" ref="K4770:K4771" si="1046">HYPERLINK("https://media.licdn.com/dms/image/v2/D4E10AQFxfjR2dJkNlg/image-shrink_1280/B4EZqXj65yHoAQ-/0/1763479368316/2Lightjpg?e=2147483647&amp;v=beta&amp;t=0BZupskLHGP7TqtfAL-L-mFVlgtE8yz43mAhCvAvz8E","View Creative")</f>
        <v>View Creative</v>
      </c>
      <c r="L4770" s="6" t="s">
        <v>62</v>
      </c>
      <c r="M4770" s="6" t="s">
        <v>8270</v>
      </c>
      <c r="N4770" s="6"/>
      <c r="O4770" s="36" t="s">
        <v>7541</v>
      </c>
      <c r="P4770" s="36" t="s">
        <v>7542</v>
      </c>
      <c r="Q4770" s="38"/>
    </row>
    <row r="4771">
      <c r="A4771" s="6" t="s">
        <v>8270</v>
      </c>
      <c r="B4771" s="6" t="s">
        <v>8271</v>
      </c>
      <c r="C4771" s="6">
        <v>720.0</v>
      </c>
      <c r="D4771" s="9" t="str">
        <f t="shared" si="1045"/>
        <v>Open Ad</v>
      </c>
      <c r="E4771" s="6" t="s">
        <v>91</v>
      </c>
      <c r="F4771" s="6" t="s">
        <v>8022</v>
      </c>
      <c r="G4771" s="6" t="s">
        <v>8373</v>
      </c>
      <c r="H4771" s="6" t="s">
        <v>55</v>
      </c>
      <c r="I4771" s="6" t="s">
        <v>8273</v>
      </c>
      <c r="J4771" s="6" t="s">
        <v>91</v>
      </c>
      <c r="K4771" s="12" t="str">
        <f t="shared" si="1046"/>
        <v>View Creative</v>
      </c>
      <c r="L4771" s="6" t="s">
        <v>62</v>
      </c>
      <c r="M4771" s="6" t="s">
        <v>8270</v>
      </c>
      <c r="N4771" s="6"/>
      <c r="O4771" s="36" t="s">
        <v>7541</v>
      </c>
      <c r="P4771" s="36" t="s">
        <v>7542</v>
      </c>
      <c r="Q4771" s="38"/>
    </row>
    <row r="4772">
      <c r="A4772" s="6" t="s">
        <v>8270</v>
      </c>
      <c r="B4772" s="6" t="s">
        <v>8271</v>
      </c>
      <c r="C4772" s="6">
        <v>721.0</v>
      </c>
      <c r="D4772" s="9" t="str">
        <f t="shared" ref="D4772:D4773" si="1047">HYPERLINK("https://www.linkedin.com/ad-library/detail/916921814","Open Ad")</f>
        <v>Open Ad</v>
      </c>
      <c r="E4772" s="6" t="s">
        <v>91</v>
      </c>
      <c r="F4772" s="6" t="s">
        <v>8022</v>
      </c>
      <c r="G4772" s="6" t="s">
        <v>8382</v>
      </c>
      <c r="H4772" s="6" t="s">
        <v>55</v>
      </c>
      <c r="I4772" s="6" t="s">
        <v>8273</v>
      </c>
      <c r="J4772" s="6" t="s">
        <v>91</v>
      </c>
      <c r="K4772" s="12" t="str">
        <f t="shared" ref="K4772:K4773" si="1048">HYPERLINK("https://media.licdn.com/dms/image/v2/D4E10AQGFN_P8WCY0jA/image-shrink_1280/B4EZqXllA6IwAQ-/0/1763479802713/3Light-1jpg?e=2147483647&amp;v=beta&amp;t=moKbMnOEBsk-2jZ7gRD3BVAse4I-Gvx4cmQbqTbU_bw","View Creative")</f>
        <v>View Creative</v>
      </c>
      <c r="L4772" s="6" t="s">
        <v>62</v>
      </c>
      <c r="M4772" s="6" t="s">
        <v>8270</v>
      </c>
      <c r="N4772" s="6"/>
      <c r="O4772" s="36" t="s">
        <v>7541</v>
      </c>
      <c r="P4772" s="36" t="s">
        <v>7542</v>
      </c>
      <c r="Q4772" s="38"/>
    </row>
    <row r="4773">
      <c r="A4773" s="6" t="s">
        <v>8270</v>
      </c>
      <c r="B4773" s="6" t="s">
        <v>8271</v>
      </c>
      <c r="C4773" s="6">
        <v>722.0</v>
      </c>
      <c r="D4773" s="9" t="str">
        <f t="shared" si="1047"/>
        <v>Open Ad</v>
      </c>
      <c r="E4773" s="6" t="s">
        <v>91</v>
      </c>
      <c r="F4773" s="6" t="s">
        <v>8022</v>
      </c>
      <c r="G4773" s="6" t="s">
        <v>8382</v>
      </c>
      <c r="H4773" s="6" t="s">
        <v>55</v>
      </c>
      <c r="I4773" s="6" t="s">
        <v>8273</v>
      </c>
      <c r="J4773" s="6" t="s">
        <v>91</v>
      </c>
      <c r="K4773" s="12" t="str">
        <f t="shared" si="1048"/>
        <v>View Creative</v>
      </c>
      <c r="L4773" s="6" t="s">
        <v>62</v>
      </c>
      <c r="M4773" s="6" t="s">
        <v>8270</v>
      </c>
      <c r="N4773" s="6"/>
      <c r="O4773" s="36" t="s">
        <v>7541</v>
      </c>
      <c r="P4773" s="36" t="s">
        <v>7542</v>
      </c>
      <c r="Q4773" s="38"/>
    </row>
    <row r="4774">
      <c r="A4774" s="6" t="s">
        <v>8270</v>
      </c>
      <c r="B4774" s="6" t="s">
        <v>8271</v>
      </c>
      <c r="C4774" s="6">
        <v>723.0</v>
      </c>
      <c r="D4774" s="9" t="str">
        <f t="shared" ref="D4774:D4775" si="1049">HYPERLINK("https://www.linkedin.com/ad-library/detail/916722894","Open Ad")</f>
        <v>Open Ad</v>
      </c>
      <c r="E4774" s="6" t="s">
        <v>91</v>
      </c>
      <c r="F4774" s="6" t="s">
        <v>8022</v>
      </c>
      <c r="G4774" s="6" t="s">
        <v>8363</v>
      </c>
      <c r="H4774" s="6" t="s">
        <v>55</v>
      </c>
      <c r="I4774" s="6" t="s">
        <v>8273</v>
      </c>
      <c r="J4774" s="6" t="s">
        <v>91</v>
      </c>
      <c r="K4774" s="12" t="str">
        <f t="shared" ref="K4774:K4775" si="1050">HYPERLINK("https://media.licdn.com/dms/image/v2/D4E10AQF4bTkTRfa3uA/image-shrink_1280/B4EZqXgd47HMAM-/0/1763478462911/4Light-2jpg?e=2147483647&amp;v=beta&amp;t=uK41TOo8iHj_pufRB7IRs6CRYzq8e8v7tl4rEbNjC4k","View Creative")</f>
        <v>View Creative</v>
      </c>
      <c r="L4774" s="6" t="s">
        <v>62</v>
      </c>
      <c r="M4774" s="6" t="s">
        <v>8270</v>
      </c>
      <c r="N4774" s="6" t="s">
        <v>8383</v>
      </c>
      <c r="O4774" s="36" t="s">
        <v>7541</v>
      </c>
      <c r="P4774" s="36" t="s">
        <v>7542</v>
      </c>
      <c r="Q4774" s="38"/>
    </row>
    <row r="4775">
      <c r="A4775" s="6" t="s">
        <v>8270</v>
      </c>
      <c r="B4775" s="6" t="s">
        <v>8271</v>
      </c>
      <c r="C4775" s="6">
        <v>724.0</v>
      </c>
      <c r="D4775" s="9" t="str">
        <f t="shared" si="1049"/>
        <v>Open Ad</v>
      </c>
      <c r="E4775" s="6" t="s">
        <v>91</v>
      </c>
      <c r="F4775" s="6" t="s">
        <v>8022</v>
      </c>
      <c r="G4775" s="6" t="s">
        <v>8363</v>
      </c>
      <c r="H4775" s="6" t="s">
        <v>55</v>
      </c>
      <c r="I4775" s="6" t="s">
        <v>8273</v>
      </c>
      <c r="J4775" s="6" t="s">
        <v>91</v>
      </c>
      <c r="K4775" s="12" t="str">
        <f t="shared" si="1050"/>
        <v>View Creative</v>
      </c>
      <c r="L4775" s="6" t="s">
        <v>62</v>
      </c>
      <c r="M4775" s="6" t="s">
        <v>8270</v>
      </c>
      <c r="N4775" s="6" t="s">
        <v>8383</v>
      </c>
      <c r="O4775" s="36" t="s">
        <v>7541</v>
      </c>
      <c r="P4775" s="36" t="s">
        <v>7542</v>
      </c>
      <c r="Q4775" s="38"/>
    </row>
    <row r="4776">
      <c r="A4776" s="6" t="s">
        <v>8270</v>
      </c>
      <c r="B4776" s="6" t="s">
        <v>8271</v>
      </c>
      <c r="C4776" s="6">
        <v>725.0</v>
      </c>
      <c r="D4776" s="9" t="str">
        <f t="shared" ref="D4776:D4777" si="1051">HYPERLINK("https://www.linkedin.com/ad-library/detail/916722884","Open Ad")</f>
        <v>Open Ad</v>
      </c>
      <c r="E4776" s="6" t="s">
        <v>91</v>
      </c>
      <c r="F4776" s="6" t="s">
        <v>8022</v>
      </c>
      <c r="G4776" s="6" t="s">
        <v>8382</v>
      </c>
      <c r="H4776" s="6" t="s">
        <v>55</v>
      </c>
      <c r="I4776" s="6" t="s">
        <v>8273</v>
      </c>
      <c r="J4776" s="6" t="s">
        <v>91</v>
      </c>
      <c r="K4776" s="12" t="str">
        <f t="shared" ref="K4776:K4777" si="1052">HYPERLINK("https://media.licdn.com/dms/image/v2/D4E10AQEibW1Mbh7sqA/image-shrink_1280/B4EZqXls8NJ0AM-/0/1763479835181/4Light-1jpg?e=2147483647&amp;v=beta&amp;t=2hMSkg_WzpI0QH6KbZSxbFIXB8RwAQMadtR6L1vWDAk","View Creative")</f>
        <v>View Creative</v>
      </c>
      <c r="L4776" s="6" t="s">
        <v>62</v>
      </c>
      <c r="M4776" s="6" t="s">
        <v>8270</v>
      </c>
      <c r="N4776" s="6" t="s">
        <v>8383</v>
      </c>
      <c r="O4776" s="36" t="s">
        <v>7541</v>
      </c>
      <c r="P4776" s="36" t="s">
        <v>7542</v>
      </c>
      <c r="Q4776" s="38"/>
    </row>
    <row r="4777">
      <c r="A4777" s="6" t="s">
        <v>8270</v>
      </c>
      <c r="B4777" s="6" t="s">
        <v>8271</v>
      </c>
      <c r="C4777" s="6">
        <v>726.0</v>
      </c>
      <c r="D4777" s="9" t="str">
        <f t="shared" si="1051"/>
        <v>Open Ad</v>
      </c>
      <c r="E4777" s="6" t="s">
        <v>91</v>
      </c>
      <c r="F4777" s="6" t="s">
        <v>8022</v>
      </c>
      <c r="G4777" s="6" t="s">
        <v>8382</v>
      </c>
      <c r="H4777" s="6" t="s">
        <v>55</v>
      </c>
      <c r="I4777" s="6" t="s">
        <v>8273</v>
      </c>
      <c r="J4777" s="6" t="s">
        <v>91</v>
      </c>
      <c r="K4777" s="12" t="str">
        <f t="shared" si="1052"/>
        <v>View Creative</v>
      </c>
      <c r="L4777" s="6" t="s">
        <v>62</v>
      </c>
      <c r="M4777" s="6" t="s">
        <v>8270</v>
      </c>
      <c r="N4777" s="6" t="s">
        <v>8383</v>
      </c>
      <c r="O4777" s="36" t="s">
        <v>7541</v>
      </c>
      <c r="P4777" s="36" t="s">
        <v>7542</v>
      </c>
      <c r="Q4777" s="38"/>
    </row>
    <row r="4778">
      <c r="A4778" s="6" t="s">
        <v>8270</v>
      </c>
      <c r="B4778" s="6" t="s">
        <v>8271</v>
      </c>
      <c r="C4778" s="6">
        <v>727.0</v>
      </c>
      <c r="D4778" s="9" t="str">
        <f t="shared" ref="D4778:D4779" si="1053">HYPERLINK("https://www.linkedin.com/ad-library/detail/916772474","Open Ad")</f>
        <v>Open Ad</v>
      </c>
      <c r="E4778" s="6" t="s">
        <v>91</v>
      </c>
      <c r="F4778" s="6" t="s">
        <v>8022</v>
      </c>
      <c r="G4778" s="6" t="s">
        <v>8363</v>
      </c>
      <c r="H4778" s="6" t="s">
        <v>55</v>
      </c>
      <c r="I4778" s="6" t="s">
        <v>8273</v>
      </c>
      <c r="J4778" s="6" t="s">
        <v>91</v>
      </c>
      <c r="K4778" s="12" t="str">
        <f t="shared" ref="K4778:K4779" si="1054">HYPERLINK("https://media.licdn.com/dms/image/v2/D4E10AQENGaPDx5roqA/image-shrink_1280/B4EZqXim7FKkAM-/0/1763479024318/2Light-2jpg?e=2147483647&amp;v=beta&amp;t=DZept9KGGJUeiMjvlU1rddz-iLlsRJ0i4DTZKOx7IH4","View Creative")</f>
        <v>View Creative</v>
      </c>
      <c r="L4778" s="6" t="s">
        <v>62</v>
      </c>
      <c r="M4778" s="6" t="s">
        <v>8270</v>
      </c>
      <c r="N4778" s="6" t="s">
        <v>8383</v>
      </c>
      <c r="O4778" s="36" t="s">
        <v>7541</v>
      </c>
      <c r="P4778" s="36" t="s">
        <v>7542</v>
      </c>
      <c r="Q4778" s="38"/>
    </row>
    <row r="4779">
      <c r="A4779" s="6" t="s">
        <v>8270</v>
      </c>
      <c r="B4779" s="6" t="s">
        <v>8271</v>
      </c>
      <c r="C4779" s="6">
        <v>728.0</v>
      </c>
      <c r="D4779" s="9" t="str">
        <f t="shared" si="1053"/>
        <v>Open Ad</v>
      </c>
      <c r="E4779" s="6" t="s">
        <v>91</v>
      </c>
      <c r="F4779" s="6" t="s">
        <v>8022</v>
      </c>
      <c r="G4779" s="6" t="s">
        <v>8363</v>
      </c>
      <c r="H4779" s="6" t="s">
        <v>55</v>
      </c>
      <c r="I4779" s="6" t="s">
        <v>8273</v>
      </c>
      <c r="J4779" s="6" t="s">
        <v>91</v>
      </c>
      <c r="K4779" s="12" t="str">
        <f t="shared" si="1054"/>
        <v>View Creative</v>
      </c>
      <c r="L4779" s="6" t="s">
        <v>62</v>
      </c>
      <c r="M4779" s="6" t="s">
        <v>8270</v>
      </c>
      <c r="N4779" s="6" t="s">
        <v>8383</v>
      </c>
      <c r="O4779" s="36" t="s">
        <v>7541</v>
      </c>
      <c r="P4779" s="36" t="s">
        <v>7542</v>
      </c>
      <c r="Q4779" s="38"/>
    </row>
    <row r="4780">
      <c r="A4780" s="6" t="s">
        <v>8270</v>
      </c>
      <c r="B4780" s="6" t="s">
        <v>8271</v>
      </c>
      <c r="C4780" s="6">
        <v>729.0</v>
      </c>
      <c r="D4780" s="9" t="str">
        <f t="shared" ref="D4780:D4781" si="1055">HYPERLINK("https://www.linkedin.com/ad-library/detail/916941524","Open Ad")</f>
        <v>Open Ad</v>
      </c>
      <c r="E4780" s="6" t="s">
        <v>91</v>
      </c>
      <c r="F4780" s="6" t="s">
        <v>8022</v>
      </c>
      <c r="G4780" s="6" t="s">
        <v>8373</v>
      </c>
      <c r="H4780" s="6" t="s">
        <v>55</v>
      </c>
      <c r="I4780" s="6" t="s">
        <v>8273</v>
      </c>
      <c r="J4780" s="6" t="s">
        <v>91</v>
      </c>
      <c r="K4780" s="12" t="str">
        <f t="shared" ref="K4780:K4781" si="1056">HYPERLINK("https://media.licdn.com/dms/image/v2/D4E10AQFxfjR2dJkNlg/image-shrink_1280/B4EZqXj65yHoAQ-/0/1763479368316/2Lightjpg?e=2147483647&amp;v=beta&amp;t=0BZupskLHGP7TqtfAL-L-mFVlgtE8yz43mAhCvAvz8E","View Creative")</f>
        <v>View Creative</v>
      </c>
      <c r="L4780" s="6" t="s">
        <v>62</v>
      </c>
      <c r="M4780" s="6" t="s">
        <v>8270</v>
      </c>
      <c r="N4780" s="6" t="s">
        <v>8383</v>
      </c>
      <c r="O4780" s="36" t="s">
        <v>7541</v>
      </c>
      <c r="P4780" s="36" t="s">
        <v>7542</v>
      </c>
      <c r="Q4780" s="38"/>
    </row>
    <row r="4781">
      <c r="A4781" s="6" t="s">
        <v>8270</v>
      </c>
      <c r="B4781" s="6" t="s">
        <v>8271</v>
      </c>
      <c r="C4781" s="6">
        <v>730.0</v>
      </c>
      <c r="D4781" s="9" t="str">
        <f t="shared" si="1055"/>
        <v>Open Ad</v>
      </c>
      <c r="E4781" s="6" t="s">
        <v>91</v>
      </c>
      <c r="F4781" s="6" t="s">
        <v>8022</v>
      </c>
      <c r="G4781" s="6" t="s">
        <v>8373</v>
      </c>
      <c r="H4781" s="6" t="s">
        <v>55</v>
      </c>
      <c r="I4781" s="6" t="s">
        <v>8273</v>
      </c>
      <c r="J4781" s="6" t="s">
        <v>91</v>
      </c>
      <c r="K4781" s="12" t="str">
        <f t="shared" si="1056"/>
        <v>View Creative</v>
      </c>
      <c r="L4781" s="6" t="s">
        <v>62</v>
      </c>
      <c r="M4781" s="6" t="s">
        <v>8270</v>
      </c>
      <c r="N4781" s="6" t="s">
        <v>8383</v>
      </c>
      <c r="O4781" s="36" t="s">
        <v>7541</v>
      </c>
      <c r="P4781" s="36" t="s">
        <v>7542</v>
      </c>
      <c r="Q4781" s="38"/>
    </row>
    <row r="4782">
      <c r="A4782" s="6" t="s">
        <v>8270</v>
      </c>
      <c r="B4782" s="6" t="s">
        <v>8271</v>
      </c>
      <c r="C4782" s="6">
        <v>731.0</v>
      </c>
      <c r="D4782" s="9" t="str">
        <f t="shared" ref="D4782:D4783" si="1057">HYPERLINK("https://www.linkedin.com/ad-library/detail/916792354","Open Ad")</f>
        <v>Open Ad</v>
      </c>
      <c r="E4782" s="6" t="s">
        <v>91</v>
      </c>
      <c r="F4782" s="6" t="s">
        <v>8022</v>
      </c>
      <c r="G4782" s="6" t="s">
        <v>8363</v>
      </c>
      <c r="H4782" s="6" t="s">
        <v>55</v>
      </c>
      <c r="I4782" s="6" t="s">
        <v>8273</v>
      </c>
      <c r="J4782" s="6" t="s">
        <v>91</v>
      </c>
      <c r="K4782" s="12" t="str">
        <f t="shared" ref="K4782:K4783" si="1058">HYPERLINK("https://media.licdn.com/dms/image/v2/D4E10AQExlvzvwZR9Cw/image-shrink_1280/B4EZqXjO3_JgAQ-/0/1763479187977/3Dark-2jpg?e=2147483647&amp;v=beta&amp;t=hIw8-9_xZmTLDeJdkluPd0WO2TRrUEIgeIYzXYtAh1g","View Creative")</f>
        <v>View Creative</v>
      </c>
      <c r="L4782" s="6" t="s">
        <v>62</v>
      </c>
      <c r="M4782" s="6" t="s">
        <v>8270</v>
      </c>
      <c r="N4782" s="6" t="s">
        <v>8383</v>
      </c>
      <c r="O4782" s="36" t="s">
        <v>7541</v>
      </c>
      <c r="P4782" s="36" t="s">
        <v>7542</v>
      </c>
      <c r="Q4782" s="38"/>
    </row>
    <row r="4783">
      <c r="A4783" s="6" t="s">
        <v>8270</v>
      </c>
      <c r="B4783" s="6" t="s">
        <v>8271</v>
      </c>
      <c r="C4783" s="6">
        <v>732.0</v>
      </c>
      <c r="D4783" s="9" t="str">
        <f t="shared" si="1057"/>
        <v>Open Ad</v>
      </c>
      <c r="E4783" s="6" t="s">
        <v>91</v>
      </c>
      <c r="F4783" s="6" t="s">
        <v>8022</v>
      </c>
      <c r="G4783" s="6" t="s">
        <v>8363</v>
      </c>
      <c r="H4783" s="6" t="s">
        <v>55</v>
      </c>
      <c r="I4783" s="6" t="s">
        <v>8273</v>
      </c>
      <c r="J4783" s="6" t="s">
        <v>91</v>
      </c>
      <c r="K4783" s="12" t="str">
        <f t="shared" si="1058"/>
        <v>View Creative</v>
      </c>
      <c r="L4783" s="6" t="s">
        <v>62</v>
      </c>
      <c r="M4783" s="6" t="s">
        <v>8270</v>
      </c>
      <c r="N4783" s="6" t="s">
        <v>8383</v>
      </c>
      <c r="O4783" s="36" t="s">
        <v>7541</v>
      </c>
      <c r="P4783" s="36" t="s">
        <v>7542</v>
      </c>
      <c r="Q4783" s="38"/>
    </row>
    <row r="4784">
      <c r="A4784" s="6" t="s">
        <v>8270</v>
      </c>
      <c r="B4784" s="6" t="s">
        <v>8271</v>
      </c>
      <c r="C4784" s="6">
        <v>733.0</v>
      </c>
      <c r="D4784" s="9" t="str">
        <f t="shared" ref="D4784:D4785" si="1059">HYPERLINK("https://www.linkedin.com/ad-library/detail/916802364","Open Ad")</f>
        <v>Open Ad</v>
      </c>
      <c r="E4784" s="6" t="s">
        <v>91</v>
      </c>
      <c r="F4784" s="6" t="s">
        <v>8022</v>
      </c>
      <c r="G4784" s="6" t="s">
        <v>8363</v>
      </c>
      <c r="H4784" s="6" t="s">
        <v>55</v>
      </c>
      <c r="I4784" s="6" t="s">
        <v>8273</v>
      </c>
      <c r="J4784" s="6" t="s">
        <v>91</v>
      </c>
      <c r="K4784" s="12" t="str">
        <f t="shared" ref="K4784:K4785" si="1060">HYPERLINK("https://media.licdn.com/dms/image/v2/D4E10AQHcSoWO1dYKtQ/image-shrink_1280/B4EZqXi5QAHcAQ-/0/1763479099393/2Dark-2jpg?e=2147483647&amp;v=beta&amp;t=icCzusjbqHqZBG3AQPs0VI2nQANVz543VtPBphg9iAk","View Creative")</f>
        <v>View Creative</v>
      </c>
      <c r="L4784" s="6" t="s">
        <v>62</v>
      </c>
      <c r="M4784" s="6" t="s">
        <v>8270</v>
      </c>
      <c r="N4784" s="6"/>
      <c r="O4784" s="36" t="s">
        <v>7541</v>
      </c>
      <c r="P4784" s="36" t="s">
        <v>7542</v>
      </c>
      <c r="Q4784" s="38"/>
    </row>
    <row r="4785">
      <c r="A4785" s="6" t="s">
        <v>8270</v>
      </c>
      <c r="B4785" s="6" t="s">
        <v>8271</v>
      </c>
      <c r="C4785" s="6">
        <v>734.0</v>
      </c>
      <c r="D4785" s="9" t="str">
        <f t="shared" si="1059"/>
        <v>Open Ad</v>
      </c>
      <c r="E4785" s="6" t="s">
        <v>91</v>
      </c>
      <c r="F4785" s="6" t="s">
        <v>8022</v>
      </c>
      <c r="G4785" s="6" t="s">
        <v>8363</v>
      </c>
      <c r="H4785" s="6" t="s">
        <v>55</v>
      </c>
      <c r="I4785" s="6" t="s">
        <v>8273</v>
      </c>
      <c r="J4785" s="6" t="s">
        <v>91</v>
      </c>
      <c r="K4785" s="12" t="str">
        <f t="shared" si="1060"/>
        <v>View Creative</v>
      </c>
      <c r="L4785" s="6" t="s">
        <v>62</v>
      </c>
      <c r="M4785" s="6" t="s">
        <v>8270</v>
      </c>
      <c r="N4785" s="6"/>
      <c r="O4785" s="36" t="s">
        <v>7541</v>
      </c>
      <c r="P4785" s="36" t="s">
        <v>7542</v>
      </c>
      <c r="Q4785" s="38"/>
    </row>
    <row r="4786">
      <c r="A4786" s="6" t="s">
        <v>8270</v>
      </c>
      <c r="B4786" s="6" t="s">
        <v>8271</v>
      </c>
      <c r="C4786" s="6">
        <v>735.0</v>
      </c>
      <c r="D4786" s="9" t="str">
        <f t="shared" ref="D4786:D4787" si="1061">HYPERLINK("https://www.linkedin.com/ad-library/detail/916822154","Open Ad")</f>
        <v>Open Ad</v>
      </c>
      <c r="E4786" s="6" t="s">
        <v>91</v>
      </c>
      <c r="F4786" s="6" t="s">
        <v>8022</v>
      </c>
      <c r="G4786" s="6" t="s">
        <v>8373</v>
      </c>
      <c r="H4786" s="6" t="s">
        <v>55</v>
      </c>
      <c r="I4786" s="6" t="s">
        <v>8273</v>
      </c>
      <c r="J4786" s="6" t="s">
        <v>91</v>
      </c>
      <c r="K4786" s="12" t="str">
        <f t="shared" ref="K4786:K4787" si="1062">HYPERLINK("https://media.licdn.com/dms/image/v2/D4E10AQEU0w4UGxx8Ag/image-shrink_1280/B4EZqXkZXlIQAQ-/0/1763479492926/3Lightjpg?e=2147483647&amp;v=beta&amp;t=_jgwspKyqLBBvgvbnQErlUU5Db0lO5w9CIE-CNaO5CA","View Creative")</f>
        <v>View Creative</v>
      </c>
      <c r="L4786" s="6" t="s">
        <v>62</v>
      </c>
      <c r="M4786" s="6" t="s">
        <v>8270</v>
      </c>
      <c r="N4786" s="6" t="s">
        <v>8383</v>
      </c>
      <c r="O4786" s="36" t="s">
        <v>7541</v>
      </c>
      <c r="P4786" s="36" t="s">
        <v>7542</v>
      </c>
      <c r="Q4786" s="38"/>
    </row>
    <row r="4787">
      <c r="A4787" s="6" t="s">
        <v>8270</v>
      </c>
      <c r="B4787" s="6" t="s">
        <v>8271</v>
      </c>
      <c r="C4787" s="6">
        <v>736.0</v>
      </c>
      <c r="D4787" s="9" t="str">
        <f t="shared" si="1061"/>
        <v>Open Ad</v>
      </c>
      <c r="E4787" s="6" t="s">
        <v>91</v>
      </c>
      <c r="F4787" s="6" t="s">
        <v>8022</v>
      </c>
      <c r="G4787" s="6" t="s">
        <v>8373</v>
      </c>
      <c r="H4787" s="6" t="s">
        <v>55</v>
      </c>
      <c r="I4787" s="6" t="s">
        <v>8273</v>
      </c>
      <c r="J4787" s="6" t="s">
        <v>91</v>
      </c>
      <c r="K4787" s="12" t="str">
        <f t="shared" si="1062"/>
        <v>View Creative</v>
      </c>
      <c r="L4787" s="6" t="s">
        <v>62</v>
      </c>
      <c r="M4787" s="6" t="s">
        <v>8270</v>
      </c>
      <c r="N4787" s="6" t="s">
        <v>8383</v>
      </c>
      <c r="O4787" s="36" t="s">
        <v>7541</v>
      </c>
      <c r="P4787" s="36" t="s">
        <v>7542</v>
      </c>
      <c r="Q4787" s="38"/>
    </row>
    <row r="4788">
      <c r="A4788" s="6" t="s">
        <v>8270</v>
      </c>
      <c r="B4788" s="6" t="s">
        <v>8271</v>
      </c>
      <c r="C4788" s="6">
        <v>737.0</v>
      </c>
      <c r="D4788" s="9" t="str">
        <f t="shared" ref="D4788:D4789" si="1063">HYPERLINK("https://www.linkedin.com/ad-library/detail/916921774","Open Ad")</f>
        <v>Open Ad</v>
      </c>
      <c r="E4788" s="6" t="s">
        <v>91</v>
      </c>
      <c r="F4788" s="6" t="s">
        <v>8022</v>
      </c>
      <c r="G4788" s="6" t="s">
        <v>8382</v>
      </c>
      <c r="H4788" s="6" t="s">
        <v>55</v>
      </c>
      <c r="I4788" s="6" t="s">
        <v>8273</v>
      </c>
      <c r="J4788" s="6" t="s">
        <v>91</v>
      </c>
      <c r="K4788" s="12" t="str">
        <f t="shared" ref="K4788:K4789" si="1064">HYPERLINK("https://media.licdn.com/dms/image/v2/D4E10AQGFN_P8WCY0jA/image-shrink_1280/B4EZqXllA6IwAQ-/0/1763479802713/3Light-1jpg?e=2147483647&amp;v=beta&amp;t=moKbMnOEBsk-2jZ7gRD3BVAse4I-Gvx4cmQbqTbU_bw","View Creative")</f>
        <v>View Creative</v>
      </c>
      <c r="L4788" s="6" t="s">
        <v>62</v>
      </c>
      <c r="M4788" s="6" t="s">
        <v>8270</v>
      </c>
      <c r="N4788" s="6" t="s">
        <v>8383</v>
      </c>
      <c r="O4788" s="36" t="s">
        <v>7541</v>
      </c>
      <c r="P4788" s="36" t="s">
        <v>7542</v>
      </c>
      <c r="Q4788" s="38"/>
    </row>
    <row r="4789">
      <c r="A4789" s="6" t="s">
        <v>8270</v>
      </c>
      <c r="B4789" s="6" t="s">
        <v>8271</v>
      </c>
      <c r="C4789" s="6">
        <v>738.0</v>
      </c>
      <c r="D4789" s="9" t="str">
        <f t="shared" si="1063"/>
        <v>Open Ad</v>
      </c>
      <c r="E4789" s="6" t="s">
        <v>91</v>
      </c>
      <c r="F4789" s="6" t="s">
        <v>8022</v>
      </c>
      <c r="G4789" s="6" t="s">
        <v>8382</v>
      </c>
      <c r="H4789" s="6" t="s">
        <v>55</v>
      </c>
      <c r="I4789" s="6" t="s">
        <v>8273</v>
      </c>
      <c r="J4789" s="6" t="s">
        <v>91</v>
      </c>
      <c r="K4789" s="12" t="str">
        <f t="shared" si="1064"/>
        <v>View Creative</v>
      </c>
      <c r="L4789" s="6" t="s">
        <v>62</v>
      </c>
      <c r="M4789" s="6" t="s">
        <v>8270</v>
      </c>
      <c r="N4789" s="6" t="s">
        <v>8383</v>
      </c>
      <c r="O4789" s="36" t="s">
        <v>7541</v>
      </c>
      <c r="P4789" s="36" t="s">
        <v>7542</v>
      </c>
      <c r="Q4789" s="38"/>
    </row>
    <row r="4790">
      <c r="A4790" s="6" t="s">
        <v>8270</v>
      </c>
      <c r="B4790" s="6" t="s">
        <v>8271</v>
      </c>
      <c r="C4790" s="6">
        <v>739.0</v>
      </c>
      <c r="D4790" s="9" t="str">
        <f t="shared" ref="D4790:D4791" si="1065">HYPERLINK("https://www.linkedin.com/ad-library/detail/916921784","Open Ad")</f>
        <v>Open Ad</v>
      </c>
      <c r="E4790" s="6" t="s">
        <v>91</v>
      </c>
      <c r="F4790" s="6" t="s">
        <v>8022</v>
      </c>
      <c r="G4790" s="6" t="s">
        <v>8382</v>
      </c>
      <c r="H4790" s="6" t="s">
        <v>55</v>
      </c>
      <c r="I4790" s="6" t="s">
        <v>8273</v>
      </c>
      <c r="J4790" s="6" t="s">
        <v>91</v>
      </c>
      <c r="K4790" s="12" t="str">
        <f t="shared" ref="K4790:K4793" si="1066">HYPERLINK("https://media.licdn.com/dms/image/v2/D4E10AQG-5ahZNFJ0Qw/image-shrink_1280/B4EZqXlcw9J0AQ-/0/1763479769117/3Dark-1jpg?e=2147483647&amp;v=beta&amp;t=4-8BXjQk2Kp5K6WaUT9S6iuqFLEfdncrDe1XCFFXnhA","View Creative")</f>
        <v>View Creative</v>
      </c>
      <c r="L4790" s="6" t="s">
        <v>62</v>
      </c>
      <c r="M4790" s="6" t="s">
        <v>8270</v>
      </c>
      <c r="N4790" s="6" t="s">
        <v>8383</v>
      </c>
      <c r="O4790" s="36" t="s">
        <v>7541</v>
      </c>
      <c r="P4790" s="36" t="s">
        <v>7542</v>
      </c>
      <c r="Q4790" s="38"/>
    </row>
    <row r="4791">
      <c r="A4791" s="6" t="s">
        <v>8270</v>
      </c>
      <c r="B4791" s="6" t="s">
        <v>8271</v>
      </c>
      <c r="C4791" s="6">
        <v>740.0</v>
      </c>
      <c r="D4791" s="9" t="str">
        <f t="shared" si="1065"/>
        <v>Open Ad</v>
      </c>
      <c r="E4791" s="6" t="s">
        <v>91</v>
      </c>
      <c r="F4791" s="6" t="s">
        <v>8022</v>
      </c>
      <c r="G4791" s="6" t="s">
        <v>8382</v>
      </c>
      <c r="H4791" s="6" t="s">
        <v>55</v>
      </c>
      <c r="I4791" s="6" t="s">
        <v>8273</v>
      </c>
      <c r="J4791" s="6" t="s">
        <v>91</v>
      </c>
      <c r="K4791" s="12" t="str">
        <f t="shared" si="1066"/>
        <v>View Creative</v>
      </c>
      <c r="L4791" s="6" t="s">
        <v>62</v>
      </c>
      <c r="M4791" s="6" t="s">
        <v>8270</v>
      </c>
      <c r="N4791" s="6" t="s">
        <v>8383</v>
      </c>
      <c r="O4791" s="36" t="s">
        <v>7541</v>
      </c>
      <c r="P4791" s="36" t="s">
        <v>7542</v>
      </c>
      <c r="Q4791" s="38"/>
    </row>
    <row r="4792">
      <c r="A4792" s="6" t="s">
        <v>8270</v>
      </c>
      <c r="B4792" s="6" t="s">
        <v>8271</v>
      </c>
      <c r="C4792" s="6">
        <v>741.0</v>
      </c>
      <c r="D4792" s="9" t="str">
        <f t="shared" ref="D4792:D4793" si="1067">HYPERLINK("https://www.linkedin.com/ad-library/detail/916752354","Open Ad")</f>
        <v>Open Ad</v>
      </c>
      <c r="E4792" s="6" t="s">
        <v>91</v>
      </c>
      <c r="F4792" s="6" t="s">
        <v>8022</v>
      </c>
      <c r="G4792" s="6" t="s">
        <v>8382</v>
      </c>
      <c r="H4792" s="6" t="s">
        <v>55</v>
      </c>
      <c r="I4792" s="6" t="s">
        <v>8273</v>
      </c>
      <c r="J4792" s="6" t="s">
        <v>91</v>
      </c>
      <c r="K4792" s="12" t="str">
        <f t="shared" si="1066"/>
        <v>View Creative</v>
      </c>
      <c r="L4792" s="6" t="s">
        <v>62</v>
      </c>
      <c r="M4792" s="6" t="s">
        <v>8270</v>
      </c>
      <c r="N4792" s="6" t="s">
        <v>8383</v>
      </c>
      <c r="O4792" s="36" t="s">
        <v>7541</v>
      </c>
      <c r="P4792" s="36" t="s">
        <v>7542</v>
      </c>
      <c r="Q4792" s="38"/>
    </row>
    <row r="4793">
      <c r="A4793" s="6" t="s">
        <v>8270</v>
      </c>
      <c r="B4793" s="6" t="s">
        <v>8271</v>
      </c>
      <c r="C4793" s="6">
        <v>742.0</v>
      </c>
      <c r="D4793" s="9" t="str">
        <f t="shared" si="1067"/>
        <v>Open Ad</v>
      </c>
      <c r="E4793" s="6" t="s">
        <v>91</v>
      </c>
      <c r="F4793" s="6" t="s">
        <v>8022</v>
      </c>
      <c r="G4793" s="6" t="s">
        <v>8382</v>
      </c>
      <c r="H4793" s="6" t="s">
        <v>55</v>
      </c>
      <c r="I4793" s="6" t="s">
        <v>8273</v>
      </c>
      <c r="J4793" s="6" t="s">
        <v>91</v>
      </c>
      <c r="K4793" s="12" t="str">
        <f t="shared" si="1066"/>
        <v>View Creative</v>
      </c>
      <c r="L4793" s="6" t="s">
        <v>62</v>
      </c>
      <c r="M4793" s="6" t="s">
        <v>8270</v>
      </c>
      <c r="N4793" s="6" t="s">
        <v>8383</v>
      </c>
      <c r="O4793" s="36" t="s">
        <v>7541</v>
      </c>
      <c r="P4793" s="36" t="s">
        <v>7542</v>
      </c>
      <c r="Q4793" s="38"/>
    </row>
    <row r="4794">
      <c r="A4794" s="6" t="s">
        <v>8270</v>
      </c>
      <c r="B4794" s="6" t="s">
        <v>8271</v>
      </c>
      <c r="C4794" s="6">
        <v>743.0</v>
      </c>
      <c r="D4794" s="9" t="str">
        <f t="shared" ref="D4794:D4795" si="1068">HYPERLINK("https://www.linkedin.com/ad-library/detail/916822144","Open Ad")</f>
        <v>Open Ad</v>
      </c>
      <c r="E4794" s="6" t="s">
        <v>91</v>
      </c>
      <c r="F4794" s="6" t="s">
        <v>8022</v>
      </c>
      <c r="G4794" s="6" t="s">
        <v>8382</v>
      </c>
      <c r="H4794" s="6" t="s">
        <v>55</v>
      </c>
      <c r="I4794" s="6" t="s">
        <v>8273</v>
      </c>
      <c r="J4794" s="6" t="s">
        <v>91</v>
      </c>
      <c r="K4794" s="12" t="str">
        <f t="shared" ref="K4794:K4795" si="1069">HYPERLINK("https://media.licdn.com/dms/image/v2/D4E10AQFyqNp1_XAbUA/image-shrink_1280/B4EZqXlVmuKkAU-/0/1763479739753/2Dark-1jpg?e=2147483647&amp;v=beta&amp;t=iZhl9TBautCZUHYjey6WYaA0RTOMTzCLLARQ6xpquy0","View Creative")</f>
        <v>View Creative</v>
      </c>
      <c r="L4794" s="6" t="s">
        <v>62</v>
      </c>
      <c r="M4794" s="6" t="s">
        <v>8270</v>
      </c>
      <c r="N4794" s="6" t="s">
        <v>8383</v>
      </c>
      <c r="O4794" s="36" t="s">
        <v>7541</v>
      </c>
      <c r="P4794" s="36" t="s">
        <v>7542</v>
      </c>
      <c r="Q4794" s="38"/>
    </row>
    <row r="4795">
      <c r="A4795" s="6" t="s">
        <v>8270</v>
      </c>
      <c r="B4795" s="6" t="s">
        <v>8271</v>
      </c>
      <c r="C4795" s="6">
        <v>744.0</v>
      </c>
      <c r="D4795" s="9" t="str">
        <f t="shared" si="1068"/>
        <v>Open Ad</v>
      </c>
      <c r="E4795" s="6" t="s">
        <v>91</v>
      </c>
      <c r="F4795" s="6" t="s">
        <v>8022</v>
      </c>
      <c r="G4795" s="6" t="s">
        <v>8382</v>
      </c>
      <c r="H4795" s="6" t="s">
        <v>55</v>
      </c>
      <c r="I4795" s="6" t="s">
        <v>8273</v>
      </c>
      <c r="J4795" s="6" t="s">
        <v>91</v>
      </c>
      <c r="K4795" s="12" t="str">
        <f t="shared" si="1069"/>
        <v>View Creative</v>
      </c>
      <c r="L4795" s="6" t="s">
        <v>62</v>
      </c>
      <c r="M4795" s="6" t="s">
        <v>8270</v>
      </c>
      <c r="N4795" s="6" t="s">
        <v>8383</v>
      </c>
      <c r="O4795" s="36" t="s">
        <v>7541</v>
      </c>
      <c r="P4795" s="36" t="s">
        <v>7542</v>
      </c>
      <c r="Q4795" s="38"/>
    </row>
    <row r="4796">
      <c r="A4796" s="6" t="s">
        <v>8270</v>
      </c>
      <c r="B4796" s="6" t="s">
        <v>8271</v>
      </c>
      <c r="C4796" s="6">
        <v>745.0</v>
      </c>
      <c r="D4796" s="9" t="str">
        <f t="shared" ref="D4796:D4797" si="1070">HYPERLINK("https://www.linkedin.com/ad-library/detail/916733024","Open Ad")</f>
        <v>Open Ad</v>
      </c>
      <c r="E4796" s="6" t="s">
        <v>91</v>
      </c>
      <c r="F4796" s="6" t="s">
        <v>8022</v>
      </c>
      <c r="G4796" s="6" t="s">
        <v>8373</v>
      </c>
      <c r="H4796" s="6" t="s">
        <v>55</v>
      </c>
      <c r="I4796" s="6" t="s">
        <v>8273</v>
      </c>
      <c r="J4796" s="6" t="s">
        <v>91</v>
      </c>
      <c r="K4796" s="12" t="str">
        <f t="shared" ref="K4796:K4797" si="1071">HYPERLINK("https://media.licdn.com/dms/image/v2/D4E10AQF05B5KrIYX3Q/image-shrink_1280/B4EZqXkxnNIUAQ-/0/1763479592401/4Darkjpg?e=2147483647&amp;v=beta&amp;t=lmbPcqoVC_Y-Wlew1o_6c5nMRLgnV8eb3NV3Xney0eU","View Creative")</f>
        <v>View Creative</v>
      </c>
      <c r="L4796" s="6" t="s">
        <v>62</v>
      </c>
      <c r="M4796" s="6" t="s">
        <v>8270</v>
      </c>
      <c r="N4796" s="6"/>
      <c r="O4796" s="36" t="s">
        <v>7541</v>
      </c>
      <c r="P4796" s="36" t="s">
        <v>7542</v>
      </c>
      <c r="Q4796" s="38"/>
    </row>
    <row r="4797">
      <c r="A4797" s="6" t="s">
        <v>8270</v>
      </c>
      <c r="B4797" s="6" t="s">
        <v>8271</v>
      </c>
      <c r="C4797" s="6">
        <v>746.0</v>
      </c>
      <c r="D4797" s="9" t="str">
        <f t="shared" si="1070"/>
        <v>Open Ad</v>
      </c>
      <c r="E4797" s="6" t="s">
        <v>91</v>
      </c>
      <c r="F4797" s="6" t="s">
        <v>8022</v>
      </c>
      <c r="G4797" s="6" t="s">
        <v>8373</v>
      </c>
      <c r="H4797" s="6" t="s">
        <v>55</v>
      </c>
      <c r="I4797" s="6" t="s">
        <v>8273</v>
      </c>
      <c r="J4797" s="6" t="s">
        <v>91</v>
      </c>
      <c r="K4797" s="12" t="str">
        <f t="shared" si="1071"/>
        <v>View Creative</v>
      </c>
      <c r="L4797" s="6" t="s">
        <v>62</v>
      </c>
      <c r="M4797" s="6" t="s">
        <v>8270</v>
      </c>
      <c r="N4797" s="6"/>
      <c r="O4797" s="36" t="s">
        <v>7541</v>
      </c>
      <c r="P4797" s="36" t="s">
        <v>7542</v>
      </c>
      <c r="Q4797" s="38"/>
    </row>
    <row r="4798">
      <c r="A4798" s="6" t="s">
        <v>8270</v>
      </c>
      <c r="B4798" s="6" t="s">
        <v>8271</v>
      </c>
      <c r="C4798" s="6">
        <v>747.0</v>
      </c>
      <c r="D4798" s="9" t="str">
        <f t="shared" ref="D4798:D4799" si="1072">HYPERLINK("https://www.linkedin.com/ad-library/detail/916881354","Open Ad")</f>
        <v>Open Ad</v>
      </c>
      <c r="E4798" s="6" t="s">
        <v>91</v>
      </c>
      <c r="F4798" s="6" t="s">
        <v>8022</v>
      </c>
      <c r="G4798" s="6" t="s">
        <v>8382</v>
      </c>
      <c r="H4798" s="6" t="s">
        <v>55</v>
      </c>
      <c r="I4798" s="6" t="s">
        <v>8273</v>
      </c>
      <c r="J4798" s="6" t="s">
        <v>91</v>
      </c>
      <c r="K4798" s="12" t="str">
        <f t="shared" ref="K4798:K4799" si="1073">HYPERLINK("https://media.licdn.com/dms/image/v2/D4E10AQFyqNp1_XAbUA/image-shrink_1280/B4EZqXlVmuKkAU-/0/1763479739753/2Dark-1jpg?e=2147483647&amp;v=beta&amp;t=iZhl9TBautCZUHYjey6WYaA0RTOMTzCLLARQ6xpquy0","View Creative")</f>
        <v>View Creative</v>
      </c>
      <c r="L4798" s="6" t="s">
        <v>62</v>
      </c>
      <c r="M4798" s="6" t="s">
        <v>8270</v>
      </c>
      <c r="N4798" s="6" t="s">
        <v>8383</v>
      </c>
      <c r="O4798" s="36" t="s">
        <v>7541</v>
      </c>
      <c r="P4798" s="36" t="s">
        <v>7542</v>
      </c>
      <c r="Q4798" s="38"/>
    </row>
    <row r="4799">
      <c r="A4799" s="6" t="s">
        <v>8270</v>
      </c>
      <c r="B4799" s="6" t="s">
        <v>8271</v>
      </c>
      <c r="C4799" s="6">
        <v>748.0</v>
      </c>
      <c r="D4799" s="9" t="str">
        <f t="shared" si="1072"/>
        <v>Open Ad</v>
      </c>
      <c r="E4799" s="6" t="s">
        <v>91</v>
      </c>
      <c r="F4799" s="6" t="s">
        <v>8022</v>
      </c>
      <c r="G4799" s="6" t="s">
        <v>8382</v>
      </c>
      <c r="H4799" s="6" t="s">
        <v>55</v>
      </c>
      <c r="I4799" s="6" t="s">
        <v>8273</v>
      </c>
      <c r="J4799" s="6" t="s">
        <v>91</v>
      </c>
      <c r="K4799" s="12" t="str">
        <f t="shared" si="1073"/>
        <v>View Creative</v>
      </c>
      <c r="L4799" s="6" t="s">
        <v>62</v>
      </c>
      <c r="M4799" s="6" t="s">
        <v>8270</v>
      </c>
      <c r="N4799" s="6" t="s">
        <v>8383</v>
      </c>
      <c r="O4799" s="36" t="s">
        <v>7541</v>
      </c>
      <c r="P4799" s="36" t="s">
        <v>7542</v>
      </c>
      <c r="Q4799" s="38"/>
    </row>
    <row r="4800">
      <c r="A4800" s="6" t="s">
        <v>8270</v>
      </c>
      <c r="B4800" s="6" t="s">
        <v>8271</v>
      </c>
      <c r="C4800" s="6">
        <v>749.0</v>
      </c>
      <c r="D4800" s="9" t="str">
        <f t="shared" ref="D4800:D4801" si="1074">HYPERLINK("https://www.linkedin.com/ad-library/detail/916871954","Open Ad")</f>
        <v>Open Ad</v>
      </c>
      <c r="E4800" s="6" t="s">
        <v>91</v>
      </c>
      <c r="F4800" s="6" t="s">
        <v>8022</v>
      </c>
      <c r="G4800" s="6" t="s">
        <v>8373</v>
      </c>
      <c r="H4800" s="6" t="s">
        <v>55</v>
      </c>
      <c r="I4800" s="6" t="s">
        <v>8273</v>
      </c>
      <c r="J4800" s="6" t="s">
        <v>91</v>
      </c>
      <c r="K4800" s="12" t="str">
        <f t="shared" ref="K4800:K4801" si="1075">HYPERLINK("https://media.licdn.com/dms/image/v2/D4E10AQF05B5KrIYX3Q/image-shrink_1280/B4EZqXkxnNIUAQ-/0/1763479592401/4Darkjpg?e=2147483647&amp;v=beta&amp;t=lmbPcqoVC_Y-Wlew1o_6c5nMRLgnV8eb3NV3Xney0eU","View Creative")</f>
        <v>View Creative</v>
      </c>
      <c r="L4800" s="6" t="s">
        <v>62</v>
      </c>
      <c r="M4800" s="6" t="s">
        <v>8270</v>
      </c>
      <c r="N4800" s="6" t="s">
        <v>8383</v>
      </c>
      <c r="O4800" s="36" t="s">
        <v>7541</v>
      </c>
      <c r="P4800" s="36" t="s">
        <v>7542</v>
      </c>
      <c r="Q4800" s="38"/>
    </row>
    <row r="4801">
      <c r="A4801" s="6" t="s">
        <v>8270</v>
      </c>
      <c r="B4801" s="6" t="s">
        <v>8271</v>
      </c>
      <c r="C4801" s="6">
        <v>750.0</v>
      </c>
      <c r="D4801" s="9" t="str">
        <f t="shared" si="1074"/>
        <v>Open Ad</v>
      </c>
      <c r="E4801" s="6" t="s">
        <v>91</v>
      </c>
      <c r="F4801" s="6" t="s">
        <v>8022</v>
      </c>
      <c r="G4801" s="6" t="s">
        <v>8373</v>
      </c>
      <c r="H4801" s="6" t="s">
        <v>55</v>
      </c>
      <c r="I4801" s="6" t="s">
        <v>8273</v>
      </c>
      <c r="J4801" s="6" t="s">
        <v>91</v>
      </c>
      <c r="K4801" s="12" t="str">
        <f t="shared" si="1075"/>
        <v>View Creative</v>
      </c>
      <c r="L4801" s="6" t="s">
        <v>62</v>
      </c>
      <c r="M4801" s="6" t="s">
        <v>8270</v>
      </c>
      <c r="N4801" s="6" t="s">
        <v>8383</v>
      </c>
      <c r="O4801" s="36" t="s">
        <v>7541</v>
      </c>
      <c r="P4801" s="36" t="s">
        <v>7542</v>
      </c>
      <c r="Q4801" s="38"/>
    </row>
    <row r="4802">
      <c r="A4802" s="6" t="s">
        <v>8270</v>
      </c>
      <c r="B4802" s="6" t="s">
        <v>8271</v>
      </c>
      <c r="C4802" s="6">
        <v>751.0</v>
      </c>
      <c r="D4802" s="9" t="str">
        <f t="shared" ref="D4802:D4803" si="1076">HYPERLINK("https://www.linkedin.com/ad-library/detail/916842034","Open Ad")</f>
        <v>Open Ad</v>
      </c>
      <c r="E4802" s="6" t="s">
        <v>91</v>
      </c>
      <c r="F4802" s="6" t="s">
        <v>8022</v>
      </c>
      <c r="G4802" s="6" t="s">
        <v>8382</v>
      </c>
      <c r="H4802" s="6" t="s">
        <v>55</v>
      </c>
      <c r="I4802" s="6" t="s">
        <v>8273</v>
      </c>
      <c r="J4802" s="6" t="s">
        <v>91</v>
      </c>
      <c r="K4802" s="12" t="str">
        <f t="shared" ref="K4802:K4803" si="1077">HYPERLINK("https://media.licdn.com/dms/image/v2/D4E10AQHvWSvzkkUHcQ/image-shrink_1280/B4EZqXlCzYHoAM-/0/1763479662776/2Light-1jpg?e=2147483647&amp;v=beta&amp;t=meiHpw5G1O5OMvTpODayPLwlALLEza8pvUEsF9Ht2OY","View Creative")</f>
        <v>View Creative</v>
      </c>
      <c r="L4802" s="6" t="s">
        <v>62</v>
      </c>
      <c r="M4802" s="6" t="s">
        <v>8270</v>
      </c>
      <c r="N4802" s="6"/>
      <c r="O4802" s="36" t="s">
        <v>7541</v>
      </c>
      <c r="P4802" s="36" t="s">
        <v>7542</v>
      </c>
      <c r="Q4802" s="38"/>
    </row>
    <row r="4803">
      <c r="A4803" s="6" t="s">
        <v>8270</v>
      </c>
      <c r="B4803" s="6" t="s">
        <v>8271</v>
      </c>
      <c r="C4803" s="6">
        <v>752.0</v>
      </c>
      <c r="D4803" s="9" t="str">
        <f t="shared" si="1076"/>
        <v>Open Ad</v>
      </c>
      <c r="E4803" s="6" t="s">
        <v>91</v>
      </c>
      <c r="F4803" s="6" t="s">
        <v>8022</v>
      </c>
      <c r="G4803" s="6" t="s">
        <v>8382</v>
      </c>
      <c r="H4803" s="6" t="s">
        <v>55</v>
      </c>
      <c r="I4803" s="6" t="s">
        <v>8273</v>
      </c>
      <c r="J4803" s="6" t="s">
        <v>91</v>
      </c>
      <c r="K4803" s="12" t="str">
        <f t="shared" si="1077"/>
        <v>View Creative</v>
      </c>
      <c r="L4803" s="6" t="s">
        <v>62</v>
      </c>
      <c r="M4803" s="6" t="s">
        <v>8270</v>
      </c>
      <c r="N4803" s="6"/>
      <c r="O4803" s="36" t="s">
        <v>7541</v>
      </c>
      <c r="P4803" s="36" t="s">
        <v>7542</v>
      </c>
      <c r="Q4803" s="38"/>
    </row>
    <row r="4804">
      <c r="A4804" s="6" t="s">
        <v>8270</v>
      </c>
      <c r="B4804" s="6" t="s">
        <v>8271</v>
      </c>
      <c r="C4804" s="6">
        <v>753.0</v>
      </c>
      <c r="D4804" s="9" t="str">
        <f t="shared" ref="D4804:D4805" si="1078">HYPERLINK("https://www.linkedin.com/ad-library/detail/916901584","Open Ad")</f>
        <v>Open Ad</v>
      </c>
      <c r="E4804" s="6" t="s">
        <v>91</v>
      </c>
      <c r="F4804" s="6" t="s">
        <v>8022</v>
      </c>
      <c r="G4804" s="6" t="s">
        <v>8373</v>
      </c>
      <c r="H4804" s="6" t="s">
        <v>55</v>
      </c>
      <c r="I4804" s="6" t="s">
        <v>8273</v>
      </c>
      <c r="J4804" s="6" t="s">
        <v>91</v>
      </c>
      <c r="K4804" s="12" t="str">
        <f t="shared" ref="K4804:K4805" si="1079">HYPERLINK("https://media.licdn.com/dms/image/v2/D4E10AQGhh7LV9F74tQ/image-shrink_1280/B4EZqXkncJKkAM-/0/1763479550620/4Lightjpg?e=2147483647&amp;v=beta&amp;t=eoU5wfrx63QrhrkiifZxdA3k09DXN3GDOWhSCCpQXK8","View Creative")</f>
        <v>View Creative</v>
      </c>
      <c r="L4804" s="6" t="s">
        <v>62</v>
      </c>
      <c r="M4804" s="6" t="s">
        <v>8270</v>
      </c>
      <c r="N4804" s="6" t="s">
        <v>8383</v>
      </c>
      <c r="O4804" s="36" t="s">
        <v>7541</v>
      </c>
      <c r="P4804" s="36" t="s">
        <v>7542</v>
      </c>
      <c r="Q4804" s="38"/>
    </row>
    <row r="4805">
      <c r="A4805" s="6" t="s">
        <v>8270</v>
      </c>
      <c r="B4805" s="6" t="s">
        <v>8271</v>
      </c>
      <c r="C4805" s="6">
        <v>754.0</v>
      </c>
      <c r="D4805" s="9" t="str">
        <f t="shared" si="1078"/>
        <v>Open Ad</v>
      </c>
      <c r="E4805" s="6" t="s">
        <v>91</v>
      </c>
      <c r="F4805" s="6" t="s">
        <v>8022</v>
      </c>
      <c r="G4805" s="6" t="s">
        <v>8373</v>
      </c>
      <c r="H4805" s="6" t="s">
        <v>55</v>
      </c>
      <c r="I4805" s="6" t="s">
        <v>8273</v>
      </c>
      <c r="J4805" s="6" t="s">
        <v>91</v>
      </c>
      <c r="K4805" s="12" t="str">
        <f t="shared" si="1079"/>
        <v>View Creative</v>
      </c>
      <c r="L4805" s="6" t="s">
        <v>62</v>
      </c>
      <c r="M4805" s="6" t="s">
        <v>8270</v>
      </c>
      <c r="N4805" s="6" t="s">
        <v>8383</v>
      </c>
      <c r="O4805" s="36" t="s">
        <v>7541</v>
      </c>
      <c r="P4805" s="36" t="s">
        <v>7542</v>
      </c>
      <c r="Q4805" s="38"/>
    </row>
    <row r="4806">
      <c r="A4806" s="6" t="s">
        <v>8270</v>
      </c>
      <c r="B4806" s="6" t="s">
        <v>8271</v>
      </c>
      <c r="C4806" s="6">
        <v>755.0</v>
      </c>
      <c r="D4806" s="9" t="str">
        <f t="shared" ref="D4806:D4807" si="1080">HYPERLINK("https://www.linkedin.com/ad-library/detail/916782354","Open Ad")</f>
        <v>Open Ad</v>
      </c>
      <c r="E4806" s="6" t="s">
        <v>91</v>
      </c>
      <c r="F4806" s="6" t="s">
        <v>8022</v>
      </c>
      <c r="G4806" s="6" t="s">
        <v>8363</v>
      </c>
      <c r="H4806" s="6" t="s">
        <v>55</v>
      </c>
      <c r="I4806" s="6" t="s">
        <v>8273</v>
      </c>
      <c r="J4806" s="6" t="s">
        <v>91</v>
      </c>
      <c r="K4806" s="12" t="str">
        <f t="shared" ref="K4806:K4807" si="1081">HYPERLINK("https://media.licdn.com/dms/image/v2/D4E10AQF4bTkTRfa3uA/image-shrink_1280/B4EZqXgd47HMAM-/0/1763478462911/4Light-2jpg?e=2147483647&amp;v=beta&amp;t=uK41TOo8iHj_pufRB7IRs6CRYzq8e8v7tl4rEbNjC4k","View Creative")</f>
        <v>View Creative</v>
      </c>
      <c r="L4806" s="6" t="s">
        <v>62</v>
      </c>
      <c r="M4806" s="6" t="s">
        <v>8270</v>
      </c>
      <c r="N4806" s="6"/>
      <c r="O4806" s="36" t="s">
        <v>7541</v>
      </c>
      <c r="P4806" s="36" t="s">
        <v>7542</v>
      </c>
      <c r="Q4806" s="38"/>
    </row>
    <row r="4807">
      <c r="A4807" s="6" t="s">
        <v>8270</v>
      </c>
      <c r="B4807" s="6" t="s">
        <v>8271</v>
      </c>
      <c r="C4807" s="6">
        <v>756.0</v>
      </c>
      <c r="D4807" s="9" t="str">
        <f t="shared" si="1080"/>
        <v>Open Ad</v>
      </c>
      <c r="E4807" s="6" t="s">
        <v>91</v>
      </c>
      <c r="F4807" s="6" t="s">
        <v>8022</v>
      </c>
      <c r="G4807" s="6" t="s">
        <v>8363</v>
      </c>
      <c r="H4807" s="6" t="s">
        <v>55</v>
      </c>
      <c r="I4807" s="6" t="s">
        <v>8273</v>
      </c>
      <c r="J4807" s="6" t="s">
        <v>91</v>
      </c>
      <c r="K4807" s="12" t="str">
        <f t="shared" si="1081"/>
        <v>View Creative</v>
      </c>
      <c r="L4807" s="6" t="s">
        <v>62</v>
      </c>
      <c r="M4807" s="6" t="s">
        <v>8270</v>
      </c>
      <c r="N4807" s="6"/>
      <c r="O4807" s="36" t="s">
        <v>7541</v>
      </c>
      <c r="P4807" s="36" t="s">
        <v>7542</v>
      </c>
      <c r="Q4807" s="38"/>
    </row>
    <row r="4808">
      <c r="A4808" s="6" t="s">
        <v>8270</v>
      </c>
      <c r="B4808" s="6" t="s">
        <v>8271</v>
      </c>
      <c r="C4808" s="6">
        <v>757.0</v>
      </c>
      <c r="D4808" s="9" t="str">
        <f t="shared" ref="D4808:D4809" si="1082">HYPERLINK("https://www.linkedin.com/ad-library/detail/916931574","Open Ad")</f>
        <v>Open Ad</v>
      </c>
      <c r="E4808" s="6" t="s">
        <v>91</v>
      </c>
      <c r="F4808" s="6" t="s">
        <v>8022</v>
      </c>
      <c r="G4808" s="6" t="s">
        <v>8363</v>
      </c>
      <c r="H4808" s="6" t="s">
        <v>55</v>
      </c>
      <c r="I4808" s="6" t="s">
        <v>8273</v>
      </c>
      <c r="J4808" s="6" t="s">
        <v>91</v>
      </c>
      <c r="K4808" s="12" t="str">
        <f t="shared" ref="K4808:K4809" si="1083">HYPERLINK("https://media.licdn.com/dms/image/v2/D4E10AQHcSoWO1dYKtQ/image-shrink_1280/B4EZqXi5QAHcAQ-/0/1763479099393/2Dark-2jpg?e=2147483647&amp;v=beta&amp;t=icCzusjbqHqZBG3AQPs0VI2nQANVz543VtPBphg9iAk","View Creative")</f>
        <v>View Creative</v>
      </c>
      <c r="L4808" s="6" t="s">
        <v>62</v>
      </c>
      <c r="M4808" s="6" t="s">
        <v>8270</v>
      </c>
      <c r="N4808" s="6" t="s">
        <v>8383</v>
      </c>
      <c r="O4808" s="36" t="s">
        <v>7541</v>
      </c>
      <c r="P4808" s="36" t="s">
        <v>7542</v>
      </c>
      <c r="Q4808" s="38"/>
    </row>
    <row r="4809">
      <c r="A4809" s="6" t="s">
        <v>8270</v>
      </c>
      <c r="B4809" s="6" t="s">
        <v>8271</v>
      </c>
      <c r="C4809" s="6">
        <v>758.0</v>
      </c>
      <c r="D4809" s="9" t="str">
        <f t="shared" si="1082"/>
        <v>Open Ad</v>
      </c>
      <c r="E4809" s="6" t="s">
        <v>91</v>
      </c>
      <c r="F4809" s="6" t="s">
        <v>8022</v>
      </c>
      <c r="G4809" s="6" t="s">
        <v>8363</v>
      </c>
      <c r="H4809" s="6" t="s">
        <v>55</v>
      </c>
      <c r="I4809" s="6" t="s">
        <v>8273</v>
      </c>
      <c r="J4809" s="6" t="s">
        <v>91</v>
      </c>
      <c r="K4809" s="12" t="str">
        <f t="shared" si="1083"/>
        <v>View Creative</v>
      </c>
      <c r="L4809" s="6" t="s">
        <v>62</v>
      </c>
      <c r="M4809" s="6" t="s">
        <v>8270</v>
      </c>
      <c r="N4809" s="6" t="s">
        <v>8383</v>
      </c>
      <c r="O4809" s="36" t="s">
        <v>7541</v>
      </c>
      <c r="P4809" s="36" t="s">
        <v>7542</v>
      </c>
      <c r="Q4809" s="38"/>
    </row>
    <row r="4810">
      <c r="A4810" s="6" t="s">
        <v>8270</v>
      </c>
      <c r="B4810" s="6" t="s">
        <v>8271</v>
      </c>
      <c r="C4810" s="6">
        <v>759.0</v>
      </c>
      <c r="D4810" s="9" t="str">
        <f t="shared" ref="D4810:D4811" si="1084">HYPERLINK("https://www.linkedin.com/ad-library/detail/916762134","Open Ad")</f>
        <v>Open Ad</v>
      </c>
      <c r="E4810" s="6" t="s">
        <v>91</v>
      </c>
      <c r="F4810" s="6" t="s">
        <v>8022</v>
      </c>
      <c r="G4810" s="6" t="s">
        <v>8373</v>
      </c>
      <c r="H4810" s="6" t="s">
        <v>55</v>
      </c>
      <c r="I4810" s="6" t="s">
        <v>8273</v>
      </c>
      <c r="J4810" s="6" t="s">
        <v>91</v>
      </c>
      <c r="K4810" s="12" t="str">
        <f t="shared" ref="K4810:K4811" si="1085">HYPERLINK("https://media.licdn.com/dms/image/v2/D4E10AQF45XRPTXtW5A/image-shrink_1280/B4EZqXhpz1GcAM-/0/1763478773949/3Darkjpg?e=2147483647&amp;v=beta&amp;t=4YvB4IIPTWmlveIYFlgySSG_pCTzhVNDBwJvzRQ8cLk","View Creative")</f>
        <v>View Creative</v>
      </c>
      <c r="L4810" s="6" t="s">
        <v>62</v>
      </c>
      <c r="M4810" s="6" t="s">
        <v>8270</v>
      </c>
      <c r="N4810" s="6" t="s">
        <v>8383</v>
      </c>
      <c r="O4810" s="36" t="s">
        <v>7541</v>
      </c>
      <c r="P4810" s="36" t="s">
        <v>7542</v>
      </c>
      <c r="Q4810" s="38"/>
    </row>
    <row r="4811">
      <c r="A4811" s="6" t="s">
        <v>8270</v>
      </c>
      <c r="B4811" s="6" t="s">
        <v>8271</v>
      </c>
      <c r="C4811" s="6">
        <v>760.0</v>
      </c>
      <c r="D4811" s="9" t="str">
        <f t="shared" si="1084"/>
        <v>Open Ad</v>
      </c>
      <c r="E4811" s="6" t="s">
        <v>91</v>
      </c>
      <c r="F4811" s="6" t="s">
        <v>8022</v>
      </c>
      <c r="G4811" s="6" t="s">
        <v>8373</v>
      </c>
      <c r="H4811" s="6" t="s">
        <v>55</v>
      </c>
      <c r="I4811" s="6" t="s">
        <v>8273</v>
      </c>
      <c r="J4811" s="6" t="s">
        <v>91</v>
      </c>
      <c r="K4811" s="12" t="str">
        <f t="shared" si="1085"/>
        <v>View Creative</v>
      </c>
      <c r="L4811" s="6" t="s">
        <v>62</v>
      </c>
      <c r="M4811" s="6" t="s">
        <v>8270</v>
      </c>
      <c r="N4811" s="6" t="s">
        <v>8383</v>
      </c>
      <c r="O4811" s="36" t="s">
        <v>7541</v>
      </c>
      <c r="P4811" s="36" t="s">
        <v>7542</v>
      </c>
      <c r="Q4811" s="38"/>
    </row>
    <row r="4812">
      <c r="A4812" s="6" t="s">
        <v>8270</v>
      </c>
      <c r="B4812" s="6" t="s">
        <v>8271</v>
      </c>
      <c r="C4812" s="6">
        <v>761.0</v>
      </c>
      <c r="D4812" s="9" t="str">
        <f t="shared" ref="D4812:D4813" si="1086">HYPERLINK("https://www.linkedin.com/ad-library/detail/916891764","Open Ad")</f>
        <v>Open Ad</v>
      </c>
      <c r="E4812" s="6" t="s">
        <v>91</v>
      </c>
      <c r="F4812" s="6" t="s">
        <v>8022</v>
      </c>
      <c r="G4812" s="6" t="s">
        <v>8373</v>
      </c>
      <c r="H4812" s="6" t="s">
        <v>55</v>
      </c>
      <c r="I4812" s="6" t="s">
        <v>8273</v>
      </c>
      <c r="J4812" s="6" t="s">
        <v>91</v>
      </c>
      <c r="K4812" s="12" t="str">
        <f t="shared" ref="K4812:K4813" si="1087">HYPERLINK("https://media.licdn.com/dms/image/v2/D4E10AQFxfjR2dJkNlg/image-shrink_1280/B4EZqXj65yHoAQ-/0/1763479368316/2Lightjpg?e=2147483647&amp;v=beta&amp;t=0BZupskLHGP7TqtfAL-L-mFVlgtE8yz43mAhCvAvz8E","View Creative")</f>
        <v>View Creative</v>
      </c>
      <c r="L4812" s="6" t="s">
        <v>62</v>
      </c>
      <c r="M4812" s="6" t="s">
        <v>8270</v>
      </c>
      <c r="N4812" s="6"/>
      <c r="O4812" s="36" t="s">
        <v>7541</v>
      </c>
      <c r="P4812" s="36" t="s">
        <v>7542</v>
      </c>
      <c r="Q4812" s="38"/>
    </row>
    <row r="4813">
      <c r="A4813" s="6" t="s">
        <v>8270</v>
      </c>
      <c r="B4813" s="6" t="s">
        <v>8271</v>
      </c>
      <c r="C4813" s="6">
        <v>762.0</v>
      </c>
      <c r="D4813" s="9" t="str">
        <f t="shared" si="1086"/>
        <v>Open Ad</v>
      </c>
      <c r="E4813" s="6" t="s">
        <v>91</v>
      </c>
      <c r="F4813" s="6" t="s">
        <v>8022</v>
      </c>
      <c r="G4813" s="6" t="s">
        <v>8373</v>
      </c>
      <c r="H4813" s="6" t="s">
        <v>55</v>
      </c>
      <c r="I4813" s="6" t="s">
        <v>8273</v>
      </c>
      <c r="J4813" s="6" t="s">
        <v>91</v>
      </c>
      <c r="K4813" s="12" t="str">
        <f t="shared" si="1087"/>
        <v>View Creative</v>
      </c>
      <c r="L4813" s="6" t="s">
        <v>62</v>
      </c>
      <c r="M4813" s="6" t="s">
        <v>8270</v>
      </c>
      <c r="N4813" s="6"/>
      <c r="O4813" s="36" t="s">
        <v>7541</v>
      </c>
      <c r="P4813" s="36" t="s">
        <v>7542</v>
      </c>
      <c r="Q4813" s="38"/>
    </row>
    <row r="4814">
      <c r="A4814" s="6" t="s">
        <v>8270</v>
      </c>
      <c r="B4814" s="6" t="s">
        <v>8271</v>
      </c>
      <c r="C4814" s="6">
        <v>763.0</v>
      </c>
      <c r="D4814" s="9" t="str">
        <f t="shared" ref="D4814:D4815" si="1088">HYPERLINK("https://www.linkedin.com/ad-library/detail/916832154","Open Ad")</f>
        <v>Open Ad</v>
      </c>
      <c r="E4814" s="6" t="s">
        <v>91</v>
      </c>
      <c r="F4814" s="6" t="s">
        <v>8022</v>
      </c>
      <c r="G4814" s="6" t="s">
        <v>8373</v>
      </c>
      <c r="H4814" s="6" t="s">
        <v>55</v>
      </c>
      <c r="I4814" s="6" t="s">
        <v>8273</v>
      </c>
      <c r="J4814" s="6" t="s">
        <v>91</v>
      </c>
      <c r="K4814" s="12" t="str">
        <f t="shared" ref="K4814:K4815" si="1089">HYPERLINK("https://media.licdn.com/dms/image/v2/D4E10AQEGBOzQY5J0Ig/image-shrink_1280/B4EZqXkFQHIIAQ-/0/1763479410773/2Darkjpg?e=2147483647&amp;v=beta&amp;t=erfq82UzNpZu5Zl5UHAnfU9yBixcEf2q-7xjAyGgUQo","View Creative")</f>
        <v>View Creative</v>
      </c>
      <c r="L4814" s="6" t="s">
        <v>62</v>
      </c>
      <c r="M4814" s="6" t="s">
        <v>8270</v>
      </c>
      <c r="N4814" s="6" t="s">
        <v>8383</v>
      </c>
      <c r="O4814" s="36" t="s">
        <v>7541</v>
      </c>
      <c r="P4814" s="36" t="s">
        <v>7542</v>
      </c>
      <c r="Q4814" s="38"/>
    </row>
    <row r="4815">
      <c r="A4815" s="6" t="s">
        <v>8270</v>
      </c>
      <c r="B4815" s="6" t="s">
        <v>8271</v>
      </c>
      <c r="C4815" s="6">
        <v>764.0</v>
      </c>
      <c r="D4815" s="9" t="str">
        <f t="shared" si="1088"/>
        <v>Open Ad</v>
      </c>
      <c r="E4815" s="6" t="s">
        <v>91</v>
      </c>
      <c r="F4815" s="6" t="s">
        <v>8022</v>
      </c>
      <c r="G4815" s="6" t="s">
        <v>8373</v>
      </c>
      <c r="H4815" s="6" t="s">
        <v>55</v>
      </c>
      <c r="I4815" s="6" t="s">
        <v>8273</v>
      </c>
      <c r="J4815" s="6" t="s">
        <v>91</v>
      </c>
      <c r="K4815" s="12" t="str">
        <f t="shared" si="1089"/>
        <v>View Creative</v>
      </c>
      <c r="L4815" s="6" t="s">
        <v>62</v>
      </c>
      <c r="M4815" s="6" t="s">
        <v>8270</v>
      </c>
      <c r="N4815" s="6" t="s">
        <v>8383</v>
      </c>
      <c r="O4815" s="36" t="s">
        <v>7541</v>
      </c>
      <c r="P4815" s="36" t="s">
        <v>7542</v>
      </c>
      <c r="Q4815" s="38"/>
    </row>
    <row r="4816">
      <c r="A4816" s="6" t="s">
        <v>8270</v>
      </c>
      <c r="B4816" s="6" t="s">
        <v>8271</v>
      </c>
      <c r="C4816" s="6">
        <v>765.0</v>
      </c>
      <c r="D4816" s="9" t="str">
        <f t="shared" ref="D4816:D4817" si="1090">HYPERLINK("https://www.linkedin.com/ad-library/detail/916832164","Open Ad")</f>
        <v>Open Ad</v>
      </c>
      <c r="E4816" s="6" t="s">
        <v>91</v>
      </c>
      <c r="F4816" s="6" t="s">
        <v>8022</v>
      </c>
      <c r="G4816" s="6" t="s">
        <v>8382</v>
      </c>
      <c r="H4816" s="6" t="s">
        <v>55</v>
      </c>
      <c r="I4816" s="6" t="s">
        <v>8273</v>
      </c>
      <c r="J4816" s="6" t="s">
        <v>91</v>
      </c>
      <c r="K4816" s="12" t="str">
        <f t="shared" ref="K4816:K4817" si="1091">HYPERLINK("https://media.licdn.com/dms/image/v2/D4E10AQHnhFdk5erWzw/image-shrink_1280/B4EZqXl1jdHcAQ-/0/1763479870659/4Dark-1jpg?e=2147483647&amp;v=beta&amp;t=wQnFAsjwRWIR2Up9jZTNCEwfUoCUCC6kW19Coj1cMSo","View Creative")</f>
        <v>View Creative</v>
      </c>
      <c r="L4816" s="6" t="s">
        <v>62</v>
      </c>
      <c r="M4816" s="6" t="s">
        <v>8270</v>
      </c>
      <c r="N4816" s="6" t="s">
        <v>8383</v>
      </c>
      <c r="O4816" s="36" t="s">
        <v>7541</v>
      </c>
      <c r="P4816" s="36" t="s">
        <v>7542</v>
      </c>
      <c r="Q4816" s="38"/>
    </row>
    <row r="4817">
      <c r="A4817" s="6" t="s">
        <v>8270</v>
      </c>
      <c r="B4817" s="6" t="s">
        <v>8271</v>
      </c>
      <c r="C4817" s="6">
        <v>766.0</v>
      </c>
      <c r="D4817" s="9" t="str">
        <f t="shared" si="1090"/>
        <v>Open Ad</v>
      </c>
      <c r="E4817" s="6" t="s">
        <v>91</v>
      </c>
      <c r="F4817" s="6" t="s">
        <v>8022</v>
      </c>
      <c r="G4817" s="6" t="s">
        <v>8382</v>
      </c>
      <c r="H4817" s="6" t="s">
        <v>55</v>
      </c>
      <c r="I4817" s="6" t="s">
        <v>8273</v>
      </c>
      <c r="J4817" s="6" t="s">
        <v>91</v>
      </c>
      <c r="K4817" s="12" t="str">
        <f t="shared" si="1091"/>
        <v>View Creative</v>
      </c>
      <c r="L4817" s="6" t="s">
        <v>62</v>
      </c>
      <c r="M4817" s="6" t="s">
        <v>8270</v>
      </c>
      <c r="N4817" s="6" t="s">
        <v>8383</v>
      </c>
      <c r="O4817" s="36" t="s">
        <v>7541</v>
      </c>
      <c r="P4817" s="36" t="s">
        <v>7542</v>
      </c>
      <c r="Q4817" s="38"/>
    </row>
    <row r="4818">
      <c r="A4818" s="6" t="s">
        <v>8270</v>
      </c>
      <c r="B4818" s="6" t="s">
        <v>8271</v>
      </c>
      <c r="C4818" s="6">
        <v>767.0</v>
      </c>
      <c r="D4818" s="9" t="str">
        <f t="shared" ref="D4818:D4819" si="1092">HYPERLINK("https://www.linkedin.com/ad-library/detail/916832174","Open Ad")</f>
        <v>Open Ad</v>
      </c>
      <c r="E4818" s="6" t="s">
        <v>91</v>
      </c>
      <c r="F4818" s="6" t="s">
        <v>8022</v>
      </c>
      <c r="G4818" s="6" t="s">
        <v>8363</v>
      </c>
      <c r="H4818" s="6" t="s">
        <v>55</v>
      </c>
      <c r="I4818" s="6" t="s">
        <v>8273</v>
      </c>
      <c r="J4818" s="6" t="s">
        <v>91</v>
      </c>
      <c r="K4818" s="12" t="str">
        <f t="shared" ref="K4818:K4819" si="1093">HYPERLINK("https://media.licdn.com/dms/image/v2/D4E10AQHFRHPc9FWrHg/image-shrink_1280/B4EZqXjE10HoAQ-/0/1763479146737/3Light-2jpg?e=2147483647&amp;v=beta&amp;t=rZhguR_gys1_eeccCKD40rY_p2pWztc9kFpk08d6MnM","View Creative")</f>
        <v>View Creative</v>
      </c>
      <c r="L4818" s="6" t="s">
        <v>62</v>
      </c>
      <c r="M4818" s="6" t="s">
        <v>8270</v>
      </c>
      <c r="N4818" s="6" t="s">
        <v>8383</v>
      </c>
      <c r="O4818" s="36" t="s">
        <v>7541</v>
      </c>
      <c r="P4818" s="36" t="s">
        <v>7542</v>
      </c>
      <c r="Q4818" s="38"/>
    </row>
    <row r="4819">
      <c r="A4819" s="6" t="s">
        <v>8270</v>
      </c>
      <c r="B4819" s="6" t="s">
        <v>8271</v>
      </c>
      <c r="C4819" s="6">
        <v>768.0</v>
      </c>
      <c r="D4819" s="9" t="str">
        <f t="shared" si="1092"/>
        <v>Open Ad</v>
      </c>
      <c r="E4819" s="6" t="s">
        <v>91</v>
      </c>
      <c r="F4819" s="6" t="s">
        <v>8022</v>
      </c>
      <c r="G4819" s="6" t="s">
        <v>8363</v>
      </c>
      <c r="H4819" s="6" t="s">
        <v>55</v>
      </c>
      <c r="I4819" s="6" t="s">
        <v>8273</v>
      </c>
      <c r="J4819" s="6" t="s">
        <v>91</v>
      </c>
      <c r="K4819" s="12" t="str">
        <f t="shared" si="1093"/>
        <v>View Creative</v>
      </c>
      <c r="L4819" s="6" t="s">
        <v>62</v>
      </c>
      <c r="M4819" s="6" t="s">
        <v>8270</v>
      </c>
      <c r="N4819" s="6" t="s">
        <v>8383</v>
      </c>
      <c r="O4819" s="36" t="s">
        <v>7541</v>
      </c>
      <c r="P4819" s="36" t="s">
        <v>7542</v>
      </c>
      <c r="Q4819" s="38"/>
    </row>
    <row r="4820">
      <c r="A4820" s="6" t="s">
        <v>8270</v>
      </c>
      <c r="B4820" s="6" t="s">
        <v>8271</v>
      </c>
      <c r="C4820" s="6">
        <v>769.0</v>
      </c>
      <c r="D4820" s="9" t="str">
        <f t="shared" ref="D4820:D4821" si="1094">HYPERLINK("https://www.linkedin.com/ad-library/detail/916832104","Open Ad")</f>
        <v>Open Ad</v>
      </c>
      <c r="E4820" s="6" t="s">
        <v>91</v>
      </c>
      <c r="F4820" s="6" t="s">
        <v>8022</v>
      </c>
      <c r="G4820" s="6" t="s">
        <v>8373</v>
      </c>
      <c r="H4820" s="6" t="s">
        <v>55</v>
      </c>
      <c r="I4820" s="6" t="s">
        <v>8273</v>
      </c>
      <c r="J4820" s="6" t="s">
        <v>91</v>
      </c>
      <c r="K4820" s="12" t="str">
        <f t="shared" ref="K4820:K4821" si="1095">HYPERLINK("https://media.licdn.com/dms/image/v2/D4E10AQEGBOzQY5J0Ig/image-shrink_1280/B4EZqXkFQHIIAQ-/0/1763479410773/2Darkjpg?e=2147483647&amp;v=beta&amp;t=erfq82UzNpZu5Zl5UHAnfU9yBixcEf2q-7xjAyGgUQo","View Creative")</f>
        <v>View Creative</v>
      </c>
      <c r="L4820" s="6" t="s">
        <v>62</v>
      </c>
      <c r="M4820" s="6" t="s">
        <v>8270</v>
      </c>
      <c r="N4820" s="6" t="s">
        <v>8383</v>
      </c>
      <c r="O4820" s="36" t="s">
        <v>7541</v>
      </c>
      <c r="P4820" s="36" t="s">
        <v>7542</v>
      </c>
      <c r="Q4820" s="38"/>
    </row>
    <row r="4821">
      <c r="A4821" s="6" t="s">
        <v>8270</v>
      </c>
      <c r="B4821" s="6" t="s">
        <v>8271</v>
      </c>
      <c r="C4821" s="6">
        <v>770.0</v>
      </c>
      <c r="D4821" s="9" t="str">
        <f t="shared" si="1094"/>
        <v>Open Ad</v>
      </c>
      <c r="E4821" s="6" t="s">
        <v>91</v>
      </c>
      <c r="F4821" s="6" t="s">
        <v>8022</v>
      </c>
      <c r="G4821" s="6" t="s">
        <v>8373</v>
      </c>
      <c r="H4821" s="6" t="s">
        <v>55</v>
      </c>
      <c r="I4821" s="6" t="s">
        <v>8273</v>
      </c>
      <c r="J4821" s="6" t="s">
        <v>91</v>
      </c>
      <c r="K4821" s="12" t="str">
        <f t="shared" si="1095"/>
        <v>View Creative</v>
      </c>
      <c r="L4821" s="6" t="s">
        <v>62</v>
      </c>
      <c r="M4821" s="6" t="s">
        <v>8270</v>
      </c>
      <c r="N4821" s="6" t="s">
        <v>8383</v>
      </c>
      <c r="O4821" s="36" t="s">
        <v>7541</v>
      </c>
      <c r="P4821" s="36" t="s">
        <v>7542</v>
      </c>
      <c r="Q4821" s="38"/>
    </row>
    <row r="4822">
      <c r="A4822" s="6" t="s">
        <v>8270</v>
      </c>
      <c r="B4822" s="6" t="s">
        <v>8271</v>
      </c>
      <c r="C4822" s="6">
        <v>771.0</v>
      </c>
      <c r="D4822" s="9" t="str">
        <f t="shared" ref="D4822:D4823" si="1096">HYPERLINK("https://www.linkedin.com/ad-library/detail/916911494","Open Ad")</f>
        <v>Open Ad</v>
      </c>
      <c r="E4822" s="6" t="s">
        <v>91</v>
      </c>
      <c r="F4822" s="6" t="s">
        <v>8022</v>
      </c>
      <c r="G4822" s="6" t="s">
        <v>8373</v>
      </c>
      <c r="H4822" s="6" t="s">
        <v>55</v>
      </c>
      <c r="I4822" s="6" t="s">
        <v>8273</v>
      </c>
      <c r="J4822" s="6" t="s">
        <v>91</v>
      </c>
      <c r="K4822" s="12" t="str">
        <f t="shared" ref="K4822:K4823" si="1097">HYPERLINK("https://media.licdn.com/dms/image/v2/D4E10AQEU0w4UGxx8Ag/image-shrink_1280/B4EZqXkZXlIQAQ-/0/1763479492926/3Lightjpg?e=2147483647&amp;v=beta&amp;t=_jgwspKyqLBBvgvbnQErlUU5Db0lO5w9CIE-CNaO5CA","View Creative")</f>
        <v>View Creative</v>
      </c>
      <c r="L4822" s="6" t="s">
        <v>62</v>
      </c>
      <c r="M4822" s="6" t="s">
        <v>8270</v>
      </c>
      <c r="N4822" s="6" t="s">
        <v>8383</v>
      </c>
      <c r="O4822" s="36" t="s">
        <v>7541</v>
      </c>
      <c r="P4822" s="36" t="s">
        <v>7542</v>
      </c>
      <c r="Q4822" s="38"/>
    </row>
    <row r="4823">
      <c r="A4823" s="6" t="s">
        <v>8270</v>
      </c>
      <c r="B4823" s="6" t="s">
        <v>8271</v>
      </c>
      <c r="C4823" s="6">
        <v>772.0</v>
      </c>
      <c r="D4823" s="9" t="str">
        <f t="shared" si="1096"/>
        <v>Open Ad</v>
      </c>
      <c r="E4823" s="6" t="s">
        <v>91</v>
      </c>
      <c r="F4823" s="6" t="s">
        <v>8022</v>
      </c>
      <c r="G4823" s="6" t="s">
        <v>8373</v>
      </c>
      <c r="H4823" s="6" t="s">
        <v>55</v>
      </c>
      <c r="I4823" s="6" t="s">
        <v>8273</v>
      </c>
      <c r="J4823" s="6" t="s">
        <v>91</v>
      </c>
      <c r="K4823" s="12" t="str">
        <f t="shared" si="1097"/>
        <v>View Creative</v>
      </c>
      <c r="L4823" s="6" t="s">
        <v>62</v>
      </c>
      <c r="M4823" s="6" t="s">
        <v>8270</v>
      </c>
      <c r="N4823" s="6" t="s">
        <v>8383</v>
      </c>
      <c r="O4823" s="36" t="s">
        <v>7541</v>
      </c>
      <c r="P4823" s="36" t="s">
        <v>7542</v>
      </c>
      <c r="Q4823" s="38"/>
    </row>
    <row r="4824">
      <c r="A4824" s="6" t="s">
        <v>8270</v>
      </c>
      <c r="B4824" s="6" t="s">
        <v>8271</v>
      </c>
      <c r="C4824" s="6">
        <v>773.0</v>
      </c>
      <c r="D4824" s="9" t="str">
        <f t="shared" ref="D4824:D4825" si="1098">HYPERLINK("https://www.linkedin.com/ad-library/detail/916732904","Open Ad")</f>
        <v>Open Ad</v>
      </c>
      <c r="E4824" s="6" t="s">
        <v>91</v>
      </c>
      <c r="F4824" s="6" t="s">
        <v>8022</v>
      </c>
      <c r="G4824" s="6" t="s">
        <v>8373</v>
      </c>
      <c r="H4824" s="6" t="s">
        <v>55</v>
      </c>
      <c r="I4824" s="6" t="s">
        <v>8273</v>
      </c>
      <c r="J4824" s="6" t="s">
        <v>91</v>
      </c>
      <c r="K4824" s="12" t="str">
        <f t="shared" ref="K4824:K4825" si="1099">HYPERLINK("https://media.licdn.com/dms/image/v2/D4E10AQF45XRPTXtW5A/image-shrink_1280/B4EZqXhpz1GcAM-/0/1763478773949/3Darkjpg?e=2147483647&amp;v=beta&amp;t=4YvB4IIPTWmlveIYFlgySSG_pCTzhVNDBwJvzRQ8cLk","View Creative")</f>
        <v>View Creative</v>
      </c>
      <c r="L4824" s="6" t="s">
        <v>62</v>
      </c>
      <c r="M4824" s="6" t="s">
        <v>8270</v>
      </c>
      <c r="N4824" s="6" t="s">
        <v>8383</v>
      </c>
      <c r="O4824" s="36" t="s">
        <v>7541</v>
      </c>
      <c r="P4824" s="36" t="s">
        <v>7542</v>
      </c>
      <c r="Q4824" s="38"/>
    </row>
    <row r="4825">
      <c r="A4825" s="6" t="s">
        <v>8270</v>
      </c>
      <c r="B4825" s="6" t="s">
        <v>8271</v>
      </c>
      <c r="C4825" s="6">
        <v>774.0</v>
      </c>
      <c r="D4825" s="9" t="str">
        <f t="shared" si="1098"/>
        <v>Open Ad</v>
      </c>
      <c r="E4825" s="6" t="s">
        <v>91</v>
      </c>
      <c r="F4825" s="6" t="s">
        <v>8022</v>
      </c>
      <c r="G4825" s="6" t="s">
        <v>8373</v>
      </c>
      <c r="H4825" s="6" t="s">
        <v>55</v>
      </c>
      <c r="I4825" s="6" t="s">
        <v>8273</v>
      </c>
      <c r="J4825" s="6" t="s">
        <v>91</v>
      </c>
      <c r="K4825" s="12" t="str">
        <f t="shared" si="1099"/>
        <v>View Creative</v>
      </c>
      <c r="L4825" s="6" t="s">
        <v>62</v>
      </c>
      <c r="M4825" s="6" t="s">
        <v>8270</v>
      </c>
      <c r="N4825" s="6" t="s">
        <v>8383</v>
      </c>
      <c r="O4825" s="36" t="s">
        <v>7541</v>
      </c>
      <c r="P4825" s="36" t="s">
        <v>7542</v>
      </c>
      <c r="Q4825" s="38"/>
    </row>
    <row r="4826">
      <c r="A4826" s="6" t="s">
        <v>8270</v>
      </c>
      <c r="B4826" s="6" t="s">
        <v>8271</v>
      </c>
      <c r="C4826" s="6">
        <v>775.0</v>
      </c>
      <c r="D4826" s="9" t="str">
        <f t="shared" ref="D4826:D4827" si="1100">HYPERLINK("https://www.linkedin.com/ad-library/detail/916812314","Open Ad")</f>
        <v>Open Ad</v>
      </c>
      <c r="E4826" s="6" t="s">
        <v>91</v>
      </c>
      <c r="F4826" s="6" t="s">
        <v>8022</v>
      </c>
      <c r="G4826" s="6" t="s">
        <v>8382</v>
      </c>
      <c r="H4826" s="6" t="s">
        <v>55</v>
      </c>
      <c r="I4826" s="6" t="s">
        <v>8273</v>
      </c>
      <c r="J4826" s="6" t="s">
        <v>91</v>
      </c>
      <c r="K4826" s="12" t="str">
        <f t="shared" ref="K4826:K4827" si="1101">HYPERLINK("https://media.licdn.com/dms/image/v2/D4E10AQG-5ahZNFJ0Qw/image-shrink_1280/B4EZqXlcw9J0AQ-/0/1763479769117/3Dark-1jpg?e=2147483647&amp;v=beta&amp;t=4-8BXjQk2Kp5K6WaUT9S6iuqFLEfdncrDe1XCFFXnhA","View Creative")</f>
        <v>View Creative</v>
      </c>
      <c r="L4826" s="6" t="s">
        <v>62</v>
      </c>
      <c r="M4826" s="6" t="s">
        <v>8270</v>
      </c>
      <c r="N4826" s="6" t="s">
        <v>8383</v>
      </c>
      <c r="O4826" s="36" t="s">
        <v>7541</v>
      </c>
      <c r="P4826" s="36" t="s">
        <v>7542</v>
      </c>
      <c r="Q4826" s="38"/>
    </row>
    <row r="4827">
      <c r="A4827" s="6" t="s">
        <v>8270</v>
      </c>
      <c r="B4827" s="6" t="s">
        <v>8271</v>
      </c>
      <c r="C4827" s="6">
        <v>776.0</v>
      </c>
      <c r="D4827" s="9" t="str">
        <f t="shared" si="1100"/>
        <v>Open Ad</v>
      </c>
      <c r="E4827" s="6" t="s">
        <v>91</v>
      </c>
      <c r="F4827" s="6" t="s">
        <v>8022</v>
      </c>
      <c r="G4827" s="6" t="s">
        <v>8382</v>
      </c>
      <c r="H4827" s="6" t="s">
        <v>55</v>
      </c>
      <c r="I4827" s="6" t="s">
        <v>8273</v>
      </c>
      <c r="J4827" s="6" t="s">
        <v>91</v>
      </c>
      <c r="K4827" s="12" t="str">
        <f t="shared" si="1101"/>
        <v>View Creative</v>
      </c>
      <c r="L4827" s="6" t="s">
        <v>62</v>
      </c>
      <c r="M4827" s="6" t="s">
        <v>8270</v>
      </c>
      <c r="N4827" s="6" t="s">
        <v>8383</v>
      </c>
      <c r="O4827" s="36" t="s">
        <v>7541</v>
      </c>
      <c r="P4827" s="36" t="s">
        <v>7542</v>
      </c>
      <c r="Q4827" s="38"/>
    </row>
    <row r="4828">
      <c r="A4828" s="6" t="s">
        <v>8270</v>
      </c>
      <c r="B4828" s="6" t="s">
        <v>8271</v>
      </c>
      <c r="C4828" s="6">
        <v>777.0</v>
      </c>
      <c r="D4828" s="9" t="str">
        <f t="shared" ref="D4828:D4829" si="1102">HYPERLINK("https://www.linkedin.com/ad-library/detail/916941474","Open Ad")</f>
        <v>Open Ad</v>
      </c>
      <c r="E4828" s="6" t="s">
        <v>91</v>
      </c>
      <c r="F4828" s="6" t="s">
        <v>8022</v>
      </c>
      <c r="G4828" s="6" t="s">
        <v>8363</v>
      </c>
      <c r="H4828" s="6" t="s">
        <v>55</v>
      </c>
      <c r="I4828" s="6" t="s">
        <v>8273</v>
      </c>
      <c r="J4828" s="6" t="s">
        <v>91</v>
      </c>
      <c r="K4828" s="12" t="str">
        <f t="shared" ref="K4828:K4829" si="1103">HYPERLINK("https://media.licdn.com/dms/image/v2/D4E10AQENGaPDx5roqA/image-shrink_1280/B4EZqXim7FKkAM-/0/1763479024318/2Light-2jpg?e=2147483647&amp;v=beta&amp;t=DZept9KGGJUeiMjvlU1rddz-iLlsRJ0i4DTZKOx7IH4","View Creative")</f>
        <v>View Creative</v>
      </c>
      <c r="L4828" s="6" t="s">
        <v>62</v>
      </c>
      <c r="M4828" s="6" t="s">
        <v>8270</v>
      </c>
      <c r="N4828" s="6" t="s">
        <v>8383</v>
      </c>
      <c r="O4828" s="36" t="s">
        <v>7541</v>
      </c>
      <c r="P4828" s="36" t="s">
        <v>7542</v>
      </c>
      <c r="Q4828" s="38"/>
    </row>
    <row r="4829">
      <c r="A4829" s="6" t="s">
        <v>8270</v>
      </c>
      <c r="B4829" s="6" t="s">
        <v>8271</v>
      </c>
      <c r="C4829" s="6">
        <v>778.0</v>
      </c>
      <c r="D4829" s="9" t="str">
        <f t="shared" si="1102"/>
        <v>Open Ad</v>
      </c>
      <c r="E4829" s="6" t="s">
        <v>91</v>
      </c>
      <c r="F4829" s="6" t="s">
        <v>8022</v>
      </c>
      <c r="G4829" s="6" t="s">
        <v>8363</v>
      </c>
      <c r="H4829" s="6" t="s">
        <v>55</v>
      </c>
      <c r="I4829" s="6" t="s">
        <v>8273</v>
      </c>
      <c r="J4829" s="6" t="s">
        <v>91</v>
      </c>
      <c r="K4829" s="12" t="str">
        <f t="shared" si="1103"/>
        <v>View Creative</v>
      </c>
      <c r="L4829" s="6" t="s">
        <v>62</v>
      </c>
      <c r="M4829" s="6" t="s">
        <v>8270</v>
      </c>
      <c r="N4829" s="6" t="s">
        <v>8383</v>
      </c>
      <c r="O4829" s="36" t="s">
        <v>7541</v>
      </c>
      <c r="P4829" s="36" t="s">
        <v>7542</v>
      </c>
      <c r="Q4829" s="38"/>
    </row>
    <row r="4830">
      <c r="A4830" s="6" t="s">
        <v>8270</v>
      </c>
      <c r="B4830" s="6" t="s">
        <v>8271</v>
      </c>
      <c r="C4830" s="6">
        <v>779.0</v>
      </c>
      <c r="D4830" s="9" t="str">
        <f t="shared" ref="D4830:D4831" si="1104">HYPERLINK("https://www.linkedin.com/ad-library/detail/916792314","Open Ad")</f>
        <v>Open Ad</v>
      </c>
      <c r="E4830" s="6" t="s">
        <v>91</v>
      </c>
      <c r="F4830" s="6" t="s">
        <v>8022</v>
      </c>
      <c r="G4830" s="6" t="s">
        <v>8363</v>
      </c>
      <c r="H4830" s="6" t="s">
        <v>55</v>
      </c>
      <c r="I4830" s="6" t="s">
        <v>8273</v>
      </c>
      <c r="J4830" s="6" t="s">
        <v>91</v>
      </c>
      <c r="K4830" s="12" t="str">
        <f t="shared" ref="K4830:K4831" si="1105">HYPERLINK("https://media.licdn.com/dms/image/v2/D4E10AQHcSoWO1dYKtQ/image-shrink_1280/B4EZqXi5QAHcAQ-/0/1763479099393/2Dark-2jpg?e=2147483647&amp;v=beta&amp;t=icCzusjbqHqZBG3AQPs0VI2nQANVz543VtPBphg9iAk","View Creative")</f>
        <v>View Creative</v>
      </c>
      <c r="L4830" s="6" t="s">
        <v>62</v>
      </c>
      <c r="M4830" s="6" t="s">
        <v>8270</v>
      </c>
      <c r="N4830" s="6" t="s">
        <v>8383</v>
      </c>
      <c r="O4830" s="36" t="s">
        <v>7541</v>
      </c>
      <c r="P4830" s="36" t="s">
        <v>7542</v>
      </c>
      <c r="Q4830" s="38"/>
    </row>
    <row r="4831">
      <c r="A4831" s="6" t="s">
        <v>8270</v>
      </c>
      <c r="B4831" s="6" t="s">
        <v>8271</v>
      </c>
      <c r="C4831" s="6">
        <v>780.0</v>
      </c>
      <c r="D4831" s="9" t="str">
        <f t="shared" si="1104"/>
        <v>Open Ad</v>
      </c>
      <c r="E4831" s="6" t="s">
        <v>91</v>
      </c>
      <c r="F4831" s="6" t="s">
        <v>8022</v>
      </c>
      <c r="G4831" s="6" t="s">
        <v>8363</v>
      </c>
      <c r="H4831" s="6" t="s">
        <v>55</v>
      </c>
      <c r="I4831" s="6" t="s">
        <v>8273</v>
      </c>
      <c r="J4831" s="6" t="s">
        <v>91</v>
      </c>
      <c r="K4831" s="12" t="str">
        <f t="shared" si="1105"/>
        <v>View Creative</v>
      </c>
      <c r="L4831" s="6" t="s">
        <v>62</v>
      </c>
      <c r="M4831" s="6" t="s">
        <v>8270</v>
      </c>
      <c r="N4831" s="6" t="s">
        <v>8383</v>
      </c>
      <c r="O4831" s="36" t="s">
        <v>7541</v>
      </c>
      <c r="P4831" s="36" t="s">
        <v>7542</v>
      </c>
      <c r="Q4831" s="38"/>
    </row>
    <row r="4832">
      <c r="A4832" s="6" t="s">
        <v>8270</v>
      </c>
      <c r="B4832" s="6" t="s">
        <v>8271</v>
      </c>
      <c r="C4832" s="6">
        <v>781.0</v>
      </c>
      <c r="D4832" s="9" t="str">
        <f t="shared" ref="D4832:D4833" si="1106">HYPERLINK("https://www.linkedin.com/ad-library/detail/916921734","Open Ad")</f>
        <v>Open Ad</v>
      </c>
      <c r="E4832" s="6" t="s">
        <v>91</v>
      </c>
      <c r="F4832" s="6" t="s">
        <v>8022</v>
      </c>
      <c r="G4832" s="6" t="s">
        <v>8363</v>
      </c>
      <c r="H4832" s="6" t="s">
        <v>55</v>
      </c>
      <c r="I4832" s="6" t="s">
        <v>8273</v>
      </c>
      <c r="J4832" s="6" t="s">
        <v>91</v>
      </c>
      <c r="K4832" s="12" t="str">
        <f t="shared" ref="K4832:K4833" si="1107">HYPERLINK("https://media.licdn.com/dms/image/v2/D4E10AQExlvzvwZR9Cw/image-shrink_1280/B4EZqXjO3_JgAQ-/0/1763479187977/3Dark-2jpg?e=2147483647&amp;v=beta&amp;t=hIw8-9_xZmTLDeJdkluPd0WO2TRrUEIgeIYzXYtAh1g","View Creative")</f>
        <v>View Creative</v>
      </c>
      <c r="L4832" s="6" t="s">
        <v>62</v>
      </c>
      <c r="M4832" s="6" t="s">
        <v>8270</v>
      </c>
      <c r="N4832" s="6" t="s">
        <v>8383</v>
      </c>
      <c r="O4832" s="36" t="s">
        <v>7541</v>
      </c>
      <c r="P4832" s="36" t="s">
        <v>7542</v>
      </c>
      <c r="Q4832" s="38"/>
    </row>
    <row r="4833">
      <c r="A4833" s="6" t="s">
        <v>8270</v>
      </c>
      <c r="B4833" s="6" t="s">
        <v>8271</v>
      </c>
      <c r="C4833" s="6">
        <v>782.0</v>
      </c>
      <c r="D4833" s="9" t="str">
        <f t="shared" si="1106"/>
        <v>Open Ad</v>
      </c>
      <c r="E4833" s="6" t="s">
        <v>91</v>
      </c>
      <c r="F4833" s="6" t="s">
        <v>8022</v>
      </c>
      <c r="G4833" s="6" t="s">
        <v>8363</v>
      </c>
      <c r="H4833" s="6" t="s">
        <v>55</v>
      </c>
      <c r="I4833" s="6" t="s">
        <v>8273</v>
      </c>
      <c r="J4833" s="6" t="s">
        <v>91</v>
      </c>
      <c r="K4833" s="12" t="str">
        <f t="shared" si="1107"/>
        <v>View Creative</v>
      </c>
      <c r="L4833" s="6" t="s">
        <v>62</v>
      </c>
      <c r="M4833" s="6" t="s">
        <v>8270</v>
      </c>
      <c r="N4833" s="6" t="s">
        <v>8383</v>
      </c>
      <c r="O4833" s="36" t="s">
        <v>7541</v>
      </c>
      <c r="P4833" s="36" t="s">
        <v>7542</v>
      </c>
      <c r="Q4833" s="38"/>
    </row>
    <row r="4834">
      <c r="A4834" s="6" t="s">
        <v>8270</v>
      </c>
      <c r="B4834" s="6" t="s">
        <v>8271</v>
      </c>
      <c r="C4834" s="6">
        <v>783.0</v>
      </c>
      <c r="D4834" s="9" t="str">
        <f t="shared" ref="D4834:D4835" si="1108">HYPERLINK("https://www.linkedin.com/ad-library/detail/916732894","Open Ad")</f>
        <v>Open Ad</v>
      </c>
      <c r="E4834" s="6" t="s">
        <v>91</v>
      </c>
      <c r="F4834" s="6" t="s">
        <v>8022</v>
      </c>
      <c r="G4834" s="6" t="s">
        <v>8363</v>
      </c>
      <c r="H4834" s="6" t="s">
        <v>55</v>
      </c>
      <c r="I4834" s="6" t="s">
        <v>8273</v>
      </c>
      <c r="J4834" s="6" t="s">
        <v>91</v>
      </c>
      <c r="K4834" s="12" t="str">
        <f t="shared" ref="K4834:K4835" si="1109">HYPERLINK("https://media.licdn.com/dms/image/v2/D4E10AQHFRHPc9FWrHg/image-shrink_1280/B4EZqXjE10HoAQ-/0/1763479146737/3Light-2jpg?e=2147483647&amp;v=beta&amp;t=rZhguR_gys1_eeccCKD40rY_p2pWztc9kFpk08d6MnM","View Creative")</f>
        <v>View Creative</v>
      </c>
      <c r="L4834" s="6" t="s">
        <v>62</v>
      </c>
      <c r="M4834" s="6" t="s">
        <v>8270</v>
      </c>
      <c r="N4834" s="6" t="s">
        <v>8383</v>
      </c>
      <c r="O4834" s="36" t="s">
        <v>7541</v>
      </c>
      <c r="P4834" s="36" t="s">
        <v>7542</v>
      </c>
      <c r="Q4834" s="38"/>
    </row>
    <row r="4835">
      <c r="A4835" s="6" t="s">
        <v>8270</v>
      </c>
      <c r="B4835" s="6" t="s">
        <v>8271</v>
      </c>
      <c r="C4835" s="6">
        <v>784.0</v>
      </c>
      <c r="D4835" s="9" t="str">
        <f t="shared" si="1108"/>
        <v>Open Ad</v>
      </c>
      <c r="E4835" s="6" t="s">
        <v>91</v>
      </c>
      <c r="F4835" s="6" t="s">
        <v>8022</v>
      </c>
      <c r="G4835" s="6" t="s">
        <v>8363</v>
      </c>
      <c r="H4835" s="6" t="s">
        <v>55</v>
      </c>
      <c r="I4835" s="6" t="s">
        <v>8273</v>
      </c>
      <c r="J4835" s="6" t="s">
        <v>91</v>
      </c>
      <c r="K4835" s="12" t="str">
        <f t="shared" si="1109"/>
        <v>View Creative</v>
      </c>
      <c r="L4835" s="6" t="s">
        <v>62</v>
      </c>
      <c r="M4835" s="6" t="s">
        <v>8270</v>
      </c>
      <c r="N4835" s="6" t="s">
        <v>8383</v>
      </c>
      <c r="O4835" s="36" t="s">
        <v>7541</v>
      </c>
      <c r="P4835" s="36" t="s">
        <v>7542</v>
      </c>
      <c r="Q4835" s="38"/>
    </row>
    <row r="4836">
      <c r="A4836" s="6" t="s">
        <v>8270</v>
      </c>
      <c r="B4836" s="6" t="s">
        <v>8271</v>
      </c>
      <c r="C4836" s="6">
        <v>785.0</v>
      </c>
      <c r="D4836" s="9" t="str">
        <f t="shared" ref="D4836:D4837" si="1110">HYPERLINK("https://www.linkedin.com/ad-library/detail/916921744","Open Ad")</f>
        <v>Open Ad</v>
      </c>
      <c r="E4836" s="6" t="s">
        <v>91</v>
      </c>
      <c r="F4836" s="6" t="s">
        <v>8022</v>
      </c>
      <c r="G4836" s="6" t="s">
        <v>8363</v>
      </c>
      <c r="H4836" s="6" t="s">
        <v>55</v>
      </c>
      <c r="I4836" s="6" t="s">
        <v>8273</v>
      </c>
      <c r="J4836" s="6" t="s">
        <v>91</v>
      </c>
      <c r="K4836" s="12" t="str">
        <f t="shared" ref="K4836:K4837" si="1111">HYPERLINK("https://media.licdn.com/dms/image/v2/D4E10AQGNSAIQ6QLAQA/image-shrink_1280/B4EZqXjmXGJ0AY-/0/1763479284571/4Dark-2jpg?e=2147483647&amp;v=beta&amp;t=JcZsw5Q4oi5lthxDnppFNw4twgrHMx1erlaYBtQWCPE","View Creative")</f>
        <v>View Creative</v>
      </c>
      <c r="L4836" s="6" t="s">
        <v>62</v>
      </c>
      <c r="M4836" s="6" t="s">
        <v>8270</v>
      </c>
      <c r="N4836" s="6" t="s">
        <v>8383</v>
      </c>
      <c r="O4836" s="36" t="s">
        <v>7541</v>
      </c>
      <c r="P4836" s="36" t="s">
        <v>7542</v>
      </c>
      <c r="Q4836" s="38"/>
    </row>
    <row r="4837">
      <c r="A4837" s="6" t="s">
        <v>8270</v>
      </c>
      <c r="B4837" s="6" t="s">
        <v>8271</v>
      </c>
      <c r="C4837" s="6">
        <v>786.0</v>
      </c>
      <c r="D4837" s="9" t="str">
        <f t="shared" si="1110"/>
        <v>Open Ad</v>
      </c>
      <c r="E4837" s="6" t="s">
        <v>91</v>
      </c>
      <c r="F4837" s="6" t="s">
        <v>8022</v>
      </c>
      <c r="G4837" s="6" t="s">
        <v>8363</v>
      </c>
      <c r="H4837" s="6" t="s">
        <v>55</v>
      </c>
      <c r="I4837" s="6" t="s">
        <v>8273</v>
      </c>
      <c r="J4837" s="6" t="s">
        <v>91</v>
      </c>
      <c r="K4837" s="12" t="str">
        <f t="shared" si="1111"/>
        <v>View Creative</v>
      </c>
      <c r="L4837" s="6" t="s">
        <v>62</v>
      </c>
      <c r="M4837" s="6" t="s">
        <v>8270</v>
      </c>
      <c r="N4837" s="6" t="s">
        <v>8383</v>
      </c>
      <c r="O4837" s="36" t="s">
        <v>7541</v>
      </c>
      <c r="P4837" s="36" t="s">
        <v>7542</v>
      </c>
      <c r="Q4837" s="38"/>
    </row>
    <row r="4838">
      <c r="A4838" s="6" t="s">
        <v>8270</v>
      </c>
      <c r="B4838" s="6" t="s">
        <v>8271</v>
      </c>
      <c r="C4838" s="6">
        <v>787.0</v>
      </c>
      <c r="D4838" s="9" t="str">
        <f t="shared" ref="D4838:D4839" si="1112">HYPERLINK("https://www.linkedin.com/ad-library/detail/916732884","Open Ad")</f>
        <v>Open Ad</v>
      </c>
      <c r="E4838" s="6" t="s">
        <v>91</v>
      </c>
      <c r="F4838" s="6" t="s">
        <v>8022</v>
      </c>
      <c r="G4838" s="6" t="s">
        <v>8363</v>
      </c>
      <c r="H4838" s="6" t="s">
        <v>55</v>
      </c>
      <c r="I4838" s="6" t="s">
        <v>8273</v>
      </c>
      <c r="J4838" s="6" t="s">
        <v>91</v>
      </c>
      <c r="K4838" s="12" t="str">
        <f t="shared" ref="K4838:K4839" si="1113">HYPERLINK("https://media.licdn.com/dms/image/v2/D4E10AQF4bTkTRfa3uA/image-shrink_1280/B4EZqXgd47HMAM-/0/1763478462911/4Light-2jpg?e=2147483647&amp;v=beta&amp;t=uK41TOo8iHj_pufRB7IRs6CRYzq8e8v7tl4rEbNjC4k","View Creative")</f>
        <v>View Creative</v>
      </c>
      <c r="L4838" s="6" t="s">
        <v>62</v>
      </c>
      <c r="M4838" s="6" t="s">
        <v>8270</v>
      </c>
      <c r="N4838" s="6" t="s">
        <v>8383</v>
      </c>
      <c r="O4838" s="36" t="s">
        <v>7541</v>
      </c>
      <c r="P4838" s="36" t="s">
        <v>7542</v>
      </c>
      <c r="Q4838" s="38"/>
    </row>
    <row r="4839">
      <c r="A4839" s="6" t="s">
        <v>8270</v>
      </c>
      <c r="B4839" s="6" t="s">
        <v>8271</v>
      </c>
      <c r="C4839" s="6">
        <v>788.0</v>
      </c>
      <c r="D4839" s="9" t="str">
        <f t="shared" si="1112"/>
        <v>Open Ad</v>
      </c>
      <c r="E4839" s="6" t="s">
        <v>91</v>
      </c>
      <c r="F4839" s="6" t="s">
        <v>8022</v>
      </c>
      <c r="G4839" s="6" t="s">
        <v>8363</v>
      </c>
      <c r="H4839" s="6" t="s">
        <v>55</v>
      </c>
      <c r="I4839" s="6" t="s">
        <v>8273</v>
      </c>
      <c r="J4839" s="6" t="s">
        <v>91</v>
      </c>
      <c r="K4839" s="12" t="str">
        <f t="shared" si="1113"/>
        <v>View Creative</v>
      </c>
      <c r="L4839" s="6" t="s">
        <v>62</v>
      </c>
      <c r="M4839" s="6" t="s">
        <v>8270</v>
      </c>
      <c r="N4839" s="6" t="s">
        <v>8383</v>
      </c>
      <c r="O4839" s="36" t="s">
        <v>7541</v>
      </c>
      <c r="P4839" s="36" t="s">
        <v>7542</v>
      </c>
      <c r="Q4839" s="38"/>
    </row>
    <row r="4840">
      <c r="A4840" s="6" t="s">
        <v>8270</v>
      </c>
      <c r="B4840" s="6" t="s">
        <v>8271</v>
      </c>
      <c r="C4840" s="6">
        <v>789.0</v>
      </c>
      <c r="D4840" s="9" t="str">
        <f t="shared" ref="D4840:D4841" si="1114">HYPERLINK("https://www.linkedin.com/ad-library/detail/916921714","Open Ad")</f>
        <v>Open Ad</v>
      </c>
      <c r="E4840" s="6" t="s">
        <v>91</v>
      </c>
      <c r="F4840" s="6" t="s">
        <v>8022</v>
      </c>
      <c r="G4840" s="6" t="s">
        <v>8373</v>
      </c>
      <c r="H4840" s="6" t="s">
        <v>55</v>
      </c>
      <c r="I4840" s="6" t="s">
        <v>8273</v>
      </c>
      <c r="J4840" s="6" t="s">
        <v>91</v>
      </c>
      <c r="K4840" s="12" t="str">
        <f t="shared" ref="K4840:K4841" si="1115">HYPERLINK("https://media.licdn.com/dms/image/v2/D4E10AQF05B5KrIYX3Q/image-shrink_1280/B4EZqXkxnNIUAQ-/0/1763479592401/4Darkjpg?e=2147483647&amp;v=beta&amp;t=lmbPcqoVC_Y-Wlew1o_6c5nMRLgnV8eb3NV3Xney0eU","View Creative")</f>
        <v>View Creative</v>
      </c>
      <c r="L4840" s="6" t="s">
        <v>62</v>
      </c>
      <c r="M4840" s="6" t="s">
        <v>8270</v>
      </c>
      <c r="N4840" s="6" t="s">
        <v>8383</v>
      </c>
      <c r="O4840" s="36" t="s">
        <v>7541</v>
      </c>
      <c r="P4840" s="36" t="s">
        <v>7542</v>
      </c>
      <c r="Q4840" s="38"/>
    </row>
    <row r="4841">
      <c r="A4841" s="6" t="s">
        <v>8270</v>
      </c>
      <c r="B4841" s="6" t="s">
        <v>8271</v>
      </c>
      <c r="C4841" s="6">
        <v>790.0</v>
      </c>
      <c r="D4841" s="9" t="str">
        <f t="shared" si="1114"/>
        <v>Open Ad</v>
      </c>
      <c r="E4841" s="6" t="s">
        <v>91</v>
      </c>
      <c r="F4841" s="6" t="s">
        <v>8022</v>
      </c>
      <c r="G4841" s="6" t="s">
        <v>8373</v>
      </c>
      <c r="H4841" s="6" t="s">
        <v>55</v>
      </c>
      <c r="I4841" s="6" t="s">
        <v>8273</v>
      </c>
      <c r="J4841" s="6" t="s">
        <v>91</v>
      </c>
      <c r="K4841" s="12" t="str">
        <f t="shared" si="1115"/>
        <v>View Creative</v>
      </c>
      <c r="L4841" s="6" t="s">
        <v>62</v>
      </c>
      <c r="M4841" s="6" t="s">
        <v>8270</v>
      </c>
      <c r="N4841" s="6" t="s">
        <v>8383</v>
      </c>
      <c r="O4841" s="36" t="s">
        <v>7541</v>
      </c>
      <c r="P4841" s="36" t="s">
        <v>7542</v>
      </c>
      <c r="Q4841" s="38"/>
    </row>
    <row r="4842">
      <c r="A4842" s="6" t="s">
        <v>8270</v>
      </c>
      <c r="B4842" s="6" t="s">
        <v>8271</v>
      </c>
      <c r="C4842" s="6">
        <v>791.0</v>
      </c>
      <c r="D4842" s="9" t="str">
        <f t="shared" ref="D4842:D4843" si="1116">HYPERLINK("https://www.linkedin.com/ad-library/detail/916831904","Open Ad")</f>
        <v>Open Ad</v>
      </c>
      <c r="E4842" s="6" t="s">
        <v>91</v>
      </c>
      <c r="F4842" s="6" t="s">
        <v>8022</v>
      </c>
      <c r="G4842" s="6" t="s">
        <v>8373</v>
      </c>
      <c r="H4842" s="6" t="s">
        <v>55</v>
      </c>
      <c r="I4842" s="6" t="s">
        <v>8273</v>
      </c>
      <c r="J4842" s="6" t="s">
        <v>91</v>
      </c>
      <c r="K4842" s="12" t="str">
        <f t="shared" ref="K4842:K4843" si="1117">HYPERLINK("https://media.licdn.com/dms/image/v2/D4E10AQF45XRPTXtW5A/image-shrink_1280/B4EZqXhpz1GcAM-/0/1763478773949/3Darkjpg?e=2147483647&amp;v=beta&amp;t=4YvB4IIPTWmlveIYFlgySSG_pCTzhVNDBwJvzRQ8cLk","View Creative")</f>
        <v>View Creative</v>
      </c>
      <c r="L4842" s="6" t="s">
        <v>62</v>
      </c>
      <c r="M4842" s="6" t="s">
        <v>8270</v>
      </c>
      <c r="N4842" s="6" t="s">
        <v>8383</v>
      </c>
      <c r="O4842" s="36" t="s">
        <v>7541</v>
      </c>
      <c r="P4842" s="36" t="s">
        <v>7542</v>
      </c>
      <c r="Q4842" s="38"/>
    </row>
    <row r="4843">
      <c r="A4843" s="6" t="s">
        <v>8270</v>
      </c>
      <c r="B4843" s="6" t="s">
        <v>8271</v>
      </c>
      <c r="C4843" s="6">
        <v>792.0</v>
      </c>
      <c r="D4843" s="9" t="str">
        <f t="shared" si="1116"/>
        <v>Open Ad</v>
      </c>
      <c r="E4843" s="6" t="s">
        <v>91</v>
      </c>
      <c r="F4843" s="6" t="s">
        <v>8022</v>
      </c>
      <c r="G4843" s="6" t="s">
        <v>8373</v>
      </c>
      <c r="H4843" s="6" t="s">
        <v>55</v>
      </c>
      <c r="I4843" s="6" t="s">
        <v>8273</v>
      </c>
      <c r="J4843" s="6" t="s">
        <v>91</v>
      </c>
      <c r="K4843" s="12" t="str">
        <f t="shared" si="1117"/>
        <v>View Creative</v>
      </c>
      <c r="L4843" s="6" t="s">
        <v>62</v>
      </c>
      <c r="M4843" s="6" t="s">
        <v>8270</v>
      </c>
      <c r="N4843" s="6" t="s">
        <v>8383</v>
      </c>
      <c r="O4843" s="36" t="s">
        <v>7541</v>
      </c>
      <c r="P4843" s="36" t="s">
        <v>7542</v>
      </c>
      <c r="Q4843" s="38"/>
    </row>
    <row r="4844">
      <c r="A4844" s="6" t="s">
        <v>8270</v>
      </c>
      <c r="B4844" s="6" t="s">
        <v>8271</v>
      </c>
      <c r="C4844" s="6">
        <v>793.0</v>
      </c>
      <c r="D4844" s="9" t="str">
        <f t="shared" ref="D4844:D4845" si="1118">HYPERLINK("https://www.linkedin.com/ad-library/detail/916752124","Open Ad")</f>
        <v>Open Ad</v>
      </c>
      <c r="E4844" s="6" t="s">
        <v>91</v>
      </c>
      <c r="F4844" s="6" t="s">
        <v>8022</v>
      </c>
      <c r="G4844" s="6" t="s">
        <v>8363</v>
      </c>
      <c r="H4844" s="6" t="s">
        <v>55</v>
      </c>
      <c r="I4844" s="6" t="s">
        <v>8273</v>
      </c>
      <c r="J4844" s="6" t="s">
        <v>91</v>
      </c>
      <c r="K4844" s="12" t="str">
        <f t="shared" ref="K4844:K4845" si="1119">HYPERLINK("https://media.licdn.com/dms/image/v2/D4E10AQENGaPDx5roqA/image-shrink_1280/B4EZqXim7FKkAM-/0/1763479024318/2Light-2jpg?e=2147483647&amp;v=beta&amp;t=DZept9KGGJUeiMjvlU1rddz-iLlsRJ0i4DTZKOx7IH4","View Creative")</f>
        <v>View Creative</v>
      </c>
      <c r="L4844" s="6" t="s">
        <v>62</v>
      </c>
      <c r="M4844" s="6" t="s">
        <v>8270</v>
      </c>
      <c r="N4844" s="6" t="s">
        <v>8383</v>
      </c>
      <c r="O4844" s="36" t="s">
        <v>7541</v>
      </c>
      <c r="P4844" s="36" t="s">
        <v>7542</v>
      </c>
      <c r="Q4844" s="38"/>
    </row>
    <row r="4845">
      <c r="A4845" s="6" t="s">
        <v>8270</v>
      </c>
      <c r="B4845" s="6" t="s">
        <v>8271</v>
      </c>
      <c r="C4845" s="6">
        <v>794.0</v>
      </c>
      <c r="D4845" s="9" t="str">
        <f t="shared" si="1118"/>
        <v>Open Ad</v>
      </c>
      <c r="E4845" s="6" t="s">
        <v>91</v>
      </c>
      <c r="F4845" s="6" t="s">
        <v>8022</v>
      </c>
      <c r="G4845" s="6" t="s">
        <v>8363</v>
      </c>
      <c r="H4845" s="6" t="s">
        <v>55</v>
      </c>
      <c r="I4845" s="6" t="s">
        <v>8273</v>
      </c>
      <c r="J4845" s="6" t="s">
        <v>91</v>
      </c>
      <c r="K4845" s="12" t="str">
        <f t="shared" si="1119"/>
        <v>View Creative</v>
      </c>
      <c r="L4845" s="6" t="s">
        <v>62</v>
      </c>
      <c r="M4845" s="6" t="s">
        <v>8270</v>
      </c>
      <c r="N4845" s="6" t="s">
        <v>8383</v>
      </c>
      <c r="O4845" s="36" t="s">
        <v>7541</v>
      </c>
      <c r="P4845" s="36" t="s">
        <v>7542</v>
      </c>
      <c r="Q4845" s="38"/>
    </row>
    <row r="4846">
      <c r="A4846" s="6" t="s">
        <v>8270</v>
      </c>
      <c r="B4846" s="6" t="s">
        <v>8271</v>
      </c>
      <c r="C4846" s="6">
        <v>795.0</v>
      </c>
      <c r="D4846" s="9" t="str">
        <f t="shared" ref="D4846:D4847" si="1120">HYPERLINK("https://www.linkedin.com/ad-library/detail/916921724","Open Ad")</f>
        <v>Open Ad</v>
      </c>
      <c r="E4846" s="6" t="s">
        <v>91</v>
      </c>
      <c r="F4846" s="6" t="s">
        <v>8022</v>
      </c>
      <c r="G4846" s="6" t="s">
        <v>8373</v>
      </c>
      <c r="H4846" s="6" t="s">
        <v>55</v>
      </c>
      <c r="I4846" s="6" t="s">
        <v>8273</v>
      </c>
      <c r="J4846" s="6" t="s">
        <v>91</v>
      </c>
      <c r="K4846" s="12" t="str">
        <f t="shared" ref="K4846:K4847" si="1121">HYPERLINK("https://media.licdn.com/dms/image/v2/D4E10AQEU0w4UGxx8Ag/image-shrink_1280/B4EZqXkZXlIQAQ-/0/1763479492926/3Lightjpg?e=2147483647&amp;v=beta&amp;t=_jgwspKyqLBBvgvbnQErlUU5Db0lO5w9CIE-CNaO5CA","View Creative")</f>
        <v>View Creative</v>
      </c>
      <c r="L4846" s="6" t="s">
        <v>62</v>
      </c>
      <c r="M4846" s="6" t="s">
        <v>8270</v>
      </c>
      <c r="N4846" s="6" t="s">
        <v>8383</v>
      </c>
      <c r="O4846" s="36" t="s">
        <v>7541</v>
      </c>
      <c r="P4846" s="36" t="s">
        <v>7542</v>
      </c>
      <c r="Q4846" s="38"/>
    </row>
    <row r="4847">
      <c r="A4847" s="6" t="s">
        <v>8270</v>
      </c>
      <c r="B4847" s="6" t="s">
        <v>8271</v>
      </c>
      <c r="C4847" s="6">
        <v>796.0</v>
      </c>
      <c r="D4847" s="9" t="str">
        <f t="shared" si="1120"/>
        <v>Open Ad</v>
      </c>
      <c r="E4847" s="6" t="s">
        <v>91</v>
      </c>
      <c r="F4847" s="6" t="s">
        <v>8022</v>
      </c>
      <c r="G4847" s="6" t="s">
        <v>8373</v>
      </c>
      <c r="H4847" s="6" t="s">
        <v>55</v>
      </c>
      <c r="I4847" s="6" t="s">
        <v>8273</v>
      </c>
      <c r="J4847" s="6" t="s">
        <v>91</v>
      </c>
      <c r="K4847" s="12" t="str">
        <f t="shared" si="1121"/>
        <v>View Creative</v>
      </c>
      <c r="L4847" s="6" t="s">
        <v>62</v>
      </c>
      <c r="M4847" s="6" t="s">
        <v>8270</v>
      </c>
      <c r="N4847" s="6" t="s">
        <v>8383</v>
      </c>
      <c r="O4847" s="36" t="s">
        <v>7541</v>
      </c>
      <c r="P4847" s="36" t="s">
        <v>7542</v>
      </c>
      <c r="Q4847" s="38"/>
    </row>
    <row r="4848">
      <c r="A4848" s="6" t="s">
        <v>8270</v>
      </c>
      <c r="B4848" s="6" t="s">
        <v>8271</v>
      </c>
      <c r="C4848" s="6">
        <v>797.0</v>
      </c>
      <c r="D4848" s="9" t="str">
        <f t="shared" ref="D4848:D4849" si="1122">HYPERLINK("https://www.linkedin.com/ad-library/detail/916792304","Open Ad")</f>
        <v>Open Ad</v>
      </c>
      <c r="E4848" s="6" t="s">
        <v>91</v>
      </c>
      <c r="F4848" s="6" t="s">
        <v>8022</v>
      </c>
      <c r="G4848" s="6" t="s">
        <v>8373</v>
      </c>
      <c r="H4848" s="6" t="s">
        <v>55</v>
      </c>
      <c r="I4848" s="6" t="s">
        <v>8273</v>
      </c>
      <c r="J4848" s="6" t="s">
        <v>91</v>
      </c>
      <c r="K4848" s="12" t="str">
        <f t="shared" ref="K4848:K4849" si="1123">HYPERLINK("https://media.licdn.com/dms/image/v2/D4E10AQFxfjR2dJkNlg/image-shrink_1280/B4EZqXj65yHoAQ-/0/1763479368316/2Lightjpg?e=2147483647&amp;v=beta&amp;t=0BZupskLHGP7TqtfAL-L-mFVlgtE8yz43mAhCvAvz8E","View Creative")</f>
        <v>View Creative</v>
      </c>
      <c r="L4848" s="6" t="s">
        <v>62</v>
      </c>
      <c r="M4848" s="6" t="s">
        <v>8270</v>
      </c>
      <c r="N4848" s="6" t="s">
        <v>8383</v>
      </c>
      <c r="O4848" s="36" t="s">
        <v>7541</v>
      </c>
      <c r="P4848" s="36" t="s">
        <v>7542</v>
      </c>
      <c r="Q4848" s="38"/>
    </row>
    <row r="4849">
      <c r="A4849" s="6" t="s">
        <v>8270</v>
      </c>
      <c r="B4849" s="6" t="s">
        <v>8271</v>
      </c>
      <c r="C4849" s="6">
        <v>798.0</v>
      </c>
      <c r="D4849" s="9" t="str">
        <f t="shared" si="1122"/>
        <v>Open Ad</v>
      </c>
      <c r="E4849" s="6" t="s">
        <v>91</v>
      </c>
      <c r="F4849" s="6" t="s">
        <v>8022</v>
      </c>
      <c r="G4849" s="6" t="s">
        <v>8373</v>
      </c>
      <c r="H4849" s="6" t="s">
        <v>55</v>
      </c>
      <c r="I4849" s="6" t="s">
        <v>8273</v>
      </c>
      <c r="J4849" s="6" t="s">
        <v>91</v>
      </c>
      <c r="K4849" s="12" t="str">
        <f t="shared" si="1123"/>
        <v>View Creative</v>
      </c>
      <c r="L4849" s="6" t="s">
        <v>62</v>
      </c>
      <c r="M4849" s="6" t="s">
        <v>8270</v>
      </c>
      <c r="N4849" s="6" t="s">
        <v>8383</v>
      </c>
      <c r="O4849" s="36" t="s">
        <v>7541</v>
      </c>
      <c r="P4849" s="36" t="s">
        <v>7542</v>
      </c>
      <c r="Q4849" s="38"/>
    </row>
    <row r="4850">
      <c r="A4850" s="6" t="s">
        <v>8270</v>
      </c>
      <c r="B4850" s="6" t="s">
        <v>8271</v>
      </c>
      <c r="C4850" s="6">
        <v>799.0</v>
      </c>
      <c r="D4850" s="9" t="str">
        <f t="shared" ref="D4850:D4851" si="1124">HYPERLINK("https://www.linkedin.com/ad-library/detail/916921504","Open Ad")</f>
        <v>Open Ad</v>
      </c>
      <c r="E4850" s="6" t="s">
        <v>91</v>
      </c>
      <c r="F4850" s="6" t="s">
        <v>8022</v>
      </c>
      <c r="G4850" s="6" t="s">
        <v>8382</v>
      </c>
      <c r="H4850" s="6" t="s">
        <v>55</v>
      </c>
      <c r="I4850" s="6" t="s">
        <v>8273</v>
      </c>
      <c r="J4850" s="6" t="s">
        <v>91</v>
      </c>
      <c r="K4850" s="12" t="str">
        <f t="shared" ref="K4850:K4851" si="1125">HYPERLINK("https://media.licdn.com/dms/image/v2/D4E10AQHnhFdk5erWzw/image-shrink_1280/B4EZqXl1jdHcAQ-/0/1763479870659/4Dark-1jpg?e=2147483647&amp;v=beta&amp;t=wQnFAsjwRWIR2Up9jZTNCEwfUoCUCC6kW19Coj1cMSo","View Creative")</f>
        <v>View Creative</v>
      </c>
      <c r="L4850" s="6" t="s">
        <v>62</v>
      </c>
      <c r="M4850" s="6" t="s">
        <v>8270</v>
      </c>
      <c r="N4850" s="6" t="s">
        <v>8383</v>
      </c>
      <c r="O4850" s="36" t="s">
        <v>7541</v>
      </c>
      <c r="P4850" s="36" t="s">
        <v>7542</v>
      </c>
      <c r="Q4850" s="38"/>
    </row>
    <row r="4851">
      <c r="A4851" s="6" t="s">
        <v>8270</v>
      </c>
      <c r="B4851" s="6" t="s">
        <v>8271</v>
      </c>
      <c r="C4851" s="6">
        <v>800.0</v>
      </c>
      <c r="D4851" s="9" t="str">
        <f t="shared" si="1124"/>
        <v>Open Ad</v>
      </c>
      <c r="E4851" s="6" t="s">
        <v>91</v>
      </c>
      <c r="F4851" s="6" t="s">
        <v>8022</v>
      </c>
      <c r="G4851" s="6" t="s">
        <v>8382</v>
      </c>
      <c r="H4851" s="6" t="s">
        <v>55</v>
      </c>
      <c r="I4851" s="6" t="s">
        <v>8273</v>
      </c>
      <c r="J4851" s="6" t="s">
        <v>91</v>
      </c>
      <c r="K4851" s="12" t="str">
        <f t="shared" si="1125"/>
        <v>View Creative</v>
      </c>
      <c r="L4851" s="6" t="s">
        <v>62</v>
      </c>
      <c r="M4851" s="6" t="s">
        <v>8270</v>
      </c>
      <c r="N4851" s="6" t="s">
        <v>8383</v>
      </c>
      <c r="O4851" s="36" t="s">
        <v>7541</v>
      </c>
      <c r="P4851" s="36" t="s">
        <v>7542</v>
      </c>
      <c r="Q4851" s="38"/>
    </row>
    <row r="4852">
      <c r="A4852" s="6" t="s">
        <v>8270</v>
      </c>
      <c r="B4852" s="6" t="s">
        <v>8271</v>
      </c>
      <c r="C4852" s="6">
        <v>801.0</v>
      </c>
      <c r="D4852" s="9" t="str">
        <f t="shared" ref="D4852:D4853" si="1126">HYPERLINK("https://www.linkedin.com/ad-library/detail/916782254","Open Ad")</f>
        <v>Open Ad</v>
      </c>
      <c r="E4852" s="6" t="s">
        <v>91</v>
      </c>
      <c r="F4852" s="6" t="s">
        <v>8022</v>
      </c>
      <c r="G4852" s="6" t="s">
        <v>8382</v>
      </c>
      <c r="H4852" s="6" t="s">
        <v>55</v>
      </c>
      <c r="I4852" s="6" t="s">
        <v>8273</v>
      </c>
      <c r="J4852" s="6" t="s">
        <v>91</v>
      </c>
      <c r="K4852" s="12" t="str">
        <f t="shared" ref="K4852:K4853" si="1127">HYPERLINK("https://media.licdn.com/dms/image/v2/D4E10AQEibW1Mbh7sqA/image-shrink_1280/B4EZqXls8NJ0AM-/0/1763479835181/4Light-1jpg?e=2147483647&amp;v=beta&amp;t=2hMSkg_WzpI0QH6KbZSxbFIXB8RwAQMadtR6L1vWDAk","View Creative")</f>
        <v>View Creative</v>
      </c>
      <c r="L4852" s="6" t="s">
        <v>62</v>
      </c>
      <c r="M4852" s="6" t="s">
        <v>8270</v>
      </c>
      <c r="N4852" s="6" t="s">
        <v>8383</v>
      </c>
      <c r="O4852" s="36" t="s">
        <v>7541</v>
      </c>
      <c r="P4852" s="36" t="s">
        <v>7542</v>
      </c>
      <c r="Q4852" s="38"/>
    </row>
    <row r="4853">
      <c r="A4853" s="6" t="s">
        <v>8270</v>
      </c>
      <c r="B4853" s="6" t="s">
        <v>8271</v>
      </c>
      <c r="C4853" s="6">
        <v>802.0</v>
      </c>
      <c r="D4853" s="9" t="str">
        <f t="shared" si="1126"/>
        <v>Open Ad</v>
      </c>
      <c r="E4853" s="6" t="s">
        <v>91</v>
      </c>
      <c r="F4853" s="6" t="s">
        <v>8022</v>
      </c>
      <c r="G4853" s="6" t="s">
        <v>8382</v>
      </c>
      <c r="H4853" s="6" t="s">
        <v>55</v>
      </c>
      <c r="I4853" s="6" t="s">
        <v>8273</v>
      </c>
      <c r="J4853" s="6" t="s">
        <v>91</v>
      </c>
      <c r="K4853" s="12" t="str">
        <f t="shared" si="1127"/>
        <v>View Creative</v>
      </c>
      <c r="L4853" s="6" t="s">
        <v>62</v>
      </c>
      <c r="M4853" s="6" t="s">
        <v>8270</v>
      </c>
      <c r="N4853" s="6" t="s">
        <v>8383</v>
      </c>
      <c r="O4853" s="36" t="s">
        <v>7541</v>
      </c>
      <c r="P4853" s="36" t="s">
        <v>7542</v>
      </c>
      <c r="Q4853" s="38"/>
    </row>
    <row r="4854">
      <c r="A4854" s="6" t="s">
        <v>8270</v>
      </c>
      <c r="B4854" s="6" t="s">
        <v>8271</v>
      </c>
      <c r="C4854" s="6">
        <v>803.0</v>
      </c>
      <c r="D4854" s="9" t="str">
        <f t="shared" ref="D4854:D4855" si="1128">HYPERLINK("https://www.linkedin.com/ad-library/detail/916841784","Open Ad")</f>
        <v>Open Ad</v>
      </c>
      <c r="E4854" s="6" t="s">
        <v>91</v>
      </c>
      <c r="F4854" s="6" t="s">
        <v>8022</v>
      </c>
      <c r="G4854" s="6" t="s">
        <v>8373</v>
      </c>
      <c r="H4854" s="6" t="s">
        <v>55</v>
      </c>
      <c r="I4854" s="6" t="s">
        <v>8273</v>
      </c>
      <c r="J4854" s="6" t="s">
        <v>91</v>
      </c>
      <c r="K4854" s="12" t="str">
        <f t="shared" ref="K4854:K4855" si="1129">HYPERLINK("https://media.licdn.com/dms/image/v2/D4E10AQEGBOzQY5J0Ig/image-shrink_1280/B4EZqXkFQHIIAQ-/0/1763479410773/2Darkjpg?e=2147483647&amp;v=beta&amp;t=erfq82UzNpZu5Zl5UHAnfU9yBixcEf2q-7xjAyGgUQo","View Creative")</f>
        <v>View Creative</v>
      </c>
      <c r="L4854" s="6" t="s">
        <v>62</v>
      </c>
      <c r="M4854" s="6" t="s">
        <v>8270</v>
      </c>
      <c r="N4854" s="6" t="s">
        <v>8383</v>
      </c>
      <c r="O4854" s="36" t="s">
        <v>7541</v>
      </c>
      <c r="P4854" s="36" t="s">
        <v>7542</v>
      </c>
      <c r="Q4854" s="38"/>
    </row>
    <row r="4855">
      <c r="A4855" s="6" t="s">
        <v>8270</v>
      </c>
      <c r="B4855" s="6" t="s">
        <v>8271</v>
      </c>
      <c r="C4855" s="6">
        <v>804.0</v>
      </c>
      <c r="D4855" s="9" t="str">
        <f t="shared" si="1128"/>
        <v>Open Ad</v>
      </c>
      <c r="E4855" s="6" t="s">
        <v>91</v>
      </c>
      <c r="F4855" s="6" t="s">
        <v>8022</v>
      </c>
      <c r="G4855" s="6" t="s">
        <v>8373</v>
      </c>
      <c r="H4855" s="6" t="s">
        <v>55</v>
      </c>
      <c r="I4855" s="6" t="s">
        <v>8273</v>
      </c>
      <c r="J4855" s="6" t="s">
        <v>91</v>
      </c>
      <c r="K4855" s="12" t="str">
        <f t="shared" si="1129"/>
        <v>View Creative</v>
      </c>
      <c r="L4855" s="6" t="s">
        <v>62</v>
      </c>
      <c r="M4855" s="6" t="s">
        <v>8270</v>
      </c>
      <c r="N4855" s="6" t="s">
        <v>8383</v>
      </c>
      <c r="O4855" s="36" t="s">
        <v>7541</v>
      </c>
      <c r="P4855" s="36" t="s">
        <v>7542</v>
      </c>
      <c r="Q4855" s="38"/>
    </row>
    <row r="4856">
      <c r="A4856" s="6" t="s">
        <v>8270</v>
      </c>
      <c r="B4856" s="6" t="s">
        <v>8271</v>
      </c>
      <c r="C4856" s="6">
        <v>805.0</v>
      </c>
      <c r="D4856" s="9" t="str">
        <f t="shared" ref="D4856:D4857" si="1130">HYPERLINK("https://www.linkedin.com/ad-library/detail/916931544","Open Ad")</f>
        <v>Open Ad</v>
      </c>
      <c r="E4856" s="6" t="s">
        <v>91</v>
      </c>
      <c r="F4856" s="6" t="s">
        <v>8022</v>
      </c>
      <c r="G4856" s="6" t="s">
        <v>8382</v>
      </c>
      <c r="H4856" s="6" t="s">
        <v>55</v>
      </c>
      <c r="I4856" s="6" t="s">
        <v>8273</v>
      </c>
      <c r="J4856" s="6" t="s">
        <v>91</v>
      </c>
      <c r="K4856" s="12" t="str">
        <f t="shared" ref="K4856:K4857" si="1131">HYPERLINK("https://media.licdn.com/dms/image/v2/D4E10AQGFN_P8WCY0jA/image-shrink_1280/B4EZqXllA6IwAQ-/0/1763479802713/3Light-1jpg?e=2147483647&amp;v=beta&amp;t=moKbMnOEBsk-2jZ7gRD3BVAse4I-Gvx4cmQbqTbU_bw","View Creative")</f>
        <v>View Creative</v>
      </c>
      <c r="L4856" s="6" t="s">
        <v>62</v>
      </c>
      <c r="M4856" s="6" t="s">
        <v>8270</v>
      </c>
      <c r="N4856" s="6" t="s">
        <v>8383</v>
      </c>
      <c r="O4856" s="36" t="s">
        <v>7541</v>
      </c>
      <c r="P4856" s="36" t="s">
        <v>7542</v>
      </c>
      <c r="Q4856" s="38"/>
    </row>
    <row r="4857">
      <c r="A4857" s="6" t="s">
        <v>8270</v>
      </c>
      <c r="B4857" s="6" t="s">
        <v>8271</v>
      </c>
      <c r="C4857" s="6">
        <v>806.0</v>
      </c>
      <c r="D4857" s="9" t="str">
        <f t="shared" si="1130"/>
        <v>Open Ad</v>
      </c>
      <c r="E4857" s="6" t="s">
        <v>91</v>
      </c>
      <c r="F4857" s="6" t="s">
        <v>8022</v>
      </c>
      <c r="G4857" s="6" t="s">
        <v>8382</v>
      </c>
      <c r="H4857" s="6" t="s">
        <v>55</v>
      </c>
      <c r="I4857" s="6" t="s">
        <v>8273</v>
      </c>
      <c r="J4857" s="6" t="s">
        <v>91</v>
      </c>
      <c r="K4857" s="12" t="str">
        <f t="shared" si="1131"/>
        <v>View Creative</v>
      </c>
      <c r="L4857" s="6" t="s">
        <v>62</v>
      </c>
      <c r="M4857" s="6" t="s">
        <v>8270</v>
      </c>
      <c r="N4857" s="6" t="s">
        <v>8383</v>
      </c>
      <c r="O4857" s="36" t="s">
        <v>7541</v>
      </c>
      <c r="P4857" s="36" t="s">
        <v>7542</v>
      </c>
      <c r="Q4857" s="38"/>
    </row>
    <row r="4858">
      <c r="A4858" s="6" t="s">
        <v>8270</v>
      </c>
      <c r="B4858" s="6" t="s">
        <v>8271</v>
      </c>
      <c r="C4858" s="6">
        <v>807.0</v>
      </c>
      <c r="D4858" s="9" t="str">
        <f t="shared" ref="D4858:D4859" si="1132">HYPERLINK("https://www.linkedin.com/ad-library/detail/916871704","Open Ad")</f>
        <v>Open Ad</v>
      </c>
      <c r="E4858" s="6" t="s">
        <v>91</v>
      </c>
      <c r="F4858" s="6" t="s">
        <v>8022</v>
      </c>
      <c r="G4858" s="6" t="s">
        <v>8363</v>
      </c>
      <c r="H4858" s="6" t="s">
        <v>55</v>
      </c>
      <c r="I4858" s="6" t="s">
        <v>8273</v>
      </c>
      <c r="J4858" s="6" t="s">
        <v>91</v>
      </c>
      <c r="K4858" s="12" t="str">
        <f t="shared" ref="K4858:K4859" si="1133">HYPERLINK("https://media.licdn.com/dms/image/v2/D4E10AQExlvzvwZR9Cw/image-shrink_1280/B4EZqXjO3_JgAQ-/0/1763479187977/3Dark-2jpg?e=2147483647&amp;v=beta&amp;t=hIw8-9_xZmTLDeJdkluPd0WO2TRrUEIgeIYzXYtAh1g","View Creative")</f>
        <v>View Creative</v>
      </c>
      <c r="L4858" s="6" t="s">
        <v>62</v>
      </c>
      <c r="M4858" s="6" t="s">
        <v>8270</v>
      </c>
      <c r="N4858" s="6" t="s">
        <v>8383</v>
      </c>
      <c r="O4858" s="36" t="s">
        <v>7541</v>
      </c>
      <c r="P4858" s="36" t="s">
        <v>7542</v>
      </c>
      <c r="Q4858" s="38"/>
    </row>
    <row r="4859">
      <c r="A4859" s="6" t="s">
        <v>8270</v>
      </c>
      <c r="B4859" s="6" t="s">
        <v>8271</v>
      </c>
      <c r="C4859" s="6">
        <v>808.0</v>
      </c>
      <c r="D4859" s="9" t="str">
        <f t="shared" si="1132"/>
        <v>Open Ad</v>
      </c>
      <c r="E4859" s="6" t="s">
        <v>91</v>
      </c>
      <c r="F4859" s="6" t="s">
        <v>8022</v>
      </c>
      <c r="G4859" s="6" t="s">
        <v>8363</v>
      </c>
      <c r="H4859" s="6" t="s">
        <v>55</v>
      </c>
      <c r="I4859" s="6" t="s">
        <v>8273</v>
      </c>
      <c r="J4859" s="6" t="s">
        <v>91</v>
      </c>
      <c r="K4859" s="12" t="str">
        <f t="shared" si="1133"/>
        <v>View Creative</v>
      </c>
      <c r="L4859" s="6" t="s">
        <v>62</v>
      </c>
      <c r="M4859" s="6" t="s">
        <v>8270</v>
      </c>
      <c r="N4859" s="6" t="s">
        <v>8383</v>
      </c>
      <c r="O4859" s="36" t="s">
        <v>7541</v>
      </c>
      <c r="P4859" s="36" t="s">
        <v>7542</v>
      </c>
      <c r="Q4859" s="38"/>
    </row>
    <row r="4860">
      <c r="A4860" s="6" t="s">
        <v>8270</v>
      </c>
      <c r="B4860" s="6" t="s">
        <v>8271</v>
      </c>
      <c r="C4860" s="6">
        <v>809.0</v>
      </c>
      <c r="D4860" s="9" t="str">
        <f t="shared" ref="D4860:D4861" si="1134">HYPERLINK("https://www.linkedin.com/ad-library/detail/916851954","Open Ad")</f>
        <v>Open Ad</v>
      </c>
      <c r="E4860" s="6" t="s">
        <v>91</v>
      </c>
      <c r="F4860" s="6" t="s">
        <v>8022</v>
      </c>
      <c r="G4860" s="6" t="s">
        <v>8382</v>
      </c>
      <c r="H4860" s="6" t="s">
        <v>55</v>
      </c>
      <c r="I4860" s="6" t="s">
        <v>8273</v>
      </c>
      <c r="J4860" s="6" t="s">
        <v>91</v>
      </c>
      <c r="K4860" s="12" t="str">
        <f t="shared" ref="K4860:K4861" si="1135">HYPERLINK("https://media.licdn.com/dms/image/v2/D4E10AQHnhFdk5erWzw/image-shrink_1280/B4EZqXl1jdHcAQ-/0/1763479870659/4Dark-1jpg?e=2147483647&amp;v=beta&amp;t=wQnFAsjwRWIR2Up9jZTNCEwfUoCUCC6kW19Coj1cMSo","View Creative")</f>
        <v>View Creative</v>
      </c>
      <c r="L4860" s="6" t="s">
        <v>62</v>
      </c>
      <c r="M4860" s="6" t="s">
        <v>8270</v>
      </c>
      <c r="N4860" s="6" t="s">
        <v>8383</v>
      </c>
      <c r="O4860" s="36" t="s">
        <v>7541</v>
      </c>
      <c r="P4860" s="36" t="s">
        <v>7542</v>
      </c>
      <c r="Q4860" s="38"/>
    </row>
    <row r="4861">
      <c r="A4861" s="6" t="s">
        <v>8270</v>
      </c>
      <c r="B4861" s="6" t="s">
        <v>8271</v>
      </c>
      <c r="C4861" s="6">
        <v>810.0</v>
      </c>
      <c r="D4861" s="9" t="str">
        <f t="shared" si="1134"/>
        <v>Open Ad</v>
      </c>
      <c r="E4861" s="6" t="s">
        <v>91</v>
      </c>
      <c r="F4861" s="6" t="s">
        <v>8022</v>
      </c>
      <c r="G4861" s="6" t="s">
        <v>8382</v>
      </c>
      <c r="H4861" s="6" t="s">
        <v>55</v>
      </c>
      <c r="I4861" s="6" t="s">
        <v>8273</v>
      </c>
      <c r="J4861" s="6" t="s">
        <v>91</v>
      </c>
      <c r="K4861" s="12" t="str">
        <f t="shared" si="1135"/>
        <v>View Creative</v>
      </c>
      <c r="L4861" s="6" t="s">
        <v>62</v>
      </c>
      <c r="M4861" s="6" t="s">
        <v>8270</v>
      </c>
      <c r="N4861" s="6" t="s">
        <v>8383</v>
      </c>
      <c r="O4861" s="36" t="s">
        <v>7541</v>
      </c>
      <c r="P4861" s="36" t="s">
        <v>7542</v>
      </c>
      <c r="Q4861" s="38"/>
    </row>
    <row r="4862">
      <c r="A4862" s="6" t="s">
        <v>8270</v>
      </c>
      <c r="B4862" s="6" t="s">
        <v>8271</v>
      </c>
      <c r="C4862" s="6">
        <v>811.0</v>
      </c>
      <c r="D4862" s="9" t="str">
        <f t="shared" ref="D4862:D4863" si="1136">HYPERLINK("https://www.linkedin.com/ad-library/detail/916762064","Open Ad")</f>
        <v>Open Ad</v>
      </c>
      <c r="E4862" s="6" t="s">
        <v>91</v>
      </c>
      <c r="F4862" s="6" t="s">
        <v>8022</v>
      </c>
      <c r="G4862" s="6" t="s">
        <v>8382</v>
      </c>
      <c r="H4862" s="6" t="s">
        <v>55</v>
      </c>
      <c r="I4862" s="6" t="s">
        <v>8273</v>
      </c>
      <c r="J4862" s="6" t="s">
        <v>91</v>
      </c>
      <c r="K4862" s="12" t="str">
        <f t="shared" ref="K4862:K4863" si="1137">HYPERLINK("https://media.licdn.com/dms/image/v2/D4E10AQHvWSvzkkUHcQ/image-shrink_1280/B4EZqXlCzYHoAM-/0/1763479662776/2Light-1jpg?e=2147483647&amp;v=beta&amp;t=meiHpw5G1O5OMvTpODayPLwlALLEza8pvUEsF9Ht2OY","View Creative")</f>
        <v>View Creative</v>
      </c>
      <c r="L4862" s="6" t="s">
        <v>62</v>
      </c>
      <c r="M4862" s="6" t="s">
        <v>8270</v>
      </c>
      <c r="N4862" s="6" t="s">
        <v>8383</v>
      </c>
      <c r="O4862" s="36" t="s">
        <v>7541</v>
      </c>
      <c r="P4862" s="36" t="s">
        <v>7542</v>
      </c>
      <c r="Q4862" s="38"/>
    </row>
    <row r="4863">
      <c r="A4863" s="6" t="s">
        <v>8270</v>
      </c>
      <c r="B4863" s="6" t="s">
        <v>8271</v>
      </c>
      <c r="C4863" s="6">
        <v>812.0</v>
      </c>
      <c r="D4863" s="9" t="str">
        <f t="shared" si="1136"/>
        <v>Open Ad</v>
      </c>
      <c r="E4863" s="6" t="s">
        <v>91</v>
      </c>
      <c r="F4863" s="6" t="s">
        <v>8022</v>
      </c>
      <c r="G4863" s="6" t="s">
        <v>8382</v>
      </c>
      <c r="H4863" s="6" t="s">
        <v>55</v>
      </c>
      <c r="I4863" s="6" t="s">
        <v>8273</v>
      </c>
      <c r="J4863" s="6" t="s">
        <v>91</v>
      </c>
      <c r="K4863" s="12" t="str">
        <f t="shared" si="1137"/>
        <v>View Creative</v>
      </c>
      <c r="L4863" s="6" t="s">
        <v>62</v>
      </c>
      <c r="M4863" s="6" t="s">
        <v>8270</v>
      </c>
      <c r="N4863" s="6" t="s">
        <v>8383</v>
      </c>
      <c r="O4863" s="36" t="s">
        <v>7541</v>
      </c>
      <c r="P4863" s="36" t="s">
        <v>7542</v>
      </c>
      <c r="Q4863" s="38"/>
    </row>
    <row r="4864">
      <c r="A4864" s="6" t="s">
        <v>8270</v>
      </c>
      <c r="B4864" s="6" t="s">
        <v>8271</v>
      </c>
      <c r="C4864" s="6">
        <v>813.0</v>
      </c>
      <c r="D4864" s="9" t="str">
        <f t="shared" ref="D4864:D4865" si="1138">HYPERLINK("https://www.linkedin.com/ad-library/detail/916891654","Open Ad")</f>
        <v>Open Ad</v>
      </c>
      <c r="E4864" s="6" t="s">
        <v>91</v>
      </c>
      <c r="F4864" s="6" t="s">
        <v>8022</v>
      </c>
      <c r="G4864" s="6" t="s">
        <v>8382</v>
      </c>
      <c r="H4864" s="6" t="s">
        <v>55</v>
      </c>
      <c r="I4864" s="6" t="s">
        <v>8273</v>
      </c>
      <c r="J4864" s="6" t="s">
        <v>91</v>
      </c>
      <c r="K4864" s="12" t="str">
        <f t="shared" ref="K4864:K4865" si="1139">HYPERLINK("https://media.licdn.com/dms/image/v2/D4E10AQFyqNp1_XAbUA/image-shrink_1280/B4EZqXlVmuKkAU-/0/1763479739753/2Dark-1jpg?e=2147483647&amp;v=beta&amp;t=iZhl9TBautCZUHYjey6WYaA0RTOMTzCLLARQ6xpquy0","View Creative")</f>
        <v>View Creative</v>
      </c>
      <c r="L4864" s="6" t="s">
        <v>62</v>
      </c>
      <c r="M4864" s="6" t="s">
        <v>8270</v>
      </c>
      <c r="N4864" s="6" t="s">
        <v>8383</v>
      </c>
      <c r="O4864" s="36" t="s">
        <v>7541</v>
      </c>
      <c r="P4864" s="36" t="s">
        <v>7542</v>
      </c>
      <c r="Q4864" s="38"/>
    </row>
    <row r="4865">
      <c r="A4865" s="6" t="s">
        <v>8270</v>
      </c>
      <c r="B4865" s="6" t="s">
        <v>8271</v>
      </c>
      <c r="C4865" s="6">
        <v>814.0</v>
      </c>
      <c r="D4865" s="9" t="str">
        <f t="shared" si="1138"/>
        <v>Open Ad</v>
      </c>
      <c r="E4865" s="6" t="s">
        <v>91</v>
      </c>
      <c r="F4865" s="6" t="s">
        <v>8022</v>
      </c>
      <c r="G4865" s="6" t="s">
        <v>8382</v>
      </c>
      <c r="H4865" s="6" t="s">
        <v>55</v>
      </c>
      <c r="I4865" s="6" t="s">
        <v>8273</v>
      </c>
      <c r="J4865" s="6" t="s">
        <v>91</v>
      </c>
      <c r="K4865" s="12" t="str">
        <f t="shared" si="1139"/>
        <v>View Creative</v>
      </c>
      <c r="L4865" s="6" t="s">
        <v>62</v>
      </c>
      <c r="M4865" s="6" t="s">
        <v>8270</v>
      </c>
      <c r="N4865" s="6" t="s">
        <v>8383</v>
      </c>
      <c r="O4865" s="36" t="s">
        <v>7541</v>
      </c>
      <c r="P4865" s="36" t="s">
        <v>7542</v>
      </c>
      <c r="Q4865" s="38"/>
    </row>
    <row r="4866">
      <c r="A4866" s="6" t="s">
        <v>8270</v>
      </c>
      <c r="B4866" s="6" t="s">
        <v>8271</v>
      </c>
      <c r="C4866" s="6">
        <v>815.0</v>
      </c>
      <c r="D4866" s="9" t="str">
        <f t="shared" ref="D4866:D4867" si="1140">HYPERLINK("https://www.linkedin.com/ad-library/detail/916812284","Open Ad")</f>
        <v>Open Ad</v>
      </c>
      <c r="E4866" s="6" t="s">
        <v>91</v>
      </c>
      <c r="F4866" s="6" t="s">
        <v>8022</v>
      </c>
      <c r="G4866" s="6" t="s">
        <v>8373</v>
      </c>
      <c r="H4866" s="6" t="s">
        <v>55</v>
      </c>
      <c r="I4866" s="6" t="s">
        <v>8273</v>
      </c>
      <c r="J4866" s="6" t="s">
        <v>91</v>
      </c>
      <c r="K4866" s="12" t="str">
        <f t="shared" ref="K4866:K4867" si="1141">HYPERLINK("https://media.licdn.com/dms/image/v2/D4E10AQGhh7LV9F74tQ/image-shrink_1280/B4EZqXkncJKkAM-/0/1763479550620/4Lightjpg?e=2147483647&amp;v=beta&amp;t=eoU5wfrx63QrhrkiifZxdA3k09DXN3GDOWhSCCpQXK8","View Creative")</f>
        <v>View Creative</v>
      </c>
      <c r="L4866" s="6" t="s">
        <v>62</v>
      </c>
      <c r="M4866" s="6" t="s">
        <v>8270</v>
      </c>
      <c r="N4866" s="6" t="s">
        <v>8383</v>
      </c>
      <c r="O4866" s="36" t="s">
        <v>7541</v>
      </c>
      <c r="P4866" s="36" t="s">
        <v>7542</v>
      </c>
      <c r="Q4866" s="38"/>
    </row>
    <row r="4867">
      <c r="A4867" s="6" t="s">
        <v>8270</v>
      </c>
      <c r="B4867" s="6" t="s">
        <v>8271</v>
      </c>
      <c r="C4867" s="6">
        <v>816.0</v>
      </c>
      <c r="D4867" s="9" t="str">
        <f t="shared" si="1140"/>
        <v>Open Ad</v>
      </c>
      <c r="E4867" s="6" t="s">
        <v>91</v>
      </c>
      <c r="F4867" s="6" t="s">
        <v>8022</v>
      </c>
      <c r="G4867" s="6" t="s">
        <v>8373</v>
      </c>
      <c r="H4867" s="6" t="s">
        <v>55</v>
      </c>
      <c r="I4867" s="6" t="s">
        <v>8273</v>
      </c>
      <c r="J4867" s="6" t="s">
        <v>91</v>
      </c>
      <c r="K4867" s="12" t="str">
        <f t="shared" si="1141"/>
        <v>View Creative</v>
      </c>
      <c r="L4867" s="6" t="s">
        <v>62</v>
      </c>
      <c r="M4867" s="6" t="s">
        <v>8270</v>
      </c>
      <c r="N4867" s="6" t="s">
        <v>8383</v>
      </c>
      <c r="O4867" s="36" t="s">
        <v>7541</v>
      </c>
      <c r="P4867" s="36" t="s">
        <v>7542</v>
      </c>
      <c r="Q4867" s="38"/>
    </row>
    <row r="4868">
      <c r="A4868" s="6" t="s">
        <v>8270</v>
      </c>
      <c r="B4868" s="6" t="s">
        <v>8271</v>
      </c>
      <c r="C4868" s="6">
        <v>817.0</v>
      </c>
      <c r="D4868" s="9" t="str">
        <f t="shared" ref="D4868:D4869" si="1142">HYPERLINK("https://www.linkedin.com/ad-library/detail/916831894","Open Ad")</f>
        <v>Open Ad</v>
      </c>
      <c r="E4868" s="6" t="s">
        <v>91</v>
      </c>
      <c r="F4868" s="6" t="s">
        <v>8022</v>
      </c>
      <c r="G4868" s="6" t="s">
        <v>8382</v>
      </c>
      <c r="H4868" s="6" t="s">
        <v>55</v>
      </c>
      <c r="I4868" s="6" t="s">
        <v>8273</v>
      </c>
      <c r="J4868" s="6" t="s">
        <v>91</v>
      </c>
      <c r="K4868" s="12" t="str">
        <f t="shared" ref="K4868:K4869" si="1143">HYPERLINK("https://media.licdn.com/dms/image/v2/D4E10AQGFN_P8WCY0jA/image-shrink_1280/B4EZqXllA6IwAQ-/0/1763479802713/3Light-1jpg?e=2147483647&amp;v=beta&amp;t=moKbMnOEBsk-2jZ7gRD3BVAse4I-Gvx4cmQbqTbU_bw","View Creative")</f>
        <v>View Creative</v>
      </c>
      <c r="L4868" s="6" t="s">
        <v>62</v>
      </c>
      <c r="M4868" s="6" t="s">
        <v>8270</v>
      </c>
      <c r="N4868" s="6" t="s">
        <v>8383</v>
      </c>
      <c r="O4868" s="36" t="s">
        <v>7541</v>
      </c>
      <c r="P4868" s="36" t="s">
        <v>7542</v>
      </c>
      <c r="Q4868" s="38"/>
    </row>
    <row r="4869">
      <c r="A4869" s="6" t="s">
        <v>8270</v>
      </c>
      <c r="B4869" s="6" t="s">
        <v>8271</v>
      </c>
      <c r="C4869" s="6">
        <v>818.0</v>
      </c>
      <c r="D4869" s="9" t="str">
        <f t="shared" si="1142"/>
        <v>Open Ad</v>
      </c>
      <c r="E4869" s="6" t="s">
        <v>91</v>
      </c>
      <c r="F4869" s="6" t="s">
        <v>8022</v>
      </c>
      <c r="G4869" s="6" t="s">
        <v>8382</v>
      </c>
      <c r="H4869" s="6" t="s">
        <v>55</v>
      </c>
      <c r="I4869" s="6" t="s">
        <v>8273</v>
      </c>
      <c r="J4869" s="6" t="s">
        <v>91</v>
      </c>
      <c r="K4869" s="12" t="str">
        <f t="shared" si="1143"/>
        <v>View Creative</v>
      </c>
      <c r="L4869" s="6" t="s">
        <v>62</v>
      </c>
      <c r="M4869" s="6" t="s">
        <v>8270</v>
      </c>
      <c r="N4869" s="6" t="s">
        <v>8383</v>
      </c>
      <c r="O4869" s="36" t="s">
        <v>7541</v>
      </c>
      <c r="P4869" s="36" t="s">
        <v>7542</v>
      </c>
      <c r="Q4869" s="38"/>
    </row>
    <row r="4870">
      <c r="A4870" s="6" t="s">
        <v>8270</v>
      </c>
      <c r="B4870" s="6" t="s">
        <v>8271</v>
      </c>
      <c r="C4870" s="6">
        <v>819.0</v>
      </c>
      <c r="D4870" s="9" t="str">
        <f t="shared" ref="D4870:D4871" si="1144">HYPERLINK("https://www.linkedin.com/ad-library/detail/916579454","Open Ad")</f>
        <v>Open Ad</v>
      </c>
      <c r="E4870" s="6" t="s">
        <v>154</v>
      </c>
      <c r="F4870" s="6" t="s">
        <v>8022</v>
      </c>
      <c r="G4870" s="6" t="s">
        <v>8384</v>
      </c>
      <c r="H4870" s="6" t="s">
        <v>55</v>
      </c>
      <c r="I4870" s="6" t="s">
        <v>8273</v>
      </c>
      <c r="J4870" s="6" t="s">
        <v>154</v>
      </c>
      <c r="K4870" s="12" t="str">
        <f t="shared" ref="K4870:K4871" si="1145">HYPERLINK("https://dms.licdn.com/playlist/vid/v2/D4E05AQHXginc-AXwpw/mp4-720p-30fp-crf28/B4EZqWCGqgGcCI-/0/1763453749027?e=2147483647&amp;v=beta&amp;t=I-7i6015R_o2ntcGZMZkT6SWxev8lPRyrjnmzw_W9Ys","View Creative")</f>
        <v>View Creative</v>
      </c>
      <c r="L4870" s="6" t="s">
        <v>62</v>
      </c>
      <c r="M4870" s="6" t="s">
        <v>8270</v>
      </c>
      <c r="N4870" s="6" t="s">
        <v>8375</v>
      </c>
      <c r="O4870" s="36" t="s">
        <v>7541</v>
      </c>
      <c r="P4870" s="36" t="s">
        <v>7542</v>
      </c>
      <c r="Q4870" s="38"/>
    </row>
    <row r="4871">
      <c r="A4871" s="6" t="s">
        <v>8270</v>
      </c>
      <c r="B4871" s="6" t="s">
        <v>8271</v>
      </c>
      <c r="C4871" s="6">
        <v>820.0</v>
      </c>
      <c r="D4871" s="9" t="str">
        <f t="shared" si="1144"/>
        <v>Open Ad</v>
      </c>
      <c r="E4871" s="6" t="s">
        <v>154</v>
      </c>
      <c r="F4871" s="6" t="s">
        <v>8022</v>
      </c>
      <c r="G4871" s="6" t="s">
        <v>8384</v>
      </c>
      <c r="H4871" s="6" t="s">
        <v>55</v>
      </c>
      <c r="I4871" s="6" t="s">
        <v>8273</v>
      </c>
      <c r="J4871" s="6" t="s">
        <v>154</v>
      </c>
      <c r="K4871" s="12" t="str">
        <f t="shared" si="1145"/>
        <v>View Creative</v>
      </c>
      <c r="L4871" s="6" t="s">
        <v>62</v>
      </c>
      <c r="M4871" s="6" t="s">
        <v>8270</v>
      </c>
      <c r="N4871" s="6" t="s">
        <v>8375</v>
      </c>
      <c r="O4871" s="36" t="s">
        <v>7541</v>
      </c>
      <c r="P4871" s="36" t="s">
        <v>7542</v>
      </c>
      <c r="Q4871" s="38"/>
    </row>
    <row r="4872">
      <c r="A4872" s="6" t="s">
        <v>8270</v>
      </c>
      <c r="B4872" s="6" t="s">
        <v>8271</v>
      </c>
      <c r="C4872" s="6">
        <v>821.0</v>
      </c>
      <c r="D4872" s="9" t="str">
        <f t="shared" ref="D4872:D4873" si="1146">HYPERLINK("https://www.linkedin.com/ad-library/detail/916861524","Open Ad")</f>
        <v>Open Ad</v>
      </c>
      <c r="E4872" s="6" t="s">
        <v>91</v>
      </c>
      <c r="F4872" s="6" t="s">
        <v>8022</v>
      </c>
      <c r="G4872" s="6" t="s">
        <v>8363</v>
      </c>
      <c r="H4872" s="6" t="s">
        <v>55</v>
      </c>
      <c r="I4872" s="6" t="s">
        <v>8273</v>
      </c>
      <c r="J4872" s="6" t="s">
        <v>91</v>
      </c>
      <c r="K4872" s="12" t="str">
        <f t="shared" ref="K4872:K4873" si="1147">HYPERLINK("https://media.licdn.com/dms/image/v2/D4E10AQHcSoWO1dYKtQ/image-shrink_1280/B4EZqXi5QAHcAQ-/0/1763479099393/2Dark-2jpg?e=2147483647&amp;v=beta&amp;t=icCzusjbqHqZBG3AQPs0VI2nQANVz543VtPBphg9iAk","View Creative")</f>
        <v>View Creative</v>
      </c>
      <c r="L4872" s="6" t="s">
        <v>62</v>
      </c>
      <c r="M4872" s="6" t="s">
        <v>8270</v>
      </c>
      <c r="N4872" s="6" t="s">
        <v>8383</v>
      </c>
      <c r="O4872" s="36" t="s">
        <v>7541</v>
      </c>
      <c r="P4872" s="36" t="s">
        <v>7542</v>
      </c>
      <c r="Q4872" s="38"/>
    </row>
    <row r="4873">
      <c r="A4873" s="6" t="s">
        <v>8270</v>
      </c>
      <c r="B4873" s="6" t="s">
        <v>8271</v>
      </c>
      <c r="C4873" s="6">
        <v>822.0</v>
      </c>
      <c r="D4873" s="9" t="str">
        <f t="shared" si="1146"/>
        <v>Open Ad</v>
      </c>
      <c r="E4873" s="6" t="s">
        <v>91</v>
      </c>
      <c r="F4873" s="6" t="s">
        <v>8022</v>
      </c>
      <c r="G4873" s="6" t="s">
        <v>8363</v>
      </c>
      <c r="H4873" s="6" t="s">
        <v>55</v>
      </c>
      <c r="I4873" s="6" t="s">
        <v>8273</v>
      </c>
      <c r="J4873" s="6" t="s">
        <v>91</v>
      </c>
      <c r="K4873" s="12" t="str">
        <f t="shared" si="1147"/>
        <v>View Creative</v>
      </c>
      <c r="L4873" s="6" t="s">
        <v>62</v>
      </c>
      <c r="M4873" s="6" t="s">
        <v>8270</v>
      </c>
      <c r="N4873" s="6" t="s">
        <v>8383</v>
      </c>
      <c r="O4873" s="36" t="s">
        <v>7541</v>
      </c>
      <c r="P4873" s="36" t="s">
        <v>7542</v>
      </c>
      <c r="Q4873" s="38"/>
    </row>
    <row r="4874">
      <c r="A4874" s="6" t="s">
        <v>8270</v>
      </c>
      <c r="B4874" s="6" t="s">
        <v>8271</v>
      </c>
      <c r="C4874" s="6">
        <v>823.0</v>
      </c>
      <c r="D4874" s="9" t="str">
        <f t="shared" ref="D4874:D4875" si="1148">HYPERLINK("https://www.linkedin.com/ad-library/detail/916781924","Open Ad")</f>
        <v>Open Ad</v>
      </c>
      <c r="E4874" s="6" t="s">
        <v>91</v>
      </c>
      <c r="F4874" s="6" t="s">
        <v>8022</v>
      </c>
      <c r="G4874" s="6" t="s">
        <v>8373</v>
      </c>
      <c r="H4874" s="6" t="s">
        <v>55</v>
      </c>
      <c r="I4874" s="6" t="s">
        <v>8273</v>
      </c>
      <c r="J4874" s="6" t="s">
        <v>91</v>
      </c>
      <c r="K4874" s="12" t="str">
        <f t="shared" ref="K4874:K4875" si="1149">HYPERLINK("https://media.licdn.com/dms/image/v2/D4E10AQFxfjR2dJkNlg/image-shrink_1280/B4EZqXj65yHoAQ-/0/1763479368316/2Lightjpg?e=2147483647&amp;v=beta&amp;t=0BZupskLHGP7TqtfAL-L-mFVlgtE8yz43mAhCvAvz8E","View Creative")</f>
        <v>View Creative</v>
      </c>
      <c r="L4874" s="6" t="s">
        <v>62</v>
      </c>
      <c r="M4874" s="6" t="s">
        <v>8270</v>
      </c>
      <c r="N4874" s="6" t="s">
        <v>8383</v>
      </c>
      <c r="O4874" s="36" t="s">
        <v>7541</v>
      </c>
      <c r="P4874" s="36" t="s">
        <v>7542</v>
      </c>
      <c r="Q4874" s="38"/>
    </row>
    <row r="4875">
      <c r="A4875" s="6" t="s">
        <v>8270</v>
      </c>
      <c r="B4875" s="6" t="s">
        <v>8271</v>
      </c>
      <c r="C4875" s="6">
        <v>824.0</v>
      </c>
      <c r="D4875" s="9" t="str">
        <f t="shared" si="1148"/>
        <v>Open Ad</v>
      </c>
      <c r="E4875" s="6" t="s">
        <v>91</v>
      </c>
      <c r="F4875" s="6" t="s">
        <v>8022</v>
      </c>
      <c r="G4875" s="6" t="s">
        <v>8373</v>
      </c>
      <c r="H4875" s="6" t="s">
        <v>55</v>
      </c>
      <c r="I4875" s="6" t="s">
        <v>8273</v>
      </c>
      <c r="J4875" s="6" t="s">
        <v>91</v>
      </c>
      <c r="K4875" s="12" t="str">
        <f t="shared" si="1149"/>
        <v>View Creative</v>
      </c>
      <c r="L4875" s="6" t="s">
        <v>62</v>
      </c>
      <c r="M4875" s="6" t="s">
        <v>8270</v>
      </c>
      <c r="N4875" s="6" t="s">
        <v>8383</v>
      </c>
      <c r="O4875" s="36" t="s">
        <v>7541</v>
      </c>
      <c r="P4875" s="36" t="s">
        <v>7542</v>
      </c>
      <c r="Q4875" s="38"/>
    </row>
    <row r="4876">
      <c r="A4876" s="6" t="s">
        <v>8270</v>
      </c>
      <c r="B4876" s="6" t="s">
        <v>8271</v>
      </c>
      <c r="C4876" s="6">
        <v>825.0</v>
      </c>
      <c r="D4876" s="9" t="str">
        <f t="shared" ref="D4876:D4877" si="1150">HYPERLINK("https://www.linkedin.com/ad-library/detail/916772264","Open Ad")</f>
        <v>Open Ad</v>
      </c>
      <c r="E4876" s="6" t="s">
        <v>91</v>
      </c>
      <c r="F4876" s="6" t="s">
        <v>8022</v>
      </c>
      <c r="G4876" s="6" t="s">
        <v>8382</v>
      </c>
      <c r="H4876" s="6" t="s">
        <v>55</v>
      </c>
      <c r="I4876" s="6" t="s">
        <v>8273</v>
      </c>
      <c r="J4876" s="6" t="s">
        <v>91</v>
      </c>
      <c r="K4876" s="12" t="str">
        <f t="shared" ref="K4876:K4877" si="1151">HYPERLINK("https://media.licdn.com/dms/image/v2/D4E10AQHvWSvzkkUHcQ/image-shrink_1280/B4EZqXlCzYHoAM-/0/1763479662776/2Light-1jpg?e=2147483647&amp;v=beta&amp;t=meiHpw5G1O5OMvTpODayPLwlALLEza8pvUEsF9Ht2OY","View Creative")</f>
        <v>View Creative</v>
      </c>
      <c r="L4876" s="6" t="s">
        <v>62</v>
      </c>
      <c r="M4876" s="6" t="s">
        <v>8270</v>
      </c>
      <c r="N4876" s="6" t="s">
        <v>8383</v>
      </c>
      <c r="O4876" s="36" t="s">
        <v>7541</v>
      </c>
      <c r="P4876" s="36" t="s">
        <v>7542</v>
      </c>
      <c r="Q4876" s="38"/>
    </row>
    <row r="4877">
      <c r="A4877" s="6" t="s">
        <v>8270</v>
      </c>
      <c r="B4877" s="6" t="s">
        <v>8271</v>
      </c>
      <c r="C4877" s="6">
        <v>826.0</v>
      </c>
      <c r="D4877" s="9" t="str">
        <f t="shared" si="1150"/>
        <v>Open Ad</v>
      </c>
      <c r="E4877" s="6" t="s">
        <v>91</v>
      </c>
      <c r="F4877" s="6" t="s">
        <v>8022</v>
      </c>
      <c r="G4877" s="6" t="s">
        <v>8382</v>
      </c>
      <c r="H4877" s="6" t="s">
        <v>55</v>
      </c>
      <c r="I4877" s="6" t="s">
        <v>8273</v>
      </c>
      <c r="J4877" s="6" t="s">
        <v>91</v>
      </c>
      <c r="K4877" s="12" t="str">
        <f t="shared" si="1151"/>
        <v>View Creative</v>
      </c>
      <c r="L4877" s="6" t="s">
        <v>62</v>
      </c>
      <c r="M4877" s="6" t="s">
        <v>8270</v>
      </c>
      <c r="N4877" s="6" t="s">
        <v>8383</v>
      </c>
      <c r="O4877" s="36" t="s">
        <v>7541</v>
      </c>
      <c r="P4877" s="36" t="s">
        <v>7542</v>
      </c>
      <c r="Q4877" s="38"/>
    </row>
    <row r="4878">
      <c r="A4878" s="6" t="s">
        <v>8270</v>
      </c>
      <c r="B4878" s="6" t="s">
        <v>8271</v>
      </c>
      <c r="C4878" s="6">
        <v>827.0</v>
      </c>
      <c r="D4878" s="9" t="str">
        <f t="shared" ref="D4878:D4879" si="1152">HYPERLINK("https://www.linkedin.com/ad-library/detail/916941234","Open Ad")</f>
        <v>Open Ad</v>
      </c>
      <c r="E4878" s="6" t="s">
        <v>91</v>
      </c>
      <c r="F4878" s="6" t="s">
        <v>8022</v>
      </c>
      <c r="G4878" s="6" t="s">
        <v>8373</v>
      </c>
      <c r="H4878" s="6" t="s">
        <v>55</v>
      </c>
      <c r="I4878" s="6" t="s">
        <v>8273</v>
      </c>
      <c r="J4878" s="6" t="s">
        <v>91</v>
      </c>
      <c r="K4878" s="12" t="str">
        <f t="shared" ref="K4878:K4879" si="1153">HYPERLINK("https://media.licdn.com/dms/image/v2/D4E10AQFxfjR2dJkNlg/image-shrink_1280/B4EZqXj65yHoAQ-/0/1763479368316/2Lightjpg?e=2147483647&amp;v=beta&amp;t=0BZupskLHGP7TqtfAL-L-mFVlgtE8yz43mAhCvAvz8E","View Creative")</f>
        <v>View Creative</v>
      </c>
      <c r="L4878" s="6" t="s">
        <v>62</v>
      </c>
      <c r="M4878" s="6" t="s">
        <v>8270</v>
      </c>
      <c r="N4878" s="6" t="s">
        <v>8383</v>
      </c>
      <c r="O4878" s="36" t="s">
        <v>7541</v>
      </c>
      <c r="P4878" s="36" t="s">
        <v>7542</v>
      </c>
      <c r="Q4878" s="38"/>
    </row>
    <row r="4879">
      <c r="A4879" s="6" t="s">
        <v>8270</v>
      </c>
      <c r="B4879" s="6" t="s">
        <v>8271</v>
      </c>
      <c r="C4879" s="6">
        <v>828.0</v>
      </c>
      <c r="D4879" s="9" t="str">
        <f t="shared" si="1152"/>
        <v>Open Ad</v>
      </c>
      <c r="E4879" s="6" t="s">
        <v>91</v>
      </c>
      <c r="F4879" s="6" t="s">
        <v>8022</v>
      </c>
      <c r="G4879" s="6" t="s">
        <v>8373</v>
      </c>
      <c r="H4879" s="6" t="s">
        <v>55</v>
      </c>
      <c r="I4879" s="6" t="s">
        <v>8273</v>
      </c>
      <c r="J4879" s="6" t="s">
        <v>91</v>
      </c>
      <c r="K4879" s="12" t="str">
        <f t="shared" si="1153"/>
        <v>View Creative</v>
      </c>
      <c r="L4879" s="6" t="s">
        <v>62</v>
      </c>
      <c r="M4879" s="6" t="s">
        <v>8270</v>
      </c>
      <c r="N4879" s="6" t="s">
        <v>8383</v>
      </c>
      <c r="O4879" s="36" t="s">
        <v>7541</v>
      </c>
      <c r="P4879" s="36" t="s">
        <v>7542</v>
      </c>
      <c r="Q4879" s="38"/>
    </row>
    <row r="4880">
      <c r="A4880" s="6" t="s">
        <v>8270</v>
      </c>
      <c r="B4880" s="6" t="s">
        <v>8271</v>
      </c>
      <c r="C4880" s="6">
        <v>829.0</v>
      </c>
      <c r="D4880" s="9" t="str">
        <f t="shared" ref="D4880:D4881" si="1154">HYPERLINK("https://www.linkedin.com/ad-library/detail/916722504","Open Ad")</f>
        <v>Open Ad</v>
      </c>
      <c r="E4880" s="6" t="s">
        <v>91</v>
      </c>
      <c r="F4880" s="6" t="s">
        <v>8022</v>
      </c>
      <c r="G4880" s="6" t="s">
        <v>8363</v>
      </c>
      <c r="H4880" s="6" t="s">
        <v>55</v>
      </c>
      <c r="I4880" s="6" t="s">
        <v>8273</v>
      </c>
      <c r="J4880" s="6" t="s">
        <v>91</v>
      </c>
      <c r="K4880" s="12" t="str">
        <f t="shared" ref="K4880:K4881" si="1155">HYPERLINK("https://media.licdn.com/dms/image/v2/D4E10AQF4bTkTRfa3uA/image-shrink_1280/B4EZqXgd47HMAM-/0/1763478462911/4Light-2jpg?e=2147483647&amp;v=beta&amp;t=uK41TOo8iHj_pufRB7IRs6CRYzq8e8v7tl4rEbNjC4k","View Creative")</f>
        <v>View Creative</v>
      </c>
      <c r="L4880" s="6" t="s">
        <v>62</v>
      </c>
      <c r="M4880" s="6" t="s">
        <v>8270</v>
      </c>
      <c r="N4880" s="6" t="s">
        <v>8383</v>
      </c>
      <c r="O4880" s="36" t="s">
        <v>7541</v>
      </c>
      <c r="P4880" s="36" t="s">
        <v>7542</v>
      </c>
      <c r="Q4880" s="38"/>
    </row>
    <row r="4881">
      <c r="A4881" s="6" t="s">
        <v>8270</v>
      </c>
      <c r="B4881" s="6" t="s">
        <v>8271</v>
      </c>
      <c r="C4881" s="6">
        <v>830.0</v>
      </c>
      <c r="D4881" s="9" t="str">
        <f t="shared" si="1154"/>
        <v>Open Ad</v>
      </c>
      <c r="E4881" s="6" t="s">
        <v>91</v>
      </c>
      <c r="F4881" s="6" t="s">
        <v>8022</v>
      </c>
      <c r="G4881" s="6" t="s">
        <v>8363</v>
      </c>
      <c r="H4881" s="6" t="s">
        <v>55</v>
      </c>
      <c r="I4881" s="6" t="s">
        <v>8273</v>
      </c>
      <c r="J4881" s="6" t="s">
        <v>91</v>
      </c>
      <c r="K4881" s="12" t="str">
        <f t="shared" si="1155"/>
        <v>View Creative</v>
      </c>
      <c r="L4881" s="6" t="s">
        <v>62</v>
      </c>
      <c r="M4881" s="6" t="s">
        <v>8270</v>
      </c>
      <c r="N4881" s="6" t="s">
        <v>8383</v>
      </c>
      <c r="O4881" s="36" t="s">
        <v>7541</v>
      </c>
      <c r="P4881" s="36" t="s">
        <v>7542</v>
      </c>
      <c r="Q4881" s="38"/>
    </row>
    <row r="4882">
      <c r="A4882" s="6" t="s">
        <v>8270</v>
      </c>
      <c r="B4882" s="6" t="s">
        <v>8271</v>
      </c>
      <c r="C4882" s="6">
        <v>831.0</v>
      </c>
      <c r="D4882" s="9" t="str">
        <f t="shared" ref="D4882:D4883" si="1156">HYPERLINK("https://www.linkedin.com/ad-library/detail/916722604","Open Ad")</f>
        <v>Open Ad</v>
      </c>
      <c r="E4882" s="6" t="s">
        <v>91</v>
      </c>
      <c r="F4882" s="6" t="s">
        <v>8022</v>
      </c>
      <c r="G4882" s="6" t="s">
        <v>8382</v>
      </c>
      <c r="H4882" s="6" t="s">
        <v>55</v>
      </c>
      <c r="I4882" s="6" t="s">
        <v>8273</v>
      </c>
      <c r="J4882" s="6" t="s">
        <v>91</v>
      </c>
      <c r="K4882" s="12" t="str">
        <f t="shared" ref="K4882:K4883" si="1157">HYPERLINK("https://media.licdn.com/dms/image/v2/D4E10AQEibW1Mbh7sqA/image-shrink_1280/B4EZqXls8NJ0AM-/0/1763479835181/4Light-1jpg?e=2147483647&amp;v=beta&amp;t=2hMSkg_WzpI0QH6KbZSxbFIXB8RwAQMadtR6L1vWDAk","View Creative")</f>
        <v>View Creative</v>
      </c>
      <c r="L4882" s="6" t="s">
        <v>62</v>
      </c>
      <c r="M4882" s="6" t="s">
        <v>8270</v>
      </c>
      <c r="N4882" s="6" t="s">
        <v>8383</v>
      </c>
      <c r="O4882" s="36" t="s">
        <v>7541</v>
      </c>
      <c r="P4882" s="36" t="s">
        <v>7542</v>
      </c>
      <c r="Q4882" s="38"/>
    </row>
    <row r="4883">
      <c r="A4883" s="6" t="s">
        <v>8270</v>
      </c>
      <c r="B4883" s="6" t="s">
        <v>8271</v>
      </c>
      <c r="C4883" s="6">
        <v>832.0</v>
      </c>
      <c r="D4883" s="9" t="str">
        <f t="shared" si="1156"/>
        <v>Open Ad</v>
      </c>
      <c r="E4883" s="6" t="s">
        <v>91</v>
      </c>
      <c r="F4883" s="6" t="s">
        <v>8022</v>
      </c>
      <c r="G4883" s="6" t="s">
        <v>8382</v>
      </c>
      <c r="H4883" s="6" t="s">
        <v>55</v>
      </c>
      <c r="I4883" s="6" t="s">
        <v>8273</v>
      </c>
      <c r="J4883" s="6" t="s">
        <v>91</v>
      </c>
      <c r="K4883" s="12" t="str">
        <f t="shared" si="1157"/>
        <v>View Creative</v>
      </c>
      <c r="L4883" s="6" t="s">
        <v>62</v>
      </c>
      <c r="M4883" s="6" t="s">
        <v>8270</v>
      </c>
      <c r="N4883" s="6" t="s">
        <v>8383</v>
      </c>
      <c r="O4883" s="36" t="s">
        <v>7541</v>
      </c>
      <c r="P4883" s="36" t="s">
        <v>7542</v>
      </c>
      <c r="Q4883" s="38"/>
    </row>
    <row r="4884">
      <c r="A4884" s="6" t="s">
        <v>8270</v>
      </c>
      <c r="B4884" s="6" t="s">
        <v>8271</v>
      </c>
      <c r="C4884" s="6">
        <v>833.0</v>
      </c>
      <c r="D4884" s="9" t="str">
        <f t="shared" ref="D4884:D4885" si="1158">HYPERLINK("https://www.linkedin.com/ad-library/detail/916771824","Open Ad")</f>
        <v>Open Ad</v>
      </c>
      <c r="E4884" s="6" t="s">
        <v>91</v>
      </c>
      <c r="F4884" s="6" t="s">
        <v>8022</v>
      </c>
      <c r="G4884" s="6" t="s">
        <v>8363</v>
      </c>
      <c r="H4884" s="6" t="s">
        <v>55</v>
      </c>
      <c r="I4884" s="6" t="s">
        <v>8273</v>
      </c>
      <c r="J4884" s="6" t="s">
        <v>91</v>
      </c>
      <c r="K4884" s="12" t="str">
        <f t="shared" ref="K4884:K4885" si="1159">HYPERLINK("https://media.licdn.com/dms/image/v2/D4E10AQENGaPDx5roqA/image-shrink_1280/B4EZqXim7FKkAM-/0/1763479024318/2Light-2jpg?e=2147483647&amp;v=beta&amp;t=DZept9KGGJUeiMjvlU1rddz-iLlsRJ0i4DTZKOx7IH4","View Creative")</f>
        <v>View Creative</v>
      </c>
      <c r="L4884" s="6" t="s">
        <v>62</v>
      </c>
      <c r="M4884" s="6" t="s">
        <v>8270</v>
      </c>
      <c r="N4884" s="6" t="s">
        <v>8383</v>
      </c>
      <c r="O4884" s="36" t="s">
        <v>7541</v>
      </c>
      <c r="P4884" s="36" t="s">
        <v>7542</v>
      </c>
      <c r="Q4884" s="38"/>
    </row>
    <row r="4885">
      <c r="A4885" s="6" t="s">
        <v>8270</v>
      </c>
      <c r="B4885" s="6" t="s">
        <v>8271</v>
      </c>
      <c r="C4885" s="6">
        <v>834.0</v>
      </c>
      <c r="D4885" s="9" t="str">
        <f t="shared" si="1158"/>
        <v>Open Ad</v>
      </c>
      <c r="E4885" s="6" t="s">
        <v>91</v>
      </c>
      <c r="F4885" s="6" t="s">
        <v>8022</v>
      </c>
      <c r="G4885" s="6" t="s">
        <v>8363</v>
      </c>
      <c r="H4885" s="6" t="s">
        <v>55</v>
      </c>
      <c r="I4885" s="6" t="s">
        <v>8273</v>
      </c>
      <c r="J4885" s="6" t="s">
        <v>91</v>
      </c>
      <c r="K4885" s="12" t="str">
        <f t="shared" si="1159"/>
        <v>View Creative</v>
      </c>
      <c r="L4885" s="6" t="s">
        <v>62</v>
      </c>
      <c r="M4885" s="6" t="s">
        <v>8270</v>
      </c>
      <c r="N4885" s="6" t="s">
        <v>8383</v>
      </c>
      <c r="O4885" s="36" t="s">
        <v>7541</v>
      </c>
      <c r="P4885" s="36" t="s">
        <v>7542</v>
      </c>
      <c r="Q4885" s="38"/>
    </row>
    <row r="4886">
      <c r="A4886" s="6" t="s">
        <v>8270</v>
      </c>
      <c r="B4886" s="6" t="s">
        <v>8271</v>
      </c>
      <c r="C4886" s="6">
        <v>835.0</v>
      </c>
      <c r="D4886" s="9" t="str">
        <f t="shared" ref="D4886:D4887" si="1160">HYPERLINK("https://www.linkedin.com/ad-library/detail/916831824","Open Ad")</f>
        <v>Open Ad</v>
      </c>
      <c r="E4886" s="6" t="s">
        <v>91</v>
      </c>
      <c r="F4886" s="6" t="s">
        <v>8022</v>
      </c>
      <c r="G4886" s="6" t="s">
        <v>8382</v>
      </c>
      <c r="H4886" s="6" t="s">
        <v>55</v>
      </c>
      <c r="I4886" s="6" t="s">
        <v>8273</v>
      </c>
      <c r="J4886" s="6" t="s">
        <v>91</v>
      </c>
      <c r="K4886" s="12" t="str">
        <f t="shared" ref="K4886:K4887" si="1161">HYPERLINK("https://media.licdn.com/dms/image/v2/D4E10AQHnhFdk5erWzw/image-shrink_1280/B4EZqXl1jdHcAQ-/0/1763479870659/4Dark-1jpg?e=2147483647&amp;v=beta&amp;t=wQnFAsjwRWIR2Up9jZTNCEwfUoCUCC6kW19Coj1cMSo","View Creative")</f>
        <v>View Creative</v>
      </c>
      <c r="L4886" s="6" t="s">
        <v>62</v>
      </c>
      <c r="M4886" s="6" t="s">
        <v>8270</v>
      </c>
      <c r="N4886" s="6" t="s">
        <v>8383</v>
      </c>
      <c r="O4886" s="36" t="s">
        <v>7541</v>
      </c>
      <c r="P4886" s="36" t="s">
        <v>7542</v>
      </c>
      <c r="Q4886" s="38"/>
    </row>
    <row r="4887">
      <c r="A4887" s="6" t="s">
        <v>8270</v>
      </c>
      <c r="B4887" s="6" t="s">
        <v>8271</v>
      </c>
      <c r="C4887" s="6">
        <v>836.0</v>
      </c>
      <c r="D4887" s="9" t="str">
        <f t="shared" si="1160"/>
        <v>Open Ad</v>
      </c>
      <c r="E4887" s="6" t="s">
        <v>91</v>
      </c>
      <c r="F4887" s="6" t="s">
        <v>8022</v>
      </c>
      <c r="G4887" s="6" t="s">
        <v>8382</v>
      </c>
      <c r="H4887" s="6" t="s">
        <v>55</v>
      </c>
      <c r="I4887" s="6" t="s">
        <v>8273</v>
      </c>
      <c r="J4887" s="6" t="s">
        <v>91</v>
      </c>
      <c r="K4887" s="12" t="str">
        <f t="shared" si="1161"/>
        <v>View Creative</v>
      </c>
      <c r="L4887" s="6" t="s">
        <v>62</v>
      </c>
      <c r="M4887" s="6" t="s">
        <v>8270</v>
      </c>
      <c r="N4887" s="6" t="s">
        <v>8383</v>
      </c>
      <c r="O4887" s="36" t="s">
        <v>7541</v>
      </c>
      <c r="P4887" s="36" t="s">
        <v>7542</v>
      </c>
      <c r="Q4887" s="38"/>
    </row>
    <row r="4888">
      <c r="A4888" s="6" t="s">
        <v>8270</v>
      </c>
      <c r="B4888" s="6" t="s">
        <v>8271</v>
      </c>
      <c r="C4888" s="6">
        <v>837.0</v>
      </c>
      <c r="D4888" s="9" t="str">
        <f t="shared" ref="D4888:D4889" si="1162">HYPERLINK("https://www.linkedin.com/ad-library/detail/916861444","Open Ad")</f>
        <v>Open Ad</v>
      </c>
      <c r="E4888" s="6" t="s">
        <v>91</v>
      </c>
      <c r="F4888" s="6" t="s">
        <v>8022</v>
      </c>
      <c r="G4888" s="6" t="s">
        <v>8373</v>
      </c>
      <c r="H4888" s="6" t="s">
        <v>55</v>
      </c>
      <c r="I4888" s="6" t="s">
        <v>8273</v>
      </c>
      <c r="J4888" s="6" t="s">
        <v>91</v>
      </c>
      <c r="K4888" s="12" t="str">
        <f t="shared" ref="K4888:K4889" si="1163">HYPERLINK("https://media.licdn.com/dms/image/v2/D4E10AQF05B5KrIYX3Q/image-shrink_1280/B4EZqXkxnNIUAQ-/0/1763479592401/4Darkjpg?e=2147483647&amp;v=beta&amp;t=lmbPcqoVC_Y-Wlew1o_6c5nMRLgnV8eb3NV3Xney0eU","View Creative")</f>
        <v>View Creative</v>
      </c>
      <c r="L4888" s="6" t="s">
        <v>62</v>
      </c>
      <c r="M4888" s="6" t="s">
        <v>8270</v>
      </c>
      <c r="N4888" s="6" t="s">
        <v>8383</v>
      </c>
      <c r="O4888" s="36" t="s">
        <v>7541</v>
      </c>
      <c r="P4888" s="36" t="s">
        <v>7542</v>
      </c>
      <c r="Q4888" s="38"/>
    </row>
    <row r="4889">
      <c r="A4889" s="6" t="s">
        <v>8270</v>
      </c>
      <c r="B4889" s="6" t="s">
        <v>8271</v>
      </c>
      <c r="C4889" s="6">
        <v>838.0</v>
      </c>
      <c r="D4889" s="9" t="str">
        <f t="shared" si="1162"/>
        <v>Open Ad</v>
      </c>
      <c r="E4889" s="6" t="s">
        <v>91</v>
      </c>
      <c r="F4889" s="6" t="s">
        <v>8022</v>
      </c>
      <c r="G4889" s="6" t="s">
        <v>8373</v>
      </c>
      <c r="H4889" s="6" t="s">
        <v>55</v>
      </c>
      <c r="I4889" s="6" t="s">
        <v>8273</v>
      </c>
      <c r="J4889" s="6" t="s">
        <v>91</v>
      </c>
      <c r="K4889" s="12" t="str">
        <f t="shared" si="1163"/>
        <v>View Creative</v>
      </c>
      <c r="L4889" s="6" t="s">
        <v>62</v>
      </c>
      <c r="M4889" s="6" t="s">
        <v>8270</v>
      </c>
      <c r="N4889" s="6" t="s">
        <v>8383</v>
      </c>
      <c r="O4889" s="36" t="s">
        <v>7541</v>
      </c>
      <c r="P4889" s="36" t="s">
        <v>7542</v>
      </c>
      <c r="Q4889" s="38"/>
    </row>
    <row r="4890">
      <c r="A4890" s="6" t="s">
        <v>8270</v>
      </c>
      <c r="B4890" s="6" t="s">
        <v>8271</v>
      </c>
      <c r="C4890" s="6">
        <v>839.0</v>
      </c>
      <c r="D4890" s="9" t="str">
        <f t="shared" ref="D4890:D4891" si="1164">HYPERLINK("https://www.linkedin.com/ad-library/detail/916732674","Open Ad")</f>
        <v>Open Ad</v>
      </c>
      <c r="E4890" s="6" t="s">
        <v>91</v>
      </c>
      <c r="F4890" s="6" t="s">
        <v>8022</v>
      </c>
      <c r="G4890" s="6" t="s">
        <v>8382</v>
      </c>
      <c r="H4890" s="6" t="s">
        <v>55</v>
      </c>
      <c r="I4890" s="6" t="s">
        <v>8273</v>
      </c>
      <c r="J4890" s="6" t="s">
        <v>91</v>
      </c>
      <c r="K4890" s="12" t="str">
        <f t="shared" ref="K4890:K4891" si="1165">HYPERLINK("https://media.licdn.com/dms/image/v2/D4E10AQHvWSvzkkUHcQ/image-shrink_1280/B4EZqXlCzYHoAM-/0/1763479662776/2Light-1jpg?e=2147483647&amp;v=beta&amp;t=meiHpw5G1O5OMvTpODayPLwlALLEza8pvUEsF9Ht2OY","View Creative")</f>
        <v>View Creative</v>
      </c>
      <c r="L4890" s="6" t="s">
        <v>62</v>
      </c>
      <c r="M4890" s="6" t="s">
        <v>8270</v>
      </c>
      <c r="N4890" s="6" t="s">
        <v>8383</v>
      </c>
      <c r="O4890" s="36" t="s">
        <v>7541</v>
      </c>
      <c r="P4890" s="36" t="s">
        <v>7542</v>
      </c>
      <c r="Q4890" s="38"/>
    </row>
    <row r="4891">
      <c r="A4891" s="6" t="s">
        <v>8270</v>
      </c>
      <c r="B4891" s="6" t="s">
        <v>8271</v>
      </c>
      <c r="C4891" s="6">
        <v>840.0</v>
      </c>
      <c r="D4891" s="9" t="str">
        <f t="shared" si="1164"/>
        <v>Open Ad</v>
      </c>
      <c r="E4891" s="6" t="s">
        <v>91</v>
      </c>
      <c r="F4891" s="6" t="s">
        <v>8022</v>
      </c>
      <c r="G4891" s="6" t="s">
        <v>8382</v>
      </c>
      <c r="H4891" s="6" t="s">
        <v>55</v>
      </c>
      <c r="I4891" s="6" t="s">
        <v>8273</v>
      </c>
      <c r="J4891" s="6" t="s">
        <v>91</v>
      </c>
      <c r="K4891" s="12" t="str">
        <f t="shared" si="1165"/>
        <v>View Creative</v>
      </c>
      <c r="L4891" s="6" t="s">
        <v>62</v>
      </c>
      <c r="M4891" s="6" t="s">
        <v>8270</v>
      </c>
      <c r="N4891" s="6" t="s">
        <v>8383</v>
      </c>
      <c r="O4891" s="36" t="s">
        <v>7541</v>
      </c>
      <c r="P4891" s="36" t="s">
        <v>7542</v>
      </c>
      <c r="Q4891" s="38"/>
    </row>
    <row r="4892">
      <c r="A4892" s="6" t="s">
        <v>8270</v>
      </c>
      <c r="B4892" s="6" t="s">
        <v>8271</v>
      </c>
      <c r="C4892" s="6">
        <v>841.0</v>
      </c>
      <c r="D4892" s="9" t="str">
        <f t="shared" ref="D4892:D4893" si="1166">HYPERLINK("https://www.linkedin.com/ad-library/detail/916871544","Open Ad")</f>
        <v>Open Ad</v>
      </c>
      <c r="E4892" s="6" t="s">
        <v>91</v>
      </c>
      <c r="F4892" s="6" t="s">
        <v>8022</v>
      </c>
      <c r="G4892" s="6" t="s">
        <v>8363</v>
      </c>
      <c r="H4892" s="6" t="s">
        <v>55</v>
      </c>
      <c r="I4892" s="6" t="s">
        <v>8273</v>
      </c>
      <c r="J4892" s="6" t="s">
        <v>91</v>
      </c>
      <c r="K4892" s="12" t="str">
        <f t="shared" ref="K4892:K4893" si="1167">HYPERLINK("https://media.licdn.com/dms/image/v2/D4E10AQGNSAIQ6QLAQA/image-shrink_1280/B4EZqXjmXGJ0AY-/0/1763479284571/4Dark-2jpg?e=2147483647&amp;v=beta&amp;t=JcZsw5Q4oi5lthxDnppFNw4twgrHMx1erlaYBtQWCPE","View Creative")</f>
        <v>View Creative</v>
      </c>
      <c r="L4892" s="6" t="s">
        <v>62</v>
      </c>
      <c r="M4892" s="6" t="s">
        <v>8270</v>
      </c>
      <c r="N4892" s="6" t="s">
        <v>8383</v>
      </c>
      <c r="O4892" s="36" t="s">
        <v>7541</v>
      </c>
      <c r="P4892" s="36" t="s">
        <v>7542</v>
      </c>
      <c r="Q4892" s="38"/>
    </row>
    <row r="4893">
      <c r="A4893" s="6" t="s">
        <v>8270</v>
      </c>
      <c r="B4893" s="6" t="s">
        <v>8271</v>
      </c>
      <c r="C4893" s="6">
        <v>842.0</v>
      </c>
      <c r="D4893" s="9" t="str">
        <f t="shared" si="1166"/>
        <v>Open Ad</v>
      </c>
      <c r="E4893" s="6" t="s">
        <v>91</v>
      </c>
      <c r="F4893" s="6" t="s">
        <v>8022</v>
      </c>
      <c r="G4893" s="6" t="s">
        <v>8363</v>
      </c>
      <c r="H4893" s="6" t="s">
        <v>55</v>
      </c>
      <c r="I4893" s="6" t="s">
        <v>8273</v>
      </c>
      <c r="J4893" s="6" t="s">
        <v>91</v>
      </c>
      <c r="K4893" s="12" t="str">
        <f t="shared" si="1167"/>
        <v>View Creative</v>
      </c>
      <c r="L4893" s="6" t="s">
        <v>62</v>
      </c>
      <c r="M4893" s="6" t="s">
        <v>8270</v>
      </c>
      <c r="N4893" s="6" t="s">
        <v>8383</v>
      </c>
      <c r="O4893" s="36" t="s">
        <v>7541</v>
      </c>
      <c r="P4893" s="36" t="s">
        <v>7542</v>
      </c>
      <c r="Q4893" s="38"/>
    </row>
    <row r="4894">
      <c r="A4894" s="6" t="s">
        <v>8270</v>
      </c>
      <c r="B4894" s="6" t="s">
        <v>8271</v>
      </c>
      <c r="C4894" s="6">
        <v>843.0</v>
      </c>
      <c r="D4894" s="9" t="str">
        <f t="shared" ref="D4894:D4895" si="1168">HYPERLINK("https://www.linkedin.com/ad-library/detail/916742614","Open Ad")</f>
        <v>Open Ad</v>
      </c>
      <c r="E4894" s="6" t="s">
        <v>91</v>
      </c>
      <c r="F4894" s="6" t="s">
        <v>8022</v>
      </c>
      <c r="G4894" s="6" t="s">
        <v>8363</v>
      </c>
      <c r="H4894" s="6" t="s">
        <v>55</v>
      </c>
      <c r="I4894" s="6" t="s">
        <v>8273</v>
      </c>
      <c r="J4894" s="6" t="s">
        <v>91</v>
      </c>
      <c r="K4894" s="12" t="str">
        <f t="shared" ref="K4894:K4895" si="1169">HYPERLINK("https://media.licdn.com/dms/image/v2/D4E10AQF4bTkTRfa3uA/image-shrink_1280/B4EZqXgd47HMAM-/0/1763478462911/4Light-2jpg?e=2147483647&amp;v=beta&amp;t=uK41TOo8iHj_pufRB7IRs6CRYzq8e8v7tl4rEbNjC4k","View Creative")</f>
        <v>View Creative</v>
      </c>
      <c r="L4894" s="6" t="s">
        <v>62</v>
      </c>
      <c r="M4894" s="6" t="s">
        <v>8270</v>
      </c>
      <c r="N4894" s="6" t="s">
        <v>8383</v>
      </c>
      <c r="O4894" s="36" t="s">
        <v>7541</v>
      </c>
      <c r="P4894" s="36" t="s">
        <v>7542</v>
      </c>
      <c r="Q4894" s="38"/>
    </row>
    <row r="4895">
      <c r="A4895" s="6" t="s">
        <v>8270</v>
      </c>
      <c r="B4895" s="6" t="s">
        <v>8271</v>
      </c>
      <c r="C4895" s="6">
        <v>844.0</v>
      </c>
      <c r="D4895" s="9" t="str">
        <f t="shared" si="1168"/>
        <v>Open Ad</v>
      </c>
      <c r="E4895" s="6" t="s">
        <v>91</v>
      </c>
      <c r="F4895" s="6" t="s">
        <v>8022</v>
      </c>
      <c r="G4895" s="6" t="s">
        <v>8363</v>
      </c>
      <c r="H4895" s="6" t="s">
        <v>55</v>
      </c>
      <c r="I4895" s="6" t="s">
        <v>8273</v>
      </c>
      <c r="J4895" s="6" t="s">
        <v>91</v>
      </c>
      <c r="K4895" s="12" t="str">
        <f t="shared" si="1169"/>
        <v>View Creative</v>
      </c>
      <c r="L4895" s="6" t="s">
        <v>62</v>
      </c>
      <c r="M4895" s="6" t="s">
        <v>8270</v>
      </c>
      <c r="N4895" s="6" t="s">
        <v>8383</v>
      </c>
      <c r="O4895" s="36" t="s">
        <v>7541</v>
      </c>
      <c r="P4895" s="36" t="s">
        <v>7542</v>
      </c>
      <c r="Q4895" s="38"/>
    </row>
    <row r="4896">
      <c r="A4896" s="6" t="s">
        <v>8270</v>
      </c>
      <c r="B4896" s="6" t="s">
        <v>8271</v>
      </c>
      <c r="C4896" s="6">
        <v>845.0</v>
      </c>
      <c r="D4896" s="9" t="str">
        <f t="shared" ref="D4896:D4897" si="1170">HYPERLINK("https://www.linkedin.com/ad-library/detail/916761924","Open Ad")</f>
        <v>Open Ad</v>
      </c>
      <c r="E4896" s="6" t="s">
        <v>91</v>
      </c>
      <c r="F4896" s="6" t="s">
        <v>8022</v>
      </c>
      <c r="G4896" s="6" t="s">
        <v>8382</v>
      </c>
      <c r="H4896" s="6" t="s">
        <v>55</v>
      </c>
      <c r="I4896" s="6" t="s">
        <v>8273</v>
      </c>
      <c r="J4896" s="6" t="s">
        <v>91</v>
      </c>
      <c r="K4896" s="12" t="str">
        <f t="shared" ref="K4896:K4897" si="1171">HYPERLINK("https://media.licdn.com/dms/image/v2/D4E10AQGFN_P8WCY0jA/image-shrink_1280/B4EZqXllA6IwAQ-/0/1763479802713/3Light-1jpg?e=2147483647&amp;v=beta&amp;t=moKbMnOEBsk-2jZ7gRD3BVAse4I-Gvx4cmQbqTbU_bw","View Creative")</f>
        <v>View Creative</v>
      </c>
      <c r="L4896" s="6" t="s">
        <v>62</v>
      </c>
      <c r="M4896" s="6" t="s">
        <v>8270</v>
      </c>
      <c r="N4896" s="6" t="s">
        <v>8383</v>
      </c>
      <c r="O4896" s="36" t="s">
        <v>7541</v>
      </c>
      <c r="P4896" s="36" t="s">
        <v>7542</v>
      </c>
      <c r="Q4896" s="38"/>
    </row>
    <row r="4897">
      <c r="A4897" s="6" t="s">
        <v>8270</v>
      </c>
      <c r="B4897" s="6" t="s">
        <v>8271</v>
      </c>
      <c r="C4897" s="6">
        <v>846.0</v>
      </c>
      <c r="D4897" s="9" t="str">
        <f t="shared" si="1170"/>
        <v>Open Ad</v>
      </c>
      <c r="E4897" s="6" t="s">
        <v>91</v>
      </c>
      <c r="F4897" s="6" t="s">
        <v>8022</v>
      </c>
      <c r="G4897" s="6" t="s">
        <v>8382</v>
      </c>
      <c r="H4897" s="6" t="s">
        <v>55</v>
      </c>
      <c r="I4897" s="6" t="s">
        <v>8273</v>
      </c>
      <c r="J4897" s="6" t="s">
        <v>91</v>
      </c>
      <c r="K4897" s="12" t="str">
        <f t="shared" si="1171"/>
        <v>View Creative</v>
      </c>
      <c r="L4897" s="6" t="s">
        <v>62</v>
      </c>
      <c r="M4897" s="6" t="s">
        <v>8270</v>
      </c>
      <c r="N4897" s="6" t="s">
        <v>8383</v>
      </c>
      <c r="O4897" s="36" t="s">
        <v>7541</v>
      </c>
      <c r="P4897" s="36" t="s">
        <v>7542</v>
      </c>
      <c r="Q4897" s="38"/>
    </row>
    <row r="4898">
      <c r="A4898" s="6" t="s">
        <v>8270</v>
      </c>
      <c r="B4898" s="6" t="s">
        <v>8271</v>
      </c>
      <c r="C4898" s="6">
        <v>847.0</v>
      </c>
      <c r="D4898" s="9" t="str">
        <f t="shared" ref="D4898:D4899" si="1172">HYPERLINK("https://www.linkedin.com/ad-library/detail/916851734","Open Ad")</f>
        <v>Open Ad</v>
      </c>
      <c r="E4898" s="6" t="s">
        <v>91</v>
      </c>
      <c r="F4898" s="6" t="s">
        <v>8022</v>
      </c>
      <c r="G4898" s="6" t="s">
        <v>8373</v>
      </c>
      <c r="H4898" s="6" t="s">
        <v>55</v>
      </c>
      <c r="I4898" s="6" t="s">
        <v>8273</v>
      </c>
      <c r="J4898" s="6" t="s">
        <v>91</v>
      </c>
      <c r="K4898" s="12" t="str">
        <f t="shared" ref="K4898:K4899" si="1173">HYPERLINK("https://media.licdn.com/dms/image/v2/D4E10AQGhh7LV9F74tQ/image-shrink_1280/B4EZqXkncJKkAM-/0/1763479550620/4Lightjpg?e=2147483647&amp;v=beta&amp;t=eoU5wfrx63QrhrkiifZxdA3k09DXN3GDOWhSCCpQXK8","View Creative")</f>
        <v>View Creative</v>
      </c>
      <c r="L4898" s="6" t="s">
        <v>62</v>
      </c>
      <c r="M4898" s="6" t="s">
        <v>8270</v>
      </c>
      <c r="N4898" s="6" t="s">
        <v>8383</v>
      </c>
      <c r="O4898" s="36" t="s">
        <v>7541</v>
      </c>
      <c r="P4898" s="36" t="s">
        <v>7542</v>
      </c>
      <c r="Q4898" s="38"/>
    </row>
    <row r="4899">
      <c r="A4899" s="6" t="s">
        <v>8270</v>
      </c>
      <c r="B4899" s="6" t="s">
        <v>8271</v>
      </c>
      <c r="C4899" s="6">
        <v>848.0</v>
      </c>
      <c r="D4899" s="9" t="str">
        <f t="shared" si="1172"/>
        <v>Open Ad</v>
      </c>
      <c r="E4899" s="6" t="s">
        <v>91</v>
      </c>
      <c r="F4899" s="6" t="s">
        <v>8022</v>
      </c>
      <c r="G4899" s="6" t="s">
        <v>8373</v>
      </c>
      <c r="H4899" s="6" t="s">
        <v>55</v>
      </c>
      <c r="I4899" s="6" t="s">
        <v>8273</v>
      </c>
      <c r="J4899" s="6" t="s">
        <v>91</v>
      </c>
      <c r="K4899" s="12" t="str">
        <f t="shared" si="1173"/>
        <v>View Creative</v>
      </c>
      <c r="L4899" s="6" t="s">
        <v>62</v>
      </c>
      <c r="M4899" s="6" t="s">
        <v>8270</v>
      </c>
      <c r="N4899" s="6" t="s">
        <v>8383</v>
      </c>
      <c r="O4899" s="36" t="s">
        <v>7541</v>
      </c>
      <c r="P4899" s="36" t="s">
        <v>7542</v>
      </c>
      <c r="Q4899" s="38"/>
    </row>
    <row r="4900">
      <c r="A4900" s="6" t="s">
        <v>8270</v>
      </c>
      <c r="B4900" s="6" t="s">
        <v>8271</v>
      </c>
      <c r="C4900" s="6">
        <v>849.0</v>
      </c>
      <c r="D4900" s="9" t="str">
        <f t="shared" ref="D4900:D4901" si="1174">HYPERLINK("https://www.linkedin.com/ad-library/detail/916821774","Open Ad")</f>
        <v>Open Ad</v>
      </c>
      <c r="E4900" s="6" t="s">
        <v>91</v>
      </c>
      <c r="F4900" s="6" t="s">
        <v>8022</v>
      </c>
      <c r="G4900" s="6" t="s">
        <v>8363</v>
      </c>
      <c r="H4900" s="6" t="s">
        <v>55</v>
      </c>
      <c r="I4900" s="6" t="s">
        <v>8273</v>
      </c>
      <c r="J4900" s="6" t="s">
        <v>91</v>
      </c>
      <c r="K4900" s="12" t="str">
        <f t="shared" ref="K4900:K4901" si="1175">HYPERLINK("https://media.licdn.com/dms/image/v2/D4E10AQHFRHPc9FWrHg/image-shrink_1280/B4EZqXjE10HoAQ-/0/1763479146737/3Light-2jpg?e=2147483647&amp;v=beta&amp;t=rZhguR_gys1_eeccCKD40rY_p2pWztc9kFpk08d6MnM","View Creative")</f>
        <v>View Creative</v>
      </c>
      <c r="L4900" s="6" t="s">
        <v>62</v>
      </c>
      <c r="M4900" s="6" t="s">
        <v>8270</v>
      </c>
      <c r="N4900" s="6" t="s">
        <v>8383</v>
      </c>
      <c r="O4900" s="36" t="s">
        <v>7541</v>
      </c>
      <c r="P4900" s="36" t="s">
        <v>7542</v>
      </c>
      <c r="Q4900" s="38"/>
    </row>
    <row r="4901">
      <c r="A4901" s="6" t="s">
        <v>8270</v>
      </c>
      <c r="B4901" s="6" t="s">
        <v>8271</v>
      </c>
      <c r="C4901" s="6">
        <v>850.0</v>
      </c>
      <c r="D4901" s="9" t="str">
        <f t="shared" si="1174"/>
        <v>Open Ad</v>
      </c>
      <c r="E4901" s="6" t="s">
        <v>91</v>
      </c>
      <c r="F4901" s="6" t="s">
        <v>8022</v>
      </c>
      <c r="G4901" s="6" t="s">
        <v>8363</v>
      </c>
      <c r="H4901" s="6" t="s">
        <v>55</v>
      </c>
      <c r="I4901" s="6" t="s">
        <v>8273</v>
      </c>
      <c r="J4901" s="6" t="s">
        <v>91</v>
      </c>
      <c r="K4901" s="12" t="str">
        <f t="shared" si="1175"/>
        <v>View Creative</v>
      </c>
      <c r="L4901" s="6" t="s">
        <v>62</v>
      </c>
      <c r="M4901" s="6" t="s">
        <v>8270</v>
      </c>
      <c r="N4901" s="6" t="s">
        <v>8383</v>
      </c>
      <c r="O4901" s="36" t="s">
        <v>7541</v>
      </c>
      <c r="P4901" s="36" t="s">
        <v>7542</v>
      </c>
      <c r="Q4901" s="38"/>
    </row>
    <row r="4902">
      <c r="A4902" s="6" t="s">
        <v>8270</v>
      </c>
      <c r="B4902" s="6" t="s">
        <v>8271</v>
      </c>
      <c r="C4902" s="6">
        <v>851.0</v>
      </c>
      <c r="D4902" s="9" t="str">
        <f t="shared" ref="D4902:D4903" si="1176">HYPERLINK("https://www.linkedin.com/ad-library/detail/916772094","Open Ad")</f>
        <v>Open Ad</v>
      </c>
      <c r="E4902" s="6" t="s">
        <v>91</v>
      </c>
      <c r="F4902" s="6" t="s">
        <v>8022</v>
      </c>
      <c r="G4902" s="6" t="s">
        <v>8363</v>
      </c>
      <c r="H4902" s="6" t="s">
        <v>55</v>
      </c>
      <c r="I4902" s="6" t="s">
        <v>8273</v>
      </c>
      <c r="J4902" s="6" t="s">
        <v>91</v>
      </c>
      <c r="K4902" s="12" t="str">
        <f t="shared" ref="K4902:K4903" si="1177">HYPERLINK("https://media.licdn.com/dms/image/v2/D4E10AQExlvzvwZR9Cw/image-shrink_1280/B4EZqXjO3_JgAQ-/0/1763479187977/3Dark-2jpg?e=2147483647&amp;v=beta&amp;t=hIw8-9_xZmTLDeJdkluPd0WO2TRrUEIgeIYzXYtAh1g","View Creative")</f>
        <v>View Creative</v>
      </c>
      <c r="L4902" s="6" t="s">
        <v>62</v>
      </c>
      <c r="M4902" s="6" t="s">
        <v>8270</v>
      </c>
      <c r="N4902" s="6" t="s">
        <v>8383</v>
      </c>
      <c r="O4902" s="36" t="s">
        <v>7541</v>
      </c>
      <c r="P4902" s="36" t="s">
        <v>7542</v>
      </c>
      <c r="Q4902" s="38"/>
    </row>
    <row r="4903">
      <c r="A4903" s="6" t="s">
        <v>8270</v>
      </c>
      <c r="B4903" s="6" t="s">
        <v>8271</v>
      </c>
      <c r="C4903" s="6">
        <v>852.0</v>
      </c>
      <c r="D4903" s="9" t="str">
        <f t="shared" si="1176"/>
        <v>Open Ad</v>
      </c>
      <c r="E4903" s="6" t="s">
        <v>91</v>
      </c>
      <c r="F4903" s="6" t="s">
        <v>8022</v>
      </c>
      <c r="G4903" s="6" t="s">
        <v>8363</v>
      </c>
      <c r="H4903" s="6" t="s">
        <v>55</v>
      </c>
      <c r="I4903" s="6" t="s">
        <v>8273</v>
      </c>
      <c r="J4903" s="6" t="s">
        <v>91</v>
      </c>
      <c r="K4903" s="12" t="str">
        <f t="shared" si="1177"/>
        <v>View Creative</v>
      </c>
      <c r="L4903" s="6" t="s">
        <v>62</v>
      </c>
      <c r="M4903" s="6" t="s">
        <v>8270</v>
      </c>
      <c r="N4903" s="6" t="s">
        <v>8383</v>
      </c>
      <c r="O4903" s="36" t="s">
        <v>7541</v>
      </c>
      <c r="P4903" s="36" t="s">
        <v>7542</v>
      </c>
      <c r="Q4903" s="38"/>
    </row>
    <row r="4904">
      <c r="A4904" s="6" t="s">
        <v>8270</v>
      </c>
      <c r="B4904" s="6" t="s">
        <v>8271</v>
      </c>
      <c r="C4904" s="6">
        <v>853.0</v>
      </c>
      <c r="D4904" s="9" t="str">
        <f t="shared" ref="D4904:D4905" si="1178">HYPERLINK("https://www.linkedin.com/ad-library/detail/916742544","Open Ad")</f>
        <v>Open Ad</v>
      </c>
      <c r="E4904" s="6" t="s">
        <v>91</v>
      </c>
      <c r="F4904" s="6" t="s">
        <v>8022</v>
      </c>
      <c r="G4904" s="6" t="s">
        <v>8373</v>
      </c>
      <c r="H4904" s="6" t="s">
        <v>55</v>
      </c>
      <c r="I4904" s="6" t="s">
        <v>8273</v>
      </c>
      <c r="J4904" s="6" t="s">
        <v>91</v>
      </c>
      <c r="K4904" s="12" t="str">
        <f t="shared" ref="K4904:K4905" si="1179">HYPERLINK("https://media.licdn.com/dms/image/v2/D4E10AQEU0w4UGxx8Ag/image-shrink_1280/B4EZqXkZXlIQAQ-/0/1763479492926/3Lightjpg?e=2147483647&amp;v=beta&amp;t=_jgwspKyqLBBvgvbnQErlUU5Db0lO5w9CIE-CNaO5CA","View Creative")</f>
        <v>View Creative</v>
      </c>
      <c r="L4904" s="6" t="s">
        <v>62</v>
      </c>
      <c r="M4904" s="6" t="s">
        <v>8270</v>
      </c>
      <c r="N4904" s="6" t="s">
        <v>8383</v>
      </c>
      <c r="O4904" s="36" t="s">
        <v>7541</v>
      </c>
      <c r="P4904" s="36" t="s">
        <v>7542</v>
      </c>
      <c r="Q4904" s="38"/>
    </row>
    <row r="4905">
      <c r="A4905" s="6" t="s">
        <v>8270</v>
      </c>
      <c r="B4905" s="6" t="s">
        <v>8271</v>
      </c>
      <c r="C4905" s="6">
        <v>854.0</v>
      </c>
      <c r="D4905" s="9" t="str">
        <f t="shared" si="1178"/>
        <v>Open Ad</v>
      </c>
      <c r="E4905" s="6" t="s">
        <v>91</v>
      </c>
      <c r="F4905" s="6" t="s">
        <v>8022</v>
      </c>
      <c r="G4905" s="6" t="s">
        <v>8373</v>
      </c>
      <c r="H4905" s="6" t="s">
        <v>55</v>
      </c>
      <c r="I4905" s="6" t="s">
        <v>8273</v>
      </c>
      <c r="J4905" s="6" t="s">
        <v>91</v>
      </c>
      <c r="K4905" s="12" t="str">
        <f t="shared" si="1179"/>
        <v>View Creative</v>
      </c>
      <c r="L4905" s="6" t="s">
        <v>62</v>
      </c>
      <c r="M4905" s="6" t="s">
        <v>8270</v>
      </c>
      <c r="N4905" s="6" t="s">
        <v>8383</v>
      </c>
      <c r="O4905" s="36" t="s">
        <v>7541</v>
      </c>
      <c r="P4905" s="36" t="s">
        <v>7542</v>
      </c>
      <c r="Q4905" s="38"/>
    </row>
    <row r="4906">
      <c r="A4906" s="6" t="s">
        <v>8270</v>
      </c>
      <c r="B4906" s="6" t="s">
        <v>8271</v>
      </c>
      <c r="C4906" s="6">
        <v>855.0</v>
      </c>
      <c r="D4906" s="9" t="str">
        <f t="shared" ref="D4906:D4907" si="1180">HYPERLINK("https://www.linkedin.com/ad-library/detail/916851654","Open Ad")</f>
        <v>Open Ad</v>
      </c>
      <c r="E4906" s="6" t="s">
        <v>91</v>
      </c>
      <c r="F4906" s="6" t="s">
        <v>8022</v>
      </c>
      <c r="G4906" s="6" t="s">
        <v>8363</v>
      </c>
      <c r="H4906" s="6" t="s">
        <v>55</v>
      </c>
      <c r="I4906" s="6" t="s">
        <v>8273</v>
      </c>
      <c r="J4906" s="6" t="s">
        <v>91</v>
      </c>
      <c r="K4906" s="12" t="str">
        <f t="shared" ref="K4906:K4907" si="1181">HYPERLINK("https://media.licdn.com/dms/image/v2/D4E10AQHcSoWO1dYKtQ/image-shrink_1280/B4EZqXi5QAHcAQ-/0/1763479099393/2Dark-2jpg?e=2147483647&amp;v=beta&amp;t=icCzusjbqHqZBG3AQPs0VI2nQANVz543VtPBphg9iAk","View Creative")</f>
        <v>View Creative</v>
      </c>
      <c r="L4906" s="6" t="s">
        <v>62</v>
      </c>
      <c r="M4906" s="6" t="s">
        <v>8270</v>
      </c>
      <c r="N4906" s="6" t="s">
        <v>8383</v>
      </c>
      <c r="O4906" s="36" t="s">
        <v>7541</v>
      </c>
      <c r="P4906" s="36" t="s">
        <v>7542</v>
      </c>
      <c r="Q4906" s="38"/>
    </row>
    <row r="4907">
      <c r="A4907" s="6" t="s">
        <v>8270</v>
      </c>
      <c r="B4907" s="6" t="s">
        <v>8271</v>
      </c>
      <c r="C4907" s="6">
        <v>856.0</v>
      </c>
      <c r="D4907" s="9" t="str">
        <f t="shared" si="1180"/>
        <v>Open Ad</v>
      </c>
      <c r="E4907" s="6" t="s">
        <v>91</v>
      </c>
      <c r="F4907" s="6" t="s">
        <v>8022</v>
      </c>
      <c r="G4907" s="6" t="s">
        <v>8363</v>
      </c>
      <c r="H4907" s="6" t="s">
        <v>55</v>
      </c>
      <c r="I4907" s="6" t="s">
        <v>8273</v>
      </c>
      <c r="J4907" s="6" t="s">
        <v>91</v>
      </c>
      <c r="K4907" s="12" t="str">
        <f t="shared" si="1181"/>
        <v>View Creative</v>
      </c>
      <c r="L4907" s="6" t="s">
        <v>62</v>
      </c>
      <c r="M4907" s="6" t="s">
        <v>8270</v>
      </c>
      <c r="N4907" s="6" t="s">
        <v>8383</v>
      </c>
      <c r="O4907" s="36" t="s">
        <v>7541</v>
      </c>
      <c r="P4907" s="36" t="s">
        <v>7542</v>
      </c>
      <c r="Q4907" s="38"/>
    </row>
    <row r="4908">
      <c r="A4908" s="6" t="s">
        <v>8270</v>
      </c>
      <c r="B4908" s="6" t="s">
        <v>8271</v>
      </c>
      <c r="C4908" s="6">
        <v>857.0</v>
      </c>
      <c r="D4908" s="9" t="str">
        <f t="shared" ref="D4908:D4909" si="1182">HYPERLINK("https://www.linkedin.com/ad-library/detail/916841714","Open Ad")</f>
        <v>Open Ad</v>
      </c>
      <c r="E4908" s="6" t="s">
        <v>91</v>
      </c>
      <c r="F4908" s="6" t="s">
        <v>8022</v>
      </c>
      <c r="G4908" s="6" t="s">
        <v>8373</v>
      </c>
      <c r="H4908" s="6" t="s">
        <v>55</v>
      </c>
      <c r="I4908" s="6" t="s">
        <v>8273</v>
      </c>
      <c r="J4908" s="6" t="s">
        <v>91</v>
      </c>
      <c r="K4908" s="12" t="str">
        <f t="shared" ref="K4908:K4909" si="1183">HYPERLINK("https://media.licdn.com/dms/image/v2/D4E10AQEGBOzQY5J0Ig/image-shrink_1280/B4EZqXkFQHIIAQ-/0/1763479410773/2Darkjpg?e=2147483647&amp;v=beta&amp;t=erfq82UzNpZu5Zl5UHAnfU9yBixcEf2q-7xjAyGgUQo","View Creative")</f>
        <v>View Creative</v>
      </c>
      <c r="L4908" s="6" t="s">
        <v>62</v>
      </c>
      <c r="M4908" s="6" t="s">
        <v>8270</v>
      </c>
      <c r="N4908" s="6" t="s">
        <v>8383</v>
      </c>
      <c r="O4908" s="36" t="s">
        <v>7541</v>
      </c>
      <c r="P4908" s="36" t="s">
        <v>7542</v>
      </c>
      <c r="Q4908" s="38"/>
    </row>
    <row r="4909">
      <c r="A4909" s="6" t="s">
        <v>8270</v>
      </c>
      <c r="B4909" s="6" t="s">
        <v>8271</v>
      </c>
      <c r="C4909" s="6">
        <v>858.0</v>
      </c>
      <c r="D4909" s="9" t="str">
        <f t="shared" si="1182"/>
        <v>Open Ad</v>
      </c>
      <c r="E4909" s="6" t="s">
        <v>91</v>
      </c>
      <c r="F4909" s="6" t="s">
        <v>8022</v>
      </c>
      <c r="G4909" s="6" t="s">
        <v>8373</v>
      </c>
      <c r="H4909" s="6" t="s">
        <v>55</v>
      </c>
      <c r="I4909" s="6" t="s">
        <v>8273</v>
      </c>
      <c r="J4909" s="6" t="s">
        <v>91</v>
      </c>
      <c r="K4909" s="12" t="str">
        <f t="shared" si="1183"/>
        <v>View Creative</v>
      </c>
      <c r="L4909" s="6" t="s">
        <v>62</v>
      </c>
      <c r="M4909" s="6" t="s">
        <v>8270</v>
      </c>
      <c r="N4909" s="6" t="s">
        <v>8383</v>
      </c>
      <c r="O4909" s="36" t="s">
        <v>7541</v>
      </c>
      <c r="P4909" s="36" t="s">
        <v>7542</v>
      </c>
      <c r="Q4909" s="38"/>
    </row>
    <row r="4910">
      <c r="A4910" s="6" t="s">
        <v>8270</v>
      </c>
      <c r="B4910" s="6" t="s">
        <v>8271</v>
      </c>
      <c r="C4910" s="6">
        <v>859.0</v>
      </c>
      <c r="D4910" s="9" t="str">
        <f t="shared" ref="D4910:D4911" si="1184">HYPERLINK("https://www.linkedin.com/ad-library/detail/916821924","Open Ad")</f>
        <v>Open Ad</v>
      </c>
      <c r="E4910" s="6" t="s">
        <v>91</v>
      </c>
      <c r="F4910" s="6" t="s">
        <v>8022</v>
      </c>
      <c r="G4910" s="6" t="s">
        <v>8363</v>
      </c>
      <c r="H4910" s="6" t="s">
        <v>55</v>
      </c>
      <c r="I4910" s="6" t="s">
        <v>8273</v>
      </c>
      <c r="J4910" s="6" t="s">
        <v>91</v>
      </c>
      <c r="K4910" s="12" t="str">
        <f t="shared" ref="K4910:K4911" si="1185">HYPERLINK("https://media.licdn.com/dms/image/v2/D4E10AQHFRHPc9FWrHg/image-shrink_1280/B4EZqXjE10HoAQ-/0/1763479146737/3Light-2jpg?e=2147483647&amp;v=beta&amp;t=rZhguR_gys1_eeccCKD40rY_p2pWztc9kFpk08d6MnM","View Creative")</f>
        <v>View Creative</v>
      </c>
      <c r="L4910" s="6" t="s">
        <v>62</v>
      </c>
      <c r="M4910" s="6" t="s">
        <v>8270</v>
      </c>
      <c r="N4910" s="6" t="s">
        <v>8383</v>
      </c>
      <c r="O4910" s="36" t="s">
        <v>7541</v>
      </c>
      <c r="P4910" s="36" t="s">
        <v>7542</v>
      </c>
      <c r="Q4910" s="38"/>
    </row>
    <row r="4911">
      <c r="A4911" s="6" t="s">
        <v>8270</v>
      </c>
      <c r="B4911" s="6" t="s">
        <v>8271</v>
      </c>
      <c r="C4911" s="6">
        <v>860.0</v>
      </c>
      <c r="D4911" s="9" t="str">
        <f t="shared" si="1184"/>
        <v>Open Ad</v>
      </c>
      <c r="E4911" s="6" t="s">
        <v>91</v>
      </c>
      <c r="F4911" s="6" t="s">
        <v>8022</v>
      </c>
      <c r="G4911" s="6" t="s">
        <v>8363</v>
      </c>
      <c r="H4911" s="6" t="s">
        <v>55</v>
      </c>
      <c r="I4911" s="6" t="s">
        <v>8273</v>
      </c>
      <c r="J4911" s="6" t="s">
        <v>91</v>
      </c>
      <c r="K4911" s="12" t="str">
        <f t="shared" si="1185"/>
        <v>View Creative</v>
      </c>
      <c r="L4911" s="6" t="s">
        <v>62</v>
      </c>
      <c r="M4911" s="6" t="s">
        <v>8270</v>
      </c>
      <c r="N4911" s="6" t="s">
        <v>8383</v>
      </c>
      <c r="O4911" s="36" t="s">
        <v>7541</v>
      </c>
      <c r="P4911" s="36" t="s">
        <v>7542</v>
      </c>
      <c r="Q4911" s="38"/>
    </row>
    <row r="4912">
      <c r="A4912" s="6" t="s">
        <v>8270</v>
      </c>
      <c r="B4912" s="6" t="s">
        <v>8271</v>
      </c>
      <c r="C4912" s="6">
        <v>861.0</v>
      </c>
      <c r="D4912" s="9" t="str">
        <f t="shared" ref="D4912:D4913" si="1186">HYPERLINK("https://www.linkedin.com/ad-library/detail/916891434","Open Ad")</f>
        <v>Open Ad</v>
      </c>
      <c r="E4912" s="6" t="s">
        <v>91</v>
      </c>
      <c r="F4912" s="6" t="s">
        <v>8022</v>
      </c>
      <c r="G4912" s="6" t="s">
        <v>8382</v>
      </c>
      <c r="H4912" s="6" t="s">
        <v>55</v>
      </c>
      <c r="I4912" s="6" t="s">
        <v>8273</v>
      </c>
      <c r="J4912" s="6" t="s">
        <v>91</v>
      </c>
      <c r="K4912" s="12" t="str">
        <f t="shared" ref="K4912:K4913" si="1187">HYPERLINK("https://media.licdn.com/dms/image/v2/D4E10AQG-5ahZNFJ0Qw/image-shrink_1280/B4EZqXlcw9J0AQ-/0/1763479769117/3Dark-1jpg?e=2147483647&amp;v=beta&amp;t=4-8BXjQk2Kp5K6WaUT9S6iuqFLEfdncrDe1XCFFXnhA","View Creative")</f>
        <v>View Creative</v>
      </c>
      <c r="L4912" s="6" t="s">
        <v>62</v>
      </c>
      <c r="M4912" s="6" t="s">
        <v>8270</v>
      </c>
      <c r="N4912" s="6" t="s">
        <v>8383</v>
      </c>
      <c r="O4912" s="36" t="s">
        <v>7541</v>
      </c>
      <c r="P4912" s="36" t="s">
        <v>7542</v>
      </c>
      <c r="Q4912" s="38"/>
    </row>
    <row r="4913">
      <c r="A4913" s="6" t="s">
        <v>8270</v>
      </c>
      <c r="B4913" s="6" t="s">
        <v>8271</v>
      </c>
      <c r="C4913" s="6">
        <v>862.0</v>
      </c>
      <c r="D4913" s="9" t="str">
        <f t="shared" si="1186"/>
        <v>Open Ad</v>
      </c>
      <c r="E4913" s="6" t="s">
        <v>91</v>
      </c>
      <c r="F4913" s="6" t="s">
        <v>8022</v>
      </c>
      <c r="G4913" s="6" t="s">
        <v>8382</v>
      </c>
      <c r="H4913" s="6" t="s">
        <v>55</v>
      </c>
      <c r="I4913" s="6" t="s">
        <v>8273</v>
      </c>
      <c r="J4913" s="6" t="s">
        <v>91</v>
      </c>
      <c r="K4913" s="12" t="str">
        <f t="shared" si="1187"/>
        <v>View Creative</v>
      </c>
      <c r="L4913" s="6" t="s">
        <v>62</v>
      </c>
      <c r="M4913" s="6" t="s">
        <v>8270</v>
      </c>
      <c r="N4913" s="6" t="s">
        <v>8383</v>
      </c>
      <c r="O4913" s="36" t="s">
        <v>7541</v>
      </c>
      <c r="P4913" s="36" t="s">
        <v>7542</v>
      </c>
      <c r="Q4913" s="38"/>
    </row>
    <row r="4914">
      <c r="A4914" s="6" t="s">
        <v>8270</v>
      </c>
      <c r="B4914" s="6" t="s">
        <v>8271</v>
      </c>
      <c r="C4914" s="6">
        <v>863.0</v>
      </c>
      <c r="D4914" s="9" t="str">
        <f t="shared" ref="D4914:D4915" si="1188">HYPERLINK("https://www.linkedin.com/ad-library/detail/916761884","Open Ad")</f>
        <v>Open Ad</v>
      </c>
      <c r="E4914" s="6" t="s">
        <v>91</v>
      </c>
      <c r="F4914" s="6" t="s">
        <v>8022</v>
      </c>
      <c r="G4914" s="6" t="s">
        <v>8373</v>
      </c>
      <c r="H4914" s="6" t="s">
        <v>55</v>
      </c>
      <c r="I4914" s="6" t="s">
        <v>8273</v>
      </c>
      <c r="J4914" s="6" t="s">
        <v>91</v>
      </c>
      <c r="K4914" s="12" t="str">
        <f t="shared" ref="K4914:K4915" si="1189">HYPERLINK("https://media.licdn.com/dms/image/v2/D4E10AQF45XRPTXtW5A/image-shrink_1280/B4EZqXhpz1GcAM-/0/1763478773949/3Darkjpg?e=2147483647&amp;v=beta&amp;t=4YvB4IIPTWmlveIYFlgySSG_pCTzhVNDBwJvzRQ8cLk","View Creative")</f>
        <v>View Creative</v>
      </c>
      <c r="L4914" s="6" t="s">
        <v>62</v>
      </c>
      <c r="M4914" s="6" t="s">
        <v>8270</v>
      </c>
      <c r="N4914" s="6" t="s">
        <v>8383</v>
      </c>
      <c r="O4914" s="36" t="s">
        <v>7541</v>
      </c>
      <c r="P4914" s="36" t="s">
        <v>7542</v>
      </c>
      <c r="Q4914" s="38"/>
    </row>
    <row r="4915">
      <c r="A4915" s="6" t="s">
        <v>8270</v>
      </c>
      <c r="B4915" s="6" t="s">
        <v>8271</v>
      </c>
      <c r="C4915" s="6">
        <v>864.0</v>
      </c>
      <c r="D4915" s="9" t="str">
        <f t="shared" si="1188"/>
        <v>Open Ad</v>
      </c>
      <c r="E4915" s="6" t="s">
        <v>91</v>
      </c>
      <c r="F4915" s="6" t="s">
        <v>8022</v>
      </c>
      <c r="G4915" s="6" t="s">
        <v>8373</v>
      </c>
      <c r="H4915" s="6" t="s">
        <v>55</v>
      </c>
      <c r="I4915" s="6" t="s">
        <v>8273</v>
      </c>
      <c r="J4915" s="6" t="s">
        <v>91</v>
      </c>
      <c r="K4915" s="12" t="str">
        <f t="shared" si="1189"/>
        <v>View Creative</v>
      </c>
      <c r="L4915" s="6" t="s">
        <v>62</v>
      </c>
      <c r="M4915" s="6" t="s">
        <v>8270</v>
      </c>
      <c r="N4915" s="6" t="s">
        <v>8383</v>
      </c>
      <c r="O4915" s="36" t="s">
        <v>7541</v>
      </c>
      <c r="P4915" s="36" t="s">
        <v>7542</v>
      </c>
      <c r="Q4915" s="38"/>
    </row>
    <row r="4916">
      <c r="A4916" s="6" t="s">
        <v>8270</v>
      </c>
      <c r="B4916" s="6" t="s">
        <v>8271</v>
      </c>
      <c r="C4916" s="6">
        <v>865.0</v>
      </c>
      <c r="D4916" s="9" t="str">
        <f t="shared" ref="D4916:D4917" si="1190">HYPERLINK("https://www.linkedin.com/ad-library/detail/913325454","Open Ad")</f>
        <v>Open Ad</v>
      </c>
      <c r="E4916" s="6" t="s">
        <v>91</v>
      </c>
      <c r="F4916" s="6" t="s">
        <v>8022</v>
      </c>
      <c r="G4916" s="6" t="s">
        <v>8373</v>
      </c>
      <c r="H4916" s="6" t="s">
        <v>55</v>
      </c>
      <c r="I4916" s="6" t="s">
        <v>8273</v>
      </c>
      <c r="J4916" s="6" t="s">
        <v>91</v>
      </c>
      <c r="K4916" s="12" t="str">
        <f t="shared" ref="K4916:K4917" si="1191">HYPERLINK("https://media.licdn.com/dms/image/v2/D4E10AQFvKvCCCsOtdQ/image-shrink_1280/B4EZqC.6_vKgAM-/0/1763134124978/03_DarkMode_BlackFriday_2025?e=2147483647&amp;v=beta&amp;t=nrK_vpHeevxb-24dY9crEv__P_SJKfxN51Ug_PIU1mY","View Creative")</f>
        <v>View Creative</v>
      </c>
      <c r="L4916" s="6" t="s">
        <v>62</v>
      </c>
      <c r="M4916" s="6" t="s">
        <v>8270</v>
      </c>
      <c r="N4916" s="6"/>
      <c r="O4916" s="36" t="s">
        <v>7541</v>
      </c>
      <c r="P4916" s="36" t="s">
        <v>7542</v>
      </c>
      <c r="Q4916" s="38"/>
    </row>
    <row r="4917">
      <c r="A4917" s="6" t="s">
        <v>8270</v>
      </c>
      <c r="B4917" s="6" t="s">
        <v>8271</v>
      </c>
      <c r="C4917" s="6">
        <v>866.0</v>
      </c>
      <c r="D4917" s="9" t="str">
        <f t="shared" si="1190"/>
        <v>Open Ad</v>
      </c>
      <c r="E4917" s="6" t="s">
        <v>91</v>
      </c>
      <c r="F4917" s="6" t="s">
        <v>8022</v>
      </c>
      <c r="G4917" s="6" t="s">
        <v>8373</v>
      </c>
      <c r="H4917" s="6" t="s">
        <v>55</v>
      </c>
      <c r="I4917" s="6" t="s">
        <v>8273</v>
      </c>
      <c r="J4917" s="6" t="s">
        <v>91</v>
      </c>
      <c r="K4917" s="12" t="str">
        <f t="shared" si="1191"/>
        <v>View Creative</v>
      </c>
      <c r="L4917" s="6" t="s">
        <v>62</v>
      </c>
      <c r="M4917" s="6" t="s">
        <v>8270</v>
      </c>
      <c r="N4917" s="6"/>
      <c r="O4917" s="36" t="s">
        <v>7541</v>
      </c>
      <c r="P4917" s="36" t="s">
        <v>7542</v>
      </c>
      <c r="Q4917" s="38"/>
    </row>
    <row r="4918">
      <c r="A4918" s="6" t="s">
        <v>8270</v>
      </c>
      <c r="B4918" s="6" t="s">
        <v>8271</v>
      </c>
      <c r="C4918" s="6">
        <v>867.0</v>
      </c>
      <c r="D4918" s="9" t="str">
        <f t="shared" ref="D4918:D4919" si="1192">HYPERLINK("https://www.linkedin.com/ad-library/detail/913295614","Open Ad")</f>
        <v>Open Ad</v>
      </c>
      <c r="E4918" s="6" t="s">
        <v>91</v>
      </c>
      <c r="F4918" s="6" t="s">
        <v>8022</v>
      </c>
      <c r="G4918" s="6" t="s">
        <v>8363</v>
      </c>
      <c r="H4918" s="6" t="s">
        <v>55</v>
      </c>
      <c r="I4918" s="6" t="s">
        <v>8273</v>
      </c>
      <c r="J4918" s="6" t="s">
        <v>91</v>
      </c>
      <c r="K4918" s="12" t="str">
        <f t="shared" ref="K4918:K4919" si="1193">HYPERLINK("https://media.licdn.com/dms/image/v2/D4E10AQEKGerJblQZtQ/image-shrink_1280/B4EZqC4qbTHgAM-/0/1763132484063/01_LightMode_BF_2025?e=2147483647&amp;v=beta&amp;t=BYRBuTv9G2TDFiwenmckUQPfsShbEby7_m0ZQnM1TMQ","View Creative")</f>
        <v>View Creative</v>
      </c>
      <c r="L4918" s="6" t="s">
        <v>62</v>
      </c>
      <c r="M4918" s="6" t="s">
        <v>8270</v>
      </c>
      <c r="N4918" s="6"/>
      <c r="O4918" s="36" t="s">
        <v>7541</v>
      </c>
      <c r="P4918" s="36" t="s">
        <v>7542</v>
      </c>
      <c r="Q4918" s="38"/>
    </row>
    <row r="4919">
      <c r="A4919" s="6" t="s">
        <v>8270</v>
      </c>
      <c r="B4919" s="6" t="s">
        <v>8271</v>
      </c>
      <c r="C4919" s="6">
        <v>868.0</v>
      </c>
      <c r="D4919" s="9" t="str">
        <f t="shared" si="1192"/>
        <v>Open Ad</v>
      </c>
      <c r="E4919" s="6" t="s">
        <v>91</v>
      </c>
      <c r="F4919" s="6" t="s">
        <v>8022</v>
      </c>
      <c r="G4919" s="6" t="s">
        <v>8363</v>
      </c>
      <c r="H4919" s="6" t="s">
        <v>55</v>
      </c>
      <c r="I4919" s="6" t="s">
        <v>8273</v>
      </c>
      <c r="J4919" s="6" t="s">
        <v>91</v>
      </c>
      <c r="K4919" s="12" t="str">
        <f t="shared" si="1193"/>
        <v>View Creative</v>
      </c>
      <c r="L4919" s="6" t="s">
        <v>62</v>
      </c>
      <c r="M4919" s="6" t="s">
        <v>8270</v>
      </c>
      <c r="N4919" s="6"/>
      <c r="O4919" s="36" t="s">
        <v>7541</v>
      </c>
      <c r="P4919" s="36" t="s">
        <v>7542</v>
      </c>
      <c r="Q4919" s="38"/>
    </row>
    <row r="4920">
      <c r="A4920" s="6" t="s">
        <v>8270</v>
      </c>
      <c r="B4920" s="6" t="s">
        <v>8271</v>
      </c>
      <c r="C4920" s="6">
        <v>869.0</v>
      </c>
      <c r="D4920" s="9" t="str">
        <f t="shared" ref="D4920:D4921" si="1194">HYPERLINK("https://www.linkedin.com/ad-library/detail/913295624","Open Ad")</f>
        <v>Open Ad</v>
      </c>
      <c r="E4920" s="6" t="s">
        <v>91</v>
      </c>
      <c r="F4920" s="6" t="s">
        <v>8022</v>
      </c>
      <c r="G4920" s="6" t="s">
        <v>8373</v>
      </c>
      <c r="H4920" s="6" t="s">
        <v>55</v>
      </c>
      <c r="I4920" s="6" t="s">
        <v>8273</v>
      </c>
      <c r="J4920" s="6" t="s">
        <v>91</v>
      </c>
      <c r="K4920" s="12" t="str">
        <f t="shared" ref="K4920:K4921" si="1195">HYPERLINK("https://media.licdn.com/dms/image/v2/D4E10AQH4KbJnron-hg/image-shrink_1280/B4EZqC5azGIoAQ-/0/1763132682276/03_LightMode_BF_2025?e=2147483647&amp;v=beta&amp;t=2fD2NHgMBWscabGamUhK9kIggk9EgVdJ7at1LyNyAdY","View Creative")</f>
        <v>View Creative</v>
      </c>
      <c r="L4920" s="6" t="s">
        <v>62</v>
      </c>
      <c r="M4920" s="6" t="s">
        <v>8270</v>
      </c>
      <c r="N4920" s="6"/>
      <c r="O4920" s="36" t="s">
        <v>7541</v>
      </c>
      <c r="P4920" s="36" t="s">
        <v>7542</v>
      </c>
      <c r="Q4920" s="38"/>
    </row>
    <row r="4921">
      <c r="A4921" s="6" t="s">
        <v>8270</v>
      </c>
      <c r="B4921" s="6" t="s">
        <v>8271</v>
      </c>
      <c r="C4921" s="6">
        <v>870.0</v>
      </c>
      <c r="D4921" s="9" t="str">
        <f t="shared" si="1194"/>
        <v>Open Ad</v>
      </c>
      <c r="E4921" s="6" t="s">
        <v>91</v>
      </c>
      <c r="F4921" s="6" t="s">
        <v>8022</v>
      </c>
      <c r="G4921" s="6" t="s">
        <v>8373</v>
      </c>
      <c r="H4921" s="6" t="s">
        <v>55</v>
      </c>
      <c r="I4921" s="6" t="s">
        <v>8273</v>
      </c>
      <c r="J4921" s="6" t="s">
        <v>91</v>
      </c>
      <c r="K4921" s="12" t="str">
        <f t="shared" si="1195"/>
        <v>View Creative</v>
      </c>
      <c r="L4921" s="6" t="s">
        <v>62</v>
      </c>
      <c r="M4921" s="6" t="s">
        <v>8270</v>
      </c>
      <c r="N4921" s="6"/>
      <c r="O4921" s="36" t="s">
        <v>7541</v>
      </c>
      <c r="P4921" s="36" t="s">
        <v>7542</v>
      </c>
      <c r="Q4921" s="38"/>
    </row>
    <row r="4922">
      <c r="A4922" s="6" t="s">
        <v>8270</v>
      </c>
      <c r="B4922" s="6" t="s">
        <v>8271</v>
      </c>
      <c r="C4922" s="6">
        <v>871.0</v>
      </c>
      <c r="D4922" s="9" t="str">
        <f t="shared" ref="D4922:D4923" si="1196">HYPERLINK("https://www.linkedin.com/ad-library/detail/913384634","Open Ad")</f>
        <v>Open Ad</v>
      </c>
      <c r="E4922" s="6" t="s">
        <v>91</v>
      </c>
      <c r="F4922" s="6" t="s">
        <v>8022</v>
      </c>
      <c r="G4922" s="6" t="s">
        <v>8385</v>
      </c>
      <c r="H4922" s="6" t="s">
        <v>55</v>
      </c>
      <c r="I4922" s="6" t="s">
        <v>8273</v>
      </c>
      <c r="J4922" s="6" t="s">
        <v>91</v>
      </c>
      <c r="K4922" s="12" t="str">
        <f t="shared" ref="K4922:K4923" si="1197">HYPERLINK("https://media.licdn.com/dms/image/v2/D4E10AQH5LV07JtBuaQ/image-shrink_1280/B4EZqC6R8nKMAQ-/0/1763132908157/04_Image_LightMode_BF_2025?e=2147483647&amp;v=beta&amp;t=0LIBL9DELBXLrwDrF_u1qNBjgAc35mM-OPOwvdYz4ds","View Creative")</f>
        <v>View Creative</v>
      </c>
      <c r="L4922" s="6" t="s">
        <v>62</v>
      </c>
      <c r="M4922" s="6" t="s">
        <v>8270</v>
      </c>
      <c r="N4922" s="6"/>
      <c r="O4922" s="36" t="s">
        <v>7541</v>
      </c>
      <c r="P4922" s="36" t="s">
        <v>7542</v>
      </c>
      <c r="Q4922" s="38"/>
    </row>
    <row r="4923">
      <c r="A4923" s="6" t="s">
        <v>8270</v>
      </c>
      <c r="B4923" s="6" t="s">
        <v>8271</v>
      </c>
      <c r="C4923" s="6">
        <v>872.0</v>
      </c>
      <c r="D4923" s="9" t="str">
        <f t="shared" si="1196"/>
        <v>Open Ad</v>
      </c>
      <c r="E4923" s="6" t="s">
        <v>91</v>
      </c>
      <c r="F4923" s="6" t="s">
        <v>8022</v>
      </c>
      <c r="G4923" s="6" t="s">
        <v>8385</v>
      </c>
      <c r="H4923" s="6" t="s">
        <v>55</v>
      </c>
      <c r="I4923" s="6" t="s">
        <v>8273</v>
      </c>
      <c r="J4923" s="6" t="s">
        <v>91</v>
      </c>
      <c r="K4923" s="12" t="str">
        <f t="shared" si="1197"/>
        <v>View Creative</v>
      </c>
      <c r="L4923" s="6" t="s">
        <v>62</v>
      </c>
      <c r="M4923" s="6" t="s">
        <v>8270</v>
      </c>
      <c r="N4923" s="6"/>
      <c r="O4923" s="36" t="s">
        <v>7541</v>
      </c>
      <c r="P4923" s="36" t="s">
        <v>7542</v>
      </c>
      <c r="Q4923" s="38"/>
    </row>
    <row r="4924">
      <c r="A4924" s="6" t="s">
        <v>8270</v>
      </c>
      <c r="B4924" s="6" t="s">
        <v>8271</v>
      </c>
      <c r="C4924" s="6">
        <v>873.0</v>
      </c>
      <c r="D4924" s="9" t="str">
        <f t="shared" ref="D4924:D4925" si="1198">HYPERLINK("https://www.linkedin.com/ad-library/detail/913404474","Open Ad")</f>
        <v>Open Ad</v>
      </c>
      <c r="E4924" s="6" t="s">
        <v>91</v>
      </c>
      <c r="F4924" s="6" t="s">
        <v>8022</v>
      </c>
      <c r="G4924" s="6" t="s">
        <v>8385</v>
      </c>
      <c r="H4924" s="6" t="s">
        <v>55</v>
      </c>
      <c r="I4924" s="6" t="s">
        <v>8273</v>
      </c>
      <c r="J4924" s="6" t="s">
        <v>91</v>
      </c>
      <c r="K4924" s="12" t="str">
        <f t="shared" ref="K4924:K4925" si="1199">HYPERLINK("https://media.licdn.com/dms/image/v2/D4E10AQHNqKZuZJ-Kcw/image-shrink_1280/B4EZqC_GxQJgAM-/0/1763134173013/04_DarkMode_BlackFriday_2025?e=2147483647&amp;v=beta&amp;t=98YDnUQABZ9RILH9tTs1mPH8w_5i4cDy_RtMAaJfCGE","View Creative")</f>
        <v>View Creative</v>
      </c>
      <c r="L4924" s="6" t="s">
        <v>62</v>
      </c>
      <c r="M4924" s="6" t="s">
        <v>8270</v>
      </c>
      <c r="N4924" s="6"/>
      <c r="O4924" s="36" t="s">
        <v>7541</v>
      </c>
      <c r="P4924" s="36" t="s">
        <v>7542</v>
      </c>
      <c r="Q4924" s="38"/>
    </row>
    <row r="4925">
      <c r="A4925" s="6" t="s">
        <v>8270</v>
      </c>
      <c r="B4925" s="6" t="s">
        <v>8271</v>
      </c>
      <c r="C4925" s="6">
        <v>874.0</v>
      </c>
      <c r="D4925" s="9" t="str">
        <f t="shared" si="1198"/>
        <v>Open Ad</v>
      </c>
      <c r="E4925" s="6" t="s">
        <v>91</v>
      </c>
      <c r="F4925" s="6" t="s">
        <v>8022</v>
      </c>
      <c r="G4925" s="6" t="s">
        <v>8385</v>
      </c>
      <c r="H4925" s="6" t="s">
        <v>55</v>
      </c>
      <c r="I4925" s="6" t="s">
        <v>8273</v>
      </c>
      <c r="J4925" s="6" t="s">
        <v>91</v>
      </c>
      <c r="K4925" s="12" t="str">
        <f t="shared" si="1199"/>
        <v>View Creative</v>
      </c>
      <c r="L4925" s="6" t="s">
        <v>62</v>
      </c>
      <c r="M4925" s="6" t="s">
        <v>8270</v>
      </c>
      <c r="N4925" s="6"/>
      <c r="O4925" s="36" t="s">
        <v>7541</v>
      </c>
      <c r="P4925" s="36" t="s">
        <v>7542</v>
      </c>
      <c r="Q4925" s="38"/>
    </row>
    <row r="4926">
      <c r="A4926" s="6" t="s">
        <v>8270</v>
      </c>
      <c r="B4926" s="6" t="s">
        <v>8271</v>
      </c>
      <c r="C4926" s="6">
        <v>875.0</v>
      </c>
      <c r="D4926" s="9" t="str">
        <f t="shared" ref="D4926:D4927" si="1200">HYPERLINK("https://www.linkedin.com/ad-library/detail/913315824","Open Ad")</f>
        <v>Open Ad</v>
      </c>
      <c r="E4926" s="6" t="s">
        <v>91</v>
      </c>
      <c r="F4926" s="6" t="s">
        <v>8022</v>
      </c>
      <c r="G4926" s="6" t="s">
        <v>8385</v>
      </c>
      <c r="H4926" s="6" t="s">
        <v>55</v>
      </c>
      <c r="I4926" s="6" t="s">
        <v>8273</v>
      </c>
      <c r="J4926" s="6" t="s">
        <v>91</v>
      </c>
      <c r="K4926" s="12" t="str">
        <f t="shared" ref="K4926:K4927" si="1201">HYPERLINK("https://media.licdn.com/dms/image/v2/D4E10AQH5LV07JtBuaQ/image-shrink_1280/B4EZqC6R8nKMAQ-/0/1763132908157/04_Image_LightMode_BF_2025?e=2147483647&amp;v=beta&amp;t=0LIBL9DELBXLrwDrF_u1qNBjgAc35mM-OPOwvdYz4ds","View Creative")</f>
        <v>View Creative</v>
      </c>
      <c r="L4926" s="6" t="s">
        <v>62</v>
      </c>
      <c r="M4926" s="6" t="s">
        <v>8270</v>
      </c>
      <c r="N4926" s="6"/>
      <c r="O4926" s="36" t="s">
        <v>7541</v>
      </c>
      <c r="P4926" s="36" t="s">
        <v>7542</v>
      </c>
      <c r="Q4926" s="38"/>
    </row>
    <row r="4927">
      <c r="A4927" s="6" t="s">
        <v>8270</v>
      </c>
      <c r="B4927" s="6" t="s">
        <v>8271</v>
      </c>
      <c r="C4927" s="6">
        <v>876.0</v>
      </c>
      <c r="D4927" s="9" t="str">
        <f t="shared" si="1200"/>
        <v>Open Ad</v>
      </c>
      <c r="E4927" s="6" t="s">
        <v>91</v>
      </c>
      <c r="F4927" s="6" t="s">
        <v>8022</v>
      </c>
      <c r="G4927" s="6" t="s">
        <v>8385</v>
      </c>
      <c r="H4927" s="6" t="s">
        <v>55</v>
      </c>
      <c r="I4927" s="6" t="s">
        <v>8273</v>
      </c>
      <c r="J4927" s="6" t="s">
        <v>91</v>
      </c>
      <c r="K4927" s="12" t="str">
        <f t="shared" si="1201"/>
        <v>View Creative</v>
      </c>
      <c r="L4927" s="6" t="s">
        <v>62</v>
      </c>
      <c r="M4927" s="6" t="s">
        <v>8270</v>
      </c>
      <c r="N4927" s="6"/>
      <c r="O4927" s="36" t="s">
        <v>7541</v>
      </c>
      <c r="P4927" s="36" t="s">
        <v>7542</v>
      </c>
      <c r="Q4927" s="38"/>
    </row>
    <row r="4928">
      <c r="A4928" s="6" t="s">
        <v>8270</v>
      </c>
      <c r="B4928" s="6" t="s">
        <v>8271</v>
      </c>
      <c r="C4928" s="6">
        <v>877.0</v>
      </c>
      <c r="D4928" s="9" t="str">
        <f t="shared" ref="D4928:D4929" si="1202">HYPERLINK("https://www.linkedin.com/ad-library/detail/913404434","Open Ad")</f>
        <v>Open Ad</v>
      </c>
      <c r="E4928" s="6" t="s">
        <v>91</v>
      </c>
      <c r="F4928" s="6" t="s">
        <v>8022</v>
      </c>
      <c r="G4928" s="6" t="s">
        <v>8363</v>
      </c>
      <c r="H4928" s="6" t="s">
        <v>55</v>
      </c>
      <c r="I4928" s="6" t="s">
        <v>8273</v>
      </c>
      <c r="J4928" s="6" t="s">
        <v>91</v>
      </c>
      <c r="K4928" s="12" t="str">
        <f t="shared" ref="K4928:K4929" si="1203">HYPERLINK("https://media.licdn.com/dms/image/v2/D4E10AQFexWlh0MX-gA/image-shrink_1280/B4EZqC_cRHKcAM-/0/1763134261281/01_DarkMode_BlackFriday_2025?e=2147483647&amp;v=beta&amp;t=uSZ5rrxoO0HNeiPSoheV2lqfeveTwcg1El6k2WfkDAM","View Creative")</f>
        <v>View Creative</v>
      </c>
      <c r="L4928" s="6" t="s">
        <v>62</v>
      </c>
      <c r="M4928" s="6" t="s">
        <v>8270</v>
      </c>
      <c r="N4928" s="6" t="s">
        <v>8386</v>
      </c>
      <c r="O4928" s="36" t="s">
        <v>7541</v>
      </c>
      <c r="P4928" s="36" t="s">
        <v>7542</v>
      </c>
      <c r="Q4928" s="38"/>
    </row>
    <row r="4929">
      <c r="A4929" s="6" t="s">
        <v>8270</v>
      </c>
      <c r="B4929" s="6" t="s">
        <v>8271</v>
      </c>
      <c r="C4929" s="6">
        <v>878.0</v>
      </c>
      <c r="D4929" s="9" t="str">
        <f t="shared" si="1202"/>
        <v>Open Ad</v>
      </c>
      <c r="E4929" s="6" t="s">
        <v>91</v>
      </c>
      <c r="F4929" s="6" t="s">
        <v>8022</v>
      </c>
      <c r="G4929" s="6" t="s">
        <v>8363</v>
      </c>
      <c r="H4929" s="6" t="s">
        <v>55</v>
      </c>
      <c r="I4929" s="6" t="s">
        <v>8273</v>
      </c>
      <c r="J4929" s="6" t="s">
        <v>91</v>
      </c>
      <c r="K4929" s="12" t="str">
        <f t="shared" si="1203"/>
        <v>View Creative</v>
      </c>
      <c r="L4929" s="6" t="s">
        <v>62</v>
      </c>
      <c r="M4929" s="6" t="s">
        <v>8270</v>
      </c>
      <c r="N4929" s="6" t="s">
        <v>8386</v>
      </c>
      <c r="O4929" s="36" t="s">
        <v>7541</v>
      </c>
      <c r="P4929" s="36" t="s">
        <v>7542</v>
      </c>
      <c r="Q4929" s="38"/>
    </row>
    <row r="4930">
      <c r="A4930" s="6" t="s">
        <v>8270</v>
      </c>
      <c r="B4930" s="6" t="s">
        <v>8271</v>
      </c>
      <c r="C4930" s="6">
        <v>879.0</v>
      </c>
      <c r="D4930" s="9" t="str">
        <f t="shared" ref="D4930:D4931" si="1204">HYPERLINK("https://www.linkedin.com/ad-library/detail/913444004","Open Ad")</f>
        <v>Open Ad</v>
      </c>
      <c r="E4930" s="6" t="s">
        <v>91</v>
      </c>
      <c r="F4930" s="6" t="s">
        <v>8022</v>
      </c>
      <c r="G4930" s="6" t="s">
        <v>8382</v>
      </c>
      <c r="H4930" s="6" t="s">
        <v>55</v>
      </c>
      <c r="I4930" s="6" t="s">
        <v>8273</v>
      </c>
      <c r="J4930" s="6" t="s">
        <v>91</v>
      </c>
      <c r="K4930" s="12" t="str">
        <f t="shared" ref="K4930:K4931" si="1205">HYPERLINK("https://media.licdn.com/dms/image/v2/D4E10AQGCEicWihyXBg/image-shrink_1280/B4EZqC_RgBKcAM-/0/1763134217156/02_DarkMode_BlackFriday_2025?e=2147483647&amp;v=beta&amp;t=DWqHNXUw-Qvi6BwVitajcVLKefJKn0rH1xGu0yHXy6I","View Creative")</f>
        <v>View Creative</v>
      </c>
      <c r="L4930" s="6" t="s">
        <v>62</v>
      </c>
      <c r="M4930" s="6" t="s">
        <v>8270</v>
      </c>
      <c r="N4930" s="6"/>
      <c r="O4930" s="36" t="s">
        <v>7541</v>
      </c>
      <c r="P4930" s="36" t="s">
        <v>7542</v>
      </c>
      <c r="Q4930" s="38"/>
    </row>
    <row r="4931">
      <c r="A4931" s="6" t="s">
        <v>8270</v>
      </c>
      <c r="B4931" s="6" t="s">
        <v>8271</v>
      </c>
      <c r="C4931" s="6">
        <v>880.0</v>
      </c>
      <c r="D4931" s="9" t="str">
        <f t="shared" si="1204"/>
        <v>Open Ad</v>
      </c>
      <c r="E4931" s="6" t="s">
        <v>91</v>
      </c>
      <c r="F4931" s="6" t="s">
        <v>8022</v>
      </c>
      <c r="G4931" s="6" t="s">
        <v>8382</v>
      </c>
      <c r="H4931" s="6" t="s">
        <v>55</v>
      </c>
      <c r="I4931" s="6" t="s">
        <v>8273</v>
      </c>
      <c r="J4931" s="6" t="s">
        <v>91</v>
      </c>
      <c r="K4931" s="12" t="str">
        <f t="shared" si="1205"/>
        <v>View Creative</v>
      </c>
      <c r="L4931" s="6" t="s">
        <v>62</v>
      </c>
      <c r="M4931" s="6" t="s">
        <v>8270</v>
      </c>
      <c r="N4931" s="6"/>
      <c r="O4931" s="36" t="s">
        <v>7541</v>
      </c>
      <c r="P4931" s="36" t="s">
        <v>7542</v>
      </c>
      <c r="Q4931" s="38"/>
    </row>
    <row r="4932">
      <c r="A4932" s="6" t="s">
        <v>8270</v>
      </c>
      <c r="B4932" s="6" t="s">
        <v>8271</v>
      </c>
      <c r="C4932" s="6">
        <v>881.0</v>
      </c>
      <c r="D4932" s="9" t="str">
        <f t="shared" ref="D4932:D4933" si="1206">HYPERLINK("https://www.linkedin.com/ad-library/detail/913443984","Open Ad")</f>
        <v>Open Ad</v>
      </c>
      <c r="E4932" s="6" t="s">
        <v>91</v>
      </c>
      <c r="F4932" s="6" t="s">
        <v>8022</v>
      </c>
      <c r="G4932" s="6" t="s">
        <v>8363</v>
      </c>
      <c r="H4932" s="6" t="s">
        <v>55</v>
      </c>
      <c r="I4932" s="6" t="s">
        <v>8273</v>
      </c>
      <c r="J4932" s="6" t="s">
        <v>91</v>
      </c>
      <c r="K4932" s="12" t="str">
        <f t="shared" ref="K4932:K4933" si="1207">HYPERLINK("https://media.licdn.com/dms/image/v2/D4E10AQFexWlh0MX-gA/image-shrink_1280/B4EZqC_cRHKcAM-/0/1763134261281/01_DarkMode_BlackFriday_2025?e=2147483647&amp;v=beta&amp;t=uSZ5rrxoO0HNeiPSoheV2lqfeveTwcg1El6k2WfkDAM","View Creative")</f>
        <v>View Creative</v>
      </c>
      <c r="L4932" s="6" t="s">
        <v>62</v>
      </c>
      <c r="M4932" s="6" t="s">
        <v>8270</v>
      </c>
      <c r="N4932" s="6"/>
      <c r="O4932" s="36" t="s">
        <v>7541</v>
      </c>
      <c r="P4932" s="36" t="s">
        <v>7542</v>
      </c>
      <c r="Q4932" s="38"/>
    </row>
    <row r="4933">
      <c r="A4933" s="6" t="s">
        <v>8270</v>
      </c>
      <c r="B4933" s="6" t="s">
        <v>8271</v>
      </c>
      <c r="C4933" s="6">
        <v>882.0</v>
      </c>
      <c r="D4933" s="9" t="str">
        <f t="shared" si="1206"/>
        <v>Open Ad</v>
      </c>
      <c r="E4933" s="6" t="s">
        <v>91</v>
      </c>
      <c r="F4933" s="6" t="s">
        <v>8022</v>
      </c>
      <c r="G4933" s="6" t="s">
        <v>8363</v>
      </c>
      <c r="H4933" s="6" t="s">
        <v>55</v>
      </c>
      <c r="I4933" s="6" t="s">
        <v>8273</v>
      </c>
      <c r="J4933" s="6" t="s">
        <v>91</v>
      </c>
      <c r="K4933" s="12" t="str">
        <f t="shared" si="1207"/>
        <v>View Creative</v>
      </c>
      <c r="L4933" s="6" t="s">
        <v>62</v>
      </c>
      <c r="M4933" s="6" t="s">
        <v>8270</v>
      </c>
      <c r="N4933" s="6"/>
      <c r="O4933" s="36" t="s">
        <v>7541</v>
      </c>
      <c r="P4933" s="36" t="s">
        <v>7542</v>
      </c>
      <c r="Q4933" s="38"/>
    </row>
    <row r="4934">
      <c r="A4934" s="6" t="s">
        <v>8270</v>
      </c>
      <c r="B4934" s="6" t="s">
        <v>8271</v>
      </c>
      <c r="C4934" s="6">
        <v>883.0</v>
      </c>
      <c r="D4934" s="9" t="str">
        <f t="shared" ref="D4934:D4935" si="1208">HYPERLINK("https://www.linkedin.com/ad-library/detail/913473444","Open Ad")</f>
        <v>Open Ad</v>
      </c>
      <c r="E4934" s="6" t="s">
        <v>91</v>
      </c>
      <c r="F4934" s="6" t="s">
        <v>8022</v>
      </c>
      <c r="G4934" s="6" t="s">
        <v>8385</v>
      </c>
      <c r="H4934" s="6" t="s">
        <v>55</v>
      </c>
      <c r="I4934" s="6" t="s">
        <v>8273</v>
      </c>
      <c r="J4934" s="6" t="s">
        <v>91</v>
      </c>
      <c r="K4934" s="12" t="str">
        <f t="shared" ref="K4934:K4935" si="1209">HYPERLINK("https://media.licdn.com/dms/image/v2/D4E10AQH5LV07JtBuaQ/image-shrink_1280/B4EZqC6R8nKMAQ-/0/1763132908157/04_Image_LightMode_BF_2025?e=2147483647&amp;v=beta&amp;t=0LIBL9DELBXLrwDrF_u1qNBjgAc35mM-OPOwvdYz4ds","View Creative")</f>
        <v>View Creative</v>
      </c>
      <c r="L4934" s="6" t="s">
        <v>62</v>
      </c>
      <c r="M4934" s="6" t="s">
        <v>8270</v>
      </c>
      <c r="N4934" s="6" t="s">
        <v>8386</v>
      </c>
      <c r="O4934" s="36" t="s">
        <v>7541</v>
      </c>
      <c r="P4934" s="36" t="s">
        <v>7542</v>
      </c>
      <c r="Q4934" s="38"/>
    </row>
    <row r="4935">
      <c r="A4935" s="6" t="s">
        <v>8270</v>
      </c>
      <c r="B4935" s="6" t="s">
        <v>8271</v>
      </c>
      <c r="C4935" s="6">
        <v>884.0</v>
      </c>
      <c r="D4935" s="9" t="str">
        <f t="shared" si="1208"/>
        <v>Open Ad</v>
      </c>
      <c r="E4935" s="6" t="s">
        <v>91</v>
      </c>
      <c r="F4935" s="6" t="s">
        <v>8022</v>
      </c>
      <c r="G4935" s="6" t="s">
        <v>8385</v>
      </c>
      <c r="H4935" s="6" t="s">
        <v>55</v>
      </c>
      <c r="I4935" s="6" t="s">
        <v>8273</v>
      </c>
      <c r="J4935" s="6" t="s">
        <v>91</v>
      </c>
      <c r="K4935" s="12" t="str">
        <f t="shared" si="1209"/>
        <v>View Creative</v>
      </c>
      <c r="L4935" s="6" t="s">
        <v>62</v>
      </c>
      <c r="M4935" s="6" t="s">
        <v>8270</v>
      </c>
      <c r="N4935" s="6" t="s">
        <v>8386</v>
      </c>
      <c r="O4935" s="36" t="s">
        <v>7541</v>
      </c>
      <c r="P4935" s="36" t="s">
        <v>7542</v>
      </c>
      <c r="Q4935" s="38"/>
    </row>
    <row r="4936">
      <c r="A4936" s="6" t="s">
        <v>8270</v>
      </c>
      <c r="B4936" s="6" t="s">
        <v>8271</v>
      </c>
      <c r="C4936" s="6">
        <v>885.0</v>
      </c>
      <c r="D4936" s="9" t="str">
        <f t="shared" ref="D4936:D4937" si="1210">HYPERLINK("https://www.linkedin.com/ad-library/detail/913394844","Open Ad")</f>
        <v>Open Ad</v>
      </c>
      <c r="E4936" s="6" t="s">
        <v>91</v>
      </c>
      <c r="F4936" s="6" t="s">
        <v>8022</v>
      </c>
      <c r="G4936" s="6" t="s">
        <v>8382</v>
      </c>
      <c r="H4936" s="6" t="s">
        <v>55</v>
      </c>
      <c r="I4936" s="6" t="s">
        <v>8273</v>
      </c>
      <c r="J4936" s="6" t="s">
        <v>91</v>
      </c>
      <c r="K4936" s="12" t="str">
        <f t="shared" ref="K4936:K4937" si="1211">HYPERLINK("https://media.licdn.com/dms/image/v2/D4E10AQExygu8AmuOmw/image-shrink_1280/B4EZqC5GOmGUAM-/0/1763132598114/02_LightMode_BF_2025?e=2147483647&amp;v=beta&amp;t=huCdzTSSBLgvS1PKW4ETHCc_90K74NHn2-dpejqxOG8","View Creative")</f>
        <v>View Creative</v>
      </c>
      <c r="L4936" s="6" t="s">
        <v>62</v>
      </c>
      <c r="M4936" s="6" t="s">
        <v>8270</v>
      </c>
      <c r="N4936" s="6"/>
      <c r="O4936" s="36" t="s">
        <v>7541</v>
      </c>
      <c r="P4936" s="36" t="s">
        <v>7542</v>
      </c>
      <c r="Q4936" s="38"/>
    </row>
    <row r="4937">
      <c r="A4937" s="6" t="s">
        <v>8270</v>
      </c>
      <c r="B4937" s="6" t="s">
        <v>8271</v>
      </c>
      <c r="C4937" s="6">
        <v>886.0</v>
      </c>
      <c r="D4937" s="9" t="str">
        <f t="shared" si="1210"/>
        <v>Open Ad</v>
      </c>
      <c r="E4937" s="6" t="s">
        <v>91</v>
      </c>
      <c r="F4937" s="6" t="s">
        <v>8022</v>
      </c>
      <c r="G4937" s="6" t="s">
        <v>8382</v>
      </c>
      <c r="H4937" s="6" t="s">
        <v>55</v>
      </c>
      <c r="I4937" s="6" t="s">
        <v>8273</v>
      </c>
      <c r="J4937" s="6" t="s">
        <v>91</v>
      </c>
      <c r="K4937" s="12" t="str">
        <f t="shared" si="1211"/>
        <v>View Creative</v>
      </c>
      <c r="L4937" s="6" t="s">
        <v>62</v>
      </c>
      <c r="M4937" s="6" t="s">
        <v>8270</v>
      </c>
      <c r="N4937" s="6"/>
      <c r="O4937" s="36" t="s">
        <v>7541</v>
      </c>
      <c r="P4937" s="36" t="s">
        <v>7542</v>
      </c>
      <c r="Q4937" s="38"/>
    </row>
    <row r="4938">
      <c r="A4938" s="6" t="s">
        <v>8270</v>
      </c>
      <c r="B4938" s="6" t="s">
        <v>8271</v>
      </c>
      <c r="C4938" s="6">
        <v>887.0</v>
      </c>
      <c r="D4938" s="9" t="str">
        <f t="shared" ref="D4938:D4939" si="1212">HYPERLINK("https://www.linkedin.com/ad-library/detail/913473434","Open Ad")</f>
        <v>Open Ad</v>
      </c>
      <c r="E4938" s="6" t="s">
        <v>91</v>
      </c>
      <c r="F4938" s="6" t="s">
        <v>8022</v>
      </c>
      <c r="G4938" s="6" t="s">
        <v>8363</v>
      </c>
      <c r="H4938" s="6" t="s">
        <v>55</v>
      </c>
      <c r="I4938" s="6" t="s">
        <v>8273</v>
      </c>
      <c r="J4938" s="6" t="s">
        <v>91</v>
      </c>
      <c r="K4938" s="12" t="str">
        <f t="shared" ref="K4938:K4939" si="1213">HYPERLINK("https://media.licdn.com/dms/image/v2/D4E10AQEKGerJblQZtQ/image-shrink_1280/B4EZqC4qbTHgAM-/0/1763132484063/01_LightMode_BF_2025?e=2147483647&amp;v=beta&amp;t=BYRBuTv9G2TDFiwenmckUQPfsShbEby7_m0ZQnM1TMQ","View Creative")</f>
        <v>View Creative</v>
      </c>
      <c r="L4938" s="6" t="s">
        <v>62</v>
      </c>
      <c r="M4938" s="6" t="s">
        <v>8270</v>
      </c>
      <c r="N4938" s="6" t="s">
        <v>8386</v>
      </c>
      <c r="O4938" s="36" t="s">
        <v>7541</v>
      </c>
      <c r="P4938" s="36" t="s">
        <v>7542</v>
      </c>
      <c r="Q4938" s="38"/>
    </row>
    <row r="4939">
      <c r="A4939" s="6" t="s">
        <v>8270</v>
      </c>
      <c r="B4939" s="6" t="s">
        <v>8271</v>
      </c>
      <c r="C4939" s="6">
        <v>888.0</v>
      </c>
      <c r="D4939" s="9" t="str">
        <f t="shared" si="1212"/>
        <v>Open Ad</v>
      </c>
      <c r="E4939" s="6" t="s">
        <v>91</v>
      </c>
      <c r="F4939" s="6" t="s">
        <v>8022</v>
      </c>
      <c r="G4939" s="6" t="s">
        <v>8363</v>
      </c>
      <c r="H4939" s="6" t="s">
        <v>55</v>
      </c>
      <c r="I4939" s="6" t="s">
        <v>8273</v>
      </c>
      <c r="J4939" s="6" t="s">
        <v>91</v>
      </c>
      <c r="K4939" s="12" t="str">
        <f t="shared" si="1213"/>
        <v>View Creative</v>
      </c>
      <c r="L4939" s="6" t="s">
        <v>62</v>
      </c>
      <c r="M4939" s="6" t="s">
        <v>8270</v>
      </c>
      <c r="N4939" s="6" t="s">
        <v>8386</v>
      </c>
      <c r="O4939" s="36" t="s">
        <v>7541</v>
      </c>
      <c r="P4939" s="36" t="s">
        <v>7542</v>
      </c>
      <c r="Q4939" s="38"/>
    </row>
    <row r="4940">
      <c r="A4940" s="6" t="s">
        <v>8270</v>
      </c>
      <c r="B4940" s="6" t="s">
        <v>8271</v>
      </c>
      <c r="C4940" s="6">
        <v>889.0</v>
      </c>
      <c r="D4940" s="9" t="str">
        <f t="shared" ref="D4940:D4941" si="1214">HYPERLINK("https://www.linkedin.com/ad-library/detail/913473454","Open Ad")</f>
        <v>Open Ad</v>
      </c>
      <c r="E4940" s="6" t="s">
        <v>91</v>
      </c>
      <c r="F4940" s="6" t="s">
        <v>8022</v>
      </c>
      <c r="G4940" s="6" t="s">
        <v>8373</v>
      </c>
      <c r="H4940" s="6" t="s">
        <v>55</v>
      </c>
      <c r="I4940" s="6" t="s">
        <v>8273</v>
      </c>
      <c r="J4940" s="6" t="s">
        <v>91</v>
      </c>
      <c r="K4940" s="12" t="str">
        <f t="shared" ref="K4940:K4941" si="1215">HYPERLINK("https://media.licdn.com/dms/image/v2/D4E10AQH4KbJnron-hg/image-shrink_1280/B4EZqC5azGIoAQ-/0/1763132682276/03_LightMode_BF_2025?e=2147483647&amp;v=beta&amp;t=2fD2NHgMBWscabGamUhK9kIggk9EgVdJ7at1LyNyAdY","View Creative")</f>
        <v>View Creative</v>
      </c>
      <c r="L4940" s="6" t="s">
        <v>62</v>
      </c>
      <c r="M4940" s="6" t="s">
        <v>8270</v>
      </c>
      <c r="N4940" s="6"/>
      <c r="O4940" s="36" t="s">
        <v>7541</v>
      </c>
      <c r="P4940" s="36" t="s">
        <v>7542</v>
      </c>
      <c r="Q4940" s="38"/>
    </row>
    <row r="4941">
      <c r="A4941" s="6" t="s">
        <v>8270</v>
      </c>
      <c r="B4941" s="6" t="s">
        <v>8271</v>
      </c>
      <c r="C4941" s="6">
        <v>890.0</v>
      </c>
      <c r="D4941" s="9" t="str">
        <f t="shared" si="1214"/>
        <v>Open Ad</v>
      </c>
      <c r="E4941" s="6" t="s">
        <v>91</v>
      </c>
      <c r="F4941" s="6" t="s">
        <v>8022</v>
      </c>
      <c r="G4941" s="6" t="s">
        <v>8373</v>
      </c>
      <c r="H4941" s="6" t="s">
        <v>55</v>
      </c>
      <c r="I4941" s="6" t="s">
        <v>8273</v>
      </c>
      <c r="J4941" s="6" t="s">
        <v>91</v>
      </c>
      <c r="K4941" s="12" t="str">
        <f t="shared" si="1215"/>
        <v>View Creative</v>
      </c>
      <c r="L4941" s="6" t="s">
        <v>62</v>
      </c>
      <c r="M4941" s="6" t="s">
        <v>8270</v>
      </c>
      <c r="N4941" s="6"/>
      <c r="O4941" s="36" t="s">
        <v>7541</v>
      </c>
      <c r="P4941" s="36" t="s">
        <v>7542</v>
      </c>
      <c r="Q4941" s="38"/>
    </row>
    <row r="4942">
      <c r="A4942" s="6" t="s">
        <v>8270</v>
      </c>
      <c r="B4942" s="6" t="s">
        <v>8271</v>
      </c>
      <c r="C4942" s="6">
        <v>891.0</v>
      </c>
      <c r="D4942" s="9" t="str">
        <f t="shared" ref="D4942:D4943" si="1216">HYPERLINK("https://www.linkedin.com/ad-library/detail/913493074","Open Ad")</f>
        <v>Open Ad</v>
      </c>
      <c r="E4942" s="6" t="s">
        <v>91</v>
      </c>
      <c r="F4942" s="6" t="s">
        <v>8022</v>
      </c>
      <c r="G4942" s="6" t="s">
        <v>8373</v>
      </c>
      <c r="H4942" s="6" t="s">
        <v>55</v>
      </c>
      <c r="I4942" s="6" t="s">
        <v>8273</v>
      </c>
      <c r="J4942" s="6" t="s">
        <v>91</v>
      </c>
      <c r="K4942" s="12" t="str">
        <f t="shared" ref="K4942:K4943" si="1217">HYPERLINK("https://media.licdn.com/dms/image/v2/D4E10AQFvKvCCCsOtdQ/image-shrink_1280/B4EZqC.6_vKgAM-/0/1763134124978/03_DarkMode_BlackFriday_2025?e=2147483647&amp;v=beta&amp;t=nrK_vpHeevxb-24dY9crEv__P_SJKfxN51Ug_PIU1mY","View Creative")</f>
        <v>View Creative</v>
      </c>
      <c r="L4942" s="6" t="s">
        <v>62</v>
      </c>
      <c r="M4942" s="6" t="s">
        <v>8270</v>
      </c>
      <c r="N4942" s="6"/>
      <c r="O4942" s="36" t="s">
        <v>7541</v>
      </c>
      <c r="P4942" s="36" t="s">
        <v>7542</v>
      </c>
      <c r="Q4942" s="38"/>
    </row>
    <row r="4943">
      <c r="A4943" s="6" t="s">
        <v>8270</v>
      </c>
      <c r="B4943" s="6" t="s">
        <v>8271</v>
      </c>
      <c r="C4943" s="6">
        <v>892.0</v>
      </c>
      <c r="D4943" s="9" t="str">
        <f t="shared" si="1216"/>
        <v>Open Ad</v>
      </c>
      <c r="E4943" s="6" t="s">
        <v>91</v>
      </c>
      <c r="F4943" s="6" t="s">
        <v>8022</v>
      </c>
      <c r="G4943" s="6" t="s">
        <v>8373</v>
      </c>
      <c r="H4943" s="6" t="s">
        <v>55</v>
      </c>
      <c r="I4943" s="6" t="s">
        <v>8273</v>
      </c>
      <c r="J4943" s="6" t="s">
        <v>91</v>
      </c>
      <c r="K4943" s="12" t="str">
        <f t="shared" si="1217"/>
        <v>View Creative</v>
      </c>
      <c r="L4943" s="6" t="s">
        <v>62</v>
      </c>
      <c r="M4943" s="6" t="s">
        <v>8270</v>
      </c>
      <c r="N4943" s="6"/>
      <c r="O4943" s="36" t="s">
        <v>7541</v>
      </c>
      <c r="P4943" s="36" t="s">
        <v>7542</v>
      </c>
      <c r="Q4943" s="38"/>
    </row>
    <row r="4944">
      <c r="A4944" s="6" t="s">
        <v>8270</v>
      </c>
      <c r="B4944" s="6" t="s">
        <v>8271</v>
      </c>
      <c r="C4944" s="6">
        <v>893.0</v>
      </c>
      <c r="D4944" s="9" t="str">
        <f t="shared" ref="D4944:D4945" si="1218">HYPERLINK("https://www.linkedin.com/ad-library/detail/913404424","Open Ad")</f>
        <v>Open Ad</v>
      </c>
      <c r="E4944" s="6" t="s">
        <v>91</v>
      </c>
      <c r="F4944" s="6" t="s">
        <v>8022</v>
      </c>
      <c r="G4944" s="6" t="s">
        <v>8373</v>
      </c>
      <c r="H4944" s="6" t="s">
        <v>55</v>
      </c>
      <c r="I4944" s="6" t="s">
        <v>8273</v>
      </c>
      <c r="J4944" s="6" t="s">
        <v>91</v>
      </c>
      <c r="K4944" s="12" t="str">
        <f t="shared" ref="K4944:K4945" si="1219">HYPERLINK("https://media.licdn.com/dms/image/v2/D4E10AQH4KbJnron-hg/image-shrink_1280/B4EZqC5azGIoAQ-/0/1763132682276/03_LightMode_BF_2025?e=2147483647&amp;v=beta&amp;t=2fD2NHgMBWscabGamUhK9kIggk9EgVdJ7at1LyNyAdY","View Creative")</f>
        <v>View Creative</v>
      </c>
      <c r="L4944" s="6" t="s">
        <v>62</v>
      </c>
      <c r="M4944" s="6" t="s">
        <v>8270</v>
      </c>
      <c r="N4944" s="6" t="s">
        <v>8386</v>
      </c>
      <c r="O4944" s="36" t="s">
        <v>7541</v>
      </c>
      <c r="P4944" s="36" t="s">
        <v>7542</v>
      </c>
      <c r="Q4944" s="38"/>
    </row>
    <row r="4945">
      <c r="A4945" s="6" t="s">
        <v>8270</v>
      </c>
      <c r="B4945" s="6" t="s">
        <v>8271</v>
      </c>
      <c r="C4945" s="6">
        <v>894.0</v>
      </c>
      <c r="D4945" s="9" t="str">
        <f t="shared" si="1218"/>
        <v>Open Ad</v>
      </c>
      <c r="E4945" s="6" t="s">
        <v>91</v>
      </c>
      <c r="F4945" s="6" t="s">
        <v>8022</v>
      </c>
      <c r="G4945" s="6" t="s">
        <v>8373</v>
      </c>
      <c r="H4945" s="6" t="s">
        <v>55</v>
      </c>
      <c r="I4945" s="6" t="s">
        <v>8273</v>
      </c>
      <c r="J4945" s="6" t="s">
        <v>91</v>
      </c>
      <c r="K4945" s="12" t="str">
        <f t="shared" si="1219"/>
        <v>View Creative</v>
      </c>
      <c r="L4945" s="6" t="s">
        <v>62</v>
      </c>
      <c r="M4945" s="6" t="s">
        <v>8270</v>
      </c>
      <c r="N4945" s="6" t="s">
        <v>8386</v>
      </c>
      <c r="O4945" s="36" t="s">
        <v>7541</v>
      </c>
      <c r="P4945" s="36" t="s">
        <v>7542</v>
      </c>
      <c r="Q4945" s="38"/>
    </row>
    <row r="4946">
      <c r="A4946" s="6" t="s">
        <v>8270</v>
      </c>
      <c r="B4946" s="6" t="s">
        <v>8271</v>
      </c>
      <c r="C4946" s="6">
        <v>895.0</v>
      </c>
      <c r="D4946" s="9" t="str">
        <f t="shared" ref="D4946:D4947" si="1220">HYPERLINK("https://www.linkedin.com/ad-library/detail/913394824","Open Ad")</f>
        <v>Open Ad</v>
      </c>
      <c r="E4946" s="6" t="s">
        <v>91</v>
      </c>
      <c r="F4946" s="6" t="s">
        <v>8022</v>
      </c>
      <c r="G4946" s="6" t="s">
        <v>8373</v>
      </c>
      <c r="H4946" s="6" t="s">
        <v>55</v>
      </c>
      <c r="I4946" s="6" t="s">
        <v>8273</v>
      </c>
      <c r="J4946" s="6" t="s">
        <v>91</v>
      </c>
      <c r="K4946" s="12" t="str">
        <f t="shared" ref="K4946:K4947" si="1221">HYPERLINK("https://media.licdn.com/dms/image/v2/D4E10AQFvKvCCCsOtdQ/image-shrink_1280/B4EZqC.6_vKgAM-/0/1763134124978/03_DarkMode_BlackFriday_2025?e=2147483647&amp;v=beta&amp;t=nrK_vpHeevxb-24dY9crEv__P_SJKfxN51Ug_PIU1mY","View Creative")</f>
        <v>View Creative</v>
      </c>
      <c r="L4946" s="6" t="s">
        <v>62</v>
      </c>
      <c r="M4946" s="6" t="s">
        <v>8270</v>
      </c>
      <c r="N4946" s="6" t="s">
        <v>8386</v>
      </c>
      <c r="O4946" s="36" t="s">
        <v>7541</v>
      </c>
      <c r="P4946" s="36" t="s">
        <v>7542</v>
      </c>
      <c r="Q4946" s="38"/>
    </row>
    <row r="4947">
      <c r="A4947" s="6" t="s">
        <v>8270</v>
      </c>
      <c r="B4947" s="6" t="s">
        <v>8271</v>
      </c>
      <c r="C4947" s="6">
        <v>896.0</v>
      </c>
      <c r="D4947" s="9" t="str">
        <f t="shared" si="1220"/>
        <v>Open Ad</v>
      </c>
      <c r="E4947" s="6" t="s">
        <v>91</v>
      </c>
      <c r="F4947" s="6" t="s">
        <v>8022</v>
      </c>
      <c r="G4947" s="6" t="s">
        <v>8373</v>
      </c>
      <c r="H4947" s="6" t="s">
        <v>55</v>
      </c>
      <c r="I4947" s="6" t="s">
        <v>8273</v>
      </c>
      <c r="J4947" s="6" t="s">
        <v>91</v>
      </c>
      <c r="K4947" s="12" t="str">
        <f t="shared" si="1221"/>
        <v>View Creative</v>
      </c>
      <c r="L4947" s="6" t="s">
        <v>62</v>
      </c>
      <c r="M4947" s="6" t="s">
        <v>8270</v>
      </c>
      <c r="N4947" s="6" t="s">
        <v>8386</v>
      </c>
      <c r="O4947" s="36" t="s">
        <v>7541</v>
      </c>
      <c r="P4947" s="36" t="s">
        <v>7542</v>
      </c>
      <c r="Q4947" s="38"/>
    </row>
    <row r="4948">
      <c r="A4948" s="6" t="s">
        <v>8270</v>
      </c>
      <c r="B4948" s="6" t="s">
        <v>8271</v>
      </c>
      <c r="C4948" s="6">
        <v>897.0</v>
      </c>
      <c r="D4948" s="9" t="str">
        <f t="shared" ref="D4948:D4949" si="1222">HYPERLINK("https://www.linkedin.com/ad-library/detail/913424404","Open Ad")</f>
        <v>Open Ad</v>
      </c>
      <c r="E4948" s="6" t="s">
        <v>91</v>
      </c>
      <c r="F4948" s="6" t="s">
        <v>8022</v>
      </c>
      <c r="G4948" s="6" t="s">
        <v>8382</v>
      </c>
      <c r="H4948" s="6" t="s">
        <v>55</v>
      </c>
      <c r="I4948" s="6" t="s">
        <v>8273</v>
      </c>
      <c r="J4948" s="6" t="s">
        <v>91</v>
      </c>
      <c r="K4948" s="12" t="str">
        <f t="shared" ref="K4948:K4949" si="1223">HYPERLINK("https://media.licdn.com/dms/image/v2/D4E10AQExygu8AmuOmw/image-shrink_1280/B4EZqC5GOmGUAM-/0/1763132598114/02_LightMode_BF_2025?e=2147483647&amp;v=beta&amp;t=huCdzTSSBLgvS1PKW4ETHCc_90K74NHn2-dpejqxOG8","View Creative")</f>
        <v>View Creative</v>
      </c>
      <c r="L4948" s="6" t="s">
        <v>62</v>
      </c>
      <c r="M4948" s="6" t="s">
        <v>8270</v>
      </c>
      <c r="N4948" s="6"/>
      <c r="O4948" s="36" t="s">
        <v>7541</v>
      </c>
      <c r="P4948" s="36" t="s">
        <v>7542</v>
      </c>
      <c r="Q4948" s="38"/>
    </row>
    <row r="4949">
      <c r="A4949" s="6" t="s">
        <v>8270</v>
      </c>
      <c r="B4949" s="6" t="s">
        <v>8271</v>
      </c>
      <c r="C4949" s="6">
        <v>898.0</v>
      </c>
      <c r="D4949" s="9" t="str">
        <f t="shared" si="1222"/>
        <v>Open Ad</v>
      </c>
      <c r="E4949" s="6" t="s">
        <v>91</v>
      </c>
      <c r="F4949" s="6" t="s">
        <v>8022</v>
      </c>
      <c r="G4949" s="6" t="s">
        <v>8382</v>
      </c>
      <c r="H4949" s="6" t="s">
        <v>55</v>
      </c>
      <c r="I4949" s="6" t="s">
        <v>8273</v>
      </c>
      <c r="J4949" s="6" t="s">
        <v>91</v>
      </c>
      <c r="K4949" s="12" t="str">
        <f t="shared" si="1223"/>
        <v>View Creative</v>
      </c>
      <c r="L4949" s="6" t="s">
        <v>62</v>
      </c>
      <c r="M4949" s="6" t="s">
        <v>8270</v>
      </c>
      <c r="N4949" s="6"/>
      <c r="O4949" s="36" t="s">
        <v>7541</v>
      </c>
      <c r="P4949" s="36" t="s">
        <v>7542</v>
      </c>
      <c r="Q4949" s="38"/>
    </row>
    <row r="4950">
      <c r="A4950" s="6" t="s">
        <v>8270</v>
      </c>
      <c r="B4950" s="6" t="s">
        <v>8271</v>
      </c>
      <c r="C4950" s="6">
        <v>899.0</v>
      </c>
      <c r="D4950" s="9" t="str">
        <f t="shared" ref="D4950:D4951" si="1224">HYPERLINK("https://www.linkedin.com/ad-library/detail/913286604","Open Ad")</f>
        <v>Open Ad</v>
      </c>
      <c r="E4950" s="6" t="s">
        <v>91</v>
      </c>
      <c r="F4950" s="6" t="s">
        <v>8022</v>
      </c>
      <c r="G4950" s="6" t="s">
        <v>8382</v>
      </c>
      <c r="H4950" s="6" t="s">
        <v>55</v>
      </c>
      <c r="I4950" s="6" t="s">
        <v>8273</v>
      </c>
      <c r="J4950" s="6" t="s">
        <v>91</v>
      </c>
      <c r="K4950" s="12" t="str">
        <f t="shared" ref="K4950:K4953" si="1225">HYPERLINK("https://media.licdn.com/dms/image/v2/D4E10AQGCEicWihyXBg/image-shrink_1280/B4EZqC_RgBKcAM-/0/1763134217156/02_DarkMode_BlackFriday_2025?e=2147483647&amp;v=beta&amp;t=DWqHNXUw-Qvi6BwVitajcVLKefJKn0rH1xGu0yHXy6I","View Creative")</f>
        <v>View Creative</v>
      </c>
      <c r="L4950" s="6" t="s">
        <v>62</v>
      </c>
      <c r="M4950" s="6" t="s">
        <v>8270</v>
      </c>
      <c r="N4950" s="6" t="s">
        <v>8386</v>
      </c>
      <c r="O4950" s="36" t="s">
        <v>7541</v>
      </c>
      <c r="P4950" s="36" t="s">
        <v>7542</v>
      </c>
      <c r="Q4950" s="38"/>
    </row>
    <row r="4951">
      <c r="A4951" s="6" t="s">
        <v>8270</v>
      </c>
      <c r="B4951" s="6" t="s">
        <v>8271</v>
      </c>
      <c r="C4951" s="6">
        <v>900.0</v>
      </c>
      <c r="D4951" s="9" t="str">
        <f t="shared" si="1224"/>
        <v>Open Ad</v>
      </c>
      <c r="E4951" s="6" t="s">
        <v>91</v>
      </c>
      <c r="F4951" s="6" t="s">
        <v>8022</v>
      </c>
      <c r="G4951" s="6" t="s">
        <v>8382</v>
      </c>
      <c r="H4951" s="6" t="s">
        <v>55</v>
      </c>
      <c r="I4951" s="6" t="s">
        <v>8273</v>
      </c>
      <c r="J4951" s="6" t="s">
        <v>91</v>
      </c>
      <c r="K4951" s="12" t="str">
        <f t="shared" si="1225"/>
        <v>View Creative</v>
      </c>
      <c r="L4951" s="6" t="s">
        <v>62</v>
      </c>
      <c r="M4951" s="6" t="s">
        <v>8270</v>
      </c>
      <c r="N4951" s="6" t="s">
        <v>8386</v>
      </c>
      <c r="O4951" s="36" t="s">
        <v>7541</v>
      </c>
      <c r="P4951" s="36" t="s">
        <v>7542</v>
      </c>
      <c r="Q4951" s="38"/>
    </row>
    <row r="4952">
      <c r="A4952" s="6" t="s">
        <v>8270</v>
      </c>
      <c r="B4952" s="6" t="s">
        <v>8271</v>
      </c>
      <c r="C4952" s="6">
        <v>901.0</v>
      </c>
      <c r="D4952" s="9" t="str">
        <f t="shared" ref="D4952:D4953" si="1226">HYPERLINK("https://www.linkedin.com/ad-library/detail/913502554","Open Ad")</f>
        <v>Open Ad</v>
      </c>
      <c r="E4952" s="6" t="s">
        <v>91</v>
      </c>
      <c r="F4952" s="6" t="s">
        <v>8022</v>
      </c>
      <c r="G4952" s="6" t="s">
        <v>8382</v>
      </c>
      <c r="H4952" s="6" t="s">
        <v>55</v>
      </c>
      <c r="I4952" s="6" t="s">
        <v>8273</v>
      </c>
      <c r="J4952" s="6" t="s">
        <v>91</v>
      </c>
      <c r="K4952" s="12" t="str">
        <f t="shared" si="1225"/>
        <v>View Creative</v>
      </c>
      <c r="L4952" s="6" t="s">
        <v>62</v>
      </c>
      <c r="M4952" s="6" t="s">
        <v>8270</v>
      </c>
      <c r="N4952" s="6"/>
      <c r="O4952" s="36" t="s">
        <v>7541</v>
      </c>
      <c r="P4952" s="36" t="s">
        <v>7542</v>
      </c>
      <c r="Q4952" s="38"/>
    </row>
    <row r="4953">
      <c r="A4953" s="6" t="s">
        <v>8270</v>
      </c>
      <c r="B4953" s="6" t="s">
        <v>8271</v>
      </c>
      <c r="C4953" s="6">
        <v>902.0</v>
      </c>
      <c r="D4953" s="9" t="str">
        <f t="shared" si="1226"/>
        <v>Open Ad</v>
      </c>
      <c r="E4953" s="6" t="s">
        <v>91</v>
      </c>
      <c r="F4953" s="6" t="s">
        <v>8022</v>
      </c>
      <c r="G4953" s="6" t="s">
        <v>8382</v>
      </c>
      <c r="H4953" s="6" t="s">
        <v>55</v>
      </c>
      <c r="I4953" s="6" t="s">
        <v>8273</v>
      </c>
      <c r="J4953" s="6" t="s">
        <v>91</v>
      </c>
      <c r="K4953" s="12" t="str">
        <f t="shared" si="1225"/>
        <v>View Creative</v>
      </c>
      <c r="L4953" s="6" t="s">
        <v>62</v>
      </c>
      <c r="M4953" s="6" t="s">
        <v>8270</v>
      </c>
      <c r="N4953" s="6"/>
      <c r="O4953" s="36" t="s">
        <v>7541</v>
      </c>
      <c r="P4953" s="36" t="s">
        <v>7542</v>
      </c>
      <c r="Q4953" s="38"/>
    </row>
    <row r="4954">
      <c r="A4954" s="6" t="s">
        <v>8270</v>
      </c>
      <c r="B4954" s="6" t="s">
        <v>8271</v>
      </c>
      <c r="C4954" s="6">
        <v>903.0</v>
      </c>
      <c r="D4954" s="9" t="str">
        <f t="shared" ref="D4954:D4955" si="1227">HYPERLINK("https://www.linkedin.com/ad-library/detail/913364834","Open Ad")</f>
        <v>Open Ad</v>
      </c>
      <c r="E4954" s="6" t="s">
        <v>91</v>
      </c>
      <c r="F4954" s="6" t="s">
        <v>8022</v>
      </c>
      <c r="G4954" s="6" t="s">
        <v>8363</v>
      </c>
      <c r="H4954" s="6" t="s">
        <v>55</v>
      </c>
      <c r="I4954" s="6" t="s">
        <v>8273</v>
      </c>
      <c r="J4954" s="6" t="s">
        <v>91</v>
      </c>
      <c r="K4954" s="12" t="str">
        <f t="shared" ref="K4954:K4955" si="1228">HYPERLINK("https://media.licdn.com/dms/image/v2/D4E10AQFexWlh0MX-gA/image-shrink_1280/B4EZqC_cRHKcAM-/0/1763134261281/01_DarkMode_BlackFriday_2025?e=2147483647&amp;v=beta&amp;t=uSZ5rrxoO0HNeiPSoheV2lqfeveTwcg1El6k2WfkDAM","View Creative")</f>
        <v>View Creative</v>
      </c>
      <c r="L4954" s="6" t="s">
        <v>62</v>
      </c>
      <c r="M4954" s="6" t="s">
        <v>8270</v>
      </c>
      <c r="N4954" s="6"/>
      <c r="O4954" s="36" t="s">
        <v>7541</v>
      </c>
      <c r="P4954" s="36" t="s">
        <v>7542</v>
      </c>
      <c r="Q4954" s="38"/>
    </row>
    <row r="4955">
      <c r="A4955" s="6" t="s">
        <v>8270</v>
      </c>
      <c r="B4955" s="6" t="s">
        <v>8271</v>
      </c>
      <c r="C4955" s="6">
        <v>904.0</v>
      </c>
      <c r="D4955" s="9" t="str">
        <f t="shared" si="1227"/>
        <v>Open Ad</v>
      </c>
      <c r="E4955" s="6" t="s">
        <v>91</v>
      </c>
      <c r="F4955" s="6" t="s">
        <v>8022</v>
      </c>
      <c r="G4955" s="6" t="s">
        <v>8363</v>
      </c>
      <c r="H4955" s="6" t="s">
        <v>55</v>
      </c>
      <c r="I4955" s="6" t="s">
        <v>8273</v>
      </c>
      <c r="J4955" s="6" t="s">
        <v>91</v>
      </c>
      <c r="K4955" s="12" t="str">
        <f t="shared" si="1228"/>
        <v>View Creative</v>
      </c>
      <c r="L4955" s="6" t="s">
        <v>62</v>
      </c>
      <c r="M4955" s="6" t="s">
        <v>8270</v>
      </c>
      <c r="N4955" s="6"/>
      <c r="O4955" s="36" t="s">
        <v>7541</v>
      </c>
      <c r="P4955" s="36" t="s">
        <v>7542</v>
      </c>
      <c r="Q4955" s="38"/>
    </row>
    <row r="4956">
      <c r="A4956" s="6" t="s">
        <v>8270</v>
      </c>
      <c r="B4956" s="6" t="s">
        <v>8271</v>
      </c>
      <c r="C4956" s="6">
        <v>905.0</v>
      </c>
      <c r="D4956" s="9" t="str">
        <f t="shared" ref="D4956:D4957" si="1229">HYPERLINK("https://www.linkedin.com/ad-library/detail/913325424","Open Ad")</f>
        <v>Open Ad</v>
      </c>
      <c r="E4956" s="6" t="s">
        <v>91</v>
      </c>
      <c r="F4956" s="6" t="s">
        <v>8022</v>
      </c>
      <c r="G4956" s="6" t="s">
        <v>8382</v>
      </c>
      <c r="H4956" s="6" t="s">
        <v>55</v>
      </c>
      <c r="I4956" s="6" t="s">
        <v>8273</v>
      </c>
      <c r="J4956" s="6" t="s">
        <v>91</v>
      </c>
      <c r="K4956" s="12" t="str">
        <f t="shared" ref="K4956:K4957" si="1230">HYPERLINK("https://media.licdn.com/dms/image/v2/D4E10AQExygu8AmuOmw/image-shrink_1280/B4EZqC5GOmGUAM-/0/1763132598114/02_LightMode_BF_2025?e=2147483647&amp;v=beta&amp;t=huCdzTSSBLgvS1PKW4ETHCc_90K74NHn2-dpejqxOG8","View Creative")</f>
        <v>View Creative</v>
      </c>
      <c r="L4956" s="6" t="s">
        <v>62</v>
      </c>
      <c r="M4956" s="6" t="s">
        <v>8270</v>
      </c>
      <c r="N4956" s="6" t="s">
        <v>8386</v>
      </c>
      <c r="O4956" s="36" t="s">
        <v>7541</v>
      </c>
      <c r="P4956" s="36" t="s">
        <v>7542</v>
      </c>
      <c r="Q4956" s="38"/>
    </row>
    <row r="4957">
      <c r="A4957" s="6" t="s">
        <v>8270</v>
      </c>
      <c r="B4957" s="6" t="s">
        <v>8271</v>
      </c>
      <c r="C4957" s="6">
        <v>906.0</v>
      </c>
      <c r="D4957" s="9" t="str">
        <f t="shared" si="1229"/>
        <v>Open Ad</v>
      </c>
      <c r="E4957" s="6" t="s">
        <v>91</v>
      </c>
      <c r="F4957" s="6" t="s">
        <v>8022</v>
      </c>
      <c r="G4957" s="6" t="s">
        <v>8382</v>
      </c>
      <c r="H4957" s="6" t="s">
        <v>55</v>
      </c>
      <c r="I4957" s="6" t="s">
        <v>8273</v>
      </c>
      <c r="J4957" s="6" t="s">
        <v>91</v>
      </c>
      <c r="K4957" s="12" t="str">
        <f t="shared" si="1230"/>
        <v>View Creative</v>
      </c>
      <c r="L4957" s="6" t="s">
        <v>62</v>
      </c>
      <c r="M4957" s="6" t="s">
        <v>8270</v>
      </c>
      <c r="N4957" s="6" t="s">
        <v>8386</v>
      </c>
      <c r="O4957" s="36" t="s">
        <v>7541</v>
      </c>
      <c r="P4957" s="36" t="s">
        <v>7542</v>
      </c>
      <c r="Q4957" s="38"/>
    </row>
    <row r="4958">
      <c r="A4958" s="6" t="s">
        <v>8270</v>
      </c>
      <c r="B4958" s="6" t="s">
        <v>8271</v>
      </c>
      <c r="C4958" s="6">
        <v>907.0</v>
      </c>
      <c r="D4958" s="9" t="str">
        <f t="shared" ref="D4958:D4959" si="1231">HYPERLINK("https://www.linkedin.com/ad-library/detail/913325444","Open Ad")</f>
        <v>Open Ad</v>
      </c>
      <c r="E4958" s="6" t="s">
        <v>91</v>
      </c>
      <c r="F4958" s="6" t="s">
        <v>8022</v>
      </c>
      <c r="G4958" s="6" t="s">
        <v>8363</v>
      </c>
      <c r="H4958" s="6" t="s">
        <v>55</v>
      </c>
      <c r="I4958" s="6" t="s">
        <v>8273</v>
      </c>
      <c r="J4958" s="6" t="s">
        <v>91</v>
      </c>
      <c r="K4958" s="12" t="str">
        <f t="shared" ref="K4958:K4959" si="1232">HYPERLINK("https://media.licdn.com/dms/image/v2/D4E10AQEKGerJblQZtQ/image-shrink_1280/B4EZqC4qbTHgAM-/0/1763132484063/01_LightMode_BF_2025?e=2147483647&amp;v=beta&amp;t=BYRBuTv9G2TDFiwenmckUQPfsShbEby7_m0ZQnM1TMQ","View Creative")</f>
        <v>View Creative</v>
      </c>
      <c r="L4958" s="6" t="s">
        <v>62</v>
      </c>
      <c r="M4958" s="6" t="s">
        <v>8270</v>
      </c>
      <c r="N4958" s="6"/>
      <c r="O4958" s="36" t="s">
        <v>7541</v>
      </c>
      <c r="P4958" s="36" t="s">
        <v>7542</v>
      </c>
      <c r="Q4958" s="38"/>
    </row>
    <row r="4959">
      <c r="A4959" s="6" t="s">
        <v>8270</v>
      </c>
      <c r="B4959" s="6" t="s">
        <v>8271</v>
      </c>
      <c r="C4959" s="6">
        <v>908.0</v>
      </c>
      <c r="D4959" s="9" t="str">
        <f t="shared" si="1231"/>
        <v>Open Ad</v>
      </c>
      <c r="E4959" s="6" t="s">
        <v>91</v>
      </c>
      <c r="F4959" s="6" t="s">
        <v>8022</v>
      </c>
      <c r="G4959" s="6" t="s">
        <v>8363</v>
      </c>
      <c r="H4959" s="6" t="s">
        <v>55</v>
      </c>
      <c r="I4959" s="6" t="s">
        <v>8273</v>
      </c>
      <c r="J4959" s="6" t="s">
        <v>91</v>
      </c>
      <c r="K4959" s="12" t="str">
        <f t="shared" si="1232"/>
        <v>View Creative</v>
      </c>
      <c r="L4959" s="6" t="s">
        <v>62</v>
      </c>
      <c r="M4959" s="6" t="s">
        <v>8270</v>
      </c>
      <c r="N4959" s="6"/>
      <c r="O4959" s="36" t="s">
        <v>7541</v>
      </c>
      <c r="P4959" s="36" t="s">
        <v>7542</v>
      </c>
      <c r="Q4959" s="38"/>
    </row>
    <row r="4960">
      <c r="A4960" s="6" t="s">
        <v>8270</v>
      </c>
      <c r="B4960" s="6" t="s">
        <v>8271</v>
      </c>
      <c r="C4960" s="6">
        <v>909.0</v>
      </c>
      <c r="D4960" s="9" t="str">
        <f t="shared" ref="D4960:D4961" si="1233">HYPERLINK("https://www.linkedin.com/ad-library/detail/913305424","Open Ad")</f>
        <v>Open Ad</v>
      </c>
      <c r="E4960" s="6" t="s">
        <v>91</v>
      </c>
      <c r="F4960" s="6" t="s">
        <v>8022</v>
      </c>
      <c r="G4960" s="6" t="s">
        <v>8385</v>
      </c>
      <c r="H4960" s="6" t="s">
        <v>55</v>
      </c>
      <c r="I4960" s="6" t="s">
        <v>8273</v>
      </c>
      <c r="J4960" s="6" t="s">
        <v>91</v>
      </c>
      <c r="K4960" s="12" t="str">
        <f t="shared" ref="K4960:K4965" si="1234">HYPERLINK("https://media.licdn.com/dms/image/v2/D4E10AQHNqKZuZJ-Kcw/image-shrink_1280/B4EZqC_GxQJgAM-/0/1763134173013/04_DarkMode_BlackFriday_2025?e=2147483647&amp;v=beta&amp;t=98YDnUQABZ9RILH9tTs1mPH8w_5i4cDy_RtMAaJfCGE","View Creative")</f>
        <v>View Creative</v>
      </c>
      <c r="L4960" s="6" t="s">
        <v>62</v>
      </c>
      <c r="M4960" s="6" t="s">
        <v>8270</v>
      </c>
      <c r="N4960" s="6"/>
      <c r="O4960" s="36" t="s">
        <v>7541</v>
      </c>
      <c r="P4960" s="36" t="s">
        <v>7542</v>
      </c>
      <c r="Q4960" s="38"/>
    </row>
    <row r="4961">
      <c r="A4961" s="6" t="s">
        <v>8270</v>
      </c>
      <c r="B4961" s="6" t="s">
        <v>8271</v>
      </c>
      <c r="C4961" s="6">
        <v>910.0</v>
      </c>
      <c r="D4961" s="9" t="str">
        <f t="shared" si="1233"/>
        <v>Open Ad</v>
      </c>
      <c r="E4961" s="6" t="s">
        <v>91</v>
      </c>
      <c r="F4961" s="6" t="s">
        <v>8022</v>
      </c>
      <c r="G4961" s="6" t="s">
        <v>8385</v>
      </c>
      <c r="H4961" s="6" t="s">
        <v>55</v>
      </c>
      <c r="I4961" s="6" t="s">
        <v>8273</v>
      </c>
      <c r="J4961" s="6" t="s">
        <v>91</v>
      </c>
      <c r="K4961" s="12" t="str">
        <f t="shared" si="1234"/>
        <v>View Creative</v>
      </c>
      <c r="L4961" s="6" t="s">
        <v>62</v>
      </c>
      <c r="M4961" s="6" t="s">
        <v>8270</v>
      </c>
      <c r="N4961" s="6"/>
      <c r="O4961" s="36" t="s">
        <v>7541</v>
      </c>
      <c r="P4961" s="36" t="s">
        <v>7542</v>
      </c>
      <c r="Q4961" s="38"/>
    </row>
    <row r="4962">
      <c r="A4962" s="6" t="s">
        <v>8270</v>
      </c>
      <c r="B4962" s="6" t="s">
        <v>8271</v>
      </c>
      <c r="C4962" s="6">
        <v>911.0</v>
      </c>
      <c r="D4962" s="9" t="str">
        <f t="shared" ref="D4962:D4963" si="1235">HYPERLINK("https://www.linkedin.com/ad-library/detail/913364814","Open Ad")</f>
        <v>Open Ad</v>
      </c>
      <c r="E4962" s="6" t="s">
        <v>91</v>
      </c>
      <c r="F4962" s="6" t="s">
        <v>8022</v>
      </c>
      <c r="G4962" s="6" t="s">
        <v>8385</v>
      </c>
      <c r="H4962" s="6" t="s">
        <v>55</v>
      </c>
      <c r="I4962" s="6" t="s">
        <v>8273</v>
      </c>
      <c r="J4962" s="6" t="s">
        <v>91</v>
      </c>
      <c r="K4962" s="12" t="str">
        <f t="shared" si="1234"/>
        <v>View Creative</v>
      </c>
      <c r="L4962" s="6" t="s">
        <v>62</v>
      </c>
      <c r="M4962" s="6" t="s">
        <v>8270</v>
      </c>
      <c r="N4962" s="6" t="s">
        <v>8386</v>
      </c>
      <c r="O4962" s="36" t="s">
        <v>7541</v>
      </c>
      <c r="P4962" s="36" t="s">
        <v>7542</v>
      </c>
      <c r="Q4962" s="38"/>
    </row>
    <row r="4963">
      <c r="A4963" s="6" t="s">
        <v>8270</v>
      </c>
      <c r="B4963" s="6" t="s">
        <v>8271</v>
      </c>
      <c r="C4963" s="6">
        <v>912.0</v>
      </c>
      <c r="D4963" s="9" t="str">
        <f t="shared" si="1235"/>
        <v>Open Ad</v>
      </c>
      <c r="E4963" s="6" t="s">
        <v>91</v>
      </c>
      <c r="F4963" s="6" t="s">
        <v>8022</v>
      </c>
      <c r="G4963" s="6" t="s">
        <v>8385</v>
      </c>
      <c r="H4963" s="6" t="s">
        <v>55</v>
      </c>
      <c r="I4963" s="6" t="s">
        <v>8273</v>
      </c>
      <c r="J4963" s="6" t="s">
        <v>91</v>
      </c>
      <c r="K4963" s="12" t="str">
        <f t="shared" si="1234"/>
        <v>View Creative</v>
      </c>
      <c r="L4963" s="6" t="s">
        <v>62</v>
      </c>
      <c r="M4963" s="6" t="s">
        <v>8270</v>
      </c>
      <c r="N4963" s="6" t="s">
        <v>8386</v>
      </c>
      <c r="O4963" s="36" t="s">
        <v>7541</v>
      </c>
      <c r="P4963" s="36" t="s">
        <v>7542</v>
      </c>
      <c r="Q4963" s="38"/>
    </row>
    <row r="4964">
      <c r="A4964" s="6" t="s">
        <v>8270</v>
      </c>
      <c r="B4964" s="6" t="s">
        <v>8271</v>
      </c>
      <c r="C4964" s="6">
        <v>913.0</v>
      </c>
      <c r="D4964" s="9" t="str">
        <f t="shared" ref="D4964:D4965" si="1236">HYPERLINK("https://www.linkedin.com/ad-library/detail/913334704","Open Ad")</f>
        <v>Open Ad</v>
      </c>
      <c r="E4964" s="6" t="s">
        <v>91</v>
      </c>
      <c r="F4964" s="6" t="s">
        <v>8022</v>
      </c>
      <c r="G4964" s="6" t="s">
        <v>8385</v>
      </c>
      <c r="H4964" s="6" t="s">
        <v>55</v>
      </c>
      <c r="I4964" s="6" t="s">
        <v>8273</v>
      </c>
      <c r="J4964" s="6" t="s">
        <v>91</v>
      </c>
      <c r="K4964" s="12" t="str">
        <f t="shared" si="1234"/>
        <v>View Creative</v>
      </c>
      <c r="L4964" s="6" t="s">
        <v>62</v>
      </c>
      <c r="M4964" s="6" t="s">
        <v>8270</v>
      </c>
      <c r="N4964" s="6" t="s">
        <v>8386</v>
      </c>
      <c r="O4964" s="36" t="s">
        <v>7541</v>
      </c>
      <c r="P4964" s="36" t="s">
        <v>7542</v>
      </c>
      <c r="Q4964" s="38"/>
    </row>
    <row r="4965">
      <c r="A4965" s="6" t="s">
        <v>8270</v>
      </c>
      <c r="B4965" s="6" t="s">
        <v>8271</v>
      </c>
      <c r="C4965" s="6">
        <v>914.0</v>
      </c>
      <c r="D4965" s="9" t="str">
        <f t="shared" si="1236"/>
        <v>Open Ad</v>
      </c>
      <c r="E4965" s="6" t="s">
        <v>91</v>
      </c>
      <c r="F4965" s="6" t="s">
        <v>8022</v>
      </c>
      <c r="G4965" s="6" t="s">
        <v>8385</v>
      </c>
      <c r="H4965" s="6" t="s">
        <v>55</v>
      </c>
      <c r="I4965" s="6" t="s">
        <v>8273</v>
      </c>
      <c r="J4965" s="6" t="s">
        <v>91</v>
      </c>
      <c r="K4965" s="12" t="str">
        <f t="shared" si="1234"/>
        <v>View Creative</v>
      </c>
      <c r="L4965" s="6" t="s">
        <v>62</v>
      </c>
      <c r="M4965" s="6" t="s">
        <v>8270</v>
      </c>
      <c r="N4965" s="6" t="s">
        <v>8386</v>
      </c>
      <c r="O4965" s="36" t="s">
        <v>7541</v>
      </c>
      <c r="P4965" s="36" t="s">
        <v>7542</v>
      </c>
      <c r="Q4965" s="38"/>
    </row>
    <row r="4966">
      <c r="A4966" s="6" t="s">
        <v>8270</v>
      </c>
      <c r="B4966" s="6" t="s">
        <v>8271</v>
      </c>
      <c r="C4966" s="6">
        <v>915.0</v>
      </c>
      <c r="D4966" s="9" t="str">
        <f t="shared" ref="D4966:D4967" si="1237">HYPERLINK("https://www.linkedin.com/ad-library/detail/913414324","Open Ad")</f>
        <v>Open Ad</v>
      </c>
      <c r="E4966" s="6" t="s">
        <v>91</v>
      </c>
      <c r="F4966" s="6" t="s">
        <v>8022</v>
      </c>
      <c r="G4966" s="6" t="s">
        <v>8363</v>
      </c>
      <c r="H4966" s="6" t="s">
        <v>55</v>
      </c>
      <c r="I4966" s="6" t="s">
        <v>8273</v>
      </c>
      <c r="J4966" s="6" t="s">
        <v>91</v>
      </c>
      <c r="K4966" s="12" t="str">
        <f t="shared" ref="K4966:K4967" si="1238">HYPERLINK("https://media.licdn.com/dms/image/v2/D4E10AQFexWlh0MX-gA/image-shrink_1280/B4EZqC_cRHKcAM-/0/1763134261281/01_DarkMode_BlackFriday_2025?e=2147483647&amp;v=beta&amp;t=uSZ5rrxoO0HNeiPSoheV2lqfeveTwcg1El6k2WfkDAM","View Creative")</f>
        <v>View Creative</v>
      </c>
      <c r="L4966" s="6" t="s">
        <v>62</v>
      </c>
      <c r="M4966" s="6" t="s">
        <v>8270</v>
      </c>
      <c r="N4966" s="6" t="s">
        <v>8387</v>
      </c>
      <c r="O4966" s="36" t="s">
        <v>7541</v>
      </c>
      <c r="P4966" s="36" t="s">
        <v>7542</v>
      </c>
      <c r="Q4966" s="38"/>
    </row>
    <row r="4967">
      <c r="A4967" s="6" t="s">
        <v>8270</v>
      </c>
      <c r="B4967" s="6" t="s">
        <v>8271</v>
      </c>
      <c r="C4967" s="6">
        <v>916.0</v>
      </c>
      <c r="D4967" s="9" t="str">
        <f t="shared" si="1237"/>
        <v>Open Ad</v>
      </c>
      <c r="E4967" s="6" t="s">
        <v>91</v>
      </c>
      <c r="F4967" s="6" t="s">
        <v>8022</v>
      </c>
      <c r="G4967" s="6" t="s">
        <v>8363</v>
      </c>
      <c r="H4967" s="6" t="s">
        <v>55</v>
      </c>
      <c r="I4967" s="6" t="s">
        <v>8273</v>
      </c>
      <c r="J4967" s="6" t="s">
        <v>91</v>
      </c>
      <c r="K4967" s="12" t="str">
        <f t="shared" si="1238"/>
        <v>View Creative</v>
      </c>
      <c r="L4967" s="6" t="s">
        <v>62</v>
      </c>
      <c r="M4967" s="6" t="s">
        <v>8270</v>
      </c>
      <c r="N4967" s="6" t="s">
        <v>8387</v>
      </c>
      <c r="O4967" s="36" t="s">
        <v>7541</v>
      </c>
      <c r="P4967" s="36" t="s">
        <v>7542</v>
      </c>
      <c r="Q4967" s="38"/>
    </row>
    <row r="4968">
      <c r="A4968" s="6" t="s">
        <v>8270</v>
      </c>
      <c r="B4968" s="6" t="s">
        <v>8271</v>
      </c>
      <c r="C4968" s="6">
        <v>917.0</v>
      </c>
      <c r="D4968" s="9" t="str">
        <f t="shared" ref="D4968:D4969" si="1239">HYPERLINK("https://www.linkedin.com/ad-library/detail/913443814","Open Ad")</f>
        <v>Open Ad</v>
      </c>
      <c r="E4968" s="6" t="s">
        <v>91</v>
      </c>
      <c r="F4968" s="6" t="s">
        <v>8022</v>
      </c>
      <c r="G4968" s="6" t="s">
        <v>8385</v>
      </c>
      <c r="H4968" s="6" t="s">
        <v>55</v>
      </c>
      <c r="I4968" s="6" t="s">
        <v>8273</v>
      </c>
      <c r="J4968" s="6" t="s">
        <v>91</v>
      </c>
      <c r="K4968" s="12" t="str">
        <f t="shared" ref="K4968:K4969" si="1240">HYPERLINK("https://media.licdn.com/dms/image/v2/D4E10AQH5LV07JtBuaQ/image-shrink_1280/B4EZqC6R8nKMAQ-/0/1763132908157/04_Image_LightMode_BF_2025?e=2147483647&amp;v=beta&amp;t=0LIBL9DELBXLrwDrF_u1qNBjgAc35mM-OPOwvdYz4ds","View Creative")</f>
        <v>View Creative</v>
      </c>
      <c r="L4968" s="6" t="s">
        <v>62</v>
      </c>
      <c r="M4968" s="6" t="s">
        <v>8270</v>
      </c>
      <c r="N4968" s="6" t="s">
        <v>8387</v>
      </c>
      <c r="O4968" s="36" t="s">
        <v>7541</v>
      </c>
      <c r="P4968" s="36" t="s">
        <v>7542</v>
      </c>
      <c r="Q4968" s="38"/>
    </row>
    <row r="4969">
      <c r="A4969" s="6" t="s">
        <v>8270</v>
      </c>
      <c r="B4969" s="6" t="s">
        <v>8271</v>
      </c>
      <c r="C4969" s="6">
        <v>918.0</v>
      </c>
      <c r="D4969" s="9" t="str">
        <f t="shared" si="1239"/>
        <v>Open Ad</v>
      </c>
      <c r="E4969" s="6" t="s">
        <v>91</v>
      </c>
      <c r="F4969" s="6" t="s">
        <v>8022</v>
      </c>
      <c r="G4969" s="6" t="s">
        <v>8385</v>
      </c>
      <c r="H4969" s="6" t="s">
        <v>55</v>
      </c>
      <c r="I4969" s="6" t="s">
        <v>8273</v>
      </c>
      <c r="J4969" s="6" t="s">
        <v>91</v>
      </c>
      <c r="K4969" s="12" t="str">
        <f t="shared" si="1240"/>
        <v>View Creative</v>
      </c>
      <c r="L4969" s="6" t="s">
        <v>62</v>
      </c>
      <c r="M4969" s="6" t="s">
        <v>8270</v>
      </c>
      <c r="N4969" s="6" t="s">
        <v>8387</v>
      </c>
      <c r="O4969" s="36" t="s">
        <v>7541</v>
      </c>
      <c r="P4969" s="36" t="s">
        <v>7542</v>
      </c>
      <c r="Q4969" s="38"/>
    </row>
    <row r="4970">
      <c r="A4970" s="6" t="s">
        <v>8270</v>
      </c>
      <c r="B4970" s="6" t="s">
        <v>8271</v>
      </c>
      <c r="C4970" s="6">
        <v>919.0</v>
      </c>
      <c r="D4970" s="9" t="str">
        <f t="shared" ref="D4970:D4971" si="1241">HYPERLINK("https://www.linkedin.com/ad-library/detail/895597014","Open Ad")</f>
        <v>Open Ad</v>
      </c>
      <c r="E4970" s="6" t="s">
        <v>154</v>
      </c>
      <c r="F4970" s="6" t="s">
        <v>8022</v>
      </c>
      <c r="G4970" s="6" t="s">
        <v>8388</v>
      </c>
      <c r="H4970" s="6" t="s">
        <v>55</v>
      </c>
      <c r="I4970" s="6" t="s">
        <v>8273</v>
      </c>
      <c r="J4970" s="6" t="s">
        <v>154</v>
      </c>
      <c r="K4970" s="12" t="str">
        <f t="shared" ref="K4970:K4971" si="1242">HYPERLINK("https://dms.licdn.com/playlist/vid/v2/D4E05AQGX_e-MtNIRRw/mp4-720p-30fp-crf28/B4EZpYnMrWHcCI-/0/1762423266199?e=2147483647&amp;v=beta&amp;t=Qi-izbAQT2yIzQelILnqH5YdnU2BDGnpOtv5nV4ha5Y","View Creative")</f>
        <v>View Creative</v>
      </c>
      <c r="L4970" s="6" t="s">
        <v>62</v>
      </c>
      <c r="M4970" s="6" t="s">
        <v>8270</v>
      </c>
      <c r="N4970" s="6" t="s">
        <v>8389</v>
      </c>
      <c r="O4970" s="36" t="s">
        <v>7541</v>
      </c>
      <c r="P4970" s="36" t="s">
        <v>7542</v>
      </c>
      <c r="Q4970" s="38"/>
    </row>
    <row r="4971">
      <c r="A4971" s="6" t="s">
        <v>8270</v>
      </c>
      <c r="B4971" s="6" t="s">
        <v>8271</v>
      </c>
      <c r="C4971" s="6">
        <v>920.0</v>
      </c>
      <c r="D4971" s="9" t="str">
        <f t="shared" si="1241"/>
        <v>Open Ad</v>
      </c>
      <c r="E4971" s="6" t="s">
        <v>154</v>
      </c>
      <c r="F4971" s="6" t="s">
        <v>8022</v>
      </c>
      <c r="G4971" s="6" t="s">
        <v>8388</v>
      </c>
      <c r="H4971" s="6" t="s">
        <v>55</v>
      </c>
      <c r="I4971" s="6" t="s">
        <v>8273</v>
      </c>
      <c r="J4971" s="6" t="s">
        <v>154</v>
      </c>
      <c r="K4971" s="12" t="str">
        <f t="shared" si="1242"/>
        <v>View Creative</v>
      </c>
      <c r="L4971" s="6" t="s">
        <v>62</v>
      </c>
      <c r="M4971" s="6" t="s">
        <v>8270</v>
      </c>
      <c r="N4971" s="6" t="s">
        <v>8389</v>
      </c>
      <c r="O4971" s="36" t="s">
        <v>7541</v>
      </c>
      <c r="P4971" s="36" t="s">
        <v>7542</v>
      </c>
      <c r="Q4971" s="38"/>
    </row>
    <row r="4972">
      <c r="A4972" s="6" t="s">
        <v>8270</v>
      </c>
      <c r="B4972" s="6" t="s">
        <v>8271</v>
      </c>
      <c r="C4972" s="6">
        <v>921.0</v>
      </c>
      <c r="D4972" s="9" t="str">
        <f t="shared" ref="D4972:D4973" si="1243">HYPERLINK("https://www.linkedin.com/ad-library/detail/913443824","Open Ad")</f>
        <v>Open Ad</v>
      </c>
      <c r="E4972" s="6" t="s">
        <v>91</v>
      </c>
      <c r="F4972" s="6" t="s">
        <v>8022</v>
      </c>
      <c r="G4972" s="6" t="s">
        <v>8382</v>
      </c>
      <c r="H4972" s="6" t="s">
        <v>55</v>
      </c>
      <c r="I4972" s="6" t="s">
        <v>8273</v>
      </c>
      <c r="J4972" s="6" t="s">
        <v>91</v>
      </c>
      <c r="K4972" s="12" t="str">
        <f t="shared" ref="K4972:K4973" si="1244">HYPERLINK("https://media.licdn.com/dms/image/v2/D4E10AQExygu8AmuOmw/image-shrink_1280/B4EZqC5GOmGUAM-/0/1763132598114/02_LightMode_BF_2025?e=2147483647&amp;v=beta&amp;t=huCdzTSSBLgvS1PKW4ETHCc_90K74NHn2-dpejqxOG8","View Creative")</f>
        <v>View Creative</v>
      </c>
      <c r="L4972" s="6" t="s">
        <v>62</v>
      </c>
      <c r="M4972" s="6" t="s">
        <v>8270</v>
      </c>
      <c r="N4972" s="6" t="s">
        <v>8387</v>
      </c>
      <c r="O4972" s="36" t="s">
        <v>7541</v>
      </c>
      <c r="P4972" s="36" t="s">
        <v>7542</v>
      </c>
      <c r="Q4972" s="38"/>
    </row>
    <row r="4973">
      <c r="A4973" s="6" t="s">
        <v>8270</v>
      </c>
      <c r="B4973" s="6" t="s">
        <v>8271</v>
      </c>
      <c r="C4973" s="6">
        <v>922.0</v>
      </c>
      <c r="D4973" s="9" t="str">
        <f t="shared" si="1243"/>
        <v>Open Ad</v>
      </c>
      <c r="E4973" s="6" t="s">
        <v>91</v>
      </c>
      <c r="F4973" s="6" t="s">
        <v>8022</v>
      </c>
      <c r="G4973" s="6" t="s">
        <v>8382</v>
      </c>
      <c r="H4973" s="6" t="s">
        <v>55</v>
      </c>
      <c r="I4973" s="6" t="s">
        <v>8273</v>
      </c>
      <c r="J4973" s="6" t="s">
        <v>91</v>
      </c>
      <c r="K4973" s="12" t="str">
        <f t="shared" si="1244"/>
        <v>View Creative</v>
      </c>
      <c r="L4973" s="6" t="s">
        <v>62</v>
      </c>
      <c r="M4973" s="6" t="s">
        <v>8270</v>
      </c>
      <c r="N4973" s="6" t="s">
        <v>8387</v>
      </c>
      <c r="O4973" s="36" t="s">
        <v>7541</v>
      </c>
      <c r="P4973" s="36" t="s">
        <v>7542</v>
      </c>
      <c r="Q4973" s="38"/>
    </row>
    <row r="4974">
      <c r="A4974" s="6" t="s">
        <v>8270</v>
      </c>
      <c r="B4974" s="6" t="s">
        <v>8271</v>
      </c>
      <c r="C4974" s="6">
        <v>923.0</v>
      </c>
      <c r="D4974" s="9" t="str">
        <f t="shared" ref="D4974:D4975" si="1245">HYPERLINK("https://www.linkedin.com/ad-library/detail/913354754","Open Ad")</f>
        <v>Open Ad</v>
      </c>
      <c r="E4974" s="6" t="s">
        <v>91</v>
      </c>
      <c r="F4974" s="6" t="s">
        <v>8022</v>
      </c>
      <c r="G4974" s="6" t="s">
        <v>8382</v>
      </c>
      <c r="H4974" s="6" t="s">
        <v>55</v>
      </c>
      <c r="I4974" s="6" t="s">
        <v>8273</v>
      </c>
      <c r="J4974" s="6" t="s">
        <v>91</v>
      </c>
      <c r="K4974" s="12" t="str">
        <f t="shared" ref="K4974:K4975" si="1246">HYPERLINK("https://media.licdn.com/dms/image/v2/D4E10AQGCEicWihyXBg/image-shrink_1280/B4EZqC_RgBKcAM-/0/1763134217156/02_DarkMode_BlackFriday_2025?e=2147483647&amp;v=beta&amp;t=DWqHNXUw-Qvi6BwVitajcVLKefJKn0rH1xGu0yHXy6I","View Creative")</f>
        <v>View Creative</v>
      </c>
      <c r="L4974" s="6" t="s">
        <v>62</v>
      </c>
      <c r="M4974" s="6" t="s">
        <v>8270</v>
      </c>
      <c r="N4974" s="6" t="s">
        <v>8387</v>
      </c>
      <c r="O4974" s="36" t="s">
        <v>7541</v>
      </c>
      <c r="P4974" s="36" t="s">
        <v>7542</v>
      </c>
      <c r="Q4974" s="38"/>
    </row>
    <row r="4975">
      <c r="A4975" s="6" t="s">
        <v>8270</v>
      </c>
      <c r="B4975" s="6" t="s">
        <v>8271</v>
      </c>
      <c r="C4975" s="6">
        <v>924.0</v>
      </c>
      <c r="D4975" s="9" t="str">
        <f t="shared" si="1245"/>
        <v>Open Ad</v>
      </c>
      <c r="E4975" s="6" t="s">
        <v>91</v>
      </c>
      <c r="F4975" s="6" t="s">
        <v>8022</v>
      </c>
      <c r="G4975" s="6" t="s">
        <v>8382</v>
      </c>
      <c r="H4975" s="6" t="s">
        <v>55</v>
      </c>
      <c r="I4975" s="6" t="s">
        <v>8273</v>
      </c>
      <c r="J4975" s="6" t="s">
        <v>91</v>
      </c>
      <c r="K4975" s="12" t="str">
        <f t="shared" si="1246"/>
        <v>View Creative</v>
      </c>
      <c r="L4975" s="6" t="s">
        <v>62</v>
      </c>
      <c r="M4975" s="6" t="s">
        <v>8270</v>
      </c>
      <c r="N4975" s="6" t="s">
        <v>8387</v>
      </c>
      <c r="O4975" s="36" t="s">
        <v>7541</v>
      </c>
      <c r="P4975" s="36" t="s">
        <v>7542</v>
      </c>
      <c r="Q4975" s="38"/>
    </row>
    <row r="4976">
      <c r="A4976" s="6" t="s">
        <v>8270</v>
      </c>
      <c r="B4976" s="6" t="s">
        <v>8271</v>
      </c>
      <c r="C4976" s="6">
        <v>925.0</v>
      </c>
      <c r="D4976" s="9" t="str">
        <f t="shared" ref="D4976:D4977" si="1247">HYPERLINK("https://www.linkedin.com/ad-library/detail/913295314","Open Ad")</f>
        <v>Open Ad</v>
      </c>
      <c r="E4976" s="6" t="s">
        <v>91</v>
      </c>
      <c r="F4976" s="6" t="s">
        <v>8022</v>
      </c>
      <c r="G4976" s="6" t="s">
        <v>8373</v>
      </c>
      <c r="H4976" s="6" t="s">
        <v>55</v>
      </c>
      <c r="I4976" s="6" t="s">
        <v>8273</v>
      </c>
      <c r="J4976" s="6" t="s">
        <v>91</v>
      </c>
      <c r="K4976" s="12" t="str">
        <f t="shared" ref="K4976:K4977" si="1248">HYPERLINK("https://media.licdn.com/dms/image/v2/D4E10AQH4KbJnron-hg/image-shrink_1280/B4EZqC5azGIoAQ-/0/1763132682276/03_LightMode_BF_2025?e=2147483647&amp;v=beta&amp;t=2fD2NHgMBWscabGamUhK9kIggk9EgVdJ7at1LyNyAdY","View Creative")</f>
        <v>View Creative</v>
      </c>
      <c r="L4976" s="6" t="s">
        <v>62</v>
      </c>
      <c r="M4976" s="6" t="s">
        <v>8270</v>
      </c>
      <c r="N4976" s="6" t="s">
        <v>8387</v>
      </c>
      <c r="O4976" s="36" t="s">
        <v>7541</v>
      </c>
      <c r="P4976" s="36" t="s">
        <v>7542</v>
      </c>
      <c r="Q4976" s="38"/>
    </row>
    <row r="4977">
      <c r="A4977" s="6" t="s">
        <v>8270</v>
      </c>
      <c r="B4977" s="6" t="s">
        <v>8271</v>
      </c>
      <c r="C4977" s="6">
        <v>926.0</v>
      </c>
      <c r="D4977" s="9" t="str">
        <f t="shared" si="1247"/>
        <v>Open Ad</v>
      </c>
      <c r="E4977" s="6" t="s">
        <v>91</v>
      </c>
      <c r="F4977" s="6" t="s">
        <v>8022</v>
      </c>
      <c r="G4977" s="6" t="s">
        <v>8373</v>
      </c>
      <c r="H4977" s="6" t="s">
        <v>55</v>
      </c>
      <c r="I4977" s="6" t="s">
        <v>8273</v>
      </c>
      <c r="J4977" s="6" t="s">
        <v>91</v>
      </c>
      <c r="K4977" s="12" t="str">
        <f t="shared" si="1248"/>
        <v>View Creative</v>
      </c>
      <c r="L4977" s="6" t="s">
        <v>62</v>
      </c>
      <c r="M4977" s="6" t="s">
        <v>8270</v>
      </c>
      <c r="N4977" s="6" t="s">
        <v>8387</v>
      </c>
      <c r="O4977" s="36" t="s">
        <v>7541</v>
      </c>
      <c r="P4977" s="36" t="s">
        <v>7542</v>
      </c>
      <c r="Q4977" s="38"/>
    </row>
    <row r="4978">
      <c r="A4978" s="6" t="s">
        <v>8270</v>
      </c>
      <c r="B4978" s="6" t="s">
        <v>8271</v>
      </c>
      <c r="C4978" s="6">
        <v>927.0</v>
      </c>
      <c r="D4978" s="9" t="str">
        <f t="shared" ref="D4978:D4979" si="1249">HYPERLINK("https://www.linkedin.com/ad-library/detail/913276954","Open Ad")</f>
        <v>Open Ad</v>
      </c>
      <c r="E4978" s="6" t="s">
        <v>91</v>
      </c>
      <c r="F4978" s="6" t="s">
        <v>8022</v>
      </c>
      <c r="G4978" s="6" t="s">
        <v>8363</v>
      </c>
      <c r="H4978" s="6" t="s">
        <v>55</v>
      </c>
      <c r="I4978" s="6" t="s">
        <v>8273</v>
      </c>
      <c r="J4978" s="6" t="s">
        <v>91</v>
      </c>
      <c r="K4978" s="12" t="str">
        <f t="shared" ref="K4978:K4979" si="1250">HYPERLINK("https://media.licdn.com/dms/image/v2/D4E10AQEKGerJblQZtQ/image-shrink_1280/B4EZqC4qbTHgAM-/0/1763132484063/01_LightMode_BF_2025?e=2147483647&amp;v=beta&amp;t=BYRBuTv9G2TDFiwenmckUQPfsShbEby7_m0ZQnM1TMQ","View Creative")</f>
        <v>View Creative</v>
      </c>
      <c r="L4978" s="6" t="s">
        <v>62</v>
      </c>
      <c r="M4978" s="6" t="s">
        <v>8270</v>
      </c>
      <c r="N4978" s="6" t="s">
        <v>8386</v>
      </c>
      <c r="O4978" s="36" t="s">
        <v>7541</v>
      </c>
      <c r="P4978" s="36" t="s">
        <v>7542</v>
      </c>
      <c r="Q4978" s="38"/>
    </row>
    <row r="4979">
      <c r="A4979" s="6" t="s">
        <v>8270</v>
      </c>
      <c r="B4979" s="6" t="s">
        <v>8271</v>
      </c>
      <c r="C4979" s="6">
        <v>928.0</v>
      </c>
      <c r="D4979" s="9" t="str">
        <f t="shared" si="1249"/>
        <v>Open Ad</v>
      </c>
      <c r="E4979" s="6" t="s">
        <v>91</v>
      </c>
      <c r="F4979" s="6" t="s">
        <v>8022</v>
      </c>
      <c r="G4979" s="6" t="s">
        <v>8363</v>
      </c>
      <c r="H4979" s="6" t="s">
        <v>55</v>
      </c>
      <c r="I4979" s="6" t="s">
        <v>8273</v>
      </c>
      <c r="J4979" s="6" t="s">
        <v>91</v>
      </c>
      <c r="K4979" s="12" t="str">
        <f t="shared" si="1250"/>
        <v>View Creative</v>
      </c>
      <c r="L4979" s="6" t="s">
        <v>62</v>
      </c>
      <c r="M4979" s="6" t="s">
        <v>8270</v>
      </c>
      <c r="N4979" s="6" t="s">
        <v>8386</v>
      </c>
      <c r="O4979" s="36" t="s">
        <v>7541</v>
      </c>
      <c r="P4979" s="36" t="s">
        <v>7542</v>
      </c>
      <c r="Q4979" s="38"/>
    </row>
    <row r="4980">
      <c r="A4980" s="6" t="s">
        <v>8270</v>
      </c>
      <c r="B4980" s="6" t="s">
        <v>8271</v>
      </c>
      <c r="C4980" s="6">
        <v>929.0</v>
      </c>
      <c r="D4980" s="9" t="str">
        <f t="shared" ref="D4980:D4981" si="1251">HYPERLINK("https://www.linkedin.com/ad-library/detail/913325124","Open Ad")</f>
        <v>Open Ad</v>
      </c>
      <c r="E4980" s="6" t="s">
        <v>91</v>
      </c>
      <c r="F4980" s="6" t="s">
        <v>8022</v>
      </c>
      <c r="G4980" s="6" t="s">
        <v>8385</v>
      </c>
      <c r="H4980" s="6" t="s">
        <v>55</v>
      </c>
      <c r="I4980" s="6" t="s">
        <v>8273</v>
      </c>
      <c r="J4980" s="6" t="s">
        <v>91</v>
      </c>
      <c r="K4980" s="12" t="str">
        <f t="shared" ref="K4980:K4981" si="1252">HYPERLINK("https://media.licdn.com/dms/image/v2/D4E10AQH5LV07JtBuaQ/image-shrink_1280/B4EZqC6R8nKMAQ-/0/1763132908157/04_Image_LightMode_BF_2025?e=2147483647&amp;v=beta&amp;t=0LIBL9DELBXLrwDrF_u1qNBjgAc35mM-OPOwvdYz4ds","View Creative")</f>
        <v>View Creative</v>
      </c>
      <c r="L4980" s="6" t="s">
        <v>62</v>
      </c>
      <c r="M4980" s="6" t="s">
        <v>8270</v>
      </c>
      <c r="N4980" s="6" t="s">
        <v>8387</v>
      </c>
      <c r="O4980" s="36" t="s">
        <v>7541</v>
      </c>
      <c r="P4980" s="36" t="s">
        <v>7542</v>
      </c>
      <c r="Q4980" s="38"/>
    </row>
    <row r="4981">
      <c r="A4981" s="6" t="s">
        <v>8270</v>
      </c>
      <c r="B4981" s="6" t="s">
        <v>8271</v>
      </c>
      <c r="C4981" s="6">
        <v>930.0</v>
      </c>
      <c r="D4981" s="9" t="str">
        <f t="shared" si="1251"/>
        <v>Open Ad</v>
      </c>
      <c r="E4981" s="6" t="s">
        <v>91</v>
      </c>
      <c r="F4981" s="6" t="s">
        <v>8022</v>
      </c>
      <c r="G4981" s="6" t="s">
        <v>8385</v>
      </c>
      <c r="H4981" s="6" t="s">
        <v>55</v>
      </c>
      <c r="I4981" s="6" t="s">
        <v>8273</v>
      </c>
      <c r="J4981" s="6" t="s">
        <v>91</v>
      </c>
      <c r="K4981" s="12" t="str">
        <f t="shared" si="1252"/>
        <v>View Creative</v>
      </c>
      <c r="L4981" s="6" t="s">
        <v>62</v>
      </c>
      <c r="M4981" s="6" t="s">
        <v>8270</v>
      </c>
      <c r="N4981" s="6" t="s">
        <v>8387</v>
      </c>
      <c r="O4981" s="36" t="s">
        <v>7541</v>
      </c>
      <c r="P4981" s="36" t="s">
        <v>7542</v>
      </c>
      <c r="Q4981" s="38"/>
    </row>
    <row r="4982">
      <c r="A4982" s="6" t="s">
        <v>8270</v>
      </c>
      <c r="B4982" s="6" t="s">
        <v>8271</v>
      </c>
      <c r="C4982" s="6">
        <v>931.0</v>
      </c>
      <c r="D4982" s="9" t="str">
        <f t="shared" ref="D4982:D4983" si="1253">HYPERLINK("https://www.linkedin.com/ad-library/detail/913463464","Open Ad")</f>
        <v>Open Ad</v>
      </c>
      <c r="E4982" s="6" t="s">
        <v>91</v>
      </c>
      <c r="F4982" s="6" t="s">
        <v>8022</v>
      </c>
      <c r="G4982" s="6" t="s">
        <v>8382</v>
      </c>
      <c r="H4982" s="6" t="s">
        <v>55</v>
      </c>
      <c r="I4982" s="6" t="s">
        <v>8273</v>
      </c>
      <c r="J4982" s="6" t="s">
        <v>91</v>
      </c>
      <c r="K4982" s="12" t="str">
        <f t="shared" ref="K4982:K4985" si="1254">HYPERLINK("https://media.licdn.com/dms/image/v2/D4E10AQExygu8AmuOmw/image-shrink_1280/B4EZqC5GOmGUAM-/0/1763132598114/02_LightMode_BF_2025?e=2147483647&amp;v=beta&amp;t=huCdzTSSBLgvS1PKW4ETHCc_90K74NHn2-dpejqxOG8","View Creative")</f>
        <v>View Creative</v>
      </c>
      <c r="L4982" s="6" t="s">
        <v>62</v>
      </c>
      <c r="M4982" s="6" t="s">
        <v>8270</v>
      </c>
      <c r="N4982" s="6" t="s">
        <v>8387</v>
      </c>
      <c r="O4982" s="36" t="s">
        <v>7541</v>
      </c>
      <c r="P4982" s="36" t="s">
        <v>7542</v>
      </c>
      <c r="Q4982" s="38"/>
    </row>
    <row r="4983">
      <c r="A4983" s="6" t="s">
        <v>8270</v>
      </c>
      <c r="B4983" s="6" t="s">
        <v>8271</v>
      </c>
      <c r="C4983" s="6">
        <v>932.0</v>
      </c>
      <c r="D4983" s="9" t="str">
        <f t="shared" si="1253"/>
        <v>Open Ad</v>
      </c>
      <c r="E4983" s="6" t="s">
        <v>91</v>
      </c>
      <c r="F4983" s="6" t="s">
        <v>8022</v>
      </c>
      <c r="G4983" s="6" t="s">
        <v>8382</v>
      </c>
      <c r="H4983" s="6" t="s">
        <v>55</v>
      </c>
      <c r="I4983" s="6" t="s">
        <v>8273</v>
      </c>
      <c r="J4983" s="6" t="s">
        <v>91</v>
      </c>
      <c r="K4983" s="12" t="str">
        <f t="shared" si="1254"/>
        <v>View Creative</v>
      </c>
      <c r="L4983" s="6" t="s">
        <v>62</v>
      </c>
      <c r="M4983" s="6" t="s">
        <v>8270</v>
      </c>
      <c r="N4983" s="6" t="s">
        <v>8387</v>
      </c>
      <c r="O4983" s="36" t="s">
        <v>7541</v>
      </c>
      <c r="P4983" s="36" t="s">
        <v>7542</v>
      </c>
      <c r="Q4983" s="38"/>
    </row>
    <row r="4984">
      <c r="A4984" s="6" t="s">
        <v>8270</v>
      </c>
      <c r="B4984" s="6" t="s">
        <v>8271</v>
      </c>
      <c r="C4984" s="6">
        <v>933.0</v>
      </c>
      <c r="D4984" s="9" t="str">
        <f t="shared" ref="D4984:D4985" si="1255">HYPERLINK("https://www.linkedin.com/ad-library/detail/913502524","Open Ad")</f>
        <v>Open Ad</v>
      </c>
      <c r="E4984" s="6" t="s">
        <v>91</v>
      </c>
      <c r="F4984" s="6" t="s">
        <v>8022</v>
      </c>
      <c r="G4984" s="6" t="s">
        <v>8382</v>
      </c>
      <c r="H4984" s="6" t="s">
        <v>55</v>
      </c>
      <c r="I4984" s="6" t="s">
        <v>8273</v>
      </c>
      <c r="J4984" s="6" t="s">
        <v>91</v>
      </c>
      <c r="K4984" s="12" t="str">
        <f t="shared" si="1254"/>
        <v>View Creative</v>
      </c>
      <c r="L4984" s="6" t="s">
        <v>62</v>
      </c>
      <c r="M4984" s="6" t="s">
        <v>8270</v>
      </c>
      <c r="N4984" s="6" t="s">
        <v>8386</v>
      </c>
      <c r="O4984" s="36" t="s">
        <v>7541</v>
      </c>
      <c r="P4984" s="36" t="s">
        <v>7542</v>
      </c>
      <c r="Q4984" s="38"/>
    </row>
    <row r="4985">
      <c r="A4985" s="6" t="s">
        <v>8270</v>
      </c>
      <c r="B4985" s="6" t="s">
        <v>8271</v>
      </c>
      <c r="C4985" s="6">
        <v>934.0</v>
      </c>
      <c r="D4985" s="9" t="str">
        <f t="shared" si="1255"/>
        <v>Open Ad</v>
      </c>
      <c r="E4985" s="6" t="s">
        <v>91</v>
      </c>
      <c r="F4985" s="6" t="s">
        <v>8022</v>
      </c>
      <c r="G4985" s="6" t="s">
        <v>8382</v>
      </c>
      <c r="H4985" s="6" t="s">
        <v>55</v>
      </c>
      <c r="I4985" s="6" t="s">
        <v>8273</v>
      </c>
      <c r="J4985" s="6" t="s">
        <v>91</v>
      </c>
      <c r="K4985" s="12" t="str">
        <f t="shared" si="1254"/>
        <v>View Creative</v>
      </c>
      <c r="L4985" s="6" t="s">
        <v>62</v>
      </c>
      <c r="M4985" s="6" t="s">
        <v>8270</v>
      </c>
      <c r="N4985" s="6" t="s">
        <v>8386</v>
      </c>
      <c r="O4985" s="36" t="s">
        <v>7541</v>
      </c>
      <c r="P4985" s="36" t="s">
        <v>7542</v>
      </c>
      <c r="Q4985" s="38"/>
    </row>
    <row r="4986">
      <c r="A4986" s="6" t="s">
        <v>8270</v>
      </c>
      <c r="B4986" s="6" t="s">
        <v>8271</v>
      </c>
      <c r="C4986" s="6">
        <v>935.0</v>
      </c>
      <c r="D4986" s="9" t="str">
        <f t="shared" ref="D4986:D4987" si="1256">HYPERLINK("https://www.linkedin.com/ad-library/detail/913374464","Open Ad")</f>
        <v>Open Ad</v>
      </c>
      <c r="E4986" s="6" t="s">
        <v>91</v>
      </c>
      <c r="F4986" s="6" t="s">
        <v>8022</v>
      </c>
      <c r="G4986" s="6" t="s">
        <v>8363</v>
      </c>
      <c r="H4986" s="6" t="s">
        <v>55</v>
      </c>
      <c r="I4986" s="6" t="s">
        <v>8273</v>
      </c>
      <c r="J4986" s="6" t="s">
        <v>91</v>
      </c>
      <c r="K4986" s="12" t="str">
        <f t="shared" ref="K4986:K4987" si="1257">HYPERLINK("https://media.licdn.com/dms/image/v2/D4E10AQEKGerJblQZtQ/image-shrink_1280/B4EZqC4qbTHgAM-/0/1763132484063/01_LightMode_BF_2025?e=2147483647&amp;v=beta&amp;t=BYRBuTv9G2TDFiwenmckUQPfsShbEby7_m0ZQnM1TMQ","View Creative")</f>
        <v>View Creative</v>
      </c>
      <c r="L4986" s="6" t="s">
        <v>62</v>
      </c>
      <c r="M4986" s="6" t="s">
        <v>8270</v>
      </c>
      <c r="N4986" s="6" t="s">
        <v>8387</v>
      </c>
      <c r="O4986" s="36" t="s">
        <v>7541</v>
      </c>
      <c r="P4986" s="36" t="s">
        <v>7542</v>
      </c>
      <c r="Q4986" s="38"/>
    </row>
    <row r="4987">
      <c r="A4987" s="6" t="s">
        <v>8270</v>
      </c>
      <c r="B4987" s="6" t="s">
        <v>8271</v>
      </c>
      <c r="C4987" s="6">
        <v>936.0</v>
      </c>
      <c r="D4987" s="9" t="str">
        <f t="shared" si="1256"/>
        <v>Open Ad</v>
      </c>
      <c r="E4987" s="6" t="s">
        <v>91</v>
      </c>
      <c r="F4987" s="6" t="s">
        <v>8022</v>
      </c>
      <c r="G4987" s="6" t="s">
        <v>8363</v>
      </c>
      <c r="H4987" s="6" t="s">
        <v>55</v>
      </c>
      <c r="I4987" s="6" t="s">
        <v>8273</v>
      </c>
      <c r="J4987" s="6" t="s">
        <v>91</v>
      </c>
      <c r="K4987" s="12" t="str">
        <f t="shared" si="1257"/>
        <v>View Creative</v>
      </c>
      <c r="L4987" s="6" t="s">
        <v>62</v>
      </c>
      <c r="M4987" s="6" t="s">
        <v>8270</v>
      </c>
      <c r="N4987" s="6" t="s">
        <v>8387</v>
      </c>
      <c r="O4987" s="36" t="s">
        <v>7541</v>
      </c>
      <c r="P4987" s="36" t="s">
        <v>7542</v>
      </c>
      <c r="Q4987" s="38"/>
    </row>
    <row r="4988">
      <c r="A4988" s="6" t="s">
        <v>8270</v>
      </c>
      <c r="B4988" s="6" t="s">
        <v>8271</v>
      </c>
      <c r="C4988" s="6">
        <v>937.0</v>
      </c>
      <c r="D4988" s="9" t="str">
        <f t="shared" ref="D4988:D4989" si="1258">HYPERLINK("https://www.linkedin.com/ad-library/detail/913305384","Open Ad")</f>
        <v>Open Ad</v>
      </c>
      <c r="E4988" s="6" t="s">
        <v>91</v>
      </c>
      <c r="F4988" s="6" t="s">
        <v>8022</v>
      </c>
      <c r="G4988" s="6" t="s">
        <v>8385</v>
      </c>
      <c r="H4988" s="6" t="s">
        <v>55</v>
      </c>
      <c r="I4988" s="6" t="s">
        <v>8273</v>
      </c>
      <c r="J4988" s="6" t="s">
        <v>91</v>
      </c>
      <c r="K4988" s="12" t="str">
        <f t="shared" ref="K4988:K4989" si="1259">HYPERLINK("https://media.licdn.com/dms/image/v2/D4E10AQHNqKZuZJ-Kcw/image-shrink_1280/B4EZqC_GxQJgAM-/0/1763134173013/04_DarkMode_BlackFriday_2025?e=2147483647&amp;v=beta&amp;t=98YDnUQABZ9RILH9tTs1mPH8w_5i4cDy_RtMAaJfCGE","View Creative")</f>
        <v>View Creative</v>
      </c>
      <c r="L4988" s="6" t="s">
        <v>62</v>
      </c>
      <c r="M4988" s="6" t="s">
        <v>8270</v>
      </c>
      <c r="N4988" s="6" t="s">
        <v>8387</v>
      </c>
      <c r="O4988" s="36" t="s">
        <v>7541</v>
      </c>
      <c r="P4988" s="36" t="s">
        <v>7542</v>
      </c>
      <c r="Q4988" s="38"/>
    </row>
    <row r="4989">
      <c r="A4989" s="6" t="s">
        <v>8270</v>
      </c>
      <c r="B4989" s="6" t="s">
        <v>8271</v>
      </c>
      <c r="C4989" s="6">
        <v>938.0</v>
      </c>
      <c r="D4989" s="9" t="str">
        <f t="shared" si="1258"/>
        <v>Open Ad</v>
      </c>
      <c r="E4989" s="6" t="s">
        <v>91</v>
      </c>
      <c r="F4989" s="6" t="s">
        <v>8022</v>
      </c>
      <c r="G4989" s="6" t="s">
        <v>8385</v>
      </c>
      <c r="H4989" s="6" t="s">
        <v>55</v>
      </c>
      <c r="I4989" s="6" t="s">
        <v>8273</v>
      </c>
      <c r="J4989" s="6" t="s">
        <v>91</v>
      </c>
      <c r="K4989" s="12" t="str">
        <f t="shared" si="1259"/>
        <v>View Creative</v>
      </c>
      <c r="L4989" s="6" t="s">
        <v>62</v>
      </c>
      <c r="M4989" s="6" t="s">
        <v>8270</v>
      </c>
      <c r="N4989" s="6" t="s">
        <v>8387</v>
      </c>
      <c r="O4989" s="36" t="s">
        <v>7541</v>
      </c>
      <c r="P4989" s="36" t="s">
        <v>7542</v>
      </c>
      <c r="Q4989" s="38"/>
    </row>
    <row r="4990">
      <c r="A4990" s="6" t="s">
        <v>8270</v>
      </c>
      <c r="B4990" s="6" t="s">
        <v>8271</v>
      </c>
      <c r="C4990" s="6">
        <v>939.0</v>
      </c>
      <c r="D4990" s="9" t="str">
        <f t="shared" ref="D4990:D4991" si="1260">HYPERLINK("https://www.linkedin.com/ad-library/detail/913305274","Open Ad")</f>
        <v>Open Ad</v>
      </c>
      <c r="E4990" s="6" t="s">
        <v>91</v>
      </c>
      <c r="F4990" s="6" t="s">
        <v>8022</v>
      </c>
      <c r="G4990" s="6" t="s">
        <v>8373</v>
      </c>
      <c r="H4990" s="6" t="s">
        <v>55</v>
      </c>
      <c r="I4990" s="6" t="s">
        <v>8273</v>
      </c>
      <c r="J4990" s="6" t="s">
        <v>91</v>
      </c>
      <c r="K4990" s="12" t="str">
        <f t="shared" ref="K4990:K4991" si="1261">HYPERLINK("https://media.licdn.com/dms/image/v2/D4E10AQH4KbJnron-hg/image-shrink_1280/B4EZqC5azGIoAQ-/0/1763132682276/03_LightMode_BF_2025?e=2147483647&amp;v=beta&amp;t=2fD2NHgMBWscabGamUhK9kIggk9EgVdJ7at1LyNyAdY","View Creative")</f>
        <v>View Creative</v>
      </c>
      <c r="L4990" s="6" t="s">
        <v>62</v>
      </c>
      <c r="M4990" s="6" t="s">
        <v>8270</v>
      </c>
      <c r="N4990" s="6" t="s">
        <v>8387</v>
      </c>
      <c r="O4990" s="36" t="s">
        <v>7541</v>
      </c>
      <c r="P4990" s="36" t="s">
        <v>7542</v>
      </c>
      <c r="Q4990" s="38"/>
    </row>
    <row r="4991">
      <c r="A4991" s="6" t="s">
        <v>8270</v>
      </c>
      <c r="B4991" s="6" t="s">
        <v>8271</v>
      </c>
      <c r="C4991" s="6">
        <v>940.0</v>
      </c>
      <c r="D4991" s="9" t="str">
        <f t="shared" si="1260"/>
        <v>Open Ad</v>
      </c>
      <c r="E4991" s="6" t="s">
        <v>91</v>
      </c>
      <c r="F4991" s="6" t="s">
        <v>8022</v>
      </c>
      <c r="G4991" s="6" t="s">
        <v>8373</v>
      </c>
      <c r="H4991" s="6" t="s">
        <v>55</v>
      </c>
      <c r="I4991" s="6" t="s">
        <v>8273</v>
      </c>
      <c r="J4991" s="6" t="s">
        <v>91</v>
      </c>
      <c r="K4991" s="12" t="str">
        <f t="shared" si="1261"/>
        <v>View Creative</v>
      </c>
      <c r="L4991" s="6" t="s">
        <v>62</v>
      </c>
      <c r="M4991" s="6" t="s">
        <v>8270</v>
      </c>
      <c r="N4991" s="6" t="s">
        <v>8387</v>
      </c>
      <c r="O4991" s="36" t="s">
        <v>7541</v>
      </c>
      <c r="P4991" s="36" t="s">
        <v>7542</v>
      </c>
      <c r="Q4991" s="38"/>
    </row>
    <row r="4992">
      <c r="A4992" s="6" t="s">
        <v>8270</v>
      </c>
      <c r="B4992" s="6" t="s">
        <v>8271</v>
      </c>
      <c r="C4992" s="6">
        <v>941.0</v>
      </c>
      <c r="D4992" s="9" t="str">
        <f t="shared" ref="D4992:D4993" si="1262">HYPERLINK("https://www.linkedin.com/ad-library/detail/913384434","Open Ad")</f>
        <v>Open Ad</v>
      </c>
      <c r="E4992" s="6" t="s">
        <v>91</v>
      </c>
      <c r="F4992" s="6" t="s">
        <v>8022</v>
      </c>
      <c r="G4992" s="6" t="s">
        <v>8363</v>
      </c>
      <c r="H4992" s="6" t="s">
        <v>55</v>
      </c>
      <c r="I4992" s="6" t="s">
        <v>8273</v>
      </c>
      <c r="J4992" s="6" t="s">
        <v>91</v>
      </c>
      <c r="K4992" s="12" t="str">
        <f t="shared" ref="K4992:K4993" si="1263">HYPERLINK("https://media.licdn.com/dms/image/v2/D4E10AQEKGerJblQZtQ/image-shrink_1280/B4EZqC4qbTHgAM-/0/1763132484063/01_LightMode_BF_2025?e=2147483647&amp;v=beta&amp;t=BYRBuTv9G2TDFiwenmckUQPfsShbEby7_m0ZQnM1TMQ","View Creative")</f>
        <v>View Creative</v>
      </c>
      <c r="L4992" s="6" t="s">
        <v>62</v>
      </c>
      <c r="M4992" s="6" t="s">
        <v>8270</v>
      </c>
      <c r="N4992" s="6" t="s">
        <v>8387</v>
      </c>
      <c r="O4992" s="36" t="s">
        <v>7541</v>
      </c>
      <c r="P4992" s="36" t="s">
        <v>7542</v>
      </c>
      <c r="Q4992" s="38"/>
    </row>
    <row r="4993">
      <c r="A4993" s="6" t="s">
        <v>8270</v>
      </c>
      <c r="B4993" s="6" t="s">
        <v>8271</v>
      </c>
      <c r="C4993" s="6">
        <v>942.0</v>
      </c>
      <c r="D4993" s="9" t="str">
        <f t="shared" si="1262"/>
        <v>Open Ad</v>
      </c>
      <c r="E4993" s="6" t="s">
        <v>91</v>
      </c>
      <c r="F4993" s="6" t="s">
        <v>8022</v>
      </c>
      <c r="G4993" s="6" t="s">
        <v>8363</v>
      </c>
      <c r="H4993" s="6" t="s">
        <v>55</v>
      </c>
      <c r="I4993" s="6" t="s">
        <v>8273</v>
      </c>
      <c r="J4993" s="6" t="s">
        <v>91</v>
      </c>
      <c r="K4993" s="12" t="str">
        <f t="shared" si="1263"/>
        <v>View Creative</v>
      </c>
      <c r="L4993" s="6" t="s">
        <v>62</v>
      </c>
      <c r="M4993" s="6" t="s">
        <v>8270</v>
      </c>
      <c r="N4993" s="6" t="s">
        <v>8387</v>
      </c>
      <c r="O4993" s="36" t="s">
        <v>7541</v>
      </c>
      <c r="P4993" s="36" t="s">
        <v>7542</v>
      </c>
      <c r="Q4993" s="38"/>
    </row>
    <row r="4994">
      <c r="A4994" s="6" t="s">
        <v>8270</v>
      </c>
      <c r="B4994" s="6" t="s">
        <v>8271</v>
      </c>
      <c r="C4994" s="6">
        <v>943.0</v>
      </c>
      <c r="D4994" s="9" t="str">
        <f t="shared" ref="D4994:D4995" si="1264">HYPERLINK("https://www.linkedin.com/ad-library/detail/913384554","Open Ad")</f>
        <v>Open Ad</v>
      </c>
      <c r="E4994" s="6" t="s">
        <v>91</v>
      </c>
      <c r="F4994" s="6" t="s">
        <v>8022</v>
      </c>
      <c r="G4994" s="6" t="s">
        <v>8373</v>
      </c>
      <c r="H4994" s="6" t="s">
        <v>55</v>
      </c>
      <c r="I4994" s="6" t="s">
        <v>8273</v>
      </c>
      <c r="J4994" s="6" t="s">
        <v>91</v>
      </c>
      <c r="K4994" s="12" t="str">
        <f t="shared" ref="K4994:K4995" si="1265">HYPERLINK("https://media.licdn.com/dms/image/v2/D4E10AQH4KbJnron-hg/image-shrink_1280/B4EZqC5azGIoAQ-/0/1763132682276/03_LightMode_BF_2025?e=2147483647&amp;v=beta&amp;t=2fD2NHgMBWscabGamUhK9kIggk9EgVdJ7at1LyNyAdY","View Creative")</f>
        <v>View Creative</v>
      </c>
      <c r="L4994" s="6" t="s">
        <v>62</v>
      </c>
      <c r="M4994" s="6" t="s">
        <v>8270</v>
      </c>
      <c r="N4994" s="6" t="s">
        <v>8386</v>
      </c>
      <c r="O4994" s="36" t="s">
        <v>7541</v>
      </c>
      <c r="P4994" s="36" t="s">
        <v>7542</v>
      </c>
      <c r="Q4994" s="38"/>
    </row>
    <row r="4995">
      <c r="A4995" s="6" t="s">
        <v>8270</v>
      </c>
      <c r="B4995" s="6" t="s">
        <v>8271</v>
      </c>
      <c r="C4995" s="6">
        <v>944.0</v>
      </c>
      <c r="D4995" s="9" t="str">
        <f t="shared" si="1264"/>
        <v>Open Ad</v>
      </c>
      <c r="E4995" s="6" t="s">
        <v>91</v>
      </c>
      <c r="F4995" s="6" t="s">
        <v>8022</v>
      </c>
      <c r="G4995" s="6" t="s">
        <v>8373</v>
      </c>
      <c r="H4995" s="6" t="s">
        <v>55</v>
      </c>
      <c r="I4995" s="6" t="s">
        <v>8273</v>
      </c>
      <c r="J4995" s="6" t="s">
        <v>91</v>
      </c>
      <c r="K4995" s="12" t="str">
        <f t="shared" si="1265"/>
        <v>View Creative</v>
      </c>
      <c r="L4995" s="6" t="s">
        <v>62</v>
      </c>
      <c r="M4995" s="6" t="s">
        <v>8270</v>
      </c>
      <c r="N4995" s="6" t="s">
        <v>8386</v>
      </c>
      <c r="O4995" s="36" t="s">
        <v>7541</v>
      </c>
      <c r="P4995" s="36" t="s">
        <v>7542</v>
      </c>
      <c r="Q4995" s="38"/>
    </row>
    <row r="4996">
      <c r="A4996" s="6" t="s">
        <v>8270</v>
      </c>
      <c r="B4996" s="6" t="s">
        <v>8271</v>
      </c>
      <c r="C4996" s="6">
        <v>945.0</v>
      </c>
      <c r="D4996" s="9" t="str">
        <f t="shared" ref="D4996:D4997" si="1266">HYPERLINK("https://www.linkedin.com/ad-library/detail/913374734","Open Ad")</f>
        <v>Open Ad</v>
      </c>
      <c r="E4996" s="6" t="s">
        <v>91</v>
      </c>
      <c r="F4996" s="6" t="s">
        <v>8022</v>
      </c>
      <c r="G4996" s="6" t="s">
        <v>8363</v>
      </c>
      <c r="H4996" s="6" t="s">
        <v>55</v>
      </c>
      <c r="I4996" s="6" t="s">
        <v>8273</v>
      </c>
      <c r="J4996" s="6" t="s">
        <v>91</v>
      </c>
      <c r="K4996" s="12" t="str">
        <f t="shared" ref="K4996:K4997" si="1267">HYPERLINK("https://media.licdn.com/dms/image/v2/D4E10AQFexWlh0MX-gA/image-shrink_1280/B4EZqC_cRHKcAM-/0/1763134261281/01_DarkMode_BlackFriday_2025?e=2147483647&amp;v=beta&amp;t=uSZ5rrxoO0HNeiPSoheV2lqfeveTwcg1El6k2WfkDAM","View Creative")</f>
        <v>View Creative</v>
      </c>
      <c r="L4996" s="6" t="s">
        <v>62</v>
      </c>
      <c r="M4996" s="6" t="s">
        <v>8270</v>
      </c>
      <c r="N4996" s="6" t="s">
        <v>8387</v>
      </c>
      <c r="O4996" s="36" t="s">
        <v>7541</v>
      </c>
      <c r="P4996" s="36" t="s">
        <v>7542</v>
      </c>
      <c r="Q4996" s="38"/>
    </row>
    <row r="4997">
      <c r="A4997" s="6" t="s">
        <v>8270</v>
      </c>
      <c r="B4997" s="6" t="s">
        <v>8271</v>
      </c>
      <c r="C4997" s="6">
        <v>946.0</v>
      </c>
      <c r="D4997" s="9" t="str">
        <f t="shared" si="1266"/>
        <v>Open Ad</v>
      </c>
      <c r="E4997" s="6" t="s">
        <v>91</v>
      </c>
      <c r="F4997" s="6" t="s">
        <v>8022</v>
      </c>
      <c r="G4997" s="6" t="s">
        <v>8363</v>
      </c>
      <c r="H4997" s="6" t="s">
        <v>55</v>
      </c>
      <c r="I4997" s="6" t="s">
        <v>8273</v>
      </c>
      <c r="J4997" s="6" t="s">
        <v>91</v>
      </c>
      <c r="K4997" s="12" t="str">
        <f t="shared" si="1267"/>
        <v>View Creative</v>
      </c>
      <c r="L4997" s="6" t="s">
        <v>62</v>
      </c>
      <c r="M4997" s="6" t="s">
        <v>8270</v>
      </c>
      <c r="N4997" s="6" t="s">
        <v>8387</v>
      </c>
      <c r="O4997" s="36" t="s">
        <v>7541</v>
      </c>
      <c r="P4997" s="36" t="s">
        <v>7542</v>
      </c>
      <c r="Q4997" s="38"/>
    </row>
    <row r="4998">
      <c r="A4998" s="6" t="s">
        <v>8270</v>
      </c>
      <c r="B4998" s="6" t="s">
        <v>8271</v>
      </c>
      <c r="C4998" s="6">
        <v>947.0</v>
      </c>
      <c r="D4998" s="9" t="str">
        <f t="shared" ref="D4998:D4999" si="1268">HYPERLINK("https://www.linkedin.com/ad-library/detail/913404394","Open Ad")</f>
        <v>Open Ad</v>
      </c>
      <c r="E4998" s="6" t="s">
        <v>91</v>
      </c>
      <c r="F4998" s="6" t="s">
        <v>8022</v>
      </c>
      <c r="G4998" s="6" t="s">
        <v>8385</v>
      </c>
      <c r="H4998" s="6" t="s">
        <v>55</v>
      </c>
      <c r="I4998" s="6" t="s">
        <v>8273</v>
      </c>
      <c r="J4998" s="6" t="s">
        <v>91</v>
      </c>
      <c r="K4998" s="12" t="str">
        <f t="shared" ref="K4998:K4999" si="1269">HYPERLINK("https://media.licdn.com/dms/image/v2/D4E10AQHNqKZuZJ-Kcw/image-shrink_1280/B4EZqC_GxQJgAM-/0/1763134173013/04_DarkMode_BlackFriday_2025?e=2147483647&amp;v=beta&amp;t=98YDnUQABZ9RILH9tTs1mPH8w_5i4cDy_RtMAaJfCGE","View Creative")</f>
        <v>View Creative</v>
      </c>
      <c r="L4998" s="6" t="s">
        <v>62</v>
      </c>
      <c r="M4998" s="6" t="s">
        <v>8270</v>
      </c>
      <c r="N4998" s="6" t="s">
        <v>8387</v>
      </c>
      <c r="O4998" s="36" t="s">
        <v>7541</v>
      </c>
      <c r="P4998" s="36" t="s">
        <v>7542</v>
      </c>
      <c r="Q4998" s="38"/>
    </row>
    <row r="4999">
      <c r="A4999" s="6" t="s">
        <v>8270</v>
      </c>
      <c r="B4999" s="6" t="s">
        <v>8271</v>
      </c>
      <c r="C4999" s="6">
        <v>948.0</v>
      </c>
      <c r="D4999" s="9" t="str">
        <f t="shared" si="1268"/>
        <v>Open Ad</v>
      </c>
      <c r="E4999" s="6" t="s">
        <v>91</v>
      </c>
      <c r="F4999" s="6" t="s">
        <v>8022</v>
      </c>
      <c r="G4999" s="6" t="s">
        <v>8385</v>
      </c>
      <c r="H4999" s="6" t="s">
        <v>55</v>
      </c>
      <c r="I4999" s="6" t="s">
        <v>8273</v>
      </c>
      <c r="J4999" s="6" t="s">
        <v>91</v>
      </c>
      <c r="K4999" s="12" t="str">
        <f t="shared" si="1269"/>
        <v>View Creative</v>
      </c>
      <c r="L4999" s="6" t="s">
        <v>62</v>
      </c>
      <c r="M4999" s="6" t="s">
        <v>8270</v>
      </c>
      <c r="N4999" s="6" t="s">
        <v>8387</v>
      </c>
      <c r="O4999" s="36" t="s">
        <v>7541</v>
      </c>
      <c r="P4999" s="36" t="s">
        <v>7542</v>
      </c>
      <c r="Q4999" s="38"/>
    </row>
    <row r="5000">
      <c r="A5000" s="6" t="s">
        <v>8270</v>
      </c>
      <c r="B5000" s="6" t="s">
        <v>8271</v>
      </c>
      <c r="C5000" s="6">
        <v>949.0</v>
      </c>
      <c r="D5000" s="9" t="str">
        <f t="shared" ref="D5000:D5001" si="1270">HYPERLINK("https://www.linkedin.com/ad-library/detail/913394804","Open Ad")</f>
        <v>Open Ad</v>
      </c>
      <c r="E5000" s="6" t="s">
        <v>91</v>
      </c>
      <c r="F5000" s="6" t="s">
        <v>8022</v>
      </c>
      <c r="G5000" s="6" t="s">
        <v>8363</v>
      </c>
      <c r="H5000" s="6" t="s">
        <v>55</v>
      </c>
      <c r="I5000" s="6" t="s">
        <v>8273</v>
      </c>
      <c r="J5000" s="6" t="s">
        <v>91</v>
      </c>
      <c r="K5000" s="12" t="str">
        <f t="shared" ref="K5000:K5001" si="1271">HYPERLINK("https://media.licdn.com/dms/image/v2/D4E10AQFexWlh0MX-gA/image-shrink_1280/B4EZqC_cRHKcAM-/0/1763134261281/01_DarkMode_BlackFriday_2025?e=2147483647&amp;v=beta&amp;t=uSZ5rrxoO0HNeiPSoheV2lqfeveTwcg1El6k2WfkDAM","View Creative")</f>
        <v>View Creative</v>
      </c>
      <c r="L5000" s="6" t="s">
        <v>62</v>
      </c>
      <c r="M5000" s="6" t="s">
        <v>8270</v>
      </c>
      <c r="N5000" s="6" t="s">
        <v>8386</v>
      </c>
      <c r="O5000" s="36" t="s">
        <v>7541</v>
      </c>
      <c r="P5000" s="36" t="s">
        <v>7542</v>
      </c>
      <c r="Q5000" s="38"/>
    </row>
    <row r="5001">
      <c r="A5001" s="6" t="s">
        <v>8270</v>
      </c>
      <c r="B5001" s="6" t="s">
        <v>8271</v>
      </c>
      <c r="C5001" s="6">
        <v>950.0</v>
      </c>
      <c r="D5001" s="9" t="str">
        <f t="shared" si="1270"/>
        <v>Open Ad</v>
      </c>
      <c r="E5001" s="6" t="s">
        <v>91</v>
      </c>
      <c r="F5001" s="6" t="s">
        <v>8022</v>
      </c>
      <c r="G5001" s="6" t="s">
        <v>8363</v>
      </c>
      <c r="H5001" s="6" t="s">
        <v>55</v>
      </c>
      <c r="I5001" s="6" t="s">
        <v>8273</v>
      </c>
      <c r="J5001" s="6" t="s">
        <v>91</v>
      </c>
      <c r="K5001" s="12" t="str">
        <f t="shared" si="1271"/>
        <v>View Creative</v>
      </c>
      <c r="L5001" s="6" t="s">
        <v>62</v>
      </c>
      <c r="M5001" s="6" t="s">
        <v>8270</v>
      </c>
      <c r="N5001" s="6" t="s">
        <v>8386</v>
      </c>
      <c r="O5001" s="36" t="s">
        <v>7541</v>
      </c>
      <c r="P5001" s="36" t="s">
        <v>7542</v>
      </c>
      <c r="Q5001" s="38"/>
    </row>
    <row r="5002">
      <c r="A5002" s="6" t="s">
        <v>8270</v>
      </c>
      <c r="B5002" s="6" t="s">
        <v>8271</v>
      </c>
      <c r="C5002" s="6">
        <v>951.0</v>
      </c>
      <c r="D5002" s="9" t="str">
        <f t="shared" ref="D5002:D5003" si="1272">HYPERLINK("https://www.linkedin.com/ad-library/detail/913424354","Open Ad")</f>
        <v>Open Ad</v>
      </c>
      <c r="E5002" s="6" t="s">
        <v>91</v>
      </c>
      <c r="F5002" s="6" t="s">
        <v>8022</v>
      </c>
      <c r="G5002" s="6" t="s">
        <v>8382</v>
      </c>
      <c r="H5002" s="6" t="s">
        <v>55</v>
      </c>
      <c r="I5002" s="6" t="s">
        <v>8273</v>
      </c>
      <c r="J5002" s="6" t="s">
        <v>91</v>
      </c>
      <c r="K5002" s="12" t="str">
        <f t="shared" ref="K5002:K5005" si="1273">HYPERLINK("https://media.licdn.com/dms/image/v2/D4E10AQGCEicWihyXBg/image-shrink_1280/B4EZqC_RgBKcAM-/0/1763134217156/02_DarkMode_BlackFriday_2025?e=2147483647&amp;v=beta&amp;t=DWqHNXUw-Qvi6BwVitajcVLKefJKn0rH1xGu0yHXy6I","View Creative")</f>
        <v>View Creative</v>
      </c>
      <c r="L5002" s="6" t="s">
        <v>62</v>
      </c>
      <c r="M5002" s="6" t="s">
        <v>8270</v>
      </c>
      <c r="N5002" s="6" t="s">
        <v>8387</v>
      </c>
      <c r="O5002" s="36" t="s">
        <v>7541</v>
      </c>
      <c r="P5002" s="36" t="s">
        <v>7542</v>
      </c>
      <c r="Q5002" s="38"/>
    </row>
    <row r="5003">
      <c r="A5003" s="6" t="s">
        <v>8270</v>
      </c>
      <c r="B5003" s="6" t="s">
        <v>8271</v>
      </c>
      <c r="C5003" s="6">
        <v>952.0</v>
      </c>
      <c r="D5003" s="9" t="str">
        <f t="shared" si="1272"/>
        <v>Open Ad</v>
      </c>
      <c r="E5003" s="6" t="s">
        <v>91</v>
      </c>
      <c r="F5003" s="6" t="s">
        <v>8022</v>
      </c>
      <c r="G5003" s="6" t="s">
        <v>8382</v>
      </c>
      <c r="H5003" s="6" t="s">
        <v>55</v>
      </c>
      <c r="I5003" s="6" t="s">
        <v>8273</v>
      </c>
      <c r="J5003" s="6" t="s">
        <v>91</v>
      </c>
      <c r="K5003" s="12" t="str">
        <f t="shared" si="1273"/>
        <v>View Creative</v>
      </c>
      <c r="L5003" s="6" t="s">
        <v>62</v>
      </c>
      <c r="M5003" s="6" t="s">
        <v>8270</v>
      </c>
      <c r="N5003" s="6" t="s">
        <v>8387</v>
      </c>
      <c r="O5003" s="36" t="s">
        <v>7541</v>
      </c>
      <c r="P5003" s="36" t="s">
        <v>7542</v>
      </c>
      <c r="Q5003" s="38"/>
    </row>
    <row r="5004">
      <c r="A5004" s="6" t="s">
        <v>8270</v>
      </c>
      <c r="B5004" s="6" t="s">
        <v>8271</v>
      </c>
      <c r="C5004" s="6">
        <v>953.0</v>
      </c>
      <c r="D5004" s="9" t="str">
        <f t="shared" ref="D5004:D5005" si="1274">HYPERLINK("https://www.linkedin.com/ad-library/detail/913493054","Open Ad")</f>
        <v>Open Ad</v>
      </c>
      <c r="E5004" s="6" t="s">
        <v>91</v>
      </c>
      <c r="F5004" s="6" t="s">
        <v>8022</v>
      </c>
      <c r="G5004" s="6" t="s">
        <v>8382</v>
      </c>
      <c r="H5004" s="6" t="s">
        <v>55</v>
      </c>
      <c r="I5004" s="6" t="s">
        <v>8273</v>
      </c>
      <c r="J5004" s="6" t="s">
        <v>91</v>
      </c>
      <c r="K5004" s="12" t="str">
        <f t="shared" si="1273"/>
        <v>View Creative</v>
      </c>
      <c r="L5004" s="6" t="s">
        <v>62</v>
      </c>
      <c r="M5004" s="6" t="s">
        <v>8270</v>
      </c>
      <c r="N5004" s="6" t="s">
        <v>8386</v>
      </c>
      <c r="O5004" s="36" t="s">
        <v>7541</v>
      </c>
      <c r="P5004" s="36" t="s">
        <v>7542</v>
      </c>
      <c r="Q5004" s="38"/>
    </row>
    <row r="5005">
      <c r="A5005" s="6" t="s">
        <v>8270</v>
      </c>
      <c r="B5005" s="6" t="s">
        <v>8271</v>
      </c>
      <c r="C5005" s="6">
        <v>954.0</v>
      </c>
      <c r="D5005" s="9" t="str">
        <f t="shared" si="1274"/>
        <v>Open Ad</v>
      </c>
      <c r="E5005" s="6" t="s">
        <v>91</v>
      </c>
      <c r="F5005" s="6" t="s">
        <v>8022</v>
      </c>
      <c r="G5005" s="6" t="s">
        <v>8382</v>
      </c>
      <c r="H5005" s="6" t="s">
        <v>55</v>
      </c>
      <c r="I5005" s="6" t="s">
        <v>8273</v>
      </c>
      <c r="J5005" s="6" t="s">
        <v>91</v>
      </c>
      <c r="K5005" s="12" t="str">
        <f t="shared" si="1273"/>
        <v>View Creative</v>
      </c>
      <c r="L5005" s="6" t="s">
        <v>62</v>
      </c>
      <c r="M5005" s="6" t="s">
        <v>8270</v>
      </c>
      <c r="N5005" s="6" t="s">
        <v>8386</v>
      </c>
      <c r="O5005" s="36" t="s">
        <v>7541</v>
      </c>
      <c r="P5005" s="36" t="s">
        <v>7542</v>
      </c>
      <c r="Q5005" s="38"/>
    </row>
    <row r="5006">
      <c r="A5006" s="6" t="s">
        <v>8270</v>
      </c>
      <c r="B5006" s="6" t="s">
        <v>8271</v>
      </c>
      <c r="C5006" s="6">
        <v>955.0</v>
      </c>
      <c r="D5006" s="9" t="str">
        <f t="shared" ref="D5006:D5007" si="1275">HYPERLINK("https://www.linkedin.com/ad-library/detail/913433804","Open Ad")</f>
        <v>Open Ad</v>
      </c>
      <c r="E5006" s="6" t="s">
        <v>91</v>
      </c>
      <c r="F5006" s="6" t="s">
        <v>8022</v>
      </c>
      <c r="G5006" s="6" t="s">
        <v>8373</v>
      </c>
      <c r="H5006" s="6" t="s">
        <v>55</v>
      </c>
      <c r="I5006" s="6" t="s">
        <v>8273</v>
      </c>
      <c r="J5006" s="6" t="s">
        <v>91</v>
      </c>
      <c r="K5006" s="12" t="str">
        <f t="shared" ref="K5006:K5009" si="1276">HYPERLINK("https://media.licdn.com/dms/image/v2/D4E10AQFvKvCCCsOtdQ/image-shrink_1280/B4EZqC.6_vKgAM-/0/1763134124978/03_DarkMode_BlackFriday_2025?e=2147483647&amp;v=beta&amp;t=nrK_vpHeevxb-24dY9crEv__P_SJKfxN51Ug_PIU1mY","View Creative")</f>
        <v>View Creative</v>
      </c>
      <c r="L5006" s="6" t="s">
        <v>62</v>
      </c>
      <c r="M5006" s="6" t="s">
        <v>8270</v>
      </c>
      <c r="N5006" s="6" t="s">
        <v>8387</v>
      </c>
      <c r="O5006" s="36" t="s">
        <v>7541</v>
      </c>
      <c r="P5006" s="36" t="s">
        <v>7542</v>
      </c>
      <c r="Q5006" s="38"/>
    </row>
    <row r="5007">
      <c r="A5007" s="6" t="s">
        <v>8270</v>
      </c>
      <c r="B5007" s="6" t="s">
        <v>8271</v>
      </c>
      <c r="C5007" s="6">
        <v>956.0</v>
      </c>
      <c r="D5007" s="9" t="str">
        <f t="shared" si="1275"/>
        <v>Open Ad</v>
      </c>
      <c r="E5007" s="6" t="s">
        <v>91</v>
      </c>
      <c r="F5007" s="6" t="s">
        <v>8022</v>
      </c>
      <c r="G5007" s="6" t="s">
        <v>8373</v>
      </c>
      <c r="H5007" s="6" t="s">
        <v>55</v>
      </c>
      <c r="I5007" s="6" t="s">
        <v>8273</v>
      </c>
      <c r="J5007" s="6" t="s">
        <v>91</v>
      </c>
      <c r="K5007" s="12" t="str">
        <f t="shared" si="1276"/>
        <v>View Creative</v>
      </c>
      <c r="L5007" s="6" t="s">
        <v>62</v>
      </c>
      <c r="M5007" s="6" t="s">
        <v>8270</v>
      </c>
      <c r="N5007" s="6" t="s">
        <v>8387</v>
      </c>
      <c r="O5007" s="36" t="s">
        <v>7541</v>
      </c>
      <c r="P5007" s="36" t="s">
        <v>7542</v>
      </c>
      <c r="Q5007" s="38"/>
    </row>
    <row r="5008">
      <c r="A5008" s="6" t="s">
        <v>8270</v>
      </c>
      <c r="B5008" s="6" t="s">
        <v>8271</v>
      </c>
      <c r="C5008" s="6">
        <v>957.0</v>
      </c>
      <c r="D5008" s="9" t="str">
        <f t="shared" ref="D5008:D5009" si="1277">HYPERLINK("https://www.linkedin.com/ad-library/detail/913454014","Open Ad")</f>
        <v>Open Ad</v>
      </c>
      <c r="E5008" s="6" t="s">
        <v>91</v>
      </c>
      <c r="F5008" s="6" t="s">
        <v>8022</v>
      </c>
      <c r="G5008" s="6" t="s">
        <v>8373</v>
      </c>
      <c r="H5008" s="6" t="s">
        <v>55</v>
      </c>
      <c r="I5008" s="6" t="s">
        <v>8273</v>
      </c>
      <c r="J5008" s="6" t="s">
        <v>91</v>
      </c>
      <c r="K5008" s="12" t="str">
        <f t="shared" si="1276"/>
        <v>View Creative</v>
      </c>
      <c r="L5008" s="6" t="s">
        <v>62</v>
      </c>
      <c r="M5008" s="6" t="s">
        <v>8270</v>
      </c>
      <c r="N5008" s="6" t="s">
        <v>8386</v>
      </c>
      <c r="O5008" s="36" t="s">
        <v>7541</v>
      </c>
      <c r="P5008" s="36" t="s">
        <v>7542</v>
      </c>
      <c r="Q5008" s="38"/>
    </row>
    <row r="5009">
      <c r="A5009" s="6" t="s">
        <v>8270</v>
      </c>
      <c r="B5009" s="6" t="s">
        <v>8271</v>
      </c>
      <c r="C5009" s="6">
        <v>958.0</v>
      </c>
      <c r="D5009" s="9" t="str">
        <f t="shared" si="1277"/>
        <v>Open Ad</v>
      </c>
      <c r="E5009" s="6" t="s">
        <v>91</v>
      </c>
      <c r="F5009" s="6" t="s">
        <v>8022</v>
      </c>
      <c r="G5009" s="6" t="s">
        <v>8373</v>
      </c>
      <c r="H5009" s="6" t="s">
        <v>55</v>
      </c>
      <c r="I5009" s="6" t="s">
        <v>8273</v>
      </c>
      <c r="J5009" s="6" t="s">
        <v>91</v>
      </c>
      <c r="K5009" s="12" t="str">
        <f t="shared" si="1276"/>
        <v>View Creative</v>
      </c>
      <c r="L5009" s="6" t="s">
        <v>62</v>
      </c>
      <c r="M5009" s="6" t="s">
        <v>8270</v>
      </c>
      <c r="N5009" s="6" t="s">
        <v>8386</v>
      </c>
      <c r="O5009" s="36" t="s">
        <v>7541</v>
      </c>
      <c r="P5009" s="36" t="s">
        <v>7542</v>
      </c>
      <c r="Q5009" s="38"/>
    </row>
    <row r="5010">
      <c r="A5010" s="6" t="s">
        <v>8270</v>
      </c>
      <c r="B5010" s="6" t="s">
        <v>8271</v>
      </c>
      <c r="C5010" s="6">
        <v>959.0</v>
      </c>
      <c r="D5010" s="9" t="str">
        <f t="shared" ref="D5010:D5011" si="1278">HYPERLINK("https://www.linkedin.com/ad-library/detail/913286594","Open Ad")</f>
        <v>Open Ad</v>
      </c>
      <c r="E5010" s="6" t="s">
        <v>91</v>
      </c>
      <c r="F5010" s="6" t="s">
        <v>8022</v>
      </c>
      <c r="G5010" s="6" t="s">
        <v>8385</v>
      </c>
      <c r="H5010" s="6" t="s">
        <v>55</v>
      </c>
      <c r="I5010" s="6" t="s">
        <v>8273</v>
      </c>
      <c r="J5010" s="6" t="s">
        <v>91</v>
      </c>
      <c r="K5010" s="12" t="str">
        <f t="shared" ref="K5010:K5011" si="1279">HYPERLINK("https://media.licdn.com/dms/image/v2/D4E10AQH5LV07JtBuaQ/image-shrink_1280/B4EZqC6R8nKMAQ-/0/1763132908157/04_Image_LightMode_BF_2025?e=2147483647&amp;v=beta&amp;t=0LIBL9DELBXLrwDrF_u1qNBjgAc35mM-OPOwvdYz4ds","View Creative")</f>
        <v>View Creative</v>
      </c>
      <c r="L5010" s="6" t="s">
        <v>62</v>
      </c>
      <c r="M5010" s="6" t="s">
        <v>8270</v>
      </c>
      <c r="N5010" s="6" t="s">
        <v>8386</v>
      </c>
      <c r="O5010" s="36" t="s">
        <v>7541</v>
      </c>
      <c r="P5010" s="36" t="s">
        <v>7542</v>
      </c>
      <c r="Q5010" s="38"/>
    </row>
    <row r="5011">
      <c r="A5011" s="6" t="s">
        <v>8270</v>
      </c>
      <c r="B5011" s="6" t="s">
        <v>8271</v>
      </c>
      <c r="C5011" s="6">
        <v>960.0</v>
      </c>
      <c r="D5011" s="9" t="str">
        <f t="shared" si="1278"/>
        <v>Open Ad</v>
      </c>
      <c r="E5011" s="6" t="s">
        <v>91</v>
      </c>
      <c r="F5011" s="6" t="s">
        <v>8022</v>
      </c>
      <c r="G5011" s="6" t="s">
        <v>8385</v>
      </c>
      <c r="H5011" s="6" t="s">
        <v>55</v>
      </c>
      <c r="I5011" s="6" t="s">
        <v>8273</v>
      </c>
      <c r="J5011" s="6" t="s">
        <v>91</v>
      </c>
      <c r="K5011" s="12" t="str">
        <f t="shared" si="1279"/>
        <v>View Creative</v>
      </c>
      <c r="L5011" s="6" t="s">
        <v>62</v>
      </c>
      <c r="M5011" s="6" t="s">
        <v>8270</v>
      </c>
      <c r="N5011" s="6" t="s">
        <v>8386</v>
      </c>
      <c r="O5011" s="36" t="s">
        <v>7541</v>
      </c>
      <c r="P5011" s="36" t="s">
        <v>7542</v>
      </c>
      <c r="Q5011" s="38"/>
    </row>
    <row r="5012">
      <c r="A5012" s="6" t="s">
        <v>8270</v>
      </c>
      <c r="B5012" s="6" t="s">
        <v>8271</v>
      </c>
      <c r="C5012" s="6">
        <v>961.0</v>
      </c>
      <c r="D5012" s="9" t="str">
        <f t="shared" ref="D5012:D5013" si="1280">HYPERLINK("https://www.linkedin.com/ad-library/detail/268341254","Open Ad")</f>
        <v>Open Ad</v>
      </c>
      <c r="E5012" s="6" t="s">
        <v>91</v>
      </c>
      <c r="F5012" s="6" t="s">
        <v>8022</v>
      </c>
      <c r="G5012" s="6" t="s">
        <v>8390</v>
      </c>
      <c r="H5012" s="6" t="s">
        <v>55</v>
      </c>
      <c r="I5012" s="6" t="s">
        <v>8273</v>
      </c>
      <c r="J5012" s="6" t="s">
        <v>91</v>
      </c>
      <c r="K5012" s="12" t="str">
        <f t="shared" ref="K5012:K5013" si="1281">HYPERLINK("https://media.licdn.com/dms/image/v2/D4E22AQERbyEIbyaUXw/feedshare-shrink_1280/B4EZpJGzEFHoAs-/0/1762163113107?e=2147483647&amp;v=beta&amp;t=gwcW8874cmtFx5kqhip7Y4BA9kiJygT54khxBH7WM8k","View Creative")</f>
        <v>View Creative</v>
      </c>
      <c r="L5012" s="6" t="s">
        <v>62</v>
      </c>
      <c r="M5012" s="6" t="s">
        <v>8270</v>
      </c>
      <c r="N5012" s="6" t="s">
        <v>8391</v>
      </c>
      <c r="O5012" s="36" t="s">
        <v>7541</v>
      </c>
      <c r="P5012" s="36" t="s">
        <v>7542</v>
      </c>
      <c r="Q5012" s="38"/>
    </row>
    <row r="5013">
      <c r="A5013" s="6" t="s">
        <v>8270</v>
      </c>
      <c r="B5013" s="6" t="s">
        <v>8271</v>
      </c>
      <c r="C5013" s="6">
        <v>962.0</v>
      </c>
      <c r="D5013" s="9" t="str">
        <f t="shared" si="1280"/>
        <v>Open Ad</v>
      </c>
      <c r="E5013" s="6" t="s">
        <v>91</v>
      </c>
      <c r="F5013" s="6" t="s">
        <v>8022</v>
      </c>
      <c r="G5013" s="6" t="s">
        <v>8390</v>
      </c>
      <c r="H5013" s="6" t="s">
        <v>55</v>
      </c>
      <c r="I5013" s="6" t="s">
        <v>8273</v>
      </c>
      <c r="J5013" s="6" t="s">
        <v>91</v>
      </c>
      <c r="K5013" s="12" t="str">
        <f t="shared" si="1281"/>
        <v>View Creative</v>
      </c>
      <c r="L5013" s="6" t="s">
        <v>62</v>
      </c>
      <c r="M5013" s="6" t="s">
        <v>8270</v>
      </c>
      <c r="N5013" s="6" t="s">
        <v>8391</v>
      </c>
      <c r="O5013" s="36" t="s">
        <v>7541</v>
      </c>
      <c r="P5013" s="36" t="s">
        <v>7542</v>
      </c>
      <c r="Q5013" s="38"/>
    </row>
    <row r="5014">
      <c r="A5014" s="6" t="s">
        <v>8270</v>
      </c>
      <c r="B5014" s="6" t="s">
        <v>8271</v>
      </c>
      <c r="C5014" s="6">
        <v>963.0</v>
      </c>
      <c r="D5014" s="9" t="str">
        <f t="shared" ref="D5014:D5015" si="1282">HYPERLINK("https://www.linkedin.com/ad-library/detail/895131134","Open Ad")</f>
        <v>Open Ad</v>
      </c>
      <c r="E5014" s="6" t="s">
        <v>91</v>
      </c>
      <c r="F5014" s="6" t="s">
        <v>8022</v>
      </c>
      <c r="G5014" s="6" t="s">
        <v>8392</v>
      </c>
      <c r="H5014" s="6" t="s">
        <v>55</v>
      </c>
      <c r="I5014" s="6" t="s">
        <v>8273</v>
      </c>
      <c r="J5014" s="6" t="s">
        <v>91</v>
      </c>
      <c r="K5014" s="12" t="str">
        <f t="shared" ref="K5014:K5015" si="1283">HYPERLINK("https://media.licdn.com/dms/image/v2/D4E10AQHfazS8RTA1xA/image-shrink_1280/B4EZpTyubtJ0AQ-/0/1762342398896/4x5-3png?e=2147483647&amp;v=beta&amp;t=b6_kLHACIsvjiEeFNoJS1z_7ViWx7OlIgIu2IwYKtJ4","View Creative")</f>
        <v>View Creative</v>
      </c>
      <c r="L5014" s="6" t="s">
        <v>62</v>
      </c>
      <c r="M5014" s="6" t="s">
        <v>8270</v>
      </c>
      <c r="N5014" s="6" t="s">
        <v>8393</v>
      </c>
      <c r="O5014" s="36" t="s">
        <v>7541</v>
      </c>
      <c r="P5014" s="36" t="s">
        <v>7542</v>
      </c>
      <c r="Q5014" s="38"/>
    </row>
    <row r="5015">
      <c r="A5015" s="6" t="s">
        <v>8270</v>
      </c>
      <c r="B5015" s="6" t="s">
        <v>8271</v>
      </c>
      <c r="C5015" s="6">
        <v>964.0</v>
      </c>
      <c r="D5015" s="9" t="str">
        <f t="shared" si="1282"/>
        <v>Open Ad</v>
      </c>
      <c r="E5015" s="6" t="s">
        <v>91</v>
      </c>
      <c r="F5015" s="6" t="s">
        <v>8022</v>
      </c>
      <c r="G5015" s="6" t="s">
        <v>8392</v>
      </c>
      <c r="H5015" s="6" t="s">
        <v>55</v>
      </c>
      <c r="I5015" s="6" t="s">
        <v>8273</v>
      </c>
      <c r="J5015" s="6" t="s">
        <v>91</v>
      </c>
      <c r="K5015" s="12" t="str">
        <f t="shared" si="1283"/>
        <v>View Creative</v>
      </c>
      <c r="L5015" s="6" t="s">
        <v>62</v>
      </c>
      <c r="M5015" s="6" t="s">
        <v>8270</v>
      </c>
      <c r="N5015" s="6" t="s">
        <v>8393</v>
      </c>
      <c r="O5015" s="36" t="s">
        <v>7541</v>
      </c>
      <c r="P5015" s="36" t="s">
        <v>7542</v>
      </c>
      <c r="Q5015" s="38"/>
    </row>
    <row r="5016">
      <c r="A5016" s="6" t="s">
        <v>8270</v>
      </c>
      <c r="B5016" s="6" t="s">
        <v>8271</v>
      </c>
      <c r="C5016" s="6">
        <v>965.0</v>
      </c>
      <c r="D5016" s="9" t="str">
        <f t="shared" ref="D5016:D5017" si="1284">HYPERLINK("https://www.linkedin.com/ad-library/detail/895072004","Open Ad")</f>
        <v>Open Ad</v>
      </c>
      <c r="E5016" s="6" t="s">
        <v>91</v>
      </c>
      <c r="F5016" s="6" t="s">
        <v>8022</v>
      </c>
      <c r="G5016" s="6" t="s">
        <v>8394</v>
      </c>
      <c r="H5016" s="6" t="s">
        <v>55</v>
      </c>
      <c r="I5016" s="6" t="s">
        <v>8273</v>
      </c>
      <c r="J5016" s="6" t="s">
        <v>91</v>
      </c>
      <c r="K5016" s="12" t="str">
        <f t="shared" ref="K5016:K5017" si="1285">HYPERLINK("https://media.licdn.com/dms/image/v2/D4E10AQFaH_MsoJQIkg/image-shrink_1280/B4EZpTyrkSGYAM-/0/1762342387147/AdCreative275png?e=2147483647&amp;v=beta&amp;t=jjir9E0Hm3oEoK25EHZIDQJ-csRuQXJ1Nk861d2FXkc","View Creative")</f>
        <v>View Creative</v>
      </c>
      <c r="L5016" s="6" t="s">
        <v>62</v>
      </c>
      <c r="M5016" s="6" t="s">
        <v>8270</v>
      </c>
      <c r="N5016" s="6" t="s">
        <v>8393</v>
      </c>
      <c r="O5016" s="36" t="s">
        <v>7541</v>
      </c>
      <c r="P5016" s="36" t="s">
        <v>7542</v>
      </c>
      <c r="Q5016" s="38"/>
    </row>
    <row r="5017">
      <c r="A5017" s="6" t="s">
        <v>8270</v>
      </c>
      <c r="B5017" s="6" t="s">
        <v>8271</v>
      </c>
      <c r="C5017" s="6">
        <v>966.0</v>
      </c>
      <c r="D5017" s="9" t="str">
        <f t="shared" si="1284"/>
        <v>Open Ad</v>
      </c>
      <c r="E5017" s="6" t="s">
        <v>91</v>
      </c>
      <c r="F5017" s="6" t="s">
        <v>8022</v>
      </c>
      <c r="G5017" s="6" t="s">
        <v>8394</v>
      </c>
      <c r="H5017" s="6" t="s">
        <v>55</v>
      </c>
      <c r="I5017" s="6" t="s">
        <v>8273</v>
      </c>
      <c r="J5017" s="6" t="s">
        <v>91</v>
      </c>
      <c r="K5017" s="12" t="str">
        <f t="shared" si="1285"/>
        <v>View Creative</v>
      </c>
      <c r="L5017" s="6" t="s">
        <v>62</v>
      </c>
      <c r="M5017" s="6" t="s">
        <v>8270</v>
      </c>
      <c r="N5017" s="6" t="s">
        <v>8393</v>
      </c>
      <c r="O5017" s="36" t="s">
        <v>7541</v>
      </c>
      <c r="P5017" s="36" t="s">
        <v>7542</v>
      </c>
      <c r="Q5017" s="38"/>
    </row>
    <row r="5018">
      <c r="A5018" s="6"/>
      <c r="B5018" s="6"/>
      <c r="C5018" s="6"/>
      <c r="E5018" s="6"/>
      <c r="F5018" s="6"/>
      <c r="G5018" s="6"/>
      <c r="H5018" s="6"/>
      <c r="I5018" s="6"/>
      <c r="J5018" s="6"/>
      <c r="K5018" s="6"/>
      <c r="L5018" s="6"/>
      <c r="M5018" s="6"/>
      <c r="N5018" s="6"/>
      <c r="O5018" s="36"/>
      <c r="P5018" s="36"/>
      <c r="Q5018" s="38"/>
    </row>
    <row r="5019">
      <c r="A5019" s="6" t="s">
        <v>1421</v>
      </c>
      <c r="B5019" s="6" t="s">
        <v>8395</v>
      </c>
      <c r="C5019" s="6">
        <v>1.0</v>
      </c>
      <c r="D5019" s="9" t="str">
        <f t="shared" ref="D5019:D5020" si="1286">HYPERLINK("https://www.linkedin.com/ad-library/detail/1514196824","Open Ad")</f>
        <v>Open Ad</v>
      </c>
      <c r="E5019" s="6" t="s">
        <v>91</v>
      </c>
      <c r="F5019" s="6" t="s">
        <v>8022</v>
      </c>
      <c r="G5019" s="6" t="s">
        <v>8396</v>
      </c>
      <c r="H5019" s="6" t="s">
        <v>55</v>
      </c>
      <c r="I5019" s="6" t="s">
        <v>8397</v>
      </c>
      <c r="J5019" s="6" t="s">
        <v>91</v>
      </c>
      <c r="K5019" s="12" t="str">
        <f t="shared" ref="K5019:K5020" si="1287">HYPERLINK("https://media.licdn.com/dms/image/v2/D4E10AQHLRjWfUZ0m2A/image-shrink_1280/B4EaAbKFe9G8Ac-/0/1787162024648/scrunch-AIGuide-1080x10803xpng?e=2147483647&amp;v=beta&amp;t=wxvc-PBtfbjb2CF6aPyH5ZpwJfkpjWGbei-sGWTtnSQ","View Creative")</f>
        <v>View Creative</v>
      </c>
      <c r="L5019" s="6" t="s">
        <v>62</v>
      </c>
      <c r="M5019" s="6" t="s">
        <v>1421</v>
      </c>
      <c r="N5019" s="6"/>
      <c r="O5019" s="36" t="s">
        <v>7541</v>
      </c>
      <c r="P5019" s="36" t="s">
        <v>7542</v>
      </c>
      <c r="Q5019" s="38"/>
    </row>
    <row r="5020">
      <c r="A5020" s="6" t="s">
        <v>1421</v>
      </c>
      <c r="B5020" s="6" t="s">
        <v>8395</v>
      </c>
      <c r="C5020" s="6">
        <v>2.0</v>
      </c>
      <c r="D5020" s="9" t="str">
        <f t="shared" si="1286"/>
        <v>Open Ad</v>
      </c>
      <c r="E5020" s="6" t="s">
        <v>91</v>
      </c>
      <c r="F5020" s="6" t="s">
        <v>8022</v>
      </c>
      <c r="G5020" s="6" t="s">
        <v>8396</v>
      </c>
      <c r="H5020" s="6" t="s">
        <v>55</v>
      </c>
      <c r="I5020" s="6" t="s">
        <v>8397</v>
      </c>
      <c r="J5020" s="6" t="s">
        <v>91</v>
      </c>
      <c r="K5020" s="12" t="str">
        <f t="shared" si="1287"/>
        <v>View Creative</v>
      </c>
      <c r="L5020" s="6" t="s">
        <v>62</v>
      </c>
      <c r="M5020" s="6" t="s">
        <v>1421</v>
      </c>
      <c r="N5020" s="6"/>
      <c r="O5020" s="36" t="s">
        <v>7541</v>
      </c>
      <c r="P5020" s="36" t="s">
        <v>7542</v>
      </c>
      <c r="Q5020" s="38"/>
    </row>
    <row r="5021">
      <c r="A5021" s="6" t="s">
        <v>1421</v>
      </c>
      <c r="B5021" s="6" t="s">
        <v>8395</v>
      </c>
      <c r="C5021" s="6">
        <v>3.0</v>
      </c>
      <c r="D5021" s="9" t="str">
        <f>HYPERLINK("https://www.linkedin.com/ad-library/detail/1487040414","Open Ad")</f>
        <v>Open Ad</v>
      </c>
      <c r="E5021" s="6" t="s">
        <v>52</v>
      </c>
      <c r="F5021" s="6" t="s">
        <v>8022</v>
      </c>
      <c r="G5021" s="6" t="s">
        <v>8398</v>
      </c>
      <c r="H5021" s="6" t="s">
        <v>55</v>
      </c>
      <c r="I5021" s="6" t="s">
        <v>8397</v>
      </c>
      <c r="J5021" s="6" t="s">
        <v>52</v>
      </c>
      <c r="K5021" s="6" t="s">
        <v>60</v>
      </c>
      <c r="L5021" s="6" t="s">
        <v>62</v>
      </c>
      <c r="M5021" s="6" t="s">
        <v>1421</v>
      </c>
      <c r="N5021" s="6"/>
      <c r="O5021" s="36" t="s">
        <v>7541</v>
      </c>
      <c r="P5021" s="36" t="s">
        <v>7542</v>
      </c>
      <c r="Q5021" s="38"/>
    </row>
    <row r="5022">
      <c r="A5022" s="6" t="s">
        <v>1421</v>
      </c>
      <c r="B5022" s="6" t="s">
        <v>8395</v>
      </c>
      <c r="C5022" s="6">
        <v>4.0</v>
      </c>
      <c r="D5022" s="9" t="str">
        <f>HYPERLINK("https://www.linkedin.com/ad-library/detail/1508921814","Open Ad")</f>
        <v>Open Ad</v>
      </c>
      <c r="E5022" s="6" t="s">
        <v>52</v>
      </c>
      <c r="F5022" s="6" t="s">
        <v>8022</v>
      </c>
      <c r="G5022" s="6" t="s">
        <v>8399</v>
      </c>
      <c r="H5022" s="6" t="s">
        <v>55</v>
      </c>
      <c r="I5022" s="6" t="s">
        <v>8397</v>
      </c>
      <c r="J5022" s="6" t="s">
        <v>52</v>
      </c>
      <c r="K5022" s="6" t="s">
        <v>60</v>
      </c>
      <c r="L5022" s="6" t="s">
        <v>62</v>
      </c>
      <c r="M5022" s="6" t="s">
        <v>1421</v>
      </c>
      <c r="N5022" s="6"/>
      <c r="O5022" s="36" t="s">
        <v>7541</v>
      </c>
      <c r="P5022" s="36" t="s">
        <v>7542</v>
      </c>
      <c r="Q5022" s="38"/>
    </row>
    <row r="5023">
      <c r="A5023" s="6" t="s">
        <v>1421</v>
      </c>
      <c r="B5023" s="6" t="s">
        <v>8395</v>
      </c>
      <c r="C5023" s="6">
        <v>5.0</v>
      </c>
      <c r="D5023" s="9" t="str">
        <f t="shared" ref="D5023:D5024" si="1288">HYPERLINK("https://www.linkedin.com/ad-library/detail/1504507954","Open Ad")</f>
        <v>Open Ad</v>
      </c>
      <c r="E5023" s="6" t="s">
        <v>91</v>
      </c>
      <c r="F5023" s="6" t="s">
        <v>8022</v>
      </c>
      <c r="G5023" s="6" t="s">
        <v>8400</v>
      </c>
      <c r="H5023" s="6" t="s">
        <v>55</v>
      </c>
      <c r="I5023" s="6" t="s">
        <v>8397</v>
      </c>
      <c r="J5023" s="6" t="s">
        <v>91</v>
      </c>
      <c r="K5023" s="12" t="str">
        <f t="shared" ref="K5023:K5024" si="1289">HYPERLINK("https://media.licdn.com/dms/image/v2/D5622AQFn3U1aVCYcIg/feedshare-image-high-res/B56Z_7rUMsKkAU-/0/1786633864474?e=2147483647&amp;v=beta&amp;t=GSbsUfbR9gZzfck1aj9FaQ677NszNemgGmywBI60ITg","View Creative")</f>
        <v>View Creative</v>
      </c>
      <c r="L5023" s="6" t="s">
        <v>62</v>
      </c>
      <c r="M5023" s="6" t="s">
        <v>1421</v>
      </c>
      <c r="N5023" s="6"/>
      <c r="O5023" s="36" t="s">
        <v>7541</v>
      </c>
      <c r="P5023" s="36" t="s">
        <v>7542</v>
      </c>
      <c r="Q5023" s="38"/>
    </row>
    <row r="5024">
      <c r="A5024" s="6" t="s">
        <v>1421</v>
      </c>
      <c r="B5024" s="6" t="s">
        <v>8395</v>
      </c>
      <c r="C5024" s="6">
        <v>6.0</v>
      </c>
      <c r="D5024" s="9" t="str">
        <f t="shared" si="1288"/>
        <v>Open Ad</v>
      </c>
      <c r="E5024" s="6" t="s">
        <v>91</v>
      </c>
      <c r="F5024" s="6" t="s">
        <v>8022</v>
      </c>
      <c r="G5024" s="6" t="s">
        <v>8400</v>
      </c>
      <c r="H5024" s="6" t="s">
        <v>55</v>
      </c>
      <c r="I5024" s="6" t="s">
        <v>8397</v>
      </c>
      <c r="J5024" s="6" t="s">
        <v>91</v>
      </c>
      <c r="K5024" s="12" t="str">
        <f t="shared" si="1289"/>
        <v>View Creative</v>
      </c>
      <c r="L5024" s="6" t="s">
        <v>62</v>
      </c>
      <c r="M5024" s="6" t="s">
        <v>1421</v>
      </c>
      <c r="N5024" s="6"/>
      <c r="O5024" s="36" t="s">
        <v>7541</v>
      </c>
      <c r="P5024" s="36" t="s">
        <v>7542</v>
      </c>
      <c r="Q5024" s="38"/>
    </row>
    <row r="5025">
      <c r="A5025" s="6" t="s">
        <v>1421</v>
      </c>
      <c r="B5025" s="6" t="s">
        <v>8395</v>
      </c>
      <c r="C5025" s="6">
        <v>7.0</v>
      </c>
      <c r="D5025" s="9" t="str">
        <f>HYPERLINK("https://www.linkedin.com/ad-library/detail/1486991004","Open Ad")</f>
        <v>Open Ad</v>
      </c>
      <c r="E5025" s="6" t="s">
        <v>52</v>
      </c>
      <c r="F5025" s="6" t="s">
        <v>8022</v>
      </c>
      <c r="G5025" s="6" t="s">
        <v>8401</v>
      </c>
      <c r="H5025" s="6" t="s">
        <v>55</v>
      </c>
      <c r="I5025" s="6" t="s">
        <v>8397</v>
      </c>
      <c r="J5025" s="6" t="s">
        <v>52</v>
      </c>
      <c r="K5025" s="6" t="s">
        <v>60</v>
      </c>
      <c r="L5025" s="6" t="s">
        <v>62</v>
      </c>
      <c r="M5025" s="6" t="s">
        <v>1421</v>
      </c>
      <c r="N5025" s="6"/>
      <c r="O5025" s="36" t="s">
        <v>7541</v>
      </c>
      <c r="P5025" s="36" t="s">
        <v>7542</v>
      </c>
      <c r="Q5025" s="38"/>
    </row>
    <row r="5026">
      <c r="A5026" s="6" t="s">
        <v>1421</v>
      </c>
      <c r="B5026" s="6" t="s">
        <v>8395</v>
      </c>
      <c r="C5026" s="6">
        <v>8.0</v>
      </c>
      <c r="D5026" s="9" t="str">
        <f>HYPERLINK("https://www.linkedin.com/ad-library/detail/1530580664","Open Ad")</f>
        <v>Open Ad</v>
      </c>
      <c r="E5026" s="6" t="s">
        <v>52</v>
      </c>
      <c r="F5026" s="6" t="s">
        <v>8022</v>
      </c>
      <c r="G5026" s="6" t="s">
        <v>8398</v>
      </c>
      <c r="H5026" s="6" t="s">
        <v>55</v>
      </c>
      <c r="I5026" s="6" t="s">
        <v>8397</v>
      </c>
      <c r="J5026" s="6" t="s">
        <v>52</v>
      </c>
      <c r="K5026" s="6" t="s">
        <v>60</v>
      </c>
      <c r="L5026" s="6" t="s">
        <v>62</v>
      </c>
      <c r="M5026" s="6" t="s">
        <v>1421</v>
      </c>
      <c r="N5026" s="6"/>
      <c r="O5026" s="36" t="s">
        <v>7541</v>
      </c>
      <c r="P5026" s="36" t="s">
        <v>7542</v>
      </c>
      <c r="Q5026" s="38"/>
    </row>
    <row r="5027">
      <c r="A5027" s="6" t="s">
        <v>1421</v>
      </c>
      <c r="B5027" s="6" t="s">
        <v>8395</v>
      </c>
      <c r="C5027" s="6">
        <v>9.0</v>
      </c>
      <c r="D5027" s="9" t="str">
        <f>HYPERLINK("https://www.linkedin.com/ad-library/detail/1486869484","Open Ad")</f>
        <v>Open Ad</v>
      </c>
      <c r="E5027" s="6" t="s">
        <v>52</v>
      </c>
      <c r="F5027" s="6" t="s">
        <v>8022</v>
      </c>
      <c r="G5027" s="6" t="s">
        <v>8398</v>
      </c>
      <c r="H5027" s="6" t="s">
        <v>55</v>
      </c>
      <c r="I5027" s="6" t="s">
        <v>8397</v>
      </c>
      <c r="J5027" s="6" t="s">
        <v>52</v>
      </c>
      <c r="K5027" s="6" t="s">
        <v>60</v>
      </c>
      <c r="L5027" s="6" t="s">
        <v>62</v>
      </c>
      <c r="M5027" s="6" t="s">
        <v>1421</v>
      </c>
      <c r="N5027" s="6"/>
      <c r="O5027" s="36" t="s">
        <v>7541</v>
      </c>
      <c r="P5027" s="36" t="s">
        <v>7542</v>
      </c>
      <c r="Q5027" s="38"/>
    </row>
    <row r="5028">
      <c r="A5028" s="6" t="s">
        <v>1421</v>
      </c>
      <c r="B5028" s="6" t="s">
        <v>8395</v>
      </c>
      <c r="C5028" s="6">
        <v>10.0</v>
      </c>
      <c r="D5028" s="9" t="str">
        <f>HYPERLINK("https://www.linkedin.com/ad-library/detail/1530430494","Open Ad")</f>
        <v>Open Ad</v>
      </c>
      <c r="E5028" s="6" t="s">
        <v>52</v>
      </c>
      <c r="F5028" s="6" t="s">
        <v>8022</v>
      </c>
      <c r="G5028" s="6" t="s">
        <v>8402</v>
      </c>
      <c r="H5028" s="6" t="s">
        <v>55</v>
      </c>
      <c r="I5028" s="6" t="s">
        <v>8397</v>
      </c>
      <c r="J5028" s="6" t="s">
        <v>52</v>
      </c>
      <c r="K5028" s="6" t="s">
        <v>60</v>
      </c>
      <c r="L5028" s="6" t="s">
        <v>62</v>
      </c>
      <c r="M5028" s="6" t="s">
        <v>1421</v>
      </c>
      <c r="N5028" s="6"/>
      <c r="O5028" s="36" t="s">
        <v>7541</v>
      </c>
      <c r="P5028" s="36" t="s">
        <v>7542</v>
      </c>
      <c r="Q5028" s="38"/>
    </row>
    <row r="5029">
      <c r="A5029" s="6" t="s">
        <v>1421</v>
      </c>
      <c r="B5029" s="6" t="s">
        <v>8395</v>
      </c>
      <c r="C5029" s="6">
        <v>11.0</v>
      </c>
      <c r="D5029" s="9" t="str">
        <f>HYPERLINK("https://www.linkedin.com/ad-library/detail/1530430484","Open Ad")</f>
        <v>Open Ad</v>
      </c>
      <c r="E5029" s="6" t="s">
        <v>52</v>
      </c>
      <c r="F5029" s="6" t="s">
        <v>8022</v>
      </c>
      <c r="G5029" s="6" t="s">
        <v>8401</v>
      </c>
      <c r="H5029" s="6" t="s">
        <v>55</v>
      </c>
      <c r="I5029" s="6" t="s">
        <v>8397</v>
      </c>
      <c r="J5029" s="6" t="s">
        <v>52</v>
      </c>
      <c r="K5029" s="6" t="s">
        <v>60</v>
      </c>
      <c r="L5029" s="6" t="s">
        <v>62</v>
      </c>
      <c r="M5029" s="6" t="s">
        <v>1421</v>
      </c>
      <c r="N5029" s="6"/>
      <c r="O5029" s="36" t="s">
        <v>7541</v>
      </c>
      <c r="P5029" s="36" t="s">
        <v>7542</v>
      </c>
      <c r="Q5029" s="38"/>
    </row>
    <row r="5030">
      <c r="A5030" s="6" t="s">
        <v>1421</v>
      </c>
      <c r="B5030" s="6" t="s">
        <v>8395</v>
      </c>
      <c r="C5030" s="6">
        <v>12.0</v>
      </c>
      <c r="D5030" s="9" t="str">
        <f>HYPERLINK("https://www.linkedin.com/ad-library/detail/1508824954","Open Ad")</f>
        <v>Open Ad</v>
      </c>
      <c r="E5030" s="6" t="s">
        <v>52</v>
      </c>
      <c r="F5030" s="6" t="s">
        <v>8022</v>
      </c>
      <c r="G5030" s="6" t="s">
        <v>8398</v>
      </c>
      <c r="H5030" s="6" t="s">
        <v>55</v>
      </c>
      <c r="I5030" s="6" t="s">
        <v>8397</v>
      </c>
      <c r="J5030" s="6" t="s">
        <v>52</v>
      </c>
      <c r="K5030" s="6" t="s">
        <v>60</v>
      </c>
      <c r="L5030" s="6" t="s">
        <v>62</v>
      </c>
      <c r="M5030" s="6" t="s">
        <v>1421</v>
      </c>
      <c r="N5030" s="6"/>
      <c r="O5030" s="36" t="s">
        <v>7541</v>
      </c>
      <c r="P5030" s="36" t="s">
        <v>7542</v>
      </c>
      <c r="Q5030" s="38"/>
    </row>
    <row r="5031">
      <c r="A5031" s="6" t="s">
        <v>1421</v>
      </c>
      <c r="B5031" s="6" t="s">
        <v>8395</v>
      </c>
      <c r="C5031" s="6">
        <v>13.0</v>
      </c>
      <c r="D5031" s="9" t="str">
        <f>HYPERLINK("https://www.linkedin.com/ad-library/detail/1530609894","Open Ad")</f>
        <v>Open Ad</v>
      </c>
      <c r="E5031" s="6" t="s">
        <v>52</v>
      </c>
      <c r="F5031" s="6" t="s">
        <v>8022</v>
      </c>
      <c r="G5031" s="6" t="s">
        <v>8403</v>
      </c>
      <c r="H5031" s="6" t="s">
        <v>55</v>
      </c>
      <c r="I5031" s="6" t="s">
        <v>8397</v>
      </c>
      <c r="J5031" s="6" t="s">
        <v>52</v>
      </c>
      <c r="K5031" s="6" t="s">
        <v>60</v>
      </c>
      <c r="L5031" s="6" t="s">
        <v>62</v>
      </c>
      <c r="M5031" s="6" t="s">
        <v>1421</v>
      </c>
      <c r="N5031" s="6"/>
      <c r="O5031" s="36" t="s">
        <v>7541</v>
      </c>
      <c r="P5031" s="36" t="s">
        <v>7542</v>
      </c>
      <c r="Q5031" s="38"/>
    </row>
    <row r="5032">
      <c r="A5032" s="6" t="s">
        <v>1421</v>
      </c>
      <c r="B5032" s="6" t="s">
        <v>8395</v>
      </c>
      <c r="C5032" s="6">
        <v>14.0</v>
      </c>
      <c r="D5032" s="9" t="str">
        <f>HYPERLINK("https://www.linkedin.com/ad-library/detail/1487000374","Open Ad")</f>
        <v>Open Ad</v>
      </c>
      <c r="E5032" s="6" t="s">
        <v>52</v>
      </c>
      <c r="F5032" s="6" t="s">
        <v>8022</v>
      </c>
      <c r="G5032" s="6" t="s">
        <v>8401</v>
      </c>
      <c r="H5032" s="6" t="s">
        <v>55</v>
      </c>
      <c r="I5032" s="6" t="s">
        <v>8397</v>
      </c>
      <c r="J5032" s="6" t="s">
        <v>52</v>
      </c>
      <c r="K5032" s="6" t="s">
        <v>60</v>
      </c>
      <c r="L5032" s="6" t="s">
        <v>62</v>
      </c>
      <c r="M5032" s="6" t="s">
        <v>1421</v>
      </c>
      <c r="N5032" s="6"/>
      <c r="O5032" s="36" t="s">
        <v>7541</v>
      </c>
      <c r="P5032" s="36" t="s">
        <v>7542</v>
      </c>
      <c r="Q5032" s="38"/>
    </row>
    <row r="5033">
      <c r="A5033" s="6" t="s">
        <v>1421</v>
      </c>
      <c r="B5033" s="6" t="s">
        <v>8395</v>
      </c>
      <c r="C5033" s="6">
        <v>15.0</v>
      </c>
      <c r="D5033" s="9" t="str">
        <f t="shared" ref="D5033:D5036" si="1290">HYPERLINK("https://www.linkedin.com/ad-library/detail/1504377984","Open Ad")</f>
        <v>Open Ad</v>
      </c>
      <c r="E5033" s="6" t="s">
        <v>52</v>
      </c>
      <c r="F5033" s="6" t="s">
        <v>8022</v>
      </c>
      <c r="G5033" s="6" t="s">
        <v>8404</v>
      </c>
      <c r="H5033" s="6" t="s">
        <v>55</v>
      </c>
      <c r="I5033" s="6" t="s">
        <v>8397</v>
      </c>
      <c r="J5033" s="6" t="s">
        <v>52</v>
      </c>
      <c r="K5033" s="6" t="s">
        <v>60</v>
      </c>
      <c r="L5033" s="6" t="s">
        <v>62</v>
      </c>
      <c r="M5033" s="6" t="s">
        <v>1421</v>
      </c>
      <c r="N5033" s="6"/>
      <c r="O5033" s="36" t="s">
        <v>7541</v>
      </c>
      <c r="P5033" s="36" t="s">
        <v>7542</v>
      </c>
      <c r="Q5033" s="38"/>
    </row>
    <row r="5034">
      <c r="A5034" s="6" t="s">
        <v>1421</v>
      </c>
      <c r="B5034" s="6" t="s">
        <v>8395</v>
      </c>
      <c r="C5034" s="6">
        <v>16.0</v>
      </c>
      <c r="D5034" s="9" t="str">
        <f t="shared" si="1290"/>
        <v>Open Ad</v>
      </c>
      <c r="E5034" s="6" t="s">
        <v>52</v>
      </c>
      <c r="F5034" s="6" t="s">
        <v>8022</v>
      </c>
      <c r="G5034" s="6" t="s">
        <v>8404</v>
      </c>
      <c r="H5034" s="6" t="s">
        <v>55</v>
      </c>
      <c r="I5034" s="6" t="s">
        <v>8397</v>
      </c>
      <c r="J5034" s="6" t="s">
        <v>52</v>
      </c>
      <c r="K5034" s="6" t="s">
        <v>60</v>
      </c>
      <c r="L5034" s="6" t="s">
        <v>62</v>
      </c>
      <c r="M5034" s="6" t="s">
        <v>1421</v>
      </c>
      <c r="N5034" s="6"/>
      <c r="O5034" s="36" t="s">
        <v>7541</v>
      </c>
      <c r="P5034" s="36" t="s">
        <v>7542</v>
      </c>
      <c r="Q5034" s="38"/>
    </row>
    <row r="5035">
      <c r="A5035" s="6" t="s">
        <v>1421</v>
      </c>
      <c r="B5035" s="6" t="s">
        <v>8395</v>
      </c>
      <c r="C5035" s="6">
        <v>17.0</v>
      </c>
      <c r="D5035" s="9" t="str">
        <f t="shared" si="1290"/>
        <v>Open Ad</v>
      </c>
      <c r="E5035" s="6" t="s">
        <v>52</v>
      </c>
      <c r="F5035" s="6" t="s">
        <v>8022</v>
      </c>
      <c r="G5035" s="6" t="s">
        <v>8404</v>
      </c>
      <c r="H5035" s="6" t="s">
        <v>55</v>
      </c>
      <c r="I5035" s="6" t="s">
        <v>8397</v>
      </c>
      <c r="J5035" s="6" t="s">
        <v>52</v>
      </c>
      <c r="K5035" s="6" t="s">
        <v>60</v>
      </c>
      <c r="L5035" s="6" t="s">
        <v>62</v>
      </c>
      <c r="M5035" s="6" t="s">
        <v>1421</v>
      </c>
      <c r="N5035" s="6"/>
      <c r="O5035" s="36" t="s">
        <v>7541</v>
      </c>
      <c r="P5035" s="36" t="s">
        <v>7542</v>
      </c>
      <c r="Q5035" s="38"/>
    </row>
    <row r="5036">
      <c r="A5036" s="6" t="s">
        <v>1421</v>
      </c>
      <c r="B5036" s="6" t="s">
        <v>8395</v>
      </c>
      <c r="C5036" s="6">
        <v>18.0</v>
      </c>
      <c r="D5036" s="9" t="str">
        <f t="shared" si="1290"/>
        <v>Open Ad</v>
      </c>
      <c r="E5036" s="6" t="s">
        <v>52</v>
      </c>
      <c r="F5036" s="6" t="s">
        <v>8022</v>
      </c>
      <c r="G5036" s="6" t="s">
        <v>8404</v>
      </c>
      <c r="H5036" s="6" t="s">
        <v>55</v>
      </c>
      <c r="I5036" s="6" t="s">
        <v>8397</v>
      </c>
      <c r="J5036" s="6" t="s">
        <v>52</v>
      </c>
      <c r="K5036" s="6" t="s">
        <v>60</v>
      </c>
      <c r="L5036" s="6" t="s">
        <v>62</v>
      </c>
      <c r="M5036" s="6" t="s">
        <v>1421</v>
      </c>
      <c r="N5036" s="6"/>
      <c r="O5036" s="36" t="s">
        <v>7541</v>
      </c>
      <c r="P5036" s="36" t="s">
        <v>7542</v>
      </c>
      <c r="Q5036" s="38"/>
    </row>
    <row r="5037">
      <c r="A5037" s="6" t="s">
        <v>1421</v>
      </c>
      <c r="B5037" s="6" t="s">
        <v>8395</v>
      </c>
      <c r="C5037" s="6">
        <v>19.0</v>
      </c>
      <c r="D5037" s="9" t="str">
        <f t="shared" ref="D5037:D5038" si="1291">HYPERLINK("https://www.linkedin.com/ad-library/detail/1500986394","Open Ad")</f>
        <v>Open Ad</v>
      </c>
      <c r="E5037" s="6" t="s">
        <v>154</v>
      </c>
      <c r="F5037" s="6" t="s">
        <v>8022</v>
      </c>
      <c r="G5037" s="6" t="s">
        <v>8405</v>
      </c>
      <c r="H5037" s="6" t="s">
        <v>55</v>
      </c>
      <c r="I5037" s="6" t="s">
        <v>8397</v>
      </c>
      <c r="J5037" s="6" t="s">
        <v>154</v>
      </c>
      <c r="K5037" s="12" t="str">
        <f t="shared" ref="K5037:K5038" si="1292">HYPERLINK("https://dms.licdn.com/playlist/vid/v2/D4E10AQGKQ8n7wITebg/mp4-1080p-30fp-crf28/B4EZ6zHsO_KMA0-/0/1781121601720?e=2147483647&amp;v=beta&amp;t=mev76czSqB28fnMAFUD9mT4iXWFs-uBQvt_4leydJwY","View Creative")</f>
        <v>View Creative</v>
      </c>
      <c r="L5037" s="6" t="s">
        <v>62</v>
      </c>
      <c r="M5037" s="6" t="s">
        <v>1421</v>
      </c>
      <c r="N5037" s="6"/>
      <c r="O5037" s="36" t="s">
        <v>7541</v>
      </c>
      <c r="P5037" s="36" t="s">
        <v>7542</v>
      </c>
      <c r="Q5037" s="38"/>
    </row>
    <row r="5038">
      <c r="A5038" s="6" t="s">
        <v>1421</v>
      </c>
      <c r="B5038" s="6" t="s">
        <v>8395</v>
      </c>
      <c r="C5038" s="6">
        <v>20.0</v>
      </c>
      <c r="D5038" s="9" t="str">
        <f t="shared" si="1291"/>
        <v>Open Ad</v>
      </c>
      <c r="E5038" s="6" t="s">
        <v>154</v>
      </c>
      <c r="F5038" s="6" t="s">
        <v>8022</v>
      </c>
      <c r="G5038" s="6" t="s">
        <v>8405</v>
      </c>
      <c r="H5038" s="6" t="s">
        <v>55</v>
      </c>
      <c r="I5038" s="6" t="s">
        <v>8397</v>
      </c>
      <c r="J5038" s="6" t="s">
        <v>154</v>
      </c>
      <c r="K5038" s="12" t="str">
        <f t="shared" si="1292"/>
        <v>View Creative</v>
      </c>
      <c r="L5038" s="6" t="s">
        <v>62</v>
      </c>
      <c r="M5038" s="6" t="s">
        <v>1421</v>
      </c>
      <c r="N5038" s="6"/>
      <c r="O5038" s="36" t="s">
        <v>7541</v>
      </c>
      <c r="P5038" s="36" t="s">
        <v>7542</v>
      </c>
      <c r="Q5038" s="38"/>
    </row>
    <row r="5039">
      <c r="A5039" s="6" t="s">
        <v>1421</v>
      </c>
      <c r="B5039" s="6" t="s">
        <v>8395</v>
      </c>
      <c r="C5039" s="6">
        <v>21.0</v>
      </c>
      <c r="D5039" s="9" t="str">
        <f t="shared" ref="D5039:D5040" si="1293">HYPERLINK("https://www.linkedin.com/ad-library/detail/1530360184","Open Ad")</f>
        <v>Open Ad</v>
      </c>
      <c r="E5039" s="6" t="s">
        <v>91</v>
      </c>
      <c r="F5039" s="6" t="s">
        <v>8022</v>
      </c>
      <c r="G5039" s="6" t="s">
        <v>8406</v>
      </c>
      <c r="H5039" s="6" t="s">
        <v>55</v>
      </c>
      <c r="I5039" s="6" t="s">
        <v>8397</v>
      </c>
      <c r="J5039" s="6" t="s">
        <v>91</v>
      </c>
      <c r="K5039" s="12" t="str">
        <f t="shared" ref="K5039:K5040" si="1294">HYPERLINK("https://media.licdn.com/dms/image/v2/D5622AQEoKy6SbULfsw/feedshare-shrink_1280/B56aA5lVCZJAAM-/0/1787672482262?e=2147483647&amp;v=beta&amp;t=87MHkh0Jf_JhWfi6titWefllefmvZaGPXRZhgkE0cpE","View Creative")</f>
        <v>View Creative</v>
      </c>
      <c r="L5039" s="6" t="s">
        <v>62</v>
      </c>
      <c r="M5039" s="6" t="s">
        <v>1421</v>
      </c>
      <c r="N5039" s="6"/>
      <c r="O5039" s="36" t="s">
        <v>7541</v>
      </c>
      <c r="P5039" s="36" t="s">
        <v>7542</v>
      </c>
      <c r="Q5039" s="38"/>
    </row>
    <row r="5040">
      <c r="A5040" s="6" t="s">
        <v>1421</v>
      </c>
      <c r="B5040" s="6" t="s">
        <v>8395</v>
      </c>
      <c r="C5040" s="6">
        <v>22.0</v>
      </c>
      <c r="D5040" s="9" t="str">
        <f t="shared" si="1293"/>
        <v>Open Ad</v>
      </c>
      <c r="E5040" s="6" t="s">
        <v>91</v>
      </c>
      <c r="F5040" s="6" t="s">
        <v>8022</v>
      </c>
      <c r="G5040" s="6" t="s">
        <v>8406</v>
      </c>
      <c r="H5040" s="6" t="s">
        <v>55</v>
      </c>
      <c r="I5040" s="6" t="s">
        <v>8397</v>
      </c>
      <c r="J5040" s="6" t="s">
        <v>91</v>
      </c>
      <c r="K5040" s="12" t="str">
        <f t="shared" si="1294"/>
        <v>View Creative</v>
      </c>
      <c r="L5040" s="6" t="s">
        <v>62</v>
      </c>
      <c r="M5040" s="6" t="s">
        <v>1421</v>
      </c>
      <c r="N5040" s="6"/>
      <c r="O5040" s="36" t="s">
        <v>7541</v>
      </c>
      <c r="P5040" s="36" t="s">
        <v>7542</v>
      </c>
      <c r="Q5040" s="38"/>
    </row>
    <row r="5041">
      <c r="A5041" s="6" t="s">
        <v>1421</v>
      </c>
      <c r="B5041" s="6" t="s">
        <v>8395</v>
      </c>
      <c r="C5041" s="6">
        <v>23.0</v>
      </c>
      <c r="D5041" s="9" t="str">
        <f>HYPERLINK("https://www.linkedin.com/ad-library/detail/1486699354","Open Ad")</f>
        <v>Open Ad</v>
      </c>
      <c r="E5041" s="6" t="s">
        <v>52</v>
      </c>
      <c r="F5041" s="6" t="s">
        <v>8022</v>
      </c>
      <c r="G5041" s="6" t="s">
        <v>8402</v>
      </c>
      <c r="H5041" s="6" t="s">
        <v>55</v>
      </c>
      <c r="I5041" s="6" t="s">
        <v>8397</v>
      </c>
      <c r="J5041" s="6" t="s">
        <v>52</v>
      </c>
      <c r="K5041" s="6" t="s">
        <v>60</v>
      </c>
      <c r="L5041" s="6" t="s">
        <v>62</v>
      </c>
      <c r="M5041" s="6" t="s">
        <v>1421</v>
      </c>
      <c r="N5041" s="6"/>
      <c r="O5041" s="36" t="s">
        <v>7541</v>
      </c>
      <c r="P5041" s="36" t="s">
        <v>7542</v>
      </c>
      <c r="Q5041" s="38"/>
    </row>
    <row r="5042">
      <c r="A5042" s="6" t="s">
        <v>1421</v>
      </c>
      <c r="B5042" s="6" t="s">
        <v>8395</v>
      </c>
      <c r="C5042" s="6">
        <v>24.0</v>
      </c>
      <c r="D5042" s="9" t="str">
        <f>HYPERLINK("https://www.linkedin.com/ad-library/detail/1486867734","Open Ad")</f>
        <v>Open Ad</v>
      </c>
      <c r="E5042" s="6" t="s">
        <v>52</v>
      </c>
      <c r="F5042" s="6" t="s">
        <v>8022</v>
      </c>
      <c r="G5042" s="6" t="s">
        <v>8403</v>
      </c>
      <c r="H5042" s="6" t="s">
        <v>55</v>
      </c>
      <c r="I5042" s="6" t="s">
        <v>8397</v>
      </c>
      <c r="J5042" s="6" t="s">
        <v>52</v>
      </c>
      <c r="K5042" s="6" t="s">
        <v>60</v>
      </c>
      <c r="L5042" s="6" t="s">
        <v>62</v>
      </c>
      <c r="M5042" s="6" t="s">
        <v>1421</v>
      </c>
      <c r="N5042" s="6"/>
      <c r="O5042" s="36" t="s">
        <v>7541</v>
      </c>
      <c r="P5042" s="36" t="s">
        <v>7542</v>
      </c>
      <c r="Q5042" s="38"/>
    </row>
    <row r="5043">
      <c r="A5043" s="6" t="s">
        <v>1421</v>
      </c>
      <c r="B5043" s="6" t="s">
        <v>8395</v>
      </c>
      <c r="C5043" s="6">
        <v>25.0</v>
      </c>
      <c r="D5043" s="9" t="str">
        <f>HYPERLINK("https://www.linkedin.com/ad-library/detail/1508818224","Open Ad")</f>
        <v>Open Ad</v>
      </c>
      <c r="E5043" s="6" t="s">
        <v>52</v>
      </c>
      <c r="F5043" s="6" t="s">
        <v>8022</v>
      </c>
      <c r="G5043" s="6" t="s">
        <v>8401</v>
      </c>
      <c r="H5043" s="6" t="s">
        <v>55</v>
      </c>
      <c r="I5043" s="6" t="s">
        <v>8397</v>
      </c>
      <c r="J5043" s="6" t="s">
        <v>52</v>
      </c>
      <c r="K5043" s="6" t="s">
        <v>60</v>
      </c>
      <c r="L5043" s="6" t="s">
        <v>62</v>
      </c>
      <c r="M5043" s="6" t="s">
        <v>1421</v>
      </c>
      <c r="N5043" s="6"/>
      <c r="O5043" s="36" t="s">
        <v>7541</v>
      </c>
      <c r="P5043" s="36" t="s">
        <v>7542</v>
      </c>
      <c r="Q5043" s="38"/>
    </row>
    <row r="5044">
      <c r="A5044" s="6" t="s">
        <v>1421</v>
      </c>
      <c r="B5044" s="6" t="s">
        <v>8395</v>
      </c>
      <c r="C5044" s="6">
        <v>26.0</v>
      </c>
      <c r="D5044" s="9" t="str">
        <f>HYPERLINK("https://www.linkedin.com/ad-library/detail/1518551224","Open Ad")</f>
        <v>Open Ad</v>
      </c>
      <c r="E5044" s="6" t="s">
        <v>52</v>
      </c>
      <c r="F5044" s="6" t="s">
        <v>8022</v>
      </c>
      <c r="G5044" s="6" t="s">
        <v>8407</v>
      </c>
      <c r="H5044" s="6" t="s">
        <v>55</v>
      </c>
      <c r="I5044" s="6" t="s">
        <v>8397</v>
      </c>
      <c r="J5044" s="6" t="s">
        <v>52</v>
      </c>
      <c r="K5044" s="6" t="s">
        <v>60</v>
      </c>
      <c r="L5044" s="6" t="s">
        <v>62</v>
      </c>
      <c r="M5044" s="6" t="s">
        <v>1421</v>
      </c>
      <c r="N5044" s="6"/>
      <c r="O5044" s="36" t="s">
        <v>7541</v>
      </c>
      <c r="P5044" s="36" t="s">
        <v>7542</v>
      </c>
      <c r="Q5044" s="38"/>
    </row>
    <row r="5045">
      <c r="A5045" s="6" t="s">
        <v>1421</v>
      </c>
      <c r="B5045" s="6" t="s">
        <v>8395</v>
      </c>
      <c r="C5045" s="6">
        <v>27.0</v>
      </c>
      <c r="D5045" s="9" t="str">
        <f t="shared" ref="D5045:D5046" si="1295">HYPERLINK("https://www.linkedin.com/ad-library/detail/1504297694","Open Ad")</f>
        <v>Open Ad</v>
      </c>
      <c r="E5045" s="6" t="s">
        <v>91</v>
      </c>
      <c r="F5045" s="6" t="s">
        <v>8022</v>
      </c>
      <c r="G5045" s="6" t="s">
        <v>8408</v>
      </c>
      <c r="H5045" s="6" t="s">
        <v>55</v>
      </c>
      <c r="I5045" s="6" t="s">
        <v>8397</v>
      </c>
      <c r="J5045" s="6" t="s">
        <v>91</v>
      </c>
      <c r="K5045" s="12" t="str">
        <f t="shared" ref="K5045:K5046" si="1296">HYPERLINK("https://media.licdn.com/dms/image/v2/D5622AQFiDcRUYW4zlw/feedshare-image-high-res/B56Z_7go8NKkAU-/0/1786631066064?e=2147483647&amp;v=beta&amp;t=QD9berra8cNEU631yLca4xJRMOzDDWnDnJ6LGHBq8iI","View Creative")</f>
        <v>View Creative</v>
      </c>
      <c r="L5045" s="6" t="s">
        <v>62</v>
      </c>
      <c r="M5045" s="6" t="s">
        <v>1421</v>
      </c>
      <c r="N5045" s="6"/>
      <c r="O5045" s="36" t="s">
        <v>7541</v>
      </c>
      <c r="P5045" s="36" t="s">
        <v>7542</v>
      </c>
      <c r="Q5045" s="38"/>
    </row>
    <row r="5046">
      <c r="A5046" s="6" t="s">
        <v>1421</v>
      </c>
      <c r="B5046" s="6" t="s">
        <v>8395</v>
      </c>
      <c r="C5046" s="6">
        <v>28.0</v>
      </c>
      <c r="D5046" s="9" t="str">
        <f t="shared" si="1295"/>
        <v>Open Ad</v>
      </c>
      <c r="E5046" s="6" t="s">
        <v>91</v>
      </c>
      <c r="F5046" s="6" t="s">
        <v>8022</v>
      </c>
      <c r="G5046" s="6" t="s">
        <v>8408</v>
      </c>
      <c r="H5046" s="6" t="s">
        <v>55</v>
      </c>
      <c r="I5046" s="6" t="s">
        <v>8397</v>
      </c>
      <c r="J5046" s="6" t="s">
        <v>91</v>
      </c>
      <c r="K5046" s="12" t="str">
        <f t="shared" si="1296"/>
        <v>View Creative</v>
      </c>
      <c r="L5046" s="6" t="s">
        <v>62</v>
      </c>
      <c r="M5046" s="6" t="s">
        <v>1421</v>
      </c>
      <c r="N5046" s="6"/>
      <c r="O5046" s="36" t="s">
        <v>7541</v>
      </c>
      <c r="P5046" s="36" t="s">
        <v>7542</v>
      </c>
      <c r="Q5046" s="38"/>
    </row>
    <row r="5047">
      <c r="A5047" s="6" t="s">
        <v>1421</v>
      </c>
      <c r="B5047" s="6" t="s">
        <v>8395</v>
      </c>
      <c r="C5047" s="6">
        <v>29.0</v>
      </c>
      <c r="D5047" s="9" t="str">
        <f t="shared" ref="D5047:D5048" si="1297">HYPERLINK("https://www.linkedin.com/ad-library/detail/1523554954","Open Ad")</f>
        <v>Open Ad</v>
      </c>
      <c r="E5047" s="6" t="s">
        <v>91</v>
      </c>
      <c r="F5047" s="6" t="s">
        <v>8022</v>
      </c>
      <c r="G5047" s="6" t="s">
        <v>8409</v>
      </c>
      <c r="H5047" s="6" t="s">
        <v>55</v>
      </c>
      <c r="I5047" s="6" t="s">
        <v>8397</v>
      </c>
      <c r="J5047" s="6" t="s">
        <v>91</v>
      </c>
      <c r="K5047" s="12" t="str">
        <f t="shared" ref="K5047:K5048" si="1298">HYPERLINK("https://media.licdn.com/dms/image/v2/D4E10AQEHcD7r81mA7w/image-shrink_1280/B4EaA2Kj8XJcAc-/0/1787615134233/scrunch-1920x10802xpng?e=2147483647&amp;v=beta&amp;t=EX_EFnNqsOzTzUaW_D4l2fMmRtkrMbq-SIRXNr6DyIM","View Creative")</f>
        <v>View Creative</v>
      </c>
      <c r="L5047" s="6" t="s">
        <v>62</v>
      </c>
      <c r="M5047" s="6" t="s">
        <v>1421</v>
      </c>
      <c r="N5047" s="6"/>
      <c r="O5047" s="36" t="s">
        <v>7541</v>
      </c>
      <c r="P5047" s="36" t="s">
        <v>7542</v>
      </c>
      <c r="Q5047" s="38"/>
    </row>
    <row r="5048">
      <c r="A5048" s="6" t="s">
        <v>1421</v>
      </c>
      <c r="B5048" s="6" t="s">
        <v>8395</v>
      </c>
      <c r="C5048" s="6">
        <v>30.0</v>
      </c>
      <c r="D5048" s="9" t="str">
        <f t="shared" si="1297"/>
        <v>Open Ad</v>
      </c>
      <c r="E5048" s="6" t="s">
        <v>91</v>
      </c>
      <c r="F5048" s="6" t="s">
        <v>8022</v>
      </c>
      <c r="G5048" s="6" t="s">
        <v>8409</v>
      </c>
      <c r="H5048" s="6" t="s">
        <v>55</v>
      </c>
      <c r="I5048" s="6" t="s">
        <v>8397</v>
      </c>
      <c r="J5048" s="6" t="s">
        <v>91</v>
      </c>
      <c r="K5048" s="12" t="str">
        <f t="shared" si="1298"/>
        <v>View Creative</v>
      </c>
      <c r="L5048" s="6" t="s">
        <v>62</v>
      </c>
      <c r="M5048" s="6" t="s">
        <v>1421</v>
      </c>
      <c r="N5048" s="6"/>
      <c r="O5048" s="36" t="s">
        <v>7541</v>
      </c>
      <c r="P5048" s="36" t="s">
        <v>7542</v>
      </c>
      <c r="Q5048" s="38"/>
    </row>
    <row r="5049">
      <c r="A5049" s="6" t="s">
        <v>1421</v>
      </c>
      <c r="B5049" s="6" t="s">
        <v>8395</v>
      </c>
      <c r="C5049" s="6">
        <v>31.0</v>
      </c>
      <c r="D5049" s="9" t="str">
        <f t="shared" ref="D5049:D5050" si="1299">HYPERLINK("https://www.linkedin.com/ad-library/detail/1518629254","Open Ad")</f>
        <v>Open Ad</v>
      </c>
      <c r="E5049" s="6" t="s">
        <v>154</v>
      </c>
      <c r="F5049" s="6" t="s">
        <v>8022</v>
      </c>
      <c r="G5049" s="6" t="s">
        <v>8410</v>
      </c>
      <c r="H5049" s="6" t="s">
        <v>55</v>
      </c>
      <c r="I5049" s="6" t="s">
        <v>8397</v>
      </c>
      <c r="J5049" s="6" t="s">
        <v>154</v>
      </c>
      <c r="K5049" s="12" t="str">
        <f t="shared" ref="K5049:K5050" si="1300">HYPERLINK("https://dms.licdn.com/playlist/vid/v2/D5605AQGBe5p2dAxg4A/mp4-720p-30fp-crf28/B56aAaa63_KMCA-/0/1787149677251?e=2147483647&amp;v=beta&amp;t=6Vqr9hpsB-xyhseKkFi4JDBOTB0CZJG8tqRLJF65ui0","View Creative")</f>
        <v>View Creative</v>
      </c>
      <c r="L5049" s="6" t="s">
        <v>62</v>
      </c>
      <c r="M5049" s="6" t="s">
        <v>1421</v>
      </c>
      <c r="N5049" s="6"/>
      <c r="O5049" s="36" t="s">
        <v>7541</v>
      </c>
      <c r="P5049" s="36" t="s">
        <v>7542</v>
      </c>
      <c r="Q5049" s="38"/>
    </row>
    <row r="5050">
      <c r="A5050" s="6" t="s">
        <v>1421</v>
      </c>
      <c r="B5050" s="6" t="s">
        <v>8395</v>
      </c>
      <c r="C5050" s="6">
        <v>32.0</v>
      </c>
      <c r="D5050" s="9" t="str">
        <f t="shared" si="1299"/>
        <v>Open Ad</v>
      </c>
      <c r="E5050" s="6" t="s">
        <v>154</v>
      </c>
      <c r="F5050" s="6" t="s">
        <v>8022</v>
      </c>
      <c r="G5050" s="6" t="s">
        <v>8410</v>
      </c>
      <c r="H5050" s="6" t="s">
        <v>55</v>
      </c>
      <c r="I5050" s="6" t="s">
        <v>8397</v>
      </c>
      <c r="J5050" s="6" t="s">
        <v>154</v>
      </c>
      <c r="K5050" s="12" t="str">
        <f t="shared" si="1300"/>
        <v>View Creative</v>
      </c>
      <c r="L5050" s="6" t="s">
        <v>62</v>
      </c>
      <c r="M5050" s="6" t="s">
        <v>1421</v>
      </c>
      <c r="N5050" s="6"/>
      <c r="O5050" s="36" t="s">
        <v>7541</v>
      </c>
      <c r="P5050" s="36" t="s">
        <v>7542</v>
      </c>
      <c r="Q5050" s="38"/>
    </row>
    <row r="5051">
      <c r="A5051" s="6" t="s">
        <v>1421</v>
      </c>
      <c r="B5051" s="6" t="s">
        <v>8395</v>
      </c>
      <c r="C5051" s="6">
        <v>33.0</v>
      </c>
      <c r="D5051" s="9" t="str">
        <f>HYPERLINK("https://www.linkedin.com/ad-library/detail/1508862094","Open Ad")</f>
        <v>Open Ad</v>
      </c>
      <c r="E5051" s="6" t="s">
        <v>52</v>
      </c>
      <c r="F5051" s="6" t="s">
        <v>8022</v>
      </c>
      <c r="G5051" s="6" t="s">
        <v>8411</v>
      </c>
      <c r="H5051" s="6" t="s">
        <v>55</v>
      </c>
      <c r="I5051" s="6" t="s">
        <v>8397</v>
      </c>
      <c r="J5051" s="6" t="s">
        <v>52</v>
      </c>
      <c r="K5051" s="6" t="s">
        <v>60</v>
      </c>
      <c r="L5051" s="6" t="s">
        <v>62</v>
      </c>
      <c r="M5051" s="6" t="s">
        <v>1421</v>
      </c>
      <c r="N5051" s="6"/>
      <c r="O5051" s="36" t="s">
        <v>7541</v>
      </c>
      <c r="P5051" s="36" t="s">
        <v>7542</v>
      </c>
      <c r="Q5051" s="38"/>
    </row>
    <row r="5052">
      <c r="A5052" s="6" t="s">
        <v>1421</v>
      </c>
      <c r="B5052" s="6" t="s">
        <v>8395</v>
      </c>
      <c r="C5052" s="6">
        <v>34.0</v>
      </c>
      <c r="D5052" s="9" t="str">
        <f t="shared" ref="D5052:D5053" si="1301">HYPERLINK("https://www.linkedin.com/ad-library/detail/1505002934","Open Ad")</f>
        <v>Open Ad</v>
      </c>
      <c r="E5052" s="6" t="s">
        <v>154</v>
      </c>
      <c r="F5052" s="6" t="s">
        <v>8022</v>
      </c>
      <c r="G5052" s="6" t="s">
        <v>8405</v>
      </c>
      <c r="H5052" s="6" t="s">
        <v>55</v>
      </c>
      <c r="I5052" s="6" t="s">
        <v>8397</v>
      </c>
      <c r="J5052" s="6" t="s">
        <v>154</v>
      </c>
      <c r="K5052" s="12" t="str">
        <f t="shared" ref="K5052:K5053" si="1302">HYPERLINK("https://dms.licdn.com/playlist/vid/v2/D4E10AQGKQ8n7wITebg/mp4-1080p-30fp-crf28/B4EZ6zHsO_KMA0-/0/1781121601720?e=2147483647&amp;v=beta&amp;t=mev76czSqB28fnMAFUD9mT4iXWFs-uBQvt_4leydJwY","View Creative")</f>
        <v>View Creative</v>
      </c>
      <c r="L5052" s="6" t="s">
        <v>62</v>
      </c>
      <c r="M5052" s="6" t="s">
        <v>1421</v>
      </c>
      <c r="N5052" s="6"/>
      <c r="O5052" s="36" t="s">
        <v>7541</v>
      </c>
      <c r="P5052" s="36" t="s">
        <v>7542</v>
      </c>
      <c r="Q5052" s="38"/>
    </row>
    <row r="5053">
      <c r="A5053" s="6" t="s">
        <v>1421</v>
      </c>
      <c r="B5053" s="6" t="s">
        <v>8395</v>
      </c>
      <c r="C5053" s="6">
        <v>35.0</v>
      </c>
      <c r="D5053" s="9" t="str">
        <f t="shared" si="1301"/>
        <v>Open Ad</v>
      </c>
      <c r="E5053" s="6" t="s">
        <v>154</v>
      </c>
      <c r="F5053" s="6" t="s">
        <v>8022</v>
      </c>
      <c r="G5053" s="6" t="s">
        <v>8405</v>
      </c>
      <c r="H5053" s="6" t="s">
        <v>55</v>
      </c>
      <c r="I5053" s="6" t="s">
        <v>8397</v>
      </c>
      <c r="J5053" s="6" t="s">
        <v>154</v>
      </c>
      <c r="K5053" s="12" t="str">
        <f t="shared" si="1302"/>
        <v>View Creative</v>
      </c>
      <c r="L5053" s="6" t="s">
        <v>62</v>
      </c>
      <c r="M5053" s="6" t="s">
        <v>1421</v>
      </c>
      <c r="N5053" s="6"/>
      <c r="O5053" s="36" t="s">
        <v>7541</v>
      </c>
      <c r="P5053" s="36" t="s">
        <v>7542</v>
      </c>
      <c r="Q5053" s="38"/>
    </row>
    <row r="5054">
      <c r="A5054" s="6" t="s">
        <v>1421</v>
      </c>
      <c r="B5054" s="6" t="s">
        <v>8395</v>
      </c>
      <c r="C5054" s="6">
        <v>36.0</v>
      </c>
      <c r="D5054" s="9" t="str">
        <f>HYPERLINK("https://www.linkedin.com/ad-library/detail/1468118074","Open Ad")</f>
        <v>Open Ad</v>
      </c>
      <c r="E5054" s="6" t="s">
        <v>52</v>
      </c>
      <c r="F5054" s="6" t="s">
        <v>8022</v>
      </c>
      <c r="G5054" s="6" t="s">
        <v>8412</v>
      </c>
      <c r="H5054" s="6" t="s">
        <v>55</v>
      </c>
      <c r="I5054" s="6" t="s">
        <v>8397</v>
      </c>
      <c r="J5054" s="6" t="s">
        <v>52</v>
      </c>
      <c r="K5054" s="6" t="s">
        <v>60</v>
      </c>
      <c r="L5054" s="6" t="s">
        <v>62</v>
      </c>
      <c r="M5054" s="6" t="s">
        <v>1421</v>
      </c>
      <c r="N5054" s="6"/>
      <c r="O5054" s="36" t="s">
        <v>7541</v>
      </c>
      <c r="P5054" s="36" t="s">
        <v>7542</v>
      </c>
      <c r="Q5054" s="38"/>
    </row>
    <row r="5055">
      <c r="A5055" s="6" t="s">
        <v>1421</v>
      </c>
      <c r="B5055" s="6" t="s">
        <v>8395</v>
      </c>
      <c r="C5055" s="6">
        <v>37.0</v>
      </c>
      <c r="D5055" s="9" t="str">
        <f t="shared" ref="D5055:D5056" si="1303">HYPERLINK("https://www.linkedin.com/ad-library/detail/1486907394","Open Ad")</f>
        <v>Open Ad</v>
      </c>
      <c r="E5055" s="6" t="s">
        <v>91</v>
      </c>
      <c r="F5055" s="6" t="s">
        <v>8022</v>
      </c>
      <c r="G5055" s="6" t="s">
        <v>8413</v>
      </c>
      <c r="H5055" s="6" t="s">
        <v>55</v>
      </c>
      <c r="I5055" s="6" t="s">
        <v>8397</v>
      </c>
      <c r="J5055" s="6" t="s">
        <v>91</v>
      </c>
      <c r="K5055" s="12" t="str">
        <f t="shared" ref="K5055:K5056" si="1304">HYPERLINK("https://media.licdn.com/dms/image/v2/D5610AQFilZO_lVdIzw/image-shrink_1280/B56Z_Nx7YTGgAg-/0/1785863847955?e=2147483647&amp;v=beta&amp;t=MoGRpd1Uh2JI7BS8HqfGNx8axDiqdpe2_ng-LJT0Txg","View Creative")</f>
        <v>View Creative</v>
      </c>
      <c r="L5055" s="6" t="s">
        <v>62</v>
      </c>
      <c r="M5055" s="6" t="s">
        <v>1421</v>
      </c>
      <c r="N5055" s="6"/>
      <c r="O5055" s="36" t="s">
        <v>7541</v>
      </c>
      <c r="P5055" s="36" t="s">
        <v>7542</v>
      </c>
      <c r="Q5055" s="38"/>
    </row>
    <row r="5056">
      <c r="A5056" s="6" t="s">
        <v>1421</v>
      </c>
      <c r="B5056" s="6" t="s">
        <v>8395</v>
      </c>
      <c r="C5056" s="6">
        <v>38.0</v>
      </c>
      <c r="D5056" s="9" t="str">
        <f t="shared" si="1303"/>
        <v>Open Ad</v>
      </c>
      <c r="E5056" s="6" t="s">
        <v>91</v>
      </c>
      <c r="F5056" s="6" t="s">
        <v>8022</v>
      </c>
      <c r="G5056" s="6" t="s">
        <v>8413</v>
      </c>
      <c r="H5056" s="6" t="s">
        <v>55</v>
      </c>
      <c r="I5056" s="6" t="s">
        <v>8397</v>
      </c>
      <c r="J5056" s="6" t="s">
        <v>91</v>
      </c>
      <c r="K5056" s="12" t="str">
        <f t="shared" si="1304"/>
        <v>View Creative</v>
      </c>
      <c r="L5056" s="6" t="s">
        <v>62</v>
      </c>
      <c r="M5056" s="6" t="s">
        <v>1421</v>
      </c>
      <c r="N5056" s="6"/>
      <c r="O5056" s="36" t="s">
        <v>7541</v>
      </c>
      <c r="P5056" s="36" t="s">
        <v>7542</v>
      </c>
      <c r="Q5056" s="38"/>
    </row>
    <row r="5057">
      <c r="A5057" s="6" t="s">
        <v>1421</v>
      </c>
      <c r="B5057" s="6" t="s">
        <v>8395</v>
      </c>
      <c r="C5057" s="6">
        <v>39.0</v>
      </c>
      <c r="D5057" s="9" t="str">
        <f t="shared" ref="D5057:D5058" si="1305">HYPERLINK("https://www.linkedin.com/ad-library/detail/1477017714","Open Ad")</f>
        <v>Open Ad</v>
      </c>
      <c r="E5057" s="6" t="s">
        <v>154</v>
      </c>
      <c r="F5057" s="6" t="s">
        <v>8022</v>
      </c>
      <c r="G5057" s="6" t="s">
        <v>8414</v>
      </c>
      <c r="H5057" s="6" t="s">
        <v>55</v>
      </c>
      <c r="I5057" s="6" t="s">
        <v>8397</v>
      </c>
      <c r="J5057" s="6" t="s">
        <v>154</v>
      </c>
      <c r="K5057" s="12" t="str">
        <f t="shared" ref="K5057:K5058" si="1306">HYPERLINK("https://dms.licdn.com/playlist/vid/v2/D4E10AQHL_Ju8crxgtw/mp4-360p-30fp-crf28/B4EZ.ssHf6HoCA-/0/1785308677026?e=2147483647&amp;v=beta&amp;t=1f_mo0c3mLXIR-uhMZtFsIFRFso6sQ-CnxDeDU8Mo_A","View Creative")</f>
        <v>View Creative</v>
      </c>
      <c r="L5057" s="6" t="s">
        <v>62</v>
      </c>
      <c r="M5057" s="6" t="s">
        <v>1421</v>
      </c>
      <c r="N5057" s="6"/>
      <c r="O5057" s="36" t="s">
        <v>7541</v>
      </c>
      <c r="P5057" s="36" t="s">
        <v>7542</v>
      </c>
      <c r="Q5057" s="38"/>
    </row>
    <row r="5058">
      <c r="A5058" s="6" t="s">
        <v>1421</v>
      </c>
      <c r="B5058" s="6" t="s">
        <v>8395</v>
      </c>
      <c r="C5058" s="6">
        <v>40.0</v>
      </c>
      <c r="D5058" s="9" t="str">
        <f t="shared" si="1305"/>
        <v>Open Ad</v>
      </c>
      <c r="E5058" s="6" t="s">
        <v>154</v>
      </c>
      <c r="F5058" s="6" t="s">
        <v>8022</v>
      </c>
      <c r="G5058" s="6" t="s">
        <v>8414</v>
      </c>
      <c r="H5058" s="6" t="s">
        <v>55</v>
      </c>
      <c r="I5058" s="6" t="s">
        <v>8397</v>
      </c>
      <c r="J5058" s="6" t="s">
        <v>154</v>
      </c>
      <c r="K5058" s="12" t="str">
        <f t="shared" si="1306"/>
        <v>View Creative</v>
      </c>
      <c r="L5058" s="6" t="s">
        <v>62</v>
      </c>
      <c r="M5058" s="6" t="s">
        <v>1421</v>
      </c>
      <c r="N5058" s="6"/>
      <c r="O5058" s="36" t="s">
        <v>7541</v>
      </c>
      <c r="P5058" s="36" t="s">
        <v>7542</v>
      </c>
      <c r="Q5058" s="38"/>
    </row>
    <row r="5059">
      <c r="A5059" s="6" t="s">
        <v>1421</v>
      </c>
      <c r="B5059" s="6" t="s">
        <v>8395</v>
      </c>
      <c r="C5059" s="6">
        <v>41.0</v>
      </c>
      <c r="D5059" s="9" t="str">
        <f t="shared" ref="D5059:D5060" si="1307">HYPERLINK("https://www.linkedin.com/ad-library/detail/1477144324","Open Ad")</f>
        <v>Open Ad</v>
      </c>
      <c r="E5059" s="6" t="s">
        <v>91</v>
      </c>
      <c r="F5059" s="6" t="s">
        <v>8022</v>
      </c>
      <c r="G5059" s="19" t="s">
        <v>8415</v>
      </c>
      <c r="H5059" s="6" t="s">
        <v>55</v>
      </c>
      <c r="I5059" s="6" t="s">
        <v>8397</v>
      </c>
      <c r="J5059" s="6" t="s">
        <v>91</v>
      </c>
      <c r="K5059" s="12" t="str">
        <f t="shared" ref="K5059:K5060" si="1308">HYPERLINK("https://media.licdn.com/dms/image/v2/D5622AQFnH9C0eE_Afw/feedshare-image-high-res/B56Z9rz5SPHcAU-/0/1784220194448?e=2147483647&amp;v=beta&amp;t=UQxHaiO6_42kGh0ab-aQbTlrS_nY9XMrNAz4j_F-wb0","View Creative")</f>
        <v>View Creative</v>
      </c>
      <c r="L5059" s="6" t="s">
        <v>62</v>
      </c>
      <c r="M5059" s="6" t="s">
        <v>1421</v>
      </c>
      <c r="N5059" s="6"/>
      <c r="O5059" s="36" t="s">
        <v>7541</v>
      </c>
      <c r="P5059" s="36" t="s">
        <v>7542</v>
      </c>
      <c r="Q5059" s="38"/>
    </row>
    <row r="5060">
      <c r="A5060" s="6" t="s">
        <v>1421</v>
      </c>
      <c r="B5060" s="6" t="s">
        <v>8395</v>
      </c>
      <c r="C5060" s="6">
        <v>42.0</v>
      </c>
      <c r="D5060" s="9" t="str">
        <f t="shared" si="1307"/>
        <v>Open Ad</v>
      </c>
      <c r="E5060" s="6" t="s">
        <v>91</v>
      </c>
      <c r="F5060" s="6" t="s">
        <v>8022</v>
      </c>
      <c r="G5060" s="19" t="s">
        <v>8415</v>
      </c>
      <c r="H5060" s="6" t="s">
        <v>55</v>
      </c>
      <c r="I5060" s="6" t="s">
        <v>8397</v>
      </c>
      <c r="J5060" s="6" t="s">
        <v>91</v>
      </c>
      <c r="K5060" s="12" t="str">
        <f t="shared" si="1308"/>
        <v>View Creative</v>
      </c>
      <c r="L5060" s="6" t="s">
        <v>62</v>
      </c>
      <c r="M5060" s="6" t="s">
        <v>1421</v>
      </c>
      <c r="N5060" s="6"/>
      <c r="O5060" s="36" t="s">
        <v>7541</v>
      </c>
      <c r="P5060" s="36" t="s">
        <v>7542</v>
      </c>
      <c r="Q5060" s="38"/>
    </row>
    <row r="5061">
      <c r="A5061" s="6" t="s">
        <v>1421</v>
      </c>
      <c r="B5061" s="6" t="s">
        <v>8395</v>
      </c>
      <c r="C5061" s="6">
        <v>43.0</v>
      </c>
      <c r="D5061" s="9" t="str">
        <f>HYPERLINK("https://www.linkedin.com/ad-library/detail/1474637844","Open Ad")</f>
        <v>Open Ad</v>
      </c>
      <c r="E5061" s="6" t="s">
        <v>52</v>
      </c>
      <c r="F5061" s="6" t="s">
        <v>8022</v>
      </c>
      <c r="G5061" s="6" t="s">
        <v>8416</v>
      </c>
      <c r="H5061" s="6" t="s">
        <v>55</v>
      </c>
      <c r="I5061" s="6" t="s">
        <v>8397</v>
      </c>
      <c r="J5061" s="6" t="s">
        <v>52</v>
      </c>
      <c r="K5061" s="6" t="s">
        <v>60</v>
      </c>
      <c r="L5061" s="6" t="s">
        <v>62</v>
      </c>
      <c r="M5061" s="6" t="s">
        <v>1421</v>
      </c>
      <c r="N5061" s="6"/>
      <c r="O5061" s="36" t="s">
        <v>7541</v>
      </c>
      <c r="P5061" s="36" t="s">
        <v>7542</v>
      </c>
      <c r="Q5061" s="38"/>
    </row>
    <row r="5062">
      <c r="A5062" s="6" t="s">
        <v>1421</v>
      </c>
      <c r="B5062" s="6" t="s">
        <v>8395</v>
      </c>
      <c r="C5062" s="6">
        <v>44.0</v>
      </c>
      <c r="D5062" s="9" t="str">
        <f>HYPERLINK("https://www.linkedin.com/ad-library/detail/1474588624","Open Ad")</f>
        <v>Open Ad</v>
      </c>
      <c r="E5062" s="6" t="s">
        <v>52</v>
      </c>
      <c r="F5062" s="6" t="s">
        <v>8022</v>
      </c>
      <c r="G5062" s="6" t="s">
        <v>8417</v>
      </c>
      <c r="H5062" s="6" t="s">
        <v>55</v>
      </c>
      <c r="I5062" s="6" t="s">
        <v>8397</v>
      </c>
      <c r="J5062" s="6" t="s">
        <v>52</v>
      </c>
      <c r="K5062" s="6" t="s">
        <v>60</v>
      </c>
      <c r="L5062" s="6" t="s">
        <v>62</v>
      </c>
      <c r="M5062" s="6" t="s">
        <v>1421</v>
      </c>
      <c r="N5062" s="6"/>
      <c r="O5062" s="36" t="s">
        <v>7541</v>
      </c>
      <c r="P5062" s="36" t="s">
        <v>7542</v>
      </c>
      <c r="Q5062" s="38"/>
    </row>
    <row r="5063">
      <c r="A5063" s="6" t="s">
        <v>1421</v>
      </c>
      <c r="B5063" s="6" t="s">
        <v>8395</v>
      </c>
      <c r="C5063" s="6">
        <v>45.0</v>
      </c>
      <c r="D5063" s="9" t="str">
        <f t="shared" ref="D5063:D5064" si="1309">HYPERLINK("https://www.linkedin.com/ad-library/detail/1486848074","Open Ad")</f>
        <v>Open Ad</v>
      </c>
      <c r="E5063" s="6" t="s">
        <v>91</v>
      </c>
      <c r="F5063" s="6" t="s">
        <v>8022</v>
      </c>
      <c r="G5063" s="6" t="s">
        <v>8413</v>
      </c>
      <c r="H5063" s="6" t="s">
        <v>55</v>
      </c>
      <c r="I5063" s="6" t="s">
        <v>8397</v>
      </c>
      <c r="J5063" s="6" t="s">
        <v>91</v>
      </c>
      <c r="K5063" s="12" t="str">
        <f t="shared" ref="K5063:K5064" si="1310">HYPERLINK("https://media.licdn.com/dms/image/v2/D5610AQGWEcs62d2-oA/image-shrink_1280/B56Z_NyFjwIMAg-/0/1785863889267?e=2147483647&amp;v=beta&amp;t=pDMzKIY7OgaQhbqlORidn5tQhUu3nC8wD8ewVYYJUiM","View Creative")</f>
        <v>View Creative</v>
      </c>
      <c r="L5063" s="6" t="s">
        <v>62</v>
      </c>
      <c r="M5063" s="6" t="s">
        <v>1421</v>
      </c>
      <c r="N5063" s="6"/>
      <c r="O5063" s="36" t="s">
        <v>7541</v>
      </c>
      <c r="P5063" s="36" t="s">
        <v>7542</v>
      </c>
      <c r="Q5063" s="38"/>
    </row>
    <row r="5064">
      <c r="A5064" s="6" t="s">
        <v>1421</v>
      </c>
      <c r="B5064" s="6" t="s">
        <v>8395</v>
      </c>
      <c r="C5064" s="6">
        <v>46.0</v>
      </c>
      <c r="D5064" s="9" t="str">
        <f t="shared" si="1309"/>
        <v>Open Ad</v>
      </c>
      <c r="E5064" s="6" t="s">
        <v>91</v>
      </c>
      <c r="F5064" s="6" t="s">
        <v>8022</v>
      </c>
      <c r="G5064" s="6" t="s">
        <v>8413</v>
      </c>
      <c r="H5064" s="6" t="s">
        <v>55</v>
      </c>
      <c r="I5064" s="6" t="s">
        <v>8397</v>
      </c>
      <c r="J5064" s="6" t="s">
        <v>91</v>
      </c>
      <c r="K5064" s="12" t="str">
        <f t="shared" si="1310"/>
        <v>View Creative</v>
      </c>
      <c r="L5064" s="6" t="s">
        <v>62</v>
      </c>
      <c r="M5064" s="6" t="s">
        <v>1421</v>
      </c>
      <c r="N5064" s="6"/>
      <c r="O5064" s="36" t="s">
        <v>7541</v>
      </c>
      <c r="P5064" s="36" t="s">
        <v>7542</v>
      </c>
      <c r="Q5064" s="38"/>
    </row>
    <row r="5065">
      <c r="A5065" s="6" t="s">
        <v>1421</v>
      </c>
      <c r="B5065" s="6" t="s">
        <v>8395</v>
      </c>
      <c r="C5065" s="6">
        <v>47.0</v>
      </c>
      <c r="D5065" s="9" t="str">
        <f t="shared" ref="D5065:D5066" si="1311">HYPERLINK("https://www.linkedin.com/ad-library/detail/1477125364","Open Ad")</f>
        <v>Open Ad</v>
      </c>
      <c r="E5065" s="6" t="s">
        <v>154</v>
      </c>
      <c r="F5065" s="6" t="s">
        <v>8022</v>
      </c>
      <c r="G5065" s="6" t="s">
        <v>8414</v>
      </c>
      <c r="H5065" s="6" t="s">
        <v>55</v>
      </c>
      <c r="I5065" s="6" t="s">
        <v>8397</v>
      </c>
      <c r="J5065" s="6" t="s">
        <v>154</v>
      </c>
      <c r="K5065" s="12" t="str">
        <f t="shared" ref="K5065:K5066" si="1312">HYPERLINK("https://dms.licdn.com/playlist/vid/v2/D4E10AQHL_Ju8crxgtw/mp4-360p-30fp-crf28/B4EZ.ssHf6HoCA-/0/1785308677026?e=2147483647&amp;v=beta&amp;t=1f_mo0c3mLXIR-uhMZtFsIFRFso6sQ-CnxDeDU8Mo_A","View Creative")</f>
        <v>View Creative</v>
      </c>
      <c r="L5065" s="6" t="s">
        <v>62</v>
      </c>
      <c r="M5065" s="6" t="s">
        <v>1421</v>
      </c>
      <c r="N5065" s="6"/>
      <c r="O5065" s="36" t="s">
        <v>7541</v>
      </c>
      <c r="P5065" s="36" t="s">
        <v>7542</v>
      </c>
      <c r="Q5065" s="38"/>
    </row>
    <row r="5066">
      <c r="A5066" s="6" t="s">
        <v>1421</v>
      </c>
      <c r="B5066" s="6" t="s">
        <v>8395</v>
      </c>
      <c r="C5066" s="6">
        <v>48.0</v>
      </c>
      <c r="D5066" s="9" t="str">
        <f t="shared" si="1311"/>
        <v>Open Ad</v>
      </c>
      <c r="E5066" s="6" t="s">
        <v>154</v>
      </c>
      <c r="F5066" s="6" t="s">
        <v>8022</v>
      </c>
      <c r="G5066" s="6" t="s">
        <v>8414</v>
      </c>
      <c r="H5066" s="6" t="s">
        <v>55</v>
      </c>
      <c r="I5066" s="6" t="s">
        <v>8397</v>
      </c>
      <c r="J5066" s="6" t="s">
        <v>154</v>
      </c>
      <c r="K5066" s="12" t="str">
        <f t="shared" si="1312"/>
        <v>View Creative</v>
      </c>
      <c r="L5066" s="6" t="s">
        <v>62</v>
      </c>
      <c r="M5066" s="6" t="s">
        <v>1421</v>
      </c>
      <c r="N5066" s="6"/>
      <c r="O5066" s="36" t="s">
        <v>7541</v>
      </c>
      <c r="P5066" s="36" t="s">
        <v>7542</v>
      </c>
      <c r="Q5066" s="38"/>
    </row>
    <row r="5067">
      <c r="A5067" s="6" t="s">
        <v>1421</v>
      </c>
      <c r="B5067" s="6" t="s">
        <v>8395</v>
      </c>
      <c r="C5067" s="6">
        <v>49.0</v>
      </c>
      <c r="D5067" s="9" t="str">
        <f>HYPERLINK("https://www.linkedin.com/ad-library/detail/1486848064","Open Ad")</f>
        <v>Open Ad</v>
      </c>
      <c r="E5067" s="6" t="s">
        <v>52</v>
      </c>
      <c r="F5067" s="6" t="s">
        <v>8022</v>
      </c>
      <c r="G5067" s="6" t="s">
        <v>8418</v>
      </c>
      <c r="H5067" s="6" t="s">
        <v>55</v>
      </c>
      <c r="I5067" s="6" t="s">
        <v>8397</v>
      </c>
      <c r="J5067" s="6" t="s">
        <v>52</v>
      </c>
      <c r="K5067" s="6" t="s">
        <v>60</v>
      </c>
      <c r="L5067" s="6" t="s">
        <v>62</v>
      </c>
      <c r="M5067" s="6" t="s">
        <v>1421</v>
      </c>
      <c r="N5067" s="6"/>
      <c r="O5067" s="36" t="s">
        <v>7541</v>
      </c>
      <c r="P5067" s="36" t="s">
        <v>7542</v>
      </c>
      <c r="Q5067" s="38"/>
    </row>
    <row r="5068">
      <c r="A5068" s="6" t="s">
        <v>1421</v>
      </c>
      <c r="B5068" s="6" t="s">
        <v>8395</v>
      </c>
      <c r="C5068" s="6">
        <v>50.0</v>
      </c>
      <c r="D5068" s="9" t="str">
        <f>HYPERLINK("https://www.linkedin.com/ad-library/detail/1486778544","Open Ad")</f>
        <v>Open Ad</v>
      </c>
      <c r="E5068" s="6" t="s">
        <v>52</v>
      </c>
      <c r="F5068" s="6" t="s">
        <v>8022</v>
      </c>
      <c r="G5068" s="6" t="s">
        <v>8419</v>
      </c>
      <c r="H5068" s="6" t="s">
        <v>55</v>
      </c>
      <c r="I5068" s="6" t="s">
        <v>8397</v>
      </c>
      <c r="J5068" s="6" t="s">
        <v>52</v>
      </c>
      <c r="K5068" s="6" t="s">
        <v>60</v>
      </c>
      <c r="L5068" s="6" t="s">
        <v>62</v>
      </c>
      <c r="M5068" s="6" t="s">
        <v>1421</v>
      </c>
      <c r="N5068" s="6"/>
      <c r="O5068" s="36" t="s">
        <v>7541</v>
      </c>
      <c r="P5068" s="36" t="s">
        <v>7542</v>
      </c>
      <c r="Q5068" s="38"/>
    </row>
    <row r="5069">
      <c r="A5069" s="6" t="s">
        <v>1421</v>
      </c>
      <c r="B5069" s="6" t="s">
        <v>8395</v>
      </c>
      <c r="C5069" s="6">
        <v>51.0</v>
      </c>
      <c r="D5069" s="9" t="str">
        <f>HYPERLINK("https://www.linkedin.com/ad-library/detail/1486907404","Open Ad")</f>
        <v>Open Ad</v>
      </c>
      <c r="E5069" s="6" t="s">
        <v>52</v>
      </c>
      <c r="F5069" s="6" t="s">
        <v>8022</v>
      </c>
      <c r="G5069" s="6" t="s">
        <v>8420</v>
      </c>
      <c r="H5069" s="6" t="s">
        <v>55</v>
      </c>
      <c r="I5069" s="6" t="s">
        <v>8397</v>
      </c>
      <c r="J5069" s="6" t="s">
        <v>52</v>
      </c>
      <c r="K5069" s="6" t="s">
        <v>60</v>
      </c>
      <c r="L5069" s="6" t="s">
        <v>62</v>
      </c>
      <c r="M5069" s="6" t="s">
        <v>1421</v>
      </c>
      <c r="N5069" s="6"/>
      <c r="O5069" s="36" t="s">
        <v>7541</v>
      </c>
      <c r="P5069" s="36" t="s">
        <v>7542</v>
      </c>
      <c r="Q5069" s="38"/>
    </row>
    <row r="5070">
      <c r="A5070" s="6" t="s">
        <v>1421</v>
      </c>
      <c r="B5070" s="6" t="s">
        <v>8395</v>
      </c>
      <c r="C5070" s="6">
        <v>52.0</v>
      </c>
      <c r="D5070" s="9" t="str">
        <f>HYPERLINK("https://www.linkedin.com/ad-library/detail/1468137754","Open Ad")</f>
        <v>Open Ad</v>
      </c>
      <c r="E5070" s="6" t="s">
        <v>52</v>
      </c>
      <c r="F5070" s="6" t="s">
        <v>8022</v>
      </c>
      <c r="G5070" s="6" t="s">
        <v>8421</v>
      </c>
      <c r="H5070" s="6" t="s">
        <v>55</v>
      </c>
      <c r="I5070" s="6" t="s">
        <v>8397</v>
      </c>
      <c r="J5070" s="6" t="s">
        <v>52</v>
      </c>
      <c r="K5070" s="6" t="s">
        <v>60</v>
      </c>
      <c r="L5070" s="6" t="s">
        <v>62</v>
      </c>
      <c r="M5070" s="6" t="s">
        <v>1421</v>
      </c>
      <c r="N5070" s="6"/>
      <c r="O5070" s="36" t="s">
        <v>7541</v>
      </c>
      <c r="P5070" s="36" t="s">
        <v>7542</v>
      </c>
      <c r="Q5070" s="38"/>
    </row>
    <row r="5071">
      <c r="A5071" s="6" t="s">
        <v>1421</v>
      </c>
      <c r="B5071" s="6" t="s">
        <v>8395</v>
      </c>
      <c r="C5071" s="6">
        <v>53.0</v>
      </c>
      <c r="D5071" s="9" t="str">
        <f t="shared" ref="D5071:D5072" si="1313">HYPERLINK("https://www.linkedin.com/ad-library/detail/1476824224","Open Ad")</f>
        <v>Open Ad</v>
      </c>
      <c r="E5071" s="6" t="s">
        <v>154</v>
      </c>
      <c r="F5071" s="6" t="s">
        <v>8022</v>
      </c>
      <c r="G5071" s="6" t="s">
        <v>8422</v>
      </c>
      <c r="H5071" s="6" t="s">
        <v>55</v>
      </c>
      <c r="I5071" s="6" t="s">
        <v>8397</v>
      </c>
      <c r="J5071" s="6" t="s">
        <v>154</v>
      </c>
      <c r="K5071" s="12" t="str">
        <f t="shared" ref="K5071:K5072" si="1314">HYPERLINK("https://dms.licdn.com/playlist/vid/v2/D4E10AQGuhp6BUKb6Wg/mp4-640p-30fp-crf28/B4EZ.p6a2vJ0Bw-/0/1785262098606?e=2147483647&amp;v=beta&amp;t=lvM01i2-bhmOxG3qzWqdziFP5rqRhTUPCmbOUXjNGG8","View Creative")</f>
        <v>View Creative</v>
      </c>
      <c r="L5071" s="6" t="s">
        <v>62</v>
      </c>
      <c r="M5071" s="6" t="s">
        <v>1421</v>
      </c>
      <c r="N5071" s="6"/>
      <c r="O5071" s="36" t="s">
        <v>7541</v>
      </c>
      <c r="P5071" s="36" t="s">
        <v>7542</v>
      </c>
      <c r="Q5071" s="38"/>
    </row>
    <row r="5072">
      <c r="A5072" s="6" t="s">
        <v>1421</v>
      </c>
      <c r="B5072" s="6" t="s">
        <v>8395</v>
      </c>
      <c r="C5072" s="6">
        <v>54.0</v>
      </c>
      <c r="D5072" s="9" t="str">
        <f t="shared" si="1313"/>
        <v>Open Ad</v>
      </c>
      <c r="E5072" s="6" t="s">
        <v>154</v>
      </c>
      <c r="F5072" s="6" t="s">
        <v>8022</v>
      </c>
      <c r="G5072" s="6" t="s">
        <v>8422</v>
      </c>
      <c r="H5072" s="6" t="s">
        <v>55</v>
      </c>
      <c r="I5072" s="6" t="s">
        <v>8397</v>
      </c>
      <c r="J5072" s="6" t="s">
        <v>154</v>
      </c>
      <c r="K5072" s="12" t="str">
        <f t="shared" si="1314"/>
        <v>View Creative</v>
      </c>
      <c r="L5072" s="6" t="s">
        <v>62</v>
      </c>
      <c r="M5072" s="6" t="s">
        <v>1421</v>
      </c>
      <c r="N5072" s="6"/>
      <c r="O5072" s="36" t="s">
        <v>7541</v>
      </c>
      <c r="P5072" s="36" t="s">
        <v>7542</v>
      </c>
      <c r="Q5072" s="38"/>
    </row>
    <row r="5073">
      <c r="A5073" s="6" t="s">
        <v>1421</v>
      </c>
      <c r="B5073" s="6" t="s">
        <v>8395</v>
      </c>
      <c r="C5073" s="6">
        <v>55.0</v>
      </c>
      <c r="D5073" s="9" t="str">
        <f>HYPERLINK("https://www.linkedin.com/ad-library/detail/1466776904","Open Ad")</f>
        <v>Open Ad</v>
      </c>
      <c r="E5073" s="6" t="s">
        <v>52</v>
      </c>
      <c r="F5073" s="6" t="s">
        <v>8022</v>
      </c>
      <c r="G5073" s="6" t="s">
        <v>8423</v>
      </c>
      <c r="H5073" s="6" t="s">
        <v>55</v>
      </c>
      <c r="I5073" s="6" t="s">
        <v>8397</v>
      </c>
      <c r="J5073" s="6" t="s">
        <v>52</v>
      </c>
      <c r="K5073" s="6" t="s">
        <v>60</v>
      </c>
      <c r="L5073" s="6" t="s">
        <v>62</v>
      </c>
      <c r="M5073" s="6" t="s">
        <v>1421</v>
      </c>
      <c r="N5073" s="6"/>
      <c r="O5073" s="36" t="s">
        <v>7541</v>
      </c>
      <c r="P5073" s="36" t="s">
        <v>7542</v>
      </c>
      <c r="Q5073" s="38"/>
    </row>
    <row r="5074">
      <c r="A5074" s="6" t="s">
        <v>1421</v>
      </c>
      <c r="B5074" s="6" t="s">
        <v>8395</v>
      </c>
      <c r="C5074" s="6">
        <v>56.0</v>
      </c>
      <c r="D5074" s="9" t="str">
        <f t="shared" ref="D5074:D5075" si="1315">HYPERLINK("https://www.linkedin.com/ad-library/detail/1477027084","Open Ad")</f>
        <v>Open Ad</v>
      </c>
      <c r="E5074" s="6" t="s">
        <v>154</v>
      </c>
      <c r="F5074" s="6" t="s">
        <v>8022</v>
      </c>
      <c r="G5074" s="6" t="s">
        <v>8424</v>
      </c>
      <c r="H5074" s="6" t="s">
        <v>55</v>
      </c>
      <c r="I5074" s="6" t="s">
        <v>8397</v>
      </c>
      <c r="J5074" s="6" t="s">
        <v>154</v>
      </c>
      <c r="K5074" s="12" t="str">
        <f t="shared" ref="K5074:K5075" si="1316">HYPERLINK("https://dms.licdn.com/playlist/vid/v2/D5605AQEfC6hdzpxH-g/mp4-640p-30fp-crf28/B56Z.pe_CEIMBk-/0/1785254908253?e=2147483647&amp;v=beta&amp;t=LDqRc8j_EieDEuaqZSvdRXnKELmZAyq2dv2-IIe4sro","View Creative")</f>
        <v>View Creative</v>
      </c>
      <c r="L5074" s="6" t="s">
        <v>62</v>
      </c>
      <c r="M5074" s="6" t="s">
        <v>1421</v>
      </c>
      <c r="N5074" s="6"/>
      <c r="O5074" s="36" t="s">
        <v>7541</v>
      </c>
      <c r="P5074" s="36" t="s">
        <v>7542</v>
      </c>
      <c r="Q5074" s="38"/>
    </row>
    <row r="5075">
      <c r="A5075" s="6" t="s">
        <v>1421</v>
      </c>
      <c r="B5075" s="6" t="s">
        <v>8395</v>
      </c>
      <c r="C5075" s="6">
        <v>57.0</v>
      </c>
      <c r="D5075" s="9" t="str">
        <f t="shared" si="1315"/>
        <v>Open Ad</v>
      </c>
      <c r="E5075" s="6" t="s">
        <v>154</v>
      </c>
      <c r="F5075" s="6" t="s">
        <v>8022</v>
      </c>
      <c r="G5075" s="6" t="s">
        <v>8424</v>
      </c>
      <c r="H5075" s="6" t="s">
        <v>55</v>
      </c>
      <c r="I5075" s="6" t="s">
        <v>8397</v>
      </c>
      <c r="J5075" s="6" t="s">
        <v>154</v>
      </c>
      <c r="K5075" s="12" t="str">
        <f t="shared" si="1316"/>
        <v>View Creative</v>
      </c>
      <c r="L5075" s="6" t="s">
        <v>62</v>
      </c>
      <c r="M5075" s="6" t="s">
        <v>1421</v>
      </c>
      <c r="N5075" s="6"/>
      <c r="O5075" s="36" t="s">
        <v>7541</v>
      </c>
      <c r="P5075" s="36" t="s">
        <v>7542</v>
      </c>
      <c r="Q5075" s="38"/>
    </row>
    <row r="5076">
      <c r="A5076" s="6" t="s">
        <v>1421</v>
      </c>
      <c r="B5076" s="6" t="s">
        <v>8395</v>
      </c>
      <c r="C5076" s="6">
        <v>58.0</v>
      </c>
      <c r="D5076" s="9" t="str">
        <f>HYPERLINK("https://www.linkedin.com/ad-library/detail/1486837684","Open Ad")</f>
        <v>Open Ad</v>
      </c>
      <c r="E5076" s="6" t="s">
        <v>52</v>
      </c>
      <c r="F5076" s="6" t="s">
        <v>8022</v>
      </c>
      <c r="G5076" s="6" t="s">
        <v>8425</v>
      </c>
      <c r="H5076" s="6" t="s">
        <v>55</v>
      </c>
      <c r="I5076" s="6" t="s">
        <v>8397</v>
      </c>
      <c r="J5076" s="6" t="s">
        <v>52</v>
      </c>
      <c r="K5076" s="6" t="s">
        <v>60</v>
      </c>
      <c r="L5076" s="6" t="s">
        <v>62</v>
      </c>
      <c r="M5076" s="6" t="s">
        <v>1421</v>
      </c>
      <c r="N5076" s="6"/>
      <c r="O5076" s="36" t="s">
        <v>7541</v>
      </c>
      <c r="P5076" s="36" t="s">
        <v>7542</v>
      </c>
      <c r="Q5076" s="38"/>
    </row>
    <row r="5077">
      <c r="A5077" s="6" t="s">
        <v>1421</v>
      </c>
      <c r="B5077" s="6" t="s">
        <v>8395</v>
      </c>
      <c r="C5077" s="6">
        <v>59.0</v>
      </c>
      <c r="D5077" s="9" t="str">
        <f t="shared" ref="D5077:D5078" si="1317">HYPERLINK("https://www.linkedin.com/ad-library/detail/1476803124","Open Ad")</f>
        <v>Open Ad</v>
      </c>
      <c r="E5077" s="6" t="s">
        <v>154</v>
      </c>
      <c r="F5077" s="6" t="s">
        <v>8022</v>
      </c>
      <c r="G5077" s="6" t="s">
        <v>8426</v>
      </c>
      <c r="H5077" s="6" t="s">
        <v>55</v>
      </c>
      <c r="I5077" s="6" t="s">
        <v>8397</v>
      </c>
      <c r="J5077" s="6" t="s">
        <v>154</v>
      </c>
      <c r="K5077" s="12" t="str">
        <f t="shared" ref="K5077:K5078" si="1318">HYPERLINK("https://dms.licdn.com/playlist/vid/v2/D5605AQGXihLBOSS-GQ/mp4-640p-30fp-crf28/B56Z9B9U9OKgB0-/0/1783518035745?e=2147483647&amp;v=beta&amp;t=RezBTk26JYyGnqLbidsvP_ogn7aQU6gjAnOw0whyYOc","View Creative")</f>
        <v>View Creative</v>
      </c>
      <c r="L5077" s="6" t="s">
        <v>62</v>
      </c>
      <c r="M5077" s="6" t="s">
        <v>1421</v>
      </c>
      <c r="N5077" s="6"/>
      <c r="O5077" s="36" t="s">
        <v>7541</v>
      </c>
      <c r="P5077" s="36" t="s">
        <v>7542</v>
      </c>
      <c r="Q5077" s="38"/>
    </row>
    <row r="5078">
      <c r="A5078" s="6" t="s">
        <v>1421</v>
      </c>
      <c r="B5078" s="6" t="s">
        <v>8395</v>
      </c>
      <c r="C5078" s="6">
        <v>60.0</v>
      </c>
      <c r="D5078" s="9" t="str">
        <f t="shared" si="1317"/>
        <v>Open Ad</v>
      </c>
      <c r="E5078" s="6" t="s">
        <v>154</v>
      </c>
      <c r="F5078" s="6" t="s">
        <v>8022</v>
      </c>
      <c r="G5078" s="6" t="s">
        <v>8426</v>
      </c>
      <c r="H5078" s="6" t="s">
        <v>55</v>
      </c>
      <c r="I5078" s="6" t="s">
        <v>8397</v>
      </c>
      <c r="J5078" s="6" t="s">
        <v>154</v>
      </c>
      <c r="K5078" s="12" t="str">
        <f t="shared" si="1318"/>
        <v>View Creative</v>
      </c>
      <c r="L5078" s="6" t="s">
        <v>62</v>
      </c>
      <c r="M5078" s="6" t="s">
        <v>1421</v>
      </c>
      <c r="N5078" s="6"/>
      <c r="O5078" s="36" t="s">
        <v>7541</v>
      </c>
      <c r="P5078" s="36" t="s">
        <v>7542</v>
      </c>
      <c r="Q5078" s="38"/>
    </row>
    <row r="5079">
      <c r="A5079" s="6" t="s">
        <v>1421</v>
      </c>
      <c r="B5079" s="6" t="s">
        <v>8395</v>
      </c>
      <c r="C5079" s="6">
        <v>61.0</v>
      </c>
      <c r="D5079" s="9" t="str">
        <f t="shared" ref="D5079:D5080" si="1319">HYPERLINK("https://www.linkedin.com/ad-library/detail/1477154764","Open Ad")</f>
        <v>Open Ad</v>
      </c>
      <c r="E5079" s="6" t="s">
        <v>154</v>
      </c>
      <c r="F5079" s="6" t="s">
        <v>8022</v>
      </c>
      <c r="G5079" s="6" t="s">
        <v>8414</v>
      </c>
      <c r="H5079" s="6" t="s">
        <v>55</v>
      </c>
      <c r="I5079" s="6" t="s">
        <v>8397</v>
      </c>
      <c r="J5079" s="6" t="s">
        <v>154</v>
      </c>
      <c r="K5079" s="12" t="str">
        <f t="shared" ref="K5079:K5080" si="1320">HYPERLINK("https://dms.licdn.com/playlist/vid/v2/D4E10AQE4sITrLz6Uhw/mp4-640p-30fp-crf28/B4EZ.sur6NJ0Bo-/0/1785309350476?e=2147483647&amp;v=beta&amp;t=lzNHIWsQ6WNnns-iJN4QT32udo-PKeiVHSTFqzKk4XE","View Creative")</f>
        <v>View Creative</v>
      </c>
      <c r="L5079" s="6" t="s">
        <v>62</v>
      </c>
      <c r="M5079" s="6" t="s">
        <v>1421</v>
      </c>
      <c r="N5079" s="6"/>
      <c r="O5079" s="36" t="s">
        <v>7541</v>
      </c>
      <c r="P5079" s="36" t="s">
        <v>7542</v>
      </c>
      <c r="Q5079" s="38"/>
    </row>
    <row r="5080">
      <c r="A5080" s="6" t="s">
        <v>1421</v>
      </c>
      <c r="B5080" s="6" t="s">
        <v>8395</v>
      </c>
      <c r="C5080" s="6">
        <v>62.0</v>
      </c>
      <c r="D5080" s="9" t="str">
        <f t="shared" si="1319"/>
        <v>Open Ad</v>
      </c>
      <c r="E5080" s="6" t="s">
        <v>154</v>
      </c>
      <c r="F5080" s="6" t="s">
        <v>8022</v>
      </c>
      <c r="G5080" s="6" t="s">
        <v>8414</v>
      </c>
      <c r="H5080" s="6" t="s">
        <v>55</v>
      </c>
      <c r="I5080" s="6" t="s">
        <v>8397</v>
      </c>
      <c r="J5080" s="6" t="s">
        <v>154</v>
      </c>
      <c r="K5080" s="12" t="str">
        <f t="shared" si="1320"/>
        <v>View Creative</v>
      </c>
      <c r="L5080" s="6" t="s">
        <v>62</v>
      </c>
      <c r="M5080" s="6" t="s">
        <v>1421</v>
      </c>
      <c r="N5080" s="6"/>
      <c r="O5080" s="36" t="s">
        <v>7541</v>
      </c>
      <c r="P5080" s="36" t="s">
        <v>7542</v>
      </c>
      <c r="Q5080" s="38"/>
    </row>
    <row r="5081">
      <c r="A5081" s="6" t="s">
        <v>1421</v>
      </c>
      <c r="B5081" s="6" t="s">
        <v>8395</v>
      </c>
      <c r="C5081" s="6">
        <v>63.0</v>
      </c>
      <c r="D5081" s="9" t="str">
        <f>HYPERLINK("https://www.linkedin.com/ad-library/detail/1486916404","Open Ad")</f>
        <v>Open Ad</v>
      </c>
      <c r="E5081" s="6" t="s">
        <v>52</v>
      </c>
      <c r="F5081" s="6" t="s">
        <v>8022</v>
      </c>
      <c r="G5081" s="6" t="s">
        <v>8427</v>
      </c>
      <c r="H5081" s="6" t="s">
        <v>55</v>
      </c>
      <c r="I5081" s="6" t="s">
        <v>8397</v>
      </c>
      <c r="J5081" s="6" t="s">
        <v>52</v>
      </c>
      <c r="K5081" s="6" t="s">
        <v>60</v>
      </c>
      <c r="L5081" s="6" t="s">
        <v>62</v>
      </c>
      <c r="M5081" s="6" t="s">
        <v>1421</v>
      </c>
      <c r="N5081" s="6"/>
      <c r="O5081" s="36" t="s">
        <v>7541</v>
      </c>
      <c r="P5081" s="36" t="s">
        <v>7542</v>
      </c>
      <c r="Q5081" s="38"/>
    </row>
    <row r="5082">
      <c r="A5082" s="6" t="s">
        <v>1421</v>
      </c>
      <c r="B5082" s="6" t="s">
        <v>8395</v>
      </c>
      <c r="C5082" s="6">
        <v>64.0</v>
      </c>
      <c r="D5082" s="9" t="str">
        <f t="shared" ref="D5082:D5083" si="1321">HYPERLINK("https://www.linkedin.com/ad-library/detail/1486728664","Open Ad")</f>
        <v>Open Ad</v>
      </c>
      <c r="E5082" s="6" t="s">
        <v>91</v>
      </c>
      <c r="F5082" s="6" t="s">
        <v>8022</v>
      </c>
      <c r="G5082" s="6" t="s">
        <v>8413</v>
      </c>
      <c r="H5082" s="6" t="s">
        <v>55</v>
      </c>
      <c r="I5082" s="6" t="s">
        <v>8397</v>
      </c>
      <c r="J5082" s="6" t="s">
        <v>91</v>
      </c>
      <c r="K5082" s="12" t="str">
        <f t="shared" ref="K5082:K5083" si="1322">HYPERLINK("https://media.licdn.com/dms/image/v2/D5610AQHGeRdJCtJyzQ/image-shrink_1280/B56Z_NyMbwHAAg-/0/1785863916850?e=2147483647&amp;v=beta&amp;t=UGuQy2oW7eOst7DYZHN2bKWvIvzcriCbseyMVYP5rG0","View Creative")</f>
        <v>View Creative</v>
      </c>
      <c r="L5082" s="6" t="s">
        <v>62</v>
      </c>
      <c r="M5082" s="6" t="s">
        <v>1421</v>
      </c>
      <c r="N5082" s="6"/>
      <c r="O5082" s="36" t="s">
        <v>7541</v>
      </c>
      <c r="P5082" s="36" t="s">
        <v>7542</v>
      </c>
      <c r="Q5082" s="38"/>
    </row>
    <row r="5083">
      <c r="A5083" s="6" t="s">
        <v>1421</v>
      </c>
      <c r="B5083" s="6" t="s">
        <v>8395</v>
      </c>
      <c r="C5083" s="6">
        <v>65.0</v>
      </c>
      <c r="D5083" s="9" t="str">
        <f t="shared" si="1321"/>
        <v>Open Ad</v>
      </c>
      <c r="E5083" s="6" t="s">
        <v>91</v>
      </c>
      <c r="F5083" s="6" t="s">
        <v>8022</v>
      </c>
      <c r="G5083" s="6" t="s">
        <v>8413</v>
      </c>
      <c r="H5083" s="6" t="s">
        <v>55</v>
      </c>
      <c r="I5083" s="6" t="s">
        <v>8397</v>
      </c>
      <c r="J5083" s="6" t="s">
        <v>91</v>
      </c>
      <c r="K5083" s="12" t="str">
        <f t="shared" si="1322"/>
        <v>View Creative</v>
      </c>
      <c r="L5083" s="6" t="s">
        <v>62</v>
      </c>
      <c r="M5083" s="6" t="s">
        <v>1421</v>
      </c>
      <c r="N5083" s="6"/>
      <c r="O5083" s="36" t="s">
        <v>7541</v>
      </c>
      <c r="P5083" s="36" t="s">
        <v>7542</v>
      </c>
      <c r="Q5083" s="38"/>
    </row>
    <row r="5084">
      <c r="A5084" s="6" t="s">
        <v>1421</v>
      </c>
      <c r="B5084" s="6" t="s">
        <v>8395</v>
      </c>
      <c r="C5084" s="6">
        <v>66.0</v>
      </c>
      <c r="D5084" s="9" t="str">
        <f>HYPERLINK("https://www.linkedin.com/ad-library/detail/1468166604","Open Ad")</f>
        <v>Open Ad</v>
      </c>
      <c r="E5084" s="6" t="s">
        <v>52</v>
      </c>
      <c r="F5084" s="6" t="s">
        <v>8022</v>
      </c>
      <c r="G5084" s="6" t="s">
        <v>8428</v>
      </c>
      <c r="H5084" s="6" t="s">
        <v>55</v>
      </c>
      <c r="I5084" s="6" t="s">
        <v>8397</v>
      </c>
      <c r="J5084" s="6" t="s">
        <v>52</v>
      </c>
      <c r="K5084" s="6" t="s">
        <v>60</v>
      </c>
      <c r="L5084" s="6" t="s">
        <v>62</v>
      </c>
      <c r="M5084" s="6" t="s">
        <v>1421</v>
      </c>
      <c r="N5084" s="6"/>
      <c r="O5084" s="36" t="s">
        <v>7541</v>
      </c>
      <c r="P5084" s="36" t="s">
        <v>7542</v>
      </c>
      <c r="Q5084" s="38"/>
    </row>
    <row r="5085">
      <c r="A5085" s="6" t="s">
        <v>1421</v>
      </c>
      <c r="B5085" s="6" t="s">
        <v>8395</v>
      </c>
      <c r="C5085" s="6">
        <v>67.0</v>
      </c>
      <c r="D5085" s="9" t="str">
        <f t="shared" ref="D5085:D5086" si="1323">HYPERLINK("https://www.linkedin.com/ad-library/detail/1481222754","Open Ad")</f>
        <v>Open Ad</v>
      </c>
      <c r="E5085" s="6" t="s">
        <v>154</v>
      </c>
      <c r="F5085" s="6" t="s">
        <v>8022</v>
      </c>
      <c r="G5085" s="6" t="s">
        <v>8429</v>
      </c>
      <c r="H5085" s="6" t="s">
        <v>55</v>
      </c>
      <c r="I5085" s="6" t="s">
        <v>8397</v>
      </c>
      <c r="J5085" s="6" t="s">
        <v>154</v>
      </c>
      <c r="K5085" s="12" t="str">
        <f t="shared" ref="K5085:K5086" si="1324">HYPERLINK("https://dms.licdn.com/playlist/vid/v2/D5605AQE8vp766cj6Ig/mp4-640p-30fp-crf28/B56Z.Evm1QH4Bk-/0/1784638555101?e=2147483647&amp;v=beta&amp;t=JOwyDxORkU9yxjAa75KgF0qNbBqK9GAIoBSGAgQei4Q","View Creative")</f>
        <v>View Creative</v>
      </c>
      <c r="L5085" s="6" t="s">
        <v>62</v>
      </c>
      <c r="M5085" s="6" t="s">
        <v>1421</v>
      </c>
      <c r="N5085" s="6"/>
      <c r="O5085" s="36" t="s">
        <v>7541</v>
      </c>
      <c r="P5085" s="36" t="s">
        <v>7542</v>
      </c>
      <c r="Q5085" s="38"/>
    </row>
    <row r="5086">
      <c r="A5086" s="6" t="s">
        <v>1421</v>
      </c>
      <c r="B5086" s="6" t="s">
        <v>8395</v>
      </c>
      <c r="C5086" s="6">
        <v>68.0</v>
      </c>
      <c r="D5086" s="9" t="str">
        <f t="shared" si="1323"/>
        <v>Open Ad</v>
      </c>
      <c r="E5086" s="6" t="s">
        <v>154</v>
      </c>
      <c r="F5086" s="6" t="s">
        <v>8022</v>
      </c>
      <c r="G5086" s="6" t="s">
        <v>8429</v>
      </c>
      <c r="H5086" s="6" t="s">
        <v>55</v>
      </c>
      <c r="I5086" s="6" t="s">
        <v>8397</v>
      </c>
      <c r="J5086" s="6" t="s">
        <v>154</v>
      </c>
      <c r="K5086" s="12" t="str">
        <f t="shared" si="1324"/>
        <v>View Creative</v>
      </c>
      <c r="L5086" s="6" t="s">
        <v>62</v>
      </c>
      <c r="M5086" s="6" t="s">
        <v>1421</v>
      </c>
      <c r="N5086" s="6"/>
      <c r="O5086" s="36" t="s">
        <v>7541</v>
      </c>
      <c r="P5086" s="36" t="s">
        <v>7542</v>
      </c>
      <c r="Q5086" s="38"/>
    </row>
    <row r="5087">
      <c r="A5087" s="6" t="s">
        <v>1421</v>
      </c>
      <c r="B5087" s="6" t="s">
        <v>8395</v>
      </c>
      <c r="C5087" s="6">
        <v>69.0</v>
      </c>
      <c r="D5087" s="9" t="str">
        <f t="shared" ref="D5087:D5088" si="1325">HYPERLINK("https://www.linkedin.com/ad-library/detail/1476766244","Open Ad")</f>
        <v>Open Ad</v>
      </c>
      <c r="E5087" s="6" t="s">
        <v>154</v>
      </c>
      <c r="F5087" s="6" t="s">
        <v>8022</v>
      </c>
      <c r="G5087" s="6" t="s">
        <v>8422</v>
      </c>
      <c r="H5087" s="6" t="s">
        <v>55</v>
      </c>
      <c r="I5087" s="6" t="s">
        <v>8397</v>
      </c>
      <c r="J5087" s="6" t="s">
        <v>154</v>
      </c>
      <c r="K5087" s="12" t="str">
        <f t="shared" ref="K5087:K5088" si="1326">HYPERLINK("https://dms.licdn.com/playlist/vid/v2/D4E10AQGuhp6BUKb6Wg/mp4-640p-30fp-crf28/B4EZ.p6a2vJ0Bw-/0/1785262098606?e=2147483647&amp;v=beta&amp;t=lvM01i2-bhmOxG3qzWqdziFP5rqRhTUPCmbOUXjNGG8","View Creative")</f>
        <v>View Creative</v>
      </c>
      <c r="L5087" s="6" t="s">
        <v>62</v>
      </c>
      <c r="M5087" s="6" t="s">
        <v>1421</v>
      </c>
      <c r="N5087" s="6"/>
      <c r="O5087" s="36" t="s">
        <v>7541</v>
      </c>
      <c r="P5087" s="36" t="s">
        <v>7542</v>
      </c>
      <c r="Q5087" s="38"/>
    </row>
    <row r="5088">
      <c r="A5088" s="6" t="s">
        <v>1421</v>
      </c>
      <c r="B5088" s="6" t="s">
        <v>8395</v>
      </c>
      <c r="C5088" s="6">
        <v>70.0</v>
      </c>
      <c r="D5088" s="9" t="str">
        <f t="shared" si="1325"/>
        <v>Open Ad</v>
      </c>
      <c r="E5088" s="6" t="s">
        <v>154</v>
      </c>
      <c r="F5088" s="6" t="s">
        <v>8022</v>
      </c>
      <c r="G5088" s="6" t="s">
        <v>8422</v>
      </c>
      <c r="H5088" s="6" t="s">
        <v>55</v>
      </c>
      <c r="I5088" s="6" t="s">
        <v>8397</v>
      </c>
      <c r="J5088" s="6" t="s">
        <v>154</v>
      </c>
      <c r="K5088" s="12" t="str">
        <f t="shared" si="1326"/>
        <v>View Creative</v>
      </c>
      <c r="L5088" s="6" t="s">
        <v>62</v>
      </c>
      <c r="M5088" s="6" t="s">
        <v>1421</v>
      </c>
      <c r="N5088" s="6"/>
      <c r="O5088" s="36" t="s">
        <v>7541</v>
      </c>
      <c r="P5088" s="36" t="s">
        <v>7542</v>
      </c>
      <c r="Q5088" s="38"/>
    </row>
    <row r="5089">
      <c r="A5089" s="6" t="s">
        <v>1421</v>
      </c>
      <c r="B5089" s="6" t="s">
        <v>8395</v>
      </c>
      <c r="C5089" s="6">
        <v>71.0</v>
      </c>
      <c r="D5089" s="9" t="str">
        <f t="shared" ref="D5089:D5090" si="1327">HYPERLINK("https://www.linkedin.com/ad-library/detail/1477027554","Open Ad")</f>
        <v>Open Ad</v>
      </c>
      <c r="E5089" s="6" t="s">
        <v>154</v>
      </c>
      <c r="F5089" s="6" t="s">
        <v>8022</v>
      </c>
      <c r="G5089" s="6" t="s">
        <v>8414</v>
      </c>
      <c r="H5089" s="6" t="s">
        <v>55</v>
      </c>
      <c r="I5089" s="6" t="s">
        <v>8397</v>
      </c>
      <c r="J5089" s="6" t="s">
        <v>154</v>
      </c>
      <c r="K5089" s="12" t="str">
        <f t="shared" ref="K5089:K5090" si="1328">HYPERLINK("https://dms.licdn.com/playlist/vid/v2/D4E10AQE4sITrLz6Uhw/mp4-640p-30fp-crf28/B4EZ.sur6NJ0Bo-/0/1785309350476?e=2147483647&amp;v=beta&amp;t=lzNHIWsQ6WNnns-iJN4QT32udo-PKeiVHSTFqzKk4XE","View Creative")</f>
        <v>View Creative</v>
      </c>
      <c r="L5089" s="6" t="s">
        <v>62</v>
      </c>
      <c r="M5089" s="6" t="s">
        <v>1421</v>
      </c>
      <c r="N5089" s="6"/>
      <c r="O5089" s="36" t="s">
        <v>7541</v>
      </c>
      <c r="P5089" s="36" t="s">
        <v>7542</v>
      </c>
      <c r="Q5089" s="38"/>
    </row>
    <row r="5090">
      <c r="A5090" s="6" t="s">
        <v>1421</v>
      </c>
      <c r="B5090" s="6" t="s">
        <v>8395</v>
      </c>
      <c r="C5090" s="6">
        <v>72.0</v>
      </c>
      <c r="D5090" s="9" t="str">
        <f t="shared" si="1327"/>
        <v>Open Ad</v>
      </c>
      <c r="E5090" s="6" t="s">
        <v>154</v>
      </c>
      <c r="F5090" s="6" t="s">
        <v>8022</v>
      </c>
      <c r="G5090" s="6" t="s">
        <v>8414</v>
      </c>
      <c r="H5090" s="6" t="s">
        <v>55</v>
      </c>
      <c r="I5090" s="6" t="s">
        <v>8397</v>
      </c>
      <c r="J5090" s="6" t="s">
        <v>154</v>
      </c>
      <c r="K5090" s="12" t="str">
        <f t="shared" si="1328"/>
        <v>View Creative</v>
      </c>
      <c r="L5090" s="6" t="s">
        <v>62</v>
      </c>
      <c r="M5090" s="6" t="s">
        <v>1421</v>
      </c>
      <c r="N5090" s="6"/>
      <c r="O5090" s="36" t="s">
        <v>7541</v>
      </c>
      <c r="P5090" s="36" t="s">
        <v>7542</v>
      </c>
      <c r="Q5090" s="38"/>
    </row>
    <row r="5091">
      <c r="A5091" s="6" t="s">
        <v>1421</v>
      </c>
      <c r="B5091" s="6" t="s">
        <v>8395</v>
      </c>
      <c r="C5091" s="6">
        <v>73.0</v>
      </c>
      <c r="D5091" s="9" t="str">
        <f t="shared" ref="D5091:D5092" si="1329">HYPERLINK("https://www.linkedin.com/ad-library/detail/1464406294","Open Ad")</f>
        <v>Open Ad</v>
      </c>
      <c r="E5091" s="6" t="s">
        <v>154</v>
      </c>
      <c r="F5091" s="6" t="s">
        <v>8022</v>
      </c>
      <c r="G5091" s="6" t="s">
        <v>8430</v>
      </c>
      <c r="H5091" s="6" t="s">
        <v>8431</v>
      </c>
      <c r="I5091" s="6" t="s">
        <v>8397</v>
      </c>
      <c r="J5091" s="6" t="s">
        <v>154</v>
      </c>
      <c r="K5091" s="12" t="str">
        <f t="shared" ref="K5091:K5092" si="1330">HYPERLINK("https://dms.licdn.com/playlist/vid/v2/D4D05AQHnmIEEyRX-XQ/mp4-640p-30fp-crf28/B4DZqiqSThJMB4-/0/1763665591076?e=2147483647&amp;v=beta&amp;t=z_-Yle32SHQ35KpshG1IXh2KghCKdx17hxgQTsQb9DM","View Creative")</f>
        <v>View Creative</v>
      </c>
      <c r="L5091" s="6" t="s">
        <v>62</v>
      </c>
      <c r="M5091" s="6" t="s">
        <v>1421</v>
      </c>
      <c r="N5091" s="6"/>
      <c r="O5091" s="36" t="s">
        <v>7541</v>
      </c>
      <c r="P5091" s="36" t="s">
        <v>7542</v>
      </c>
      <c r="Q5091" s="38"/>
    </row>
    <row r="5092">
      <c r="A5092" s="6" t="s">
        <v>1421</v>
      </c>
      <c r="B5092" s="6" t="s">
        <v>8395</v>
      </c>
      <c r="C5092" s="6">
        <v>74.0</v>
      </c>
      <c r="D5092" s="9" t="str">
        <f t="shared" si="1329"/>
        <v>Open Ad</v>
      </c>
      <c r="E5092" s="6" t="s">
        <v>154</v>
      </c>
      <c r="F5092" s="6" t="s">
        <v>8022</v>
      </c>
      <c r="G5092" s="6" t="s">
        <v>8430</v>
      </c>
      <c r="H5092" s="6" t="s">
        <v>8431</v>
      </c>
      <c r="I5092" s="6" t="s">
        <v>8397</v>
      </c>
      <c r="J5092" s="6" t="s">
        <v>154</v>
      </c>
      <c r="K5092" s="12" t="str">
        <f t="shared" si="1330"/>
        <v>View Creative</v>
      </c>
      <c r="L5092" s="6" t="s">
        <v>62</v>
      </c>
      <c r="M5092" s="6" t="s">
        <v>1421</v>
      </c>
      <c r="N5092" s="6"/>
      <c r="O5092" s="36" t="s">
        <v>7541</v>
      </c>
      <c r="P5092" s="36" t="s">
        <v>7542</v>
      </c>
      <c r="Q5092" s="38"/>
    </row>
    <row r="5093">
      <c r="A5093" s="6" t="s">
        <v>1421</v>
      </c>
      <c r="B5093" s="6" t="s">
        <v>8395</v>
      </c>
      <c r="C5093" s="6">
        <v>75.0</v>
      </c>
      <c r="D5093" s="9" t="str">
        <f t="shared" ref="D5093:D5094" si="1331">HYPERLINK("https://www.linkedin.com/ad-library/detail/1464416654","Open Ad")</f>
        <v>Open Ad</v>
      </c>
      <c r="E5093" s="6" t="s">
        <v>154</v>
      </c>
      <c r="F5093" s="6" t="s">
        <v>8022</v>
      </c>
      <c r="G5093" s="6" t="s">
        <v>8432</v>
      </c>
      <c r="H5093" s="6" t="s">
        <v>55</v>
      </c>
      <c r="I5093" s="6" t="s">
        <v>8397</v>
      </c>
      <c r="J5093" s="6" t="s">
        <v>154</v>
      </c>
      <c r="K5093" s="12" t="str">
        <f t="shared" ref="K5093:K5094" si="1332">HYPERLINK("https://dms.licdn.com/playlist/vid/v2/D5605AQEWNe09ZoqOxA/mp4-720p-30fp-crf28/B56Z4h8If4IYB4-/0/1778685879338?e=2147483647&amp;v=beta&amp;t=GcORgHPD11kmTB6xULXOiMdQZ41gwkeyuXn30kkHS1s","View Creative")</f>
        <v>View Creative</v>
      </c>
      <c r="L5093" s="6" t="s">
        <v>62</v>
      </c>
      <c r="M5093" s="6" t="s">
        <v>1421</v>
      </c>
      <c r="N5093" s="6"/>
      <c r="O5093" s="36" t="s">
        <v>7541</v>
      </c>
      <c r="P5093" s="36" t="s">
        <v>7542</v>
      </c>
      <c r="Q5093" s="38"/>
    </row>
    <row r="5094">
      <c r="A5094" s="6" t="s">
        <v>1421</v>
      </c>
      <c r="B5094" s="6" t="s">
        <v>8395</v>
      </c>
      <c r="C5094" s="6">
        <v>76.0</v>
      </c>
      <c r="D5094" s="9" t="str">
        <f t="shared" si="1331"/>
        <v>Open Ad</v>
      </c>
      <c r="E5094" s="6" t="s">
        <v>154</v>
      </c>
      <c r="F5094" s="6" t="s">
        <v>8022</v>
      </c>
      <c r="G5094" s="6" t="s">
        <v>8432</v>
      </c>
      <c r="H5094" s="6" t="s">
        <v>55</v>
      </c>
      <c r="I5094" s="6" t="s">
        <v>8397</v>
      </c>
      <c r="J5094" s="6" t="s">
        <v>154</v>
      </c>
      <c r="K5094" s="12" t="str">
        <f t="shared" si="1332"/>
        <v>View Creative</v>
      </c>
      <c r="L5094" s="6" t="s">
        <v>62</v>
      </c>
      <c r="M5094" s="6" t="s">
        <v>1421</v>
      </c>
      <c r="N5094" s="6"/>
      <c r="O5094" s="36" t="s">
        <v>7541</v>
      </c>
      <c r="P5094" s="36" t="s">
        <v>7542</v>
      </c>
      <c r="Q5094" s="38"/>
    </row>
    <row r="5095">
      <c r="A5095" s="6" t="s">
        <v>1421</v>
      </c>
      <c r="B5095" s="6" t="s">
        <v>8395</v>
      </c>
      <c r="C5095" s="6">
        <v>77.0</v>
      </c>
      <c r="D5095" s="9" t="str">
        <f t="shared" ref="D5095:D5096" si="1333">HYPERLINK("https://www.linkedin.com/ad-library/detail/1464494814","Open Ad")</f>
        <v>Open Ad</v>
      </c>
      <c r="E5095" s="6" t="s">
        <v>154</v>
      </c>
      <c r="F5095" s="6" t="s">
        <v>8022</v>
      </c>
      <c r="G5095" s="6" t="s">
        <v>8433</v>
      </c>
      <c r="H5095" s="6" t="s">
        <v>55</v>
      </c>
      <c r="I5095" s="6" t="s">
        <v>8397</v>
      </c>
      <c r="J5095" s="6" t="s">
        <v>154</v>
      </c>
      <c r="K5095" s="12" t="str">
        <f t="shared" ref="K5095:K5096" si="1334">HYPERLINK("https://dms.licdn.com/playlist/vid/v2/D4E05AQEGh8tNi4vnsA/mp4-640p-30fp-crf28/B4EZ6tF.M.KEBk-/0/1781020496286?e=2147483647&amp;v=beta&amp;t=mmJsN-gluJv_IJ0aHj_-JC8EQkdhozrAfVMFlQMW90o","View Creative")</f>
        <v>View Creative</v>
      </c>
      <c r="L5095" s="6" t="s">
        <v>62</v>
      </c>
      <c r="M5095" s="6" t="s">
        <v>1421</v>
      </c>
      <c r="N5095" s="6"/>
      <c r="O5095" s="36" t="s">
        <v>7541</v>
      </c>
      <c r="P5095" s="36" t="s">
        <v>7542</v>
      </c>
      <c r="Q5095" s="38"/>
    </row>
    <row r="5096">
      <c r="A5096" s="6" t="s">
        <v>1421</v>
      </c>
      <c r="B5096" s="6" t="s">
        <v>8395</v>
      </c>
      <c r="C5096" s="6">
        <v>78.0</v>
      </c>
      <c r="D5096" s="9" t="str">
        <f t="shared" si="1333"/>
        <v>Open Ad</v>
      </c>
      <c r="E5096" s="6" t="s">
        <v>154</v>
      </c>
      <c r="F5096" s="6" t="s">
        <v>8022</v>
      </c>
      <c r="G5096" s="6" t="s">
        <v>8433</v>
      </c>
      <c r="H5096" s="6" t="s">
        <v>55</v>
      </c>
      <c r="I5096" s="6" t="s">
        <v>8397</v>
      </c>
      <c r="J5096" s="6" t="s">
        <v>154</v>
      </c>
      <c r="K5096" s="12" t="str">
        <f t="shared" si="1334"/>
        <v>View Creative</v>
      </c>
      <c r="L5096" s="6" t="s">
        <v>62</v>
      </c>
      <c r="M5096" s="6" t="s">
        <v>1421</v>
      </c>
      <c r="N5096" s="6"/>
      <c r="O5096" s="36" t="s">
        <v>7541</v>
      </c>
      <c r="P5096" s="36" t="s">
        <v>7542</v>
      </c>
      <c r="Q5096" s="38"/>
    </row>
    <row r="5097">
      <c r="A5097" s="6" t="s">
        <v>1421</v>
      </c>
      <c r="B5097" s="6" t="s">
        <v>8395</v>
      </c>
      <c r="C5097" s="6">
        <v>79.0</v>
      </c>
      <c r="D5097" s="9" t="str">
        <f t="shared" ref="D5097:D5098" si="1335">HYPERLINK("https://www.linkedin.com/ad-library/detail/1464406194","Open Ad")</f>
        <v>Open Ad</v>
      </c>
      <c r="E5097" s="6" t="s">
        <v>154</v>
      </c>
      <c r="F5097" s="6" t="s">
        <v>8022</v>
      </c>
      <c r="G5097" s="6" t="s">
        <v>8434</v>
      </c>
      <c r="H5097" s="6" t="s">
        <v>55</v>
      </c>
      <c r="I5097" s="6" t="s">
        <v>8397</v>
      </c>
      <c r="J5097" s="6" t="s">
        <v>154</v>
      </c>
      <c r="K5097" s="12" t="str">
        <f t="shared" ref="K5097:K5098" si="1336">HYPERLINK("https://dms.licdn.com/playlist/vid/v2/D5605AQEC0dg2UxS9Eg/mp4-640p-30fp-crf28/B56ZlTHaUaHUBg-/0/1758036109121?e=2147483647&amp;v=beta&amp;t=r2TUXg6IriE5bWcka5TTw3bcHXSbabgRxdDfRqQaIQ0","View Creative")</f>
        <v>View Creative</v>
      </c>
      <c r="L5097" s="6" t="s">
        <v>62</v>
      </c>
      <c r="M5097" s="6" t="s">
        <v>1421</v>
      </c>
      <c r="N5097" s="6"/>
      <c r="O5097" s="36" t="s">
        <v>7541</v>
      </c>
      <c r="P5097" s="36" t="s">
        <v>7542</v>
      </c>
      <c r="Q5097" s="38"/>
    </row>
    <row r="5098">
      <c r="A5098" s="6" t="s">
        <v>1421</v>
      </c>
      <c r="B5098" s="6" t="s">
        <v>8395</v>
      </c>
      <c r="C5098" s="6">
        <v>80.0</v>
      </c>
      <c r="D5098" s="9" t="str">
        <f t="shared" si="1335"/>
        <v>Open Ad</v>
      </c>
      <c r="E5098" s="6" t="s">
        <v>154</v>
      </c>
      <c r="F5098" s="6" t="s">
        <v>8022</v>
      </c>
      <c r="G5098" s="6" t="s">
        <v>8434</v>
      </c>
      <c r="H5098" s="6" t="s">
        <v>55</v>
      </c>
      <c r="I5098" s="6" t="s">
        <v>8397</v>
      </c>
      <c r="J5098" s="6" t="s">
        <v>154</v>
      </c>
      <c r="K5098" s="12" t="str">
        <f t="shared" si="1336"/>
        <v>View Creative</v>
      </c>
      <c r="L5098" s="6" t="s">
        <v>62</v>
      </c>
      <c r="M5098" s="6" t="s">
        <v>1421</v>
      </c>
      <c r="N5098" s="6"/>
      <c r="O5098" s="36" t="s">
        <v>7541</v>
      </c>
      <c r="P5098" s="36" t="s">
        <v>7542</v>
      </c>
      <c r="Q5098" s="38"/>
    </row>
    <row r="5099">
      <c r="A5099" s="6" t="s">
        <v>1421</v>
      </c>
      <c r="B5099" s="6" t="s">
        <v>8395</v>
      </c>
      <c r="C5099" s="6">
        <v>81.0</v>
      </c>
      <c r="D5099" s="9" t="str">
        <f t="shared" ref="D5099:D5100" si="1337">HYPERLINK("https://www.linkedin.com/ad-library/detail/1464484434","Open Ad")</f>
        <v>Open Ad</v>
      </c>
      <c r="E5099" s="6" t="s">
        <v>154</v>
      </c>
      <c r="F5099" s="6" t="s">
        <v>8022</v>
      </c>
      <c r="G5099" s="6" t="s">
        <v>8435</v>
      </c>
      <c r="H5099" s="6" t="s">
        <v>55</v>
      </c>
      <c r="I5099" s="6" t="s">
        <v>8397</v>
      </c>
      <c r="J5099" s="6" t="s">
        <v>154</v>
      </c>
      <c r="K5099" s="12" t="str">
        <f t="shared" ref="K5099:K5100" si="1338">HYPERLINK("https://dms.licdn.com/playlist/vid/v2/D5605AQE6Z0zqfcpW3g/mp4-640p-30fp-crf28/B56Zorq7IeJoBg-/0/1761669283314?e=2147483647&amp;v=beta&amp;t=KST58Ce3LTVWDWkFRWzAAmLwhm80S6p0s59Ezqw-4tM","View Creative")</f>
        <v>View Creative</v>
      </c>
      <c r="L5099" s="6" t="s">
        <v>62</v>
      </c>
      <c r="M5099" s="6" t="s">
        <v>1421</v>
      </c>
      <c r="N5099" s="6"/>
      <c r="O5099" s="36" t="s">
        <v>7541</v>
      </c>
      <c r="P5099" s="36" t="s">
        <v>7542</v>
      </c>
      <c r="Q5099" s="38"/>
    </row>
    <row r="5100">
      <c r="A5100" s="6" t="s">
        <v>1421</v>
      </c>
      <c r="B5100" s="6" t="s">
        <v>8395</v>
      </c>
      <c r="C5100" s="6">
        <v>82.0</v>
      </c>
      <c r="D5100" s="9" t="str">
        <f t="shared" si="1337"/>
        <v>Open Ad</v>
      </c>
      <c r="E5100" s="6" t="s">
        <v>154</v>
      </c>
      <c r="F5100" s="6" t="s">
        <v>8022</v>
      </c>
      <c r="G5100" s="6" t="s">
        <v>8435</v>
      </c>
      <c r="H5100" s="6" t="s">
        <v>55</v>
      </c>
      <c r="I5100" s="6" t="s">
        <v>8397</v>
      </c>
      <c r="J5100" s="6" t="s">
        <v>154</v>
      </c>
      <c r="K5100" s="12" t="str">
        <f t="shared" si="1338"/>
        <v>View Creative</v>
      </c>
      <c r="L5100" s="6" t="s">
        <v>62</v>
      </c>
      <c r="M5100" s="6" t="s">
        <v>1421</v>
      </c>
      <c r="N5100" s="6"/>
      <c r="O5100" s="36" t="s">
        <v>7541</v>
      </c>
      <c r="P5100" s="36" t="s">
        <v>7542</v>
      </c>
      <c r="Q5100" s="38"/>
    </row>
    <row r="5101">
      <c r="A5101" s="6" t="s">
        <v>1421</v>
      </c>
      <c r="B5101" s="6" t="s">
        <v>8395</v>
      </c>
      <c r="C5101" s="6">
        <v>83.0</v>
      </c>
      <c r="D5101" s="9" t="str">
        <f t="shared" ref="D5101:D5102" si="1339">HYPERLINK("https://www.linkedin.com/ad-library/detail/1464406284","Open Ad")</f>
        <v>Open Ad</v>
      </c>
      <c r="E5101" s="6" t="s">
        <v>154</v>
      </c>
      <c r="F5101" s="6" t="s">
        <v>8022</v>
      </c>
      <c r="G5101" s="6" t="s">
        <v>8436</v>
      </c>
      <c r="H5101" s="6" t="s">
        <v>55</v>
      </c>
      <c r="I5101" s="6" t="s">
        <v>8397</v>
      </c>
      <c r="J5101" s="6" t="s">
        <v>154</v>
      </c>
      <c r="K5101" s="12" t="str">
        <f t="shared" ref="K5101:K5102" si="1340">HYPERLINK("https://dms.licdn.com/playlist/vid/v2/D5605AQHLi1j0DUwXOA/mp4-720p-30fp-crf28/B56Z5AtZXGG0CA-/0/1779202112058?e=2147483647&amp;v=beta&amp;t=gJ685MqCVRDMCOsA8jx2rzABa4OnDA12w_6zgxvmgmw","View Creative")</f>
        <v>View Creative</v>
      </c>
      <c r="L5101" s="6" t="s">
        <v>62</v>
      </c>
      <c r="M5101" s="6" t="s">
        <v>1421</v>
      </c>
      <c r="N5101" s="6"/>
      <c r="O5101" s="36" t="s">
        <v>7541</v>
      </c>
      <c r="P5101" s="36" t="s">
        <v>7542</v>
      </c>
      <c r="Q5101" s="38"/>
    </row>
    <row r="5102">
      <c r="A5102" s="6" t="s">
        <v>1421</v>
      </c>
      <c r="B5102" s="6" t="s">
        <v>8395</v>
      </c>
      <c r="C5102" s="6">
        <v>84.0</v>
      </c>
      <c r="D5102" s="9" t="str">
        <f t="shared" si="1339"/>
        <v>Open Ad</v>
      </c>
      <c r="E5102" s="6" t="s">
        <v>154</v>
      </c>
      <c r="F5102" s="6" t="s">
        <v>8022</v>
      </c>
      <c r="G5102" s="6" t="s">
        <v>8436</v>
      </c>
      <c r="H5102" s="6" t="s">
        <v>55</v>
      </c>
      <c r="I5102" s="6" t="s">
        <v>8397</v>
      </c>
      <c r="J5102" s="6" t="s">
        <v>154</v>
      </c>
      <c r="K5102" s="12" t="str">
        <f t="shared" si="1340"/>
        <v>View Creative</v>
      </c>
      <c r="L5102" s="6" t="s">
        <v>62</v>
      </c>
      <c r="M5102" s="6" t="s">
        <v>1421</v>
      </c>
      <c r="N5102" s="6"/>
      <c r="O5102" s="36" t="s">
        <v>7541</v>
      </c>
      <c r="P5102" s="36" t="s">
        <v>7542</v>
      </c>
      <c r="Q5102" s="38"/>
    </row>
    <row r="5103">
      <c r="A5103" s="6" t="s">
        <v>1421</v>
      </c>
      <c r="B5103" s="6" t="s">
        <v>8395</v>
      </c>
      <c r="C5103" s="6">
        <v>85.0</v>
      </c>
      <c r="D5103" s="9" t="str">
        <f>HYPERLINK("https://www.linkedin.com/ad-library/detail/1461913014","Open Ad")</f>
        <v>Open Ad</v>
      </c>
      <c r="E5103" s="6" t="s">
        <v>52</v>
      </c>
      <c r="F5103" s="6" t="s">
        <v>8022</v>
      </c>
      <c r="G5103" s="6" t="s">
        <v>8399</v>
      </c>
      <c r="H5103" s="6" t="s">
        <v>55</v>
      </c>
      <c r="I5103" s="6" t="s">
        <v>8397</v>
      </c>
      <c r="J5103" s="6" t="s">
        <v>52</v>
      </c>
      <c r="K5103" s="6" t="s">
        <v>60</v>
      </c>
      <c r="L5103" s="6" t="s">
        <v>62</v>
      </c>
      <c r="M5103" s="6" t="s">
        <v>1421</v>
      </c>
      <c r="N5103" s="6"/>
      <c r="O5103" s="36" t="s">
        <v>7541</v>
      </c>
      <c r="P5103" s="36" t="s">
        <v>7542</v>
      </c>
      <c r="Q5103" s="38"/>
    </row>
    <row r="5104">
      <c r="A5104" s="6" t="s">
        <v>1421</v>
      </c>
      <c r="B5104" s="6" t="s">
        <v>8395</v>
      </c>
      <c r="C5104" s="6">
        <v>86.0</v>
      </c>
      <c r="D5104" s="9" t="str">
        <f t="shared" ref="D5104:D5105" si="1341">HYPERLINK("https://www.linkedin.com/ad-library/detail/1464465494","Open Ad")</f>
        <v>Open Ad</v>
      </c>
      <c r="E5104" s="6" t="s">
        <v>154</v>
      </c>
      <c r="F5104" s="6" t="s">
        <v>8022</v>
      </c>
      <c r="G5104" s="6" t="s">
        <v>8433</v>
      </c>
      <c r="H5104" s="6" t="s">
        <v>55</v>
      </c>
      <c r="I5104" s="6" t="s">
        <v>8397</v>
      </c>
      <c r="J5104" s="6" t="s">
        <v>154</v>
      </c>
      <c r="K5104" s="12" t="str">
        <f t="shared" ref="K5104:K5105" si="1342">HYPERLINK("https://dms.licdn.com/playlist/vid/v2/D4E05AQEGh8tNi4vnsA/mp4-640p-30fp-crf28/B4EZ6tF.M.KEBk-/0/1781020496286?e=2147483647&amp;v=beta&amp;t=mmJsN-gluJv_IJ0aHj_-JC8EQkdhozrAfVMFlQMW90o","View Creative")</f>
        <v>View Creative</v>
      </c>
      <c r="L5104" s="6" t="s">
        <v>62</v>
      </c>
      <c r="M5104" s="6" t="s">
        <v>1421</v>
      </c>
      <c r="N5104" s="6"/>
      <c r="O5104" s="36" t="s">
        <v>7541</v>
      </c>
      <c r="P5104" s="36" t="s">
        <v>7542</v>
      </c>
      <c r="Q5104" s="38"/>
    </row>
    <row r="5105">
      <c r="A5105" s="6" t="s">
        <v>1421</v>
      </c>
      <c r="B5105" s="6" t="s">
        <v>8395</v>
      </c>
      <c r="C5105" s="6">
        <v>87.0</v>
      </c>
      <c r="D5105" s="9" t="str">
        <f t="shared" si="1341"/>
        <v>Open Ad</v>
      </c>
      <c r="E5105" s="6" t="s">
        <v>154</v>
      </c>
      <c r="F5105" s="6" t="s">
        <v>8022</v>
      </c>
      <c r="G5105" s="6" t="s">
        <v>8433</v>
      </c>
      <c r="H5105" s="6" t="s">
        <v>55</v>
      </c>
      <c r="I5105" s="6" t="s">
        <v>8397</v>
      </c>
      <c r="J5105" s="6" t="s">
        <v>154</v>
      </c>
      <c r="K5105" s="12" t="str">
        <f t="shared" si="1342"/>
        <v>View Creative</v>
      </c>
      <c r="L5105" s="6" t="s">
        <v>62</v>
      </c>
      <c r="M5105" s="6" t="s">
        <v>1421</v>
      </c>
      <c r="N5105" s="6"/>
      <c r="O5105" s="36" t="s">
        <v>7541</v>
      </c>
      <c r="P5105" s="36" t="s">
        <v>7542</v>
      </c>
      <c r="Q5105" s="38"/>
    </row>
    <row r="5106">
      <c r="A5106" s="6" t="s">
        <v>1421</v>
      </c>
      <c r="B5106" s="6" t="s">
        <v>8395</v>
      </c>
      <c r="C5106" s="6">
        <v>88.0</v>
      </c>
      <c r="D5106" s="9" t="str">
        <f t="shared" ref="D5106:D5107" si="1343">HYPERLINK("https://www.linkedin.com/ad-library/detail/1464436304","Open Ad")</f>
        <v>Open Ad</v>
      </c>
      <c r="E5106" s="6" t="s">
        <v>154</v>
      </c>
      <c r="F5106" s="6" t="s">
        <v>8022</v>
      </c>
      <c r="G5106" s="6" t="s">
        <v>8437</v>
      </c>
      <c r="H5106" s="6" t="s">
        <v>55</v>
      </c>
      <c r="I5106" s="6" t="s">
        <v>8397</v>
      </c>
      <c r="J5106" s="6" t="s">
        <v>154</v>
      </c>
      <c r="K5106" s="12" t="str">
        <f t="shared" ref="K5106:K5107" si="1344">HYPERLINK("https://dms.licdn.com/playlist/vid/v2/D5605AQEmxVlPHBLZkQ/mp4-720p-30fp-crf28/B56ZzYQFWqGQCI-/0/1773154630789?e=2147483647&amp;v=beta&amp;t=_JAszrfLzQkAhoCf8voYsNUfx6oL6Y1ScMDAiqjrXCI","View Creative")</f>
        <v>View Creative</v>
      </c>
      <c r="L5106" s="6" t="s">
        <v>62</v>
      </c>
      <c r="M5106" s="6" t="s">
        <v>1421</v>
      </c>
      <c r="N5106" s="6"/>
      <c r="O5106" s="36" t="s">
        <v>7541</v>
      </c>
      <c r="P5106" s="36" t="s">
        <v>7542</v>
      </c>
      <c r="Q5106" s="38"/>
    </row>
    <row r="5107">
      <c r="A5107" s="6" t="s">
        <v>1421</v>
      </c>
      <c r="B5107" s="6" t="s">
        <v>8395</v>
      </c>
      <c r="C5107" s="6">
        <v>89.0</v>
      </c>
      <c r="D5107" s="9" t="str">
        <f t="shared" si="1343"/>
        <v>Open Ad</v>
      </c>
      <c r="E5107" s="6" t="s">
        <v>154</v>
      </c>
      <c r="F5107" s="6" t="s">
        <v>8022</v>
      </c>
      <c r="G5107" s="6" t="s">
        <v>8437</v>
      </c>
      <c r="H5107" s="6" t="s">
        <v>55</v>
      </c>
      <c r="I5107" s="6" t="s">
        <v>8397</v>
      </c>
      <c r="J5107" s="6" t="s">
        <v>154</v>
      </c>
      <c r="K5107" s="12" t="str">
        <f t="shared" si="1344"/>
        <v>View Creative</v>
      </c>
      <c r="L5107" s="6" t="s">
        <v>62</v>
      </c>
      <c r="M5107" s="6" t="s">
        <v>1421</v>
      </c>
      <c r="N5107" s="6"/>
      <c r="O5107" s="36" t="s">
        <v>7541</v>
      </c>
      <c r="P5107" s="36" t="s">
        <v>7542</v>
      </c>
      <c r="Q5107" s="38"/>
    </row>
    <row r="5108">
      <c r="A5108" s="6" t="s">
        <v>1421</v>
      </c>
      <c r="B5108" s="6" t="s">
        <v>8395</v>
      </c>
      <c r="C5108" s="6">
        <v>90.0</v>
      </c>
      <c r="D5108" s="9" t="str">
        <f t="shared" ref="D5108:D5109" si="1345">HYPERLINK("https://www.linkedin.com/ad-library/detail/1464542224","Open Ad")</f>
        <v>Open Ad</v>
      </c>
      <c r="E5108" s="6" t="s">
        <v>154</v>
      </c>
      <c r="F5108" s="6" t="s">
        <v>8022</v>
      </c>
      <c r="G5108" s="6" t="s">
        <v>8438</v>
      </c>
      <c r="H5108" s="6" t="s">
        <v>55</v>
      </c>
      <c r="I5108" s="6" t="s">
        <v>8397</v>
      </c>
      <c r="J5108" s="6" t="s">
        <v>154</v>
      </c>
      <c r="K5108" s="12" t="str">
        <f t="shared" ref="K5108:K5109" si="1346">HYPERLINK("https://dms.licdn.com/playlist/vid/v2/D5605AQFA8KADDGioVA/mp4-720p-30fp-crf28/B56Zp.NliIJQB0-/0/1763054106947?e=2147483647&amp;v=beta&amp;t=BbTucYSz0d9s4kJlyDnJayCgM6O0_TVjoKXC0Cpk8Qw","View Creative")</f>
        <v>View Creative</v>
      </c>
      <c r="L5108" s="6" t="s">
        <v>62</v>
      </c>
      <c r="M5108" s="6" t="s">
        <v>1421</v>
      </c>
      <c r="N5108" s="6"/>
      <c r="O5108" s="36" t="s">
        <v>7541</v>
      </c>
      <c r="P5108" s="36" t="s">
        <v>7542</v>
      </c>
      <c r="Q5108" s="38"/>
    </row>
    <row r="5109">
      <c r="A5109" s="6" t="s">
        <v>1421</v>
      </c>
      <c r="B5109" s="6" t="s">
        <v>8395</v>
      </c>
      <c r="C5109" s="6">
        <v>91.0</v>
      </c>
      <c r="D5109" s="9" t="str">
        <f t="shared" si="1345"/>
        <v>Open Ad</v>
      </c>
      <c r="E5109" s="6" t="s">
        <v>154</v>
      </c>
      <c r="F5109" s="6" t="s">
        <v>8022</v>
      </c>
      <c r="G5109" s="6" t="s">
        <v>8438</v>
      </c>
      <c r="H5109" s="6" t="s">
        <v>55</v>
      </c>
      <c r="I5109" s="6" t="s">
        <v>8397</v>
      </c>
      <c r="J5109" s="6" t="s">
        <v>154</v>
      </c>
      <c r="K5109" s="12" t="str">
        <f t="shared" si="1346"/>
        <v>View Creative</v>
      </c>
      <c r="L5109" s="6" t="s">
        <v>62</v>
      </c>
      <c r="M5109" s="6" t="s">
        <v>1421</v>
      </c>
      <c r="N5109" s="6"/>
      <c r="O5109" s="36" t="s">
        <v>7541</v>
      </c>
      <c r="P5109" s="36" t="s">
        <v>7542</v>
      </c>
      <c r="Q5109" s="38"/>
    </row>
    <row r="5110">
      <c r="A5110" s="6" t="s">
        <v>1421</v>
      </c>
      <c r="B5110" s="6" t="s">
        <v>8395</v>
      </c>
      <c r="C5110" s="6">
        <v>92.0</v>
      </c>
      <c r="D5110" s="9" t="str">
        <f t="shared" ref="D5110:D5111" si="1347">HYPERLINK("https://www.linkedin.com/ad-library/detail/1464503574","Open Ad")</f>
        <v>Open Ad</v>
      </c>
      <c r="E5110" s="6" t="s">
        <v>154</v>
      </c>
      <c r="F5110" s="6" t="s">
        <v>8022</v>
      </c>
      <c r="G5110" s="6" t="s">
        <v>8439</v>
      </c>
      <c r="H5110" s="6" t="s">
        <v>55</v>
      </c>
      <c r="I5110" s="6" t="s">
        <v>8397</v>
      </c>
      <c r="J5110" s="6" t="s">
        <v>154</v>
      </c>
      <c r="K5110" s="12" t="str">
        <f t="shared" ref="K5110:K5111" si="1348">HYPERLINK("https://dms.licdn.com/playlist/vid/v2/D5605AQE5ukB76APYGA/mp4-720p-30fp-crf28/B56Z9CR.sZIUB4-/0/1783523447163?e=2147483647&amp;v=beta&amp;t=_BBIUdqYACoKSvtHdDA9EH0WFTppROebmxjnzuB2DLg","View Creative")</f>
        <v>View Creative</v>
      </c>
      <c r="L5110" s="6" t="s">
        <v>62</v>
      </c>
      <c r="M5110" s="6" t="s">
        <v>1421</v>
      </c>
      <c r="N5110" s="6"/>
      <c r="O5110" s="36" t="s">
        <v>7541</v>
      </c>
      <c r="P5110" s="36" t="s">
        <v>7542</v>
      </c>
      <c r="Q5110" s="38"/>
    </row>
    <row r="5111">
      <c r="A5111" s="6" t="s">
        <v>1421</v>
      </c>
      <c r="B5111" s="6" t="s">
        <v>8395</v>
      </c>
      <c r="C5111" s="6">
        <v>93.0</v>
      </c>
      <c r="D5111" s="9" t="str">
        <f t="shared" si="1347"/>
        <v>Open Ad</v>
      </c>
      <c r="E5111" s="6" t="s">
        <v>154</v>
      </c>
      <c r="F5111" s="6" t="s">
        <v>8022</v>
      </c>
      <c r="G5111" s="6" t="s">
        <v>8439</v>
      </c>
      <c r="H5111" s="6" t="s">
        <v>55</v>
      </c>
      <c r="I5111" s="6" t="s">
        <v>8397</v>
      </c>
      <c r="J5111" s="6" t="s">
        <v>154</v>
      </c>
      <c r="K5111" s="12" t="str">
        <f t="shared" si="1348"/>
        <v>View Creative</v>
      </c>
      <c r="L5111" s="6" t="s">
        <v>62</v>
      </c>
      <c r="M5111" s="6" t="s">
        <v>1421</v>
      </c>
      <c r="N5111" s="6"/>
      <c r="O5111" s="36" t="s">
        <v>7541</v>
      </c>
      <c r="P5111" s="36" t="s">
        <v>7542</v>
      </c>
      <c r="Q5111" s="38"/>
    </row>
    <row r="5112">
      <c r="A5112" s="6" t="s">
        <v>1421</v>
      </c>
      <c r="B5112" s="6" t="s">
        <v>8395</v>
      </c>
      <c r="C5112" s="6">
        <v>94.0</v>
      </c>
      <c r="D5112" s="9" t="str">
        <f t="shared" ref="D5112:D5113" si="1349">HYPERLINK("https://www.linkedin.com/ad-library/detail/1464455704","Open Ad")</f>
        <v>Open Ad</v>
      </c>
      <c r="E5112" s="6" t="s">
        <v>154</v>
      </c>
      <c r="F5112" s="6" t="s">
        <v>8022</v>
      </c>
      <c r="G5112" s="6" t="s">
        <v>8440</v>
      </c>
      <c r="H5112" s="6" t="s">
        <v>55</v>
      </c>
      <c r="I5112" s="6" t="s">
        <v>8397</v>
      </c>
      <c r="J5112" s="6" t="s">
        <v>154</v>
      </c>
      <c r="K5112" s="12" t="str">
        <f t="shared" ref="K5112:K5113" si="1350">HYPERLINK("https://dms.licdn.com/playlist/vid/v2/D5605AQHnCkaBKeb5mQ/mp4-640p-30fp-crf28/B56Z9CXjuwHIBk-/0/1783524910115?e=2147483647&amp;v=beta&amp;t=YtmSh6VkY6BoJEEhhNDiBT1RSv5HepH0qhCrcqhKhOc","View Creative")</f>
        <v>View Creative</v>
      </c>
      <c r="L5112" s="6" t="s">
        <v>62</v>
      </c>
      <c r="M5112" s="6" t="s">
        <v>1421</v>
      </c>
      <c r="N5112" s="6"/>
      <c r="O5112" s="36" t="s">
        <v>7541</v>
      </c>
      <c r="P5112" s="36" t="s">
        <v>7542</v>
      </c>
      <c r="Q5112" s="38"/>
    </row>
    <row r="5113">
      <c r="A5113" s="6" t="s">
        <v>1421</v>
      </c>
      <c r="B5113" s="6" t="s">
        <v>8395</v>
      </c>
      <c r="C5113" s="6">
        <v>95.0</v>
      </c>
      <c r="D5113" s="9" t="str">
        <f t="shared" si="1349"/>
        <v>Open Ad</v>
      </c>
      <c r="E5113" s="6" t="s">
        <v>154</v>
      </c>
      <c r="F5113" s="6" t="s">
        <v>8022</v>
      </c>
      <c r="G5113" s="6" t="s">
        <v>8440</v>
      </c>
      <c r="H5113" s="6" t="s">
        <v>55</v>
      </c>
      <c r="I5113" s="6" t="s">
        <v>8397</v>
      </c>
      <c r="J5113" s="6" t="s">
        <v>154</v>
      </c>
      <c r="K5113" s="12" t="str">
        <f t="shared" si="1350"/>
        <v>View Creative</v>
      </c>
      <c r="L5113" s="6" t="s">
        <v>62</v>
      </c>
      <c r="M5113" s="6" t="s">
        <v>1421</v>
      </c>
      <c r="N5113" s="6"/>
      <c r="O5113" s="36" t="s">
        <v>7541</v>
      </c>
      <c r="P5113" s="36" t="s">
        <v>7542</v>
      </c>
      <c r="Q5113" s="38"/>
    </row>
    <row r="5114">
      <c r="A5114" s="6" t="s">
        <v>1421</v>
      </c>
      <c r="B5114" s="6" t="s">
        <v>8395</v>
      </c>
      <c r="C5114" s="6">
        <v>96.0</v>
      </c>
      <c r="D5114" s="9" t="str">
        <f t="shared" ref="D5114:D5115" si="1351">HYPERLINK("https://www.linkedin.com/ad-library/detail/1464387054","Open Ad")</f>
        <v>Open Ad</v>
      </c>
      <c r="E5114" s="6" t="s">
        <v>154</v>
      </c>
      <c r="F5114" s="6" t="s">
        <v>8022</v>
      </c>
      <c r="G5114" s="6" t="s">
        <v>8441</v>
      </c>
      <c r="H5114" s="6" t="s">
        <v>55</v>
      </c>
      <c r="I5114" s="6" t="s">
        <v>8397</v>
      </c>
      <c r="J5114" s="6" t="s">
        <v>154</v>
      </c>
      <c r="K5114" s="12" t="str">
        <f t="shared" ref="K5114:K5115" si="1352">HYPERLINK("https://dms.licdn.com/playlist/vid/v2/D5605AQE0F7ZDIPBBTA/mp4-720p-30fp-crf28/B56Zkv4WpiHMBw-/0/1757445067909?e=2147483647&amp;v=beta&amp;t=SsVsQm34F-kSMWOhLdKS6pPdDhnQyddTlZHda5YEUDQ","View Creative")</f>
        <v>View Creative</v>
      </c>
      <c r="L5114" s="6" t="s">
        <v>62</v>
      </c>
      <c r="M5114" s="6" t="s">
        <v>1421</v>
      </c>
      <c r="N5114" s="6"/>
      <c r="O5114" s="36" t="s">
        <v>7541</v>
      </c>
      <c r="P5114" s="36" t="s">
        <v>7542</v>
      </c>
      <c r="Q5114" s="38"/>
    </row>
    <row r="5115">
      <c r="A5115" s="6" t="s">
        <v>1421</v>
      </c>
      <c r="B5115" s="6" t="s">
        <v>8395</v>
      </c>
      <c r="C5115" s="6">
        <v>97.0</v>
      </c>
      <c r="D5115" s="9" t="str">
        <f t="shared" si="1351"/>
        <v>Open Ad</v>
      </c>
      <c r="E5115" s="6" t="s">
        <v>154</v>
      </c>
      <c r="F5115" s="6" t="s">
        <v>8022</v>
      </c>
      <c r="G5115" s="6" t="s">
        <v>8441</v>
      </c>
      <c r="H5115" s="6" t="s">
        <v>55</v>
      </c>
      <c r="I5115" s="6" t="s">
        <v>8397</v>
      </c>
      <c r="J5115" s="6" t="s">
        <v>154</v>
      </c>
      <c r="K5115" s="12" t="str">
        <f t="shared" si="1352"/>
        <v>View Creative</v>
      </c>
      <c r="L5115" s="6" t="s">
        <v>62</v>
      </c>
      <c r="M5115" s="6" t="s">
        <v>1421</v>
      </c>
      <c r="N5115" s="6"/>
      <c r="O5115" s="36" t="s">
        <v>7541</v>
      </c>
      <c r="P5115" s="36" t="s">
        <v>7542</v>
      </c>
      <c r="Q5115" s="38"/>
    </row>
    <row r="5116">
      <c r="A5116" s="6" t="s">
        <v>1421</v>
      </c>
      <c r="B5116" s="6" t="s">
        <v>8395</v>
      </c>
      <c r="C5116" s="6">
        <v>98.0</v>
      </c>
      <c r="D5116" s="9" t="str">
        <f t="shared" ref="D5116:D5117" si="1353">HYPERLINK("https://www.linkedin.com/ad-library/detail/1464427214","Open Ad")</f>
        <v>Open Ad</v>
      </c>
      <c r="E5116" s="6" t="s">
        <v>154</v>
      </c>
      <c r="F5116" s="6" t="s">
        <v>8022</v>
      </c>
      <c r="G5116" s="6" t="s">
        <v>8442</v>
      </c>
      <c r="H5116" s="6" t="s">
        <v>55</v>
      </c>
      <c r="I5116" s="6" t="s">
        <v>8397</v>
      </c>
      <c r="J5116" s="6" t="s">
        <v>154</v>
      </c>
      <c r="K5116" s="12" t="str">
        <f t="shared" ref="K5116:K5117" si="1354">HYPERLINK("https://dms.licdn.com/playlist/vid/v2/D5605AQEs6LQnnTNLog/mp4-640p-30fp-crf28/B56Z0BOKwvHkB4-/0/1773841991778?e=2147483647&amp;v=beta&amp;t=qT_i7Elj41v8cqTDj0Pm1MBIWZ5u7xwONWxM16xoyU8","View Creative")</f>
        <v>View Creative</v>
      </c>
      <c r="L5116" s="6" t="s">
        <v>62</v>
      </c>
      <c r="M5116" s="6" t="s">
        <v>1421</v>
      </c>
      <c r="N5116" s="6"/>
      <c r="O5116" s="36" t="s">
        <v>7541</v>
      </c>
      <c r="P5116" s="36" t="s">
        <v>7542</v>
      </c>
      <c r="Q5116" s="38"/>
    </row>
    <row r="5117">
      <c r="A5117" s="6" t="s">
        <v>1421</v>
      </c>
      <c r="B5117" s="6" t="s">
        <v>8395</v>
      </c>
      <c r="C5117" s="6">
        <v>99.0</v>
      </c>
      <c r="D5117" s="9" t="str">
        <f t="shared" si="1353"/>
        <v>Open Ad</v>
      </c>
      <c r="E5117" s="6" t="s">
        <v>154</v>
      </c>
      <c r="F5117" s="6" t="s">
        <v>8022</v>
      </c>
      <c r="G5117" s="6" t="s">
        <v>8442</v>
      </c>
      <c r="H5117" s="6" t="s">
        <v>55</v>
      </c>
      <c r="I5117" s="6" t="s">
        <v>8397</v>
      </c>
      <c r="J5117" s="6" t="s">
        <v>154</v>
      </c>
      <c r="K5117" s="12" t="str">
        <f t="shared" si="1354"/>
        <v>View Creative</v>
      </c>
      <c r="L5117" s="6" t="s">
        <v>62</v>
      </c>
      <c r="M5117" s="6" t="s">
        <v>1421</v>
      </c>
      <c r="N5117" s="6"/>
      <c r="O5117" s="36" t="s">
        <v>7541</v>
      </c>
      <c r="P5117" s="36" t="s">
        <v>7542</v>
      </c>
      <c r="Q5117" s="38"/>
    </row>
    <row r="5118">
      <c r="A5118" s="6" t="s">
        <v>1421</v>
      </c>
      <c r="B5118" s="6" t="s">
        <v>8395</v>
      </c>
      <c r="C5118" s="6">
        <v>100.0</v>
      </c>
      <c r="D5118" s="9" t="str">
        <f>HYPERLINK("https://www.linkedin.com/ad-library/detail/1464323304","Open Ad")</f>
        <v>Open Ad</v>
      </c>
      <c r="E5118" s="6" t="s">
        <v>52</v>
      </c>
      <c r="F5118" s="6" t="s">
        <v>8022</v>
      </c>
      <c r="G5118" s="6" t="s">
        <v>8443</v>
      </c>
      <c r="H5118" s="6" t="s">
        <v>55</v>
      </c>
      <c r="I5118" s="6" t="s">
        <v>8397</v>
      </c>
      <c r="J5118" s="6" t="s">
        <v>52</v>
      </c>
      <c r="K5118" s="6" t="s">
        <v>60</v>
      </c>
      <c r="L5118" s="6" t="s">
        <v>62</v>
      </c>
      <c r="M5118" s="6" t="s">
        <v>1421</v>
      </c>
      <c r="N5118" s="6"/>
      <c r="O5118" s="36" t="s">
        <v>7541</v>
      </c>
      <c r="P5118" s="36" t="s">
        <v>7542</v>
      </c>
      <c r="Q5118" s="38"/>
    </row>
    <row r="5119">
      <c r="A5119" s="6" t="s">
        <v>1421</v>
      </c>
      <c r="B5119" s="6" t="s">
        <v>8395</v>
      </c>
      <c r="C5119" s="6">
        <v>101.0</v>
      </c>
      <c r="D5119" s="9" t="str">
        <f t="shared" ref="D5119:D5120" si="1355">HYPERLINK("https://www.linkedin.com/ad-library/detail/1464524174","Open Ad")</f>
        <v>Open Ad</v>
      </c>
      <c r="E5119" s="6" t="s">
        <v>154</v>
      </c>
      <c r="F5119" s="6" t="s">
        <v>8022</v>
      </c>
      <c r="G5119" s="6" t="s">
        <v>8444</v>
      </c>
      <c r="H5119" s="6" t="s">
        <v>55</v>
      </c>
      <c r="I5119" s="6" t="s">
        <v>8397</v>
      </c>
      <c r="J5119" s="6" t="s">
        <v>154</v>
      </c>
      <c r="K5119" s="12" t="str">
        <f t="shared" ref="K5119:K5120" si="1356">HYPERLINK("https://dms.licdn.com/playlist/vid/v2/D5605AQExhCEPpM2axQ/mp4-640p-30fp-crf28/B56Z0lq3LSH8Bw-/0/1774453503141?e=2147483647&amp;v=beta&amp;t=PWVXXuz5Qli1TiK5nf_kU-c1j6KlL3tMdPcfhLZwMh8","View Creative")</f>
        <v>View Creative</v>
      </c>
      <c r="L5119" s="6" t="s">
        <v>62</v>
      </c>
      <c r="M5119" s="6" t="s">
        <v>1421</v>
      </c>
      <c r="N5119" s="6"/>
      <c r="O5119" s="36" t="s">
        <v>7541</v>
      </c>
      <c r="P5119" s="36" t="s">
        <v>7542</v>
      </c>
      <c r="Q5119" s="38"/>
    </row>
    <row r="5120">
      <c r="A5120" s="6" t="s">
        <v>1421</v>
      </c>
      <c r="B5120" s="6" t="s">
        <v>8395</v>
      </c>
      <c r="C5120" s="6">
        <v>102.0</v>
      </c>
      <c r="D5120" s="9" t="str">
        <f t="shared" si="1355"/>
        <v>Open Ad</v>
      </c>
      <c r="E5120" s="6" t="s">
        <v>154</v>
      </c>
      <c r="F5120" s="6" t="s">
        <v>8022</v>
      </c>
      <c r="G5120" s="6" t="s">
        <v>8444</v>
      </c>
      <c r="H5120" s="6" t="s">
        <v>55</v>
      </c>
      <c r="I5120" s="6" t="s">
        <v>8397</v>
      </c>
      <c r="J5120" s="6" t="s">
        <v>154</v>
      </c>
      <c r="K5120" s="12" t="str">
        <f t="shared" si="1356"/>
        <v>View Creative</v>
      </c>
      <c r="L5120" s="6" t="s">
        <v>62</v>
      </c>
      <c r="M5120" s="6" t="s">
        <v>1421</v>
      </c>
      <c r="N5120" s="6"/>
      <c r="O5120" s="36" t="s">
        <v>7541</v>
      </c>
      <c r="P5120" s="36" t="s">
        <v>7542</v>
      </c>
      <c r="Q5120" s="38"/>
    </row>
    <row r="5121">
      <c r="A5121" s="6" t="s">
        <v>1421</v>
      </c>
      <c r="B5121" s="6" t="s">
        <v>8395</v>
      </c>
      <c r="C5121" s="6">
        <v>103.0</v>
      </c>
      <c r="D5121" s="9" t="str">
        <f>HYPERLINK("https://www.linkedin.com/ad-library/detail/1466871754","Open Ad")</f>
        <v>Open Ad</v>
      </c>
      <c r="E5121" s="6" t="s">
        <v>52</v>
      </c>
      <c r="F5121" s="6" t="s">
        <v>8022</v>
      </c>
      <c r="G5121" s="6" t="s">
        <v>8445</v>
      </c>
      <c r="H5121" s="6" t="s">
        <v>55</v>
      </c>
      <c r="I5121" s="6" t="s">
        <v>8397</v>
      </c>
      <c r="J5121" s="6" t="s">
        <v>52</v>
      </c>
      <c r="K5121" s="6" t="s">
        <v>60</v>
      </c>
      <c r="L5121" s="6" t="s">
        <v>62</v>
      </c>
      <c r="M5121" s="6" t="s">
        <v>1421</v>
      </c>
      <c r="N5121" s="6"/>
      <c r="O5121" s="36" t="s">
        <v>7541</v>
      </c>
      <c r="P5121" s="36" t="s">
        <v>7542</v>
      </c>
      <c r="Q5121" s="38"/>
    </row>
    <row r="5122">
      <c r="A5122" s="6" t="s">
        <v>1421</v>
      </c>
      <c r="B5122" s="6" t="s">
        <v>8395</v>
      </c>
      <c r="C5122" s="6">
        <v>104.0</v>
      </c>
      <c r="D5122" s="9" t="str">
        <f t="shared" ref="D5122:D5123" si="1357">HYPERLINK("https://www.linkedin.com/ad-library/detail/1464369154","Open Ad")</f>
        <v>Open Ad</v>
      </c>
      <c r="E5122" s="6" t="s">
        <v>154</v>
      </c>
      <c r="F5122" s="6" t="s">
        <v>8022</v>
      </c>
      <c r="G5122" s="6" t="s">
        <v>8446</v>
      </c>
      <c r="H5122" s="6" t="s">
        <v>55</v>
      </c>
      <c r="I5122" s="6" t="s">
        <v>8397</v>
      </c>
      <c r="J5122" s="6" t="s">
        <v>154</v>
      </c>
      <c r="K5122" s="12" t="str">
        <f t="shared" ref="K5122:K5123" si="1358">HYPERLINK("https://dms.licdn.com/playlist/vid/v2/D5605AQFawST7REashA/mp4-720p-30fp-crf28/B56ZsJCCRuIsCI-/0/1765383097281?e=2147483647&amp;v=beta&amp;t=XdGpw2EYajzlinGUWxmNmopqJll1TAUtUdSZnShS1Og","View Creative")</f>
        <v>View Creative</v>
      </c>
      <c r="L5122" s="6" t="s">
        <v>62</v>
      </c>
      <c r="M5122" s="6" t="s">
        <v>1421</v>
      </c>
      <c r="N5122" s="6"/>
      <c r="O5122" s="36" t="s">
        <v>7541</v>
      </c>
      <c r="P5122" s="36" t="s">
        <v>7542</v>
      </c>
      <c r="Q5122" s="38"/>
    </row>
    <row r="5123">
      <c r="A5123" s="6" t="s">
        <v>1421</v>
      </c>
      <c r="B5123" s="6" t="s">
        <v>8395</v>
      </c>
      <c r="C5123" s="6">
        <v>105.0</v>
      </c>
      <c r="D5123" s="9" t="str">
        <f t="shared" si="1357"/>
        <v>Open Ad</v>
      </c>
      <c r="E5123" s="6" t="s">
        <v>154</v>
      </c>
      <c r="F5123" s="6" t="s">
        <v>8022</v>
      </c>
      <c r="G5123" s="6" t="s">
        <v>8446</v>
      </c>
      <c r="H5123" s="6" t="s">
        <v>55</v>
      </c>
      <c r="I5123" s="6" t="s">
        <v>8397</v>
      </c>
      <c r="J5123" s="6" t="s">
        <v>154</v>
      </c>
      <c r="K5123" s="12" t="str">
        <f t="shared" si="1358"/>
        <v>View Creative</v>
      </c>
      <c r="L5123" s="6" t="s">
        <v>62</v>
      </c>
      <c r="M5123" s="6" t="s">
        <v>1421</v>
      </c>
      <c r="N5123" s="6"/>
      <c r="O5123" s="36" t="s">
        <v>7541</v>
      </c>
      <c r="P5123" s="36" t="s">
        <v>7542</v>
      </c>
      <c r="Q5123" s="38"/>
    </row>
    <row r="5124">
      <c r="A5124" s="6" t="s">
        <v>1421</v>
      </c>
      <c r="B5124" s="6" t="s">
        <v>8395</v>
      </c>
      <c r="C5124" s="6">
        <v>106.0</v>
      </c>
      <c r="D5124" s="9" t="str">
        <f>HYPERLINK("https://www.linkedin.com/ad-library/detail/1466748514","Open Ad")</f>
        <v>Open Ad</v>
      </c>
      <c r="E5124" s="6" t="s">
        <v>52</v>
      </c>
      <c r="F5124" s="6" t="s">
        <v>8022</v>
      </c>
      <c r="G5124" s="6" t="s">
        <v>8443</v>
      </c>
      <c r="H5124" s="6" t="s">
        <v>55</v>
      </c>
      <c r="I5124" s="6" t="s">
        <v>8397</v>
      </c>
      <c r="J5124" s="6" t="s">
        <v>52</v>
      </c>
      <c r="K5124" s="6" t="s">
        <v>60</v>
      </c>
      <c r="L5124" s="6" t="s">
        <v>62</v>
      </c>
      <c r="M5124" s="6" t="s">
        <v>1421</v>
      </c>
      <c r="N5124" s="6"/>
      <c r="O5124" s="36" t="s">
        <v>7541</v>
      </c>
      <c r="P5124" s="36" t="s">
        <v>7542</v>
      </c>
      <c r="Q5124" s="38"/>
    </row>
    <row r="5125">
      <c r="A5125" s="6" t="s">
        <v>1421</v>
      </c>
      <c r="B5125" s="6" t="s">
        <v>8395</v>
      </c>
      <c r="C5125" s="6">
        <v>107.0</v>
      </c>
      <c r="D5125" s="9" t="str">
        <f>HYPERLINK("https://www.linkedin.com/ad-library/detail/1464285094","Open Ad")</f>
        <v>Open Ad</v>
      </c>
      <c r="E5125" s="6" t="s">
        <v>52</v>
      </c>
      <c r="F5125" s="6" t="s">
        <v>8022</v>
      </c>
      <c r="G5125" s="6" t="s">
        <v>8423</v>
      </c>
      <c r="H5125" s="6" t="s">
        <v>55</v>
      </c>
      <c r="I5125" s="6" t="s">
        <v>8397</v>
      </c>
      <c r="J5125" s="6" t="s">
        <v>52</v>
      </c>
      <c r="K5125" s="6" t="s">
        <v>60</v>
      </c>
      <c r="L5125" s="6" t="s">
        <v>62</v>
      </c>
      <c r="M5125" s="6" t="s">
        <v>1421</v>
      </c>
      <c r="N5125" s="6"/>
      <c r="O5125" s="36" t="s">
        <v>7541</v>
      </c>
      <c r="P5125" s="36" t="s">
        <v>7542</v>
      </c>
      <c r="Q5125" s="38"/>
    </row>
    <row r="5126">
      <c r="A5126" s="6" t="s">
        <v>1421</v>
      </c>
      <c r="B5126" s="6" t="s">
        <v>8395</v>
      </c>
      <c r="C5126" s="6">
        <v>108.0</v>
      </c>
      <c r="D5126" s="9" t="str">
        <f>HYPERLINK("https://www.linkedin.com/ad-library/detail/1464323264","Open Ad")</f>
        <v>Open Ad</v>
      </c>
      <c r="E5126" s="6" t="s">
        <v>52</v>
      </c>
      <c r="F5126" s="6" t="s">
        <v>8022</v>
      </c>
      <c r="G5126" s="6" t="s">
        <v>8447</v>
      </c>
      <c r="H5126" s="6" t="s">
        <v>55</v>
      </c>
      <c r="I5126" s="6" t="s">
        <v>8397</v>
      </c>
      <c r="J5126" s="6" t="s">
        <v>52</v>
      </c>
      <c r="K5126" s="6" t="s">
        <v>60</v>
      </c>
      <c r="L5126" s="6" t="s">
        <v>62</v>
      </c>
      <c r="M5126" s="6" t="s">
        <v>1421</v>
      </c>
      <c r="N5126" s="6"/>
      <c r="O5126" s="36" t="s">
        <v>7541</v>
      </c>
      <c r="P5126" s="36" t="s">
        <v>7542</v>
      </c>
      <c r="Q5126" s="38"/>
    </row>
    <row r="5127">
      <c r="A5127" s="6" t="s">
        <v>1421</v>
      </c>
      <c r="B5127" s="6" t="s">
        <v>8395</v>
      </c>
      <c r="C5127" s="6">
        <v>109.0</v>
      </c>
      <c r="D5127" s="9" t="str">
        <f t="shared" ref="D5127:D5128" si="1359">HYPERLINK("https://www.linkedin.com/ad-library/detail/1464551624","Open Ad")</f>
        <v>Open Ad</v>
      </c>
      <c r="E5127" s="6" t="s">
        <v>154</v>
      </c>
      <c r="F5127" s="6" t="s">
        <v>8022</v>
      </c>
      <c r="G5127" s="6" t="s">
        <v>8448</v>
      </c>
      <c r="H5127" s="6" t="s">
        <v>55</v>
      </c>
      <c r="I5127" s="6" t="s">
        <v>8397</v>
      </c>
      <c r="J5127" s="6" t="s">
        <v>154</v>
      </c>
      <c r="K5127" s="12" t="str">
        <f t="shared" ref="K5127:K5128" si="1360">HYPERLINK("https://dms.licdn.com/playlist/vid/v2/D5605AQFHkGl9-Hu0vQ/mp4-640p-30fp-crf28/B56Z5qG9G0GgBg-/0/1779896672103?e=2147483647&amp;v=beta&amp;t=5SJh1IsZColjhXwJMRQBUe41Q2W01a8B2C9ll3qE73I","View Creative")</f>
        <v>View Creative</v>
      </c>
      <c r="L5127" s="6" t="s">
        <v>62</v>
      </c>
      <c r="M5127" s="6" t="s">
        <v>1421</v>
      </c>
      <c r="N5127" s="6"/>
      <c r="O5127" s="36" t="s">
        <v>7541</v>
      </c>
      <c r="P5127" s="36" t="s">
        <v>7542</v>
      </c>
      <c r="Q5127" s="38"/>
    </row>
    <row r="5128">
      <c r="A5128" s="6" t="s">
        <v>1421</v>
      </c>
      <c r="B5128" s="6" t="s">
        <v>8395</v>
      </c>
      <c r="C5128" s="6">
        <v>110.0</v>
      </c>
      <c r="D5128" s="9" t="str">
        <f t="shared" si="1359"/>
        <v>Open Ad</v>
      </c>
      <c r="E5128" s="6" t="s">
        <v>154</v>
      </c>
      <c r="F5128" s="6" t="s">
        <v>8022</v>
      </c>
      <c r="G5128" s="6" t="s">
        <v>8448</v>
      </c>
      <c r="H5128" s="6" t="s">
        <v>55</v>
      </c>
      <c r="I5128" s="6" t="s">
        <v>8397</v>
      </c>
      <c r="J5128" s="6" t="s">
        <v>154</v>
      </c>
      <c r="K5128" s="12" t="str">
        <f t="shared" si="1360"/>
        <v>View Creative</v>
      </c>
      <c r="L5128" s="6" t="s">
        <v>62</v>
      </c>
      <c r="M5128" s="6" t="s">
        <v>1421</v>
      </c>
      <c r="N5128" s="6"/>
      <c r="O5128" s="36" t="s">
        <v>7541</v>
      </c>
      <c r="P5128" s="36" t="s">
        <v>7542</v>
      </c>
      <c r="Q5128" s="38"/>
    </row>
    <row r="5129">
      <c r="A5129" s="6" t="s">
        <v>1421</v>
      </c>
      <c r="B5129" s="6" t="s">
        <v>8395</v>
      </c>
      <c r="C5129" s="6">
        <v>111.0</v>
      </c>
      <c r="D5129" s="9" t="str">
        <f>HYPERLINK("https://www.linkedin.com/ad-library/detail/1461873544","Open Ad")</f>
        <v>Open Ad</v>
      </c>
      <c r="E5129" s="6" t="s">
        <v>52</v>
      </c>
      <c r="F5129" s="6" t="s">
        <v>8022</v>
      </c>
      <c r="G5129" s="6" t="s">
        <v>8411</v>
      </c>
      <c r="H5129" s="6" t="s">
        <v>55</v>
      </c>
      <c r="I5129" s="6" t="s">
        <v>8397</v>
      </c>
      <c r="J5129" s="6" t="s">
        <v>52</v>
      </c>
      <c r="K5129" s="6" t="s">
        <v>60</v>
      </c>
      <c r="L5129" s="6" t="s">
        <v>62</v>
      </c>
      <c r="M5129" s="6" t="s">
        <v>1421</v>
      </c>
      <c r="N5129" s="6"/>
      <c r="O5129" s="36" t="s">
        <v>7541</v>
      </c>
      <c r="P5129" s="36" t="s">
        <v>7542</v>
      </c>
      <c r="Q5129" s="38"/>
    </row>
    <row r="5130">
      <c r="A5130" s="6" t="s">
        <v>1421</v>
      </c>
      <c r="B5130" s="6" t="s">
        <v>8395</v>
      </c>
      <c r="C5130" s="6">
        <v>112.0</v>
      </c>
      <c r="D5130" s="9" t="str">
        <f t="shared" ref="D5130:D5131" si="1361">HYPERLINK("https://www.linkedin.com/ad-library/detail/1464513344","Open Ad")</f>
        <v>Open Ad</v>
      </c>
      <c r="E5130" s="6" t="s">
        <v>154</v>
      </c>
      <c r="F5130" s="6" t="s">
        <v>8022</v>
      </c>
      <c r="G5130" s="6" t="s">
        <v>8449</v>
      </c>
      <c r="H5130" s="6" t="s">
        <v>55</v>
      </c>
      <c r="I5130" s="6" t="s">
        <v>8397</v>
      </c>
      <c r="J5130" s="6" t="s">
        <v>154</v>
      </c>
      <c r="K5130" s="12" t="str">
        <f t="shared" ref="K5130:K5131" si="1362">HYPERLINK("https://dms.licdn.com/playlist/vid/v2/D5605AQEnXGujPLuU1g/mp4-640p-30fp-crf28/B56Zm_Qi.4J8Bg-/0/1759850427541?e=2147483647&amp;v=beta&amp;t=i5gJ3O9wOhnvkbquCdoiQzAjFKD2adxbMo_ajH9a5dI","View Creative")</f>
        <v>View Creative</v>
      </c>
      <c r="L5130" s="6" t="s">
        <v>62</v>
      </c>
      <c r="M5130" s="6" t="s">
        <v>1421</v>
      </c>
      <c r="N5130" s="6"/>
      <c r="O5130" s="36" t="s">
        <v>7541</v>
      </c>
      <c r="P5130" s="36" t="s">
        <v>7542</v>
      </c>
      <c r="Q5130" s="38"/>
    </row>
    <row r="5131">
      <c r="A5131" s="6" t="s">
        <v>1421</v>
      </c>
      <c r="B5131" s="6" t="s">
        <v>8395</v>
      </c>
      <c r="C5131" s="6">
        <v>113.0</v>
      </c>
      <c r="D5131" s="9" t="str">
        <f t="shared" si="1361"/>
        <v>Open Ad</v>
      </c>
      <c r="E5131" s="6" t="s">
        <v>154</v>
      </c>
      <c r="F5131" s="6" t="s">
        <v>8022</v>
      </c>
      <c r="G5131" s="6" t="s">
        <v>8449</v>
      </c>
      <c r="H5131" s="6" t="s">
        <v>55</v>
      </c>
      <c r="I5131" s="6" t="s">
        <v>8397</v>
      </c>
      <c r="J5131" s="6" t="s">
        <v>154</v>
      </c>
      <c r="K5131" s="12" t="str">
        <f t="shared" si="1362"/>
        <v>View Creative</v>
      </c>
      <c r="L5131" s="6" t="s">
        <v>62</v>
      </c>
      <c r="M5131" s="6" t="s">
        <v>1421</v>
      </c>
      <c r="N5131" s="6"/>
      <c r="O5131" s="36" t="s">
        <v>7541</v>
      </c>
      <c r="P5131" s="36" t="s">
        <v>7542</v>
      </c>
      <c r="Q5131" s="38"/>
    </row>
    <row r="5132">
      <c r="A5132" s="6" t="s">
        <v>1421</v>
      </c>
      <c r="B5132" s="6" t="s">
        <v>8395</v>
      </c>
      <c r="C5132" s="6">
        <v>114.0</v>
      </c>
      <c r="D5132" s="9" t="str">
        <f>HYPERLINK("https://www.linkedin.com/ad-library/detail/1461432804","Open Ad")</f>
        <v>Open Ad</v>
      </c>
      <c r="E5132" s="6" t="s">
        <v>52</v>
      </c>
      <c r="F5132" s="6" t="s">
        <v>8022</v>
      </c>
      <c r="G5132" s="6" t="s">
        <v>8450</v>
      </c>
      <c r="H5132" s="6" t="s">
        <v>55</v>
      </c>
      <c r="I5132" s="6" t="s">
        <v>8397</v>
      </c>
      <c r="J5132" s="6" t="s">
        <v>52</v>
      </c>
      <c r="K5132" s="6" t="s">
        <v>60</v>
      </c>
      <c r="L5132" s="6" t="s">
        <v>62</v>
      </c>
      <c r="M5132" s="6" t="s">
        <v>1421</v>
      </c>
      <c r="N5132" s="6"/>
      <c r="O5132" s="36" t="s">
        <v>7541</v>
      </c>
      <c r="P5132" s="36" t="s">
        <v>7542</v>
      </c>
      <c r="Q5132" s="38"/>
    </row>
    <row r="5133">
      <c r="A5133" s="6" t="s">
        <v>1421</v>
      </c>
      <c r="B5133" s="6" t="s">
        <v>8395</v>
      </c>
      <c r="C5133" s="6">
        <v>115.0</v>
      </c>
      <c r="D5133" s="9" t="str">
        <f t="shared" ref="D5133:D5134" si="1363">HYPERLINK("https://www.linkedin.com/ad-library/detail/1461423234","Open Ad")</f>
        <v>Open Ad</v>
      </c>
      <c r="E5133" s="6" t="s">
        <v>91</v>
      </c>
      <c r="F5133" s="6" t="s">
        <v>8022</v>
      </c>
      <c r="G5133" s="6" t="s">
        <v>8451</v>
      </c>
      <c r="H5133" s="6" t="s">
        <v>55</v>
      </c>
      <c r="I5133" s="6" t="s">
        <v>8397</v>
      </c>
      <c r="J5133" s="6" t="s">
        <v>91</v>
      </c>
      <c r="K5133" s="12" t="str">
        <f t="shared" ref="K5133:K5134" si="1364">HYPERLINK("https://media.licdn.com/dms/image/v2/D4D22AQFwO3o6RjQUBg/feedshare-image-high-res/B4DZnhv0kaGgAo-/0/1760429034955?e=2147483647&amp;v=beta&amp;t=WGHfi72vlu9jHhP6cp_qXehBo9lLbGkE9-C--BfL7EA","View Creative")</f>
        <v>View Creative</v>
      </c>
      <c r="L5133" s="6" t="s">
        <v>62</v>
      </c>
      <c r="M5133" s="6" t="s">
        <v>1421</v>
      </c>
      <c r="N5133" s="6"/>
      <c r="O5133" s="36" t="s">
        <v>7541</v>
      </c>
      <c r="P5133" s="36" t="s">
        <v>7542</v>
      </c>
      <c r="Q5133" s="38"/>
    </row>
    <row r="5134">
      <c r="A5134" s="6" t="s">
        <v>1421</v>
      </c>
      <c r="B5134" s="6" t="s">
        <v>8395</v>
      </c>
      <c r="C5134" s="6">
        <v>116.0</v>
      </c>
      <c r="D5134" s="9" t="str">
        <f t="shared" si="1363"/>
        <v>Open Ad</v>
      </c>
      <c r="E5134" s="6" t="s">
        <v>91</v>
      </c>
      <c r="F5134" s="6" t="s">
        <v>8022</v>
      </c>
      <c r="G5134" s="6" t="s">
        <v>8451</v>
      </c>
      <c r="H5134" s="6" t="s">
        <v>55</v>
      </c>
      <c r="I5134" s="6" t="s">
        <v>8397</v>
      </c>
      <c r="J5134" s="6" t="s">
        <v>91</v>
      </c>
      <c r="K5134" s="12" t="str">
        <f t="shared" si="1364"/>
        <v>View Creative</v>
      </c>
      <c r="L5134" s="6" t="s">
        <v>62</v>
      </c>
      <c r="M5134" s="6" t="s">
        <v>1421</v>
      </c>
      <c r="N5134" s="6"/>
      <c r="O5134" s="36" t="s">
        <v>7541</v>
      </c>
      <c r="P5134" s="36" t="s">
        <v>7542</v>
      </c>
      <c r="Q5134" s="38"/>
    </row>
    <row r="5135">
      <c r="A5135" s="6" t="s">
        <v>1421</v>
      </c>
      <c r="B5135" s="6" t="s">
        <v>8395</v>
      </c>
      <c r="C5135" s="6">
        <v>117.0</v>
      </c>
      <c r="D5135" s="9" t="str">
        <f t="shared" ref="D5135:D5136" si="1365">HYPERLINK("https://www.linkedin.com/ad-library/detail/1461472384","Open Ad")</f>
        <v>Open Ad</v>
      </c>
      <c r="E5135" s="6" t="s">
        <v>91</v>
      </c>
      <c r="F5135" s="6" t="s">
        <v>8022</v>
      </c>
      <c r="G5135" s="6" t="s">
        <v>8452</v>
      </c>
      <c r="H5135" s="6" t="s">
        <v>55</v>
      </c>
      <c r="I5135" s="6" t="s">
        <v>8397</v>
      </c>
      <c r="J5135" s="6" t="s">
        <v>91</v>
      </c>
      <c r="K5135" s="12" t="str">
        <f t="shared" ref="K5135:K5136" si="1366">HYPERLINK("https://media.licdn.com/dms/image/v2/D4E22AQEe6Kn8FzbO6A/feedshare-image-high-res/B4EZ1oq9ZZJEAU-/0/1775577585791?e=2147483647&amp;v=beta&amp;t=bKCZ4NWsxF52e0yGjdDUpw3Ba3gvRDYiO-A21-3uLr8","View Creative")</f>
        <v>View Creative</v>
      </c>
      <c r="L5135" s="6" t="s">
        <v>62</v>
      </c>
      <c r="M5135" s="6" t="s">
        <v>1421</v>
      </c>
      <c r="N5135" s="6"/>
      <c r="O5135" s="36" t="s">
        <v>7541</v>
      </c>
      <c r="P5135" s="36" t="s">
        <v>7542</v>
      </c>
      <c r="Q5135" s="38"/>
    </row>
    <row r="5136">
      <c r="A5136" s="6" t="s">
        <v>1421</v>
      </c>
      <c r="B5136" s="6" t="s">
        <v>8395</v>
      </c>
      <c r="C5136" s="6">
        <v>118.0</v>
      </c>
      <c r="D5136" s="9" t="str">
        <f t="shared" si="1365"/>
        <v>Open Ad</v>
      </c>
      <c r="E5136" s="6" t="s">
        <v>91</v>
      </c>
      <c r="F5136" s="6" t="s">
        <v>8022</v>
      </c>
      <c r="G5136" s="6" t="s">
        <v>8452</v>
      </c>
      <c r="H5136" s="6" t="s">
        <v>55</v>
      </c>
      <c r="I5136" s="6" t="s">
        <v>8397</v>
      </c>
      <c r="J5136" s="6" t="s">
        <v>91</v>
      </c>
      <c r="K5136" s="12" t="str">
        <f t="shared" si="1366"/>
        <v>View Creative</v>
      </c>
      <c r="L5136" s="6" t="s">
        <v>62</v>
      </c>
      <c r="M5136" s="6" t="s">
        <v>1421</v>
      </c>
      <c r="N5136" s="6"/>
      <c r="O5136" s="36" t="s">
        <v>7541</v>
      </c>
      <c r="P5136" s="36" t="s">
        <v>7542</v>
      </c>
      <c r="Q5136" s="38"/>
    </row>
    <row r="5137">
      <c r="A5137" s="6" t="s">
        <v>1421</v>
      </c>
      <c r="B5137" s="6" t="s">
        <v>8395</v>
      </c>
      <c r="C5137" s="6">
        <v>119.0</v>
      </c>
      <c r="D5137" s="9" t="str">
        <f t="shared" ref="D5137:D5138" si="1367">HYPERLINK("https://www.linkedin.com/ad-library/detail/1461423224","Open Ad")</f>
        <v>Open Ad</v>
      </c>
      <c r="E5137" s="6" t="s">
        <v>91</v>
      </c>
      <c r="F5137" s="6" t="s">
        <v>8022</v>
      </c>
      <c r="G5137" s="6" t="s">
        <v>8453</v>
      </c>
      <c r="H5137" s="6" t="s">
        <v>55</v>
      </c>
      <c r="I5137" s="6" t="s">
        <v>8397</v>
      </c>
      <c r="J5137" s="6" t="s">
        <v>91</v>
      </c>
      <c r="K5137" s="12" t="str">
        <f t="shared" ref="K5137:K5138" si="1368">HYPERLINK("https://media.licdn.com/dms/image/v2/D5622AQGo9_bFMxOuLA/feedshare-image-high-res/B56Zl3NffVJoAo-/0/1758641650656?e=2147483647&amp;v=beta&amp;t=nc7qQvk9vZoL1vbnj6_lM6slAxYZ8frA_D4qnCfNKmc","View Creative")</f>
        <v>View Creative</v>
      </c>
      <c r="L5137" s="6" t="s">
        <v>62</v>
      </c>
      <c r="M5137" s="6" t="s">
        <v>1421</v>
      </c>
      <c r="N5137" s="6"/>
      <c r="O5137" s="36" t="s">
        <v>7541</v>
      </c>
      <c r="P5137" s="36" t="s">
        <v>7542</v>
      </c>
      <c r="Q5137" s="38"/>
    </row>
    <row r="5138">
      <c r="A5138" s="6" t="s">
        <v>1421</v>
      </c>
      <c r="B5138" s="6" t="s">
        <v>8395</v>
      </c>
      <c r="C5138" s="6">
        <v>120.0</v>
      </c>
      <c r="D5138" s="9" t="str">
        <f t="shared" si="1367"/>
        <v>Open Ad</v>
      </c>
      <c r="E5138" s="6" t="s">
        <v>91</v>
      </c>
      <c r="F5138" s="6" t="s">
        <v>8022</v>
      </c>
      <c r="G5138" s="6" t="s">
        <v>8453</v>
      </c>
      <c r="H5138" s="6" t="s">
        <v>55</v>
      </c>
      <c r="I5138" s="6" t="s">
        <v>8397</v>
      </c>
      <c r="J5138" s="6" t="s">
        <v>91</v>
      </c>
      <c r="K5138" s="12" t="str">
        <f t="shared" si="1368"/>
        <v>View Creative</v>
      </c>
      <c r="L5138" s="6" t="s">
        <v>62</v>
      </c>
      <c r="M5138" s="6" t="s">
        <v>1421</v>
      </c>
      <c r="N5138" s="6"/>
      <c r="O5138" s="36" t="s">
        <v>7541</v>
      </c>
      <c r="P5138" s="36" t="s">
        <v>7542</v>
      </c>
      <c r="Q5138" s="38"/>
    </row>
    <row r="5139">
      <c r="A5139" s="6" t="s">
        <v>1421</v>
      </c>
      <c r="B5139" s="6" t="s">
        <v>8395</v>
      </c>
      <c r="C5139" s="6">
        <v>121.0</v>
      </c>
      <c r="D5139" s="9" t="str">
        <f>HYPERLINK("https://www.linkedin.com/ad-library/detail/1461492174","Open Ad")</f>
        <v>Open Ad</v>
      </c>
      <c r="E5139" s="6" t="s">
        <v>52</v>
      </c>
      <c r="F5139" s="6" t="s">
        <v>8022</v>
      </c>
      <c r="G5139" s="6" t="s">
        <v>8454</v>
      </c>
      <c r="H5139" s="6" t="s">
        <v>55</v>
      </c>
      <c r="I5139" s="6" t="s">
        <v>8397</v>
      </c>
      <c r="J5139" s="6" t="s">
        <v>52</v>
      </c>
      <c r="K5139" s="6" t="s">
        <v>60</v>
      </c>
      <c r="L5139" s="6" t="s">
        <v>62</v>
      </c>
      <c r="M5139" s="6" t="s">
        <v>1421</v>
      </c>
      <c r="N5139" s="6"/>
      <c r="O5139" s="36" t="s">
        <v>7541</v>
      </c>
      <c r="P5139" s="36" t="s">
        <v>7542</v>
      </c>
      <c r="Q5139" s="38"/>
    </row>
    <row r="5140">
      <c r="A5140" s="6" t="s">
        <v>1421</v>
      </c>
      <c r="B5140" s="6" t="s">
        <v>8395</v>
      </c>
      <c r="C5140" s="6">
        <v>122.0</v>
      </c>
      <c r="D5140" s="9" t="str">
        <f t="shared" ref="D5140:D5141" si="1369">HYPERLINK("https://www.linkedin.com/ad-library/detail/1461452834","Open Ad")</f>
        <v>Open Ad</v>
      </c>
      <c r="E5140" s="6" t="s">
        <v>91</v>
      </c>
      <c r="F5140" s="6" t="s">
        <v>8022</v>
      </c>
      <c r="G5140" s="6" t="s">
        <v>8455</v>
      </c>
      <c r="H5140" s="6" t="s">
        <v>8456</v>
      </c>
      <c r="I5140" s="6" t="s">
        <v>8397</v>
      </c>
      <c r="J5140" s="6" t="s">
        <v>91</v>
      </c>
      <c r="K5140" s="12" t="str">
        <f t="shared" ref="K5140:K5141" si="1370">HYPERLINK("https://media.licdn.com/dms/image/sync/v2/D5627AQFX2ttCwROi6A/articleshare-shrink_1280_800/B4DZ5qII2OGcAY-/0/1779896980178?e=2147483647&amp;v=beta&amp;t=DomfkxSKWoO2ZmrEihmo9x_r_hW7O0SH2IY6Ehomuo0","View Creative")</f>
        <v>View Creative</v>
      </c>
      <c r="L5140" s="6" t="s">
        <v>62</v>
      </c>
      <c r="M5140" s="6" t="s">
        <v>1421</v>
      </c>
      <c r="N5140" s="6"/>
      <c r="O5140" s="36" t="s">
        <v>7541</v>
      </c>
      <c r="P5140" s="36" t="s">
        <v>7542</v>
      </c>
      <c r="Q5140" s="38"/>
    </row>
    <row r="5141">
      <c r="A5141" s="6" t="s">
        <v>1421</v>
      </c>
      <c r="B5141" s="6" t="s">
        <v>8395</v>
      </c>
      <c r="C5141" s="6">
        <v>123.0</v>
      </c>
      <c r="D5141" s="9" t="str">
        <f t="shared" si="1369"/>
        <v>Open Ad</v>
      </c>
      <c r="E5141" s="6" t="s">
        <v>91</v>
      </c>
      <c r="F5141" s="6" t="s">
        <v>8022</v>
      </c>
      <c r="G5141" s="6" t="s">
        <v>8455</v>
      </c>
      <c r="H5141" s="6" t="s">
        <v>8456</v>
      </c>
      <c r="I5141" s="6" t="s">
        <v>8397</v>
      </c>
      <c r="J5141" s="6" t="s">
        <v>91</v>
      </c>
      <c r="K5141" s="12" t="str">
        <f t="shared" si="1370"/>
        <v>View Creative</v>
      </c>
      <c r="L5141" s="6" t="s">
        <v>62</v>
      </c>
      <c r="M5141" s="6" t="s">
        <v>1421</v>
      </c>
      <c r="N5141" s="6"/>
      <c r="O5141" s="36" t="s">
        <v>7541</v>
      </c>
      <c r="P5141" s="36" t="s">
        <v>7542</v>
      </c>
      <c r="Q5141" s="38"/>
    </row>
    <row r="5142">
      <c r="A5142" s="6" t="s">
        <v>1421</v>
      </c>
      <c r="B5142" s="6" t="s">
        <v>8395</v>
      </c>
      <c r="C5142" s="6">
        <v>124.0</v>
      </c>
      <c r="D5142" s="9" t="str">
        <f t="shared" ref="D5142:D5143" si="1371">HYPERLINK("https://www.linkedin.com/ad-library/detail/1461402774","Open Ad")</f>
        <v>Open Ad</v>
      </c>
      <c r="E5142" s="6" t="s">
        <v>91</v>
      </c>
      <c r="F5142" s="6" t="s">
        <v>8022</v>
      </c>
      <c r="G5142" s="6" t="s">
        <v>8451</v>
      </c>
      <c r="H5142" s="6" t="s">
        <v>55</v>
      </c>
      <c r="I5142" s="6" t="s">
        <v>8397</v>
      </c>
      <c r="J5142" s="6" t="s">
        <v>91</v>
      </c>
      <c r="K5142" s="12" t="str">
        <f t="shared" ref="K5142:K5143" si="1372">HYPERLINK("https://media.licdn.com/dms/image/v2/D4D22AQFwO3o6RjQUBg/feedshare-image-high-res/B4DZnhv0kaGgAo-/0/1760429034955?e=2147483647&amp;v=beta&amp;t=WGHfi72vlu9jHhP6cp_qXehBo9lLbGkE9-C--BfL7EA","View Creative")</f>
        <v>View Creative</v>
      </c>
      <c r="L5142" s="6" t="s">
        <v>62</v>
      </c>
      <c r="M5142" s="6" t="s">
        <v>1421</v>
      </c>
      <c r="N5142" s="6"/>
      <c r="O5142" s="36" t="s">
        <v>7541</v>
      </c>
      <c r="P5142" s="36" t="s">
        <v>7542</v>
      </c>
      <c r="Q5142" s="38"/>
    </row>
    <row r="5143">
      <c r="A5143" s="6" t="s">
        <v>1421</v>
      </c>
      <c r="B5143" s="6" t="s">
        <v>8395</v>
      </c>
      <c r="C5143" s="6">
        <v>125.0</v>
      </c>
      <c r="D5143" s="9" t="str">
        <f t="shared" si="1371"/>
        <v>Open Ad</v>
      </c>
      <c r="E5143" s="6" t="s">
        <v>91</v>
      </c>
      <c r="F5143" s="6" t="s">
        <v>8022</v>
      </c>
      <c r="G5143" s="6" t="s">
        <v>8451</v>
      </c>
      <c r="H5143" s="6" t="s">
        <v>55</v>
      </c>
      <c r="I5143" s="6" t="s">
        <v>8397</v>
      </c>
      <c r="J5143" s="6" t="s">
        <v>91</v>
      </c>
      <c r="K5143" s="12" t="str">
        <f t="shared" si="1372"/>
        <v>View Creative</v>
      </c>
      <c r="L5143" s="6" t="s">
        <v>62</v>
      </c>
      <c r="M5143" s="6" t="s">
        <v>1421</v>
      </c>
      <c r="N5143" s="6"/>
      <c r="O5143" s="36" t="s">
        <v>7541</v>
      </c>
      <c r="P5143" s="36" t="s">
        <v>7542</v>
      </c>
      <c r="Q5143" s="38"/>
    </row>
    <row r="5144">
      <c r="A5144" s="6" t="s">
        <v>1421</v>
      </c>
      <c r="B5144" s="6" t="s">
        <v>8395</v>
      </c>
      <c r="C5144" s="6">
        <v>126.0</v>
      </c>
      <c r="D5144" s="9" t="str">
        <f>HYPERLINK("https://www.linkedin.com/ad-library/detail/1461492134","Open Ad")</f>
        <v>Open Ad</v>
      </c>
      <c r="E5144" s="6" t="s">
        <v>52</v>
      </c>
      <c r="F5144" s="6" t="s">
        <v>8022</v>
      </c>
      <c r="G5144" s="6" t="s">
        <v>8457</v>
      </c>
      <c r="H5144" s="6" t="s">
        <v>55</v>
      </c>
      <c r="I5144" s="6" t="s">
        <v>8397</v>
      </c>
      <c r="J5144" s="6" t="s">
        <v>52</v>
      </c>
      <c r="K5144" s="6" t="s">
        <v>60</v>
      </c>
      <c r="L5144" s="6" t="s">
        <v>62</v>
      </c>
      <c r="M5144" s="6" t="s">
        <v>1421</v>
      </c>
      <c r="N5144" s="6"/>
      <c r="O5144" s="36" t="s">
        <v>7541</v>
      </c>
      <c r="P5144" s="36" t="s">
        <v>7542</v>
      </c>
      <c r="Q5144" s="38"/>
    </row>
    <row r="5145">
      <c r="A5145" s="6" t="s">
        <v>1421</v>
      </c>
      <c r="B5145" s="6" t="s">
        <v>8395</v>
      </c>
      <c r="C5145" s="6">
        <v>127.0</v>
      </c>
      <c r="D5145" s="9" t="str">
        <f>HYPERLINK("https://www.linkedin.com/ad-library/detail/1461522174","Open Ad")</f>
        <v>Open Ad</v>
      </c>
      <c r="E5145" s="6" t="s">
        <v>52</v>
      </c>
      <c r="F5145" s="6" t="s">
        <v>8022</v>
      </c>
      <c r="G5145" s="6" t="s">
        <v>8458</v>
      </c>
      <c r="H5145" s="6" t="s">
        <v>55</v>
      </c>
      <c r="I5145" s="6" t="s">
        <v>8397</v>
      </c>
      <c r="J5145" s="6" t="s">
        <v>52</v>
      </c>
      <c r="K5145" s="6" t="s">
        <v>60</v>
      </c>
      <c r="L5145" s="6" t="s">
        <v>62</v>
      </c>
      <c r="M5145" s="6" t="s">
        <v>1421</v>
      </c>
      <c r="N5145" s="6"/>
      <c r="O5145" s="36" t="s">
        <v>7541</v>
      </c>
      <c r="P5145" s="36" t="s">
        <v>7542</v>
      </c>
      <c r="Q5145" s="38"/>
    </row>
    <row r="5146">
      <c r="A5146" s="6" t="s">
        <v>1421</v>
      </c>
      <c r="B5146" s="6" t="s">
        <v>8395</v>
      </c>
      <c r="C5146" s="6">
        <v>128.0</v>
      </c>
      <c r="D5146" s="9" t="str">
        <f t="shared" ref="D5146:D5147" si="1373">HYPERLINK("https://www.linkedin.com/ad-library/detail/1461432794","Open Ad")</f>
        <v>Open Ad</v>
      </c>
      <c r="E5146" s="6" t="s">
        <v>91</v>
      </c>
      <c r="F5146" s="6" t="s">
        <v>8022</v>
      </c>
      <c r="G5146" s="6" t="s">
        <v>8459</v>
      </c>
      <c r="H5146" s="6" t="s">
        <v>55</v>
      </c>
      <c r="I5146" s="6" t="s">
        <v>8397</v>
      </c>
      <c r="J5146" s="6" t="s">
        <v>91</v>
      </c>
      <c r="K5146" s="12" t="str">
        <f t="shared" ref="K5146:K5147" si="1374">HYPERLINK("https://media.licdn.com/dms/image/v2/D4E22AQEqRE-kod-YWA/feedshare-image-high-res/B4EZ398HAQH0AY-/0/1778081886723?e=2147483647&amp;v=beta&amp;t=-wLfaZ_iT7EOfmS63OLApJHy_G4EAtERfOcUoCcGqoY","View Creative")</f>
        <v>View Creative</v>
      </c>
      <c r="L5146" s="6" t="s">
        <v>62</v>
      </c>
      <c r="M5146" s="6" t="s">
        <v>1421</v>
      </c>
      <c r="N5146" s="6"/>
      <c r="O5146" s="36" t="s">
        <v>7541</v>
      </c>
      <c r="P5146" s="36" t="s">
        <v>7542</v>
      </c>
      <c r="Q5146" s="38"/>
    </row>
    <row r="5147">
      <c r="A5147" s="6" t="s">
        <v>1421</v>
      </c>
      <c r="B5147" s="6" t="s">
        <v>8395</v>
      </c>
      <c r="C5147" s="6">
        <v>129.0</v>
      </c>
      <c r="D5147" s="9" t="str">
        <f t="shared" si="1373"/>
        <v>Open Ad</v>
      </c>
      <c r="E5147" s="6" t="s">
        <v>91</v>
      </c>
      <c r="F5147" s="6" t="s">
        <v>8022</v>
      </c>
      <c r="G5147" s="6" t="s">
        <v>8459</v>
      </c>
      <c r="H5147" s="6" t="s">
        <v>55</v>
      </c>
      <c r="I5147" s="6" t="s">
        <v>8397</v>
      </c>
      <c r="J5147" s="6" t="s">
        <v>91</v>
      </c>
      <c r="K5147" s="12" t="str">
        <f t="shared" si="1374"/>
        <v>View Creative</v>
      </c>
      <c r="L5147" s="6" t="s">
        <v>62</v>
      </c>
      <c r="M5147" s="6" t="s">
        <v>1421</v>
      </c>
      <c r="N5147" s="6"/>
      <c r="O5147" s="36" t="s">
        <v>7541</v>
      </c>
      <c r="P5147" s="36" t="s">
        <v>7542</v>
      </c>
      <c r="Q5147" s="38"/>
    </row>
    <row r="5148">
      <c r="A5148" s="6" t="s">
        <v>1421</v>
      </c>
      <c r="B5148" s="6" t="s">
        <v>8395</v>
      </c>
      <c r="C5148" s="6">
        <v>130.0</v>
      </c>
      <c r="D5148" s="9" t="str">
        <f t="shared" ref="D5148:D5149" si="1375">HYPERLINK("https://www.linkedin.com/ad-library/detail/1461402724","Open Ad")</f>
        <v>Open Ad</v>
      </c>
      <c r="E5148" s="6" t="s">
        <v>91</v>
      </c>
      <c r="F5148" s="6" t="s">
        <v>8022</v>
      </c>
      <c r="G5148" s="6" t="s">
        <v>8460</v>
      </c>
      <c r="H5148" s="6" t="s">
        <v>55</v>
      </c>
      <c r="I5148" s="6" t="s">
        <v>8397</v>
      </c>
      <c r="J5148" s="6" t="s">
        <v>91</v>
      </c>
      <c r="K5148" s="12" t="str">
        <f t="shared" ref="K5148:K5149" si="1376">HYPERLINK("https://media.licdn.com/dms/image/v2/D4E22AQFt-dFjadE7eA/feedshare-shrink_1280/B4EZssv3KoKgAs-/0/1765982305047?e=2147483647&amp;v=beta&amp;t=KNpTRDqCPAIvuxG8CzOoY0lQSVaw7ZCK_imSxQf1V6M","View Creative")</f>
        <v>View Creative</v>
      </c>
      <c r="L5148" s="6" t="s">
        <v>62</v>
      </c>
      <c r="M5148" s="6" t="s">
        <v>1421</v>
      </c>
      <c r="N5148" s="6"/>
      <c r="O5148" s="36" t="s">
        <v>7541</v>
      </c>
      <c r="P5148" s="36" t="s">
        <v>7542</v>
      </c>
      <c r="Q5148" s="38"/>
    </row>
    <row r="5149">
      <c r="A5149" s="6" t="s">
        <v>1421</v>
      </c>
      <c r="B5149" s="6" t="s">
        <v>8395</v>
      </c>
      <c r="C5149" s="6">
        <v>131.0</v>
      </c>
      <c r="D5149" s="9" t="str">
        <f t="shared" si="1375"/>
        <v>Open Ad</v>
      </c>
      <c r="E5149" s="6" t="s">
        <v>91</v>
      </c>
      <c r="F5149" s="6" t="s">
        <v>8022</v>
      </c>
      <c r="G5149" s="6" t="s">
        <v>8460</v>
      </c>
      <c r="H5149" s="6" t="s">
        <v>55</v>
      </c>
      <c r="I5149" s="6" t="s">
        <v>8397</v>
      </c>
      <c r="J5149" s="6" t="s">
        <v>91</v>
      </c>
      <c r="K5149" s="12" t="str">
        <f t="shared" si="1376"/>
        <v>View Creative</v>
      </c>
      <c r="L5149" s="6" t="s">
        <v>62</v>
      </c>
      <c r="M5149" s="6" t="s">
        <v>1421</v>
      </c>
      <c r="N5149" s="6"/>
      <c r="O5149" s="36" t="s">
        <v>7541</v>
      </c>
      <c r="P5149" s="36" t="s">
        <v>7542</v>
      </c>
      <c r="Q5149" s="38"/>
    </row>
    <row r="5150">
      <c r="A5150" s="6" t="s">
        <v>1421</v>
      </c>
      <c r="B5150" s="6" t="s">
        <v>8395</v>
      </c>
      <c r="C5150" s="6">
        <v>132.0</v>
      </c>
      <c r="D5150" s="9" t="str">
        <f>HYPERLINK("https://www.linkedin.com/ad-library/detail/1461452684","Open Ad")</f>
        <v>Open Ad</v>
      </c>
      <c r="E5150" s="6" t="s">
        <v>52</v>
      </c>
      <c r="F5150" s="6" t="s">
        <v>8022</v>
      </c>
      <c r="G5150" s="6" t="s">
        <v>8461</v>
      </c>
      <c r="H5150" s="6" t="s">
        <v>55</v>
      </c>
      <c r="I5150" s="6" t="s">
        <v>8397</v>
      </c>
      <c r="J5150" s="6" t="s">
        <v>52</v>
      </c>
      <c r="K5150" s="6" t="s">
        <v>60</v>
      </c>
      <c r="L5150" s="6" t="s">
        <v>62</v>
      </c>
      <c r="M5150" s="6" t="s">
        <v>1421</v>
      </c>
      <c r="N5150" s="6"/>
      <c r="O5150" s="36" t="s">
        <v>7541</v>
      </c>
      <c r="P5150" s="36" t="s">
        <v>7542</v>
      </c>
      <c r="Q5150" s="38"/>
    </row>
    <row r="5151">
      <c r="A5151" s="6" t="s">
        <v>1421</v>
      </c>
      <c r="B5151" s="6" t="s">
        <v>8395</v>
      </c>
      <c r="C5151" s="6">
        <v>133.0</v>
      </c>
      <c r="D5151" s="9" t="str">
        <f>HYPERLINK("https://www.linkedin.com/ad-library/detail/1461383404","Open Ad")</f>
        <v>Open Ad</v>
      </c>
      <c r="E5151" s="6" t="s">
        <v>52</v>
      </c>
      <c r="F5151" s="6" t="s">
        <v>8022</v>
      </c>
      <c r="G5151" s="6" t="s">
        <v>8462</v>
      </c>
      <c r="H5151" s="6" t="s">
        <v>55</v>
      </c>
      <c r="I5151" s="6" t="s">
        <v>8397</v>
      </c>
      <c r="J5151" s="6" t="s">
        <v>52</v>
      </c>
      <c r="K5151" s="6" t="s">
        <v>60</v>
      </c>
      <c r="L5151" s="6" t="s">
        <v>62</v>
      </c>
      <c r="M5151" s="6" t="s">
        <v>1421</v>
      </c>
      <c r="N5151" s="6"/>
      <c r="O5151" s="36" t="s">
        <v>7541</v>
      </c>
      <c r="P5151" s="36" t="s">
        <v>7542</v>
      </c>
      <c r="Q5151" s="38"/>
    </row>
    <row r="5152">
      <c r="A5152" s="6" t="s">
        <v>1421</v>
      </c>
      <c r="B5152" s="6" t="s">
        <v>8395</v>
      </c>
      <c r="C5152" s="6">
        <v>134.0</v>
      </c>
      <c r="D5152" s="9" t="str">
        <f>HYPERLINK("https://www.linkedin.com/ad-library/detail/1461304464","Open Ad")</f>
        <v>Open Ad</v>
      </c>
      <c r="E5152" s="6" t="s">
        <v>52</v>
      </c>
      <c r="F5152" s="6" t="s">
        <v>8022</v>
      </c>
      <c r="G5152" s="6" t="s">
        <v>8463</v>
      </c>
      <c r="H5152" s="6" t="s">
        <v>55</v>
      </c>
      <c r="I5152" s="6" t="s">
        <v>8397</v>
      </c>
      <c r="J5152" s="6" t="s">
        <v>52</v>
      </c>
      <c r="K5152" s="6" t="s">
        <v>60</v>
      </c>
      <c r="L5152" s="6" t="s">
        <v>62</v>
      </c>
      <c r="M5152" s="6" t="s">
        <v>1421</v>
      </c>
      <c r="N5152" s="6"/>
      <c r="O5152" s="36" t="s">
        <v>7541</v>
      </c>
      <c r="P5152" s="36" t="s">
        <v>7542</v>
      </c>
      <c r="Q5152" s="38"/>
    </row>
    <row r="5153">
      <c r="A5153" s="6" t="s">
        <v>1421</v>
      </c>
      <c r="B5153" s="6" t="s">
        <v>8395</v>
      </c>
      <c r="C5153" s="6">
        <v>135.0</v>
      </c>
      <c r="D5153" s="9" t="str">
        <f t="shared" ref="D5153:D5154" si="1377">HYPERLINK("https://www.linkedin.com/ad-library/detail/1461304234","Open Ad")</f>
        <v>Open Ad</v>
      </c>
      <c r="E5153" s="6" t="s">
        <v>91</v>
      </c>
      <c r="F5153" s="6" t="s">
        <v>8022</v>
      </c>
      <c r="G5153" s="6" t="s">
        <v>8464</v>
      </c>
      <c r="H5153" s="6" t="s">
        <v>55</v>
      </c>
      <c r="I5153" s="6" t="s">
        <v>8397</v>
      </c>
      <c r="J5153" s="6" t="s">
        <v>91</v>
      </c>
      <c r="K5153" s="12" t="str">
        <f t="shared" ref="K5153:K5154" si="1378">HYPERLINK("https://media.licdn.com/dms/image/v2/D5622AQEl0jIy3ag-6A/feedshare-shrink_800/B56Z63TPnlGsAc-/0/1781191736079?e=2147483647&amp;v=beta&amp;t=rza4hr0V93hFtuvmD5u9AuCZQPQa9x5CWYlJ1-RsFd8","View Creative")</f>
        <v>View Creative</v>
      </c>
      <c r="L5153" s="6" t="s">
        <v>62</v>
      </c>
      <c r="M5153" s="6" t="s">
        <v>1421</v>
      </c>
      <c r="N5153" s="6"/>
      <c r="O5153" s="36" t="s">
        <v>7541</v>
      </c>
      <c r="P5153" s="36" t="s">
        <v>7542</v>
      </c>
      <c r="Q5153" s="38"/>
    </row>
    <row r="5154">
      <c r="A5154" s="6" t="s">
        <v>1421</v>
      </c>
      <c r="B5154" s="6" t="s">
        <v>8395</v>
      </c>
      <c r="C5154" s="6">
        <v>136.0</v>
      </c>
      <c r="D5154" s="9" t="str">
        <f t="shared" si="1377"/>
        <v>Open Ad</v>
      </c>
      <c r="E5154" s="6" t="s">
        <v>91</v>
      </c>
      <c r="F5154" s="6" t="s">
        <v>8022</v>
      </c>
      <c r="G5154" s="6" t="s">
        <v>8464</v>
      </c>
      <c r="H5154" s="6" t="s">
        <v>55</v>
      </c>
      <c r="I5154" s="6" t="s">
        <v>8397</v>
      </c>
      <c r="J5154" s="6" t="s">
        <v>91</v>
      </c>
      <c r="K5154" s="12" t="str">
        <f t="shared" si="1378"/>
        <v>View Creative</v>
      </c>
      <c r="L5154" s="6" t="s">
        <v>62</v>
      </c>
      <c r="M5154" s="6" t="s">
        <v>1421</v>
      </c>
      <c r="N5154" s="6"/>
      <c r="O5154" s="36" t="s">
        <v>7541</v>
      </c>
      <c r="P5154" s="36" t="s">
        <v>7542</v>
      </c>
      <c r="Q5154" s="38"/>
    </row>
    <row r="5155">
      <c r="A5155" s="6" t="s">
        <v>1421</v>
      </c>
      <c r="B5155" s="6" t="s">
        <v>8395</v>
      </c>
      <c r="C5155" s="6">
        <v>137.0</v>
      </c>
      <c r="D5155" s="9" t="str">
        <f t="shared" ref="D5155:D5156" si="1379">HYPERLINK("https://www.linkedin.com/ad-library/detail/1461373144","Open Ad")</f>
        <v>Open Ad</v>
      </c>
      <c r="E5155" s="6" t="s">
        <v>91</v>
      </c>
      <c r="F5155" s="6" t="s">
        <v>8022</v>
      </c>
      <c r="G5155" s="6" t="s">
        <v>8460</v>
      </c>
      <c r="H5155" s="6" t="s">
        <v>55</v>
      </c>
      <c r="I5155" s="6" t="s">
        <v>8397</v>
      </c>
      <c r="J5155" s="6" t="s">
        <v>91</v>
      </c>
      <c r="K5155" s="12" t="str">
        <f t="shared" ref="K5155:K5156" si="1380">HYPERLINK("https://media.licdn.com/dms/image/v2/D4E22AQFt-dFjadE7eA/feedshare-shrink_1280/B4EZssv3KoKgAs-/0/1765982305047?e=2147483647&amp;v=beta&amp;t=KNpTRDqCPAIvuxG8CzOoY0lQSVaw7ZCK_imSxQf1V6M","View Creative")</f>
        <v>View Creative</v>
      </c>
      <c r="L5155" s="6" t="s">
        <v>62</v>
      </c>
      <c r="M5155" s="6" t="s">
        <v>1421</v>
      </c>
      <c r="N5155" s="6"/>
      <c r="O5155" s="36" t="s">
        <v>7541</v>
      </c>
      <c r="P5155" s="36" t="s">
        <v>7542</v>
      </c>
      <c r="Q5155" s="38"/>
    </row>
    <row r="5156">
      <c r="A5156" s="6" t="s">
        <v>1421</v>
      </c>
      <c r="B5156" s="6" t="s">
        <v>8395</v>
      </c>
      <c r="C5156" s="6">
        <v>138.0</v>
      </c>
      <c r="D5156" s="9" t="str">
        <f t="shared" si="1379"/>
        <v>Open Ad</v>
      </c>
      <c r="E5156" s="6" t="s">
        <v>91</v>
      </c>
      <c r="F5156" s="6" t="s">
        <v>8022</v>
      </c>
      <c r="G5156" s="6" t="s">
        <v>8460</v>
      </c>
      <c r="H5156" s="6" t="s">
        <v>55</v>
      </c>
      <c r="I5156" s="6" t="s">
        <v>8397</v>
      </c>
      <c r="J5156" s="6" t="s">
        <v>91</v>
      </c>
      <c r="K5156" s="12" t="str">
        <f t="shared" si="1380"/>
        <v>View Creative</v>
      </c>
      <c r="L5156" s="6" t="s">
        <v>62</v>
      </c>
      <c r="M5156" s="6" t="s">
        <v>1421</v>
      </c>
      <c r="N5156" s="6"/>
      <c r="O5156" s="36" t="s">
        <v>7541</v>
      </c>
      <c r="P5156" s="36" t="s">
        <v>7542</v>
      </c>
      <c r="Q5156" s="38"/>
    </row>
    <row r="5157">
      <c r="A5157" s="6" t="s">
        <v>1421</v>
      </c>
      <c r="B5157" s="6" t="s">
        <v>8395</v>
      </c>
      <c r="C5157" s="6">
        <v>139.0</v>
      </c>
      <c r="D5157" s="9" t="str">
        <f>HYPERLINK("https://www.linkedin.com/ad-library/detail/1461353194","Open Ad")</f>
        <v>Open Ad</v>
      </c>
      <c r="E5157" s="6" t="s">
        <v>52</v>
      </c>
      <c r="F5157" s="6" t="s">
        <v>8022</v>
      </c>
      <c r="G5157" s="6" t="s">
        <v>8465</v>
      </c>
      <c r="H5157" s="6" t="s">
        <v>8431</v>
      </c>
      <c r="I5157" s="6" t="s">
        <v>8397</v>
      </c>
      <c r="J5157" s="6" t="s">
        <v>52</v>
      </c>
      <c r="K5157" s="6" t="s">
        <v>60</v>
      </c>
      <c r="L5157" s="6" t="s">
        <v>62</v>
      </c>
      <c r="M5157" s="6" t="s">
        <v>1421</v>
      </c>
      <c r="N5157" s="6"/>
      <c r="O5157" s="36" t="s">
        <v>7541</v>
      </c>
      <c r="P5157" s="36" t="s">
        <v>7542</v>
      </c>
      <c r="Q5157" s="38"/>
    </row>
    <row r="5158">
      <c r="A5158" s="6" t="s">
        <v>1421</v>
      </c>
      <c r="B5158" s="6" t="s">
        <v>8395</v>
      </c>
      <c r="C5158" s="6">
        <v>140.0</v>
      </c>
      <c r="D5158" s="9" t="str">
        <f>HYPERLINK("https://www.linkedin.com/ad-library/detail/1461412444","Open Ad")</f>
        <v>Open Ad</v>
      </c>
      <c r="E5158" s="6" t="s">
        <v>52</v>
      </c>
      <c r="F5158" s="6" t="s">
        <v>8022</v>
      </c>
      <c r="G5158" s="6" t="s">
        <v>8466</v>
      </c>
      <c r="H5158" s="6" t="s">
        <v>55</v>
      </c>
      <c r="I5158" s="6" t="s">
        <v>8397</v>
      </c>
      <c r="J5158" s="6" t="s">
        <v>52</v>
      </c>
      <c r="K5158" s="6" t="s">
        <v>60</v>
      </c>
      <c r="L5158" s="6" t="s">
        <v>62</v>
      </c>
      <c r="M5158" s="6" t="s">
        <v>1421</v>
      </c>
      <c r="N5158" s="6"/>
      <c r="O5158" s="36" t="s">
        <v>7541</v>
      </c>
      <c r="P5158" s="36" t="s">
        <v>7542</v>
      </c>
      <c r="Q5158" s="38"/>
    </row>
    <row r="5159">
      <c r="A5159" s="6" t="s">
        <v>1421</v>
      </c>
      <c r="B5159" s="6" t="s">
        <v>8395</v>
      </c>
      <c r="C5159" s="6">
        <v>141.0</v>
      </c>
      <c r="D5159" s="9" t="str">
        <f>HYPERLINK("https://www.linkedin.com/ad-library/detail/1461333814","Open Ad")</f>
        <v>Open Ad</v>
      </c>
      <c r="E5159" s="6" t="s">
        <v>52</v>
      </c>
      <c r="F5159" s="6" t="s">
        <v>8022</v>
      </c>
      <c r="G5159" s="6" t="s">
        <v>8457</v>
      </c>
      <c r="H5159" s="6" t="s">
        <v>55</v>
      </c>
      <c r="I5159" s="6" t="s">
        <v>8397</v>
      </c>
      <c r="J5159" s="6" t="s">
        <v>52</v>
      </c>
      <c r="K5159" s="6" t="s">
        <v>60</v>
      </c>
      <c r="L5159" s="6" t="s">
        <v>62</v>
      </c>
      <c r="M5159" s="6" t="s">
        <v>1421</v>
      </c>
      <c r="N5159" s="6"/>
      <c r="O5159" s="36" t="s">
        <v>7541</v>
      </c>
      <c r="P5159" s="36" t="s">
        <v>7542</v>
      </c>
      <c r="Q5159" s="38"/>
    </row>
    <row r="5160">
      <c r="A5160" s="6" t="s">
        <v>1421</v>
      </c>
      <c r="B5160" s="6" t="s">
        <v>8395</v>
      </c>
      <c r="C5160" s="6">
        <v>142.0</v>
      </c>
      <c r="D5160" s="9" t="str">
        <f>HYPERLINK("https://www.linkedin.com/ad-library/detail/1461512064","Open Ad")</f>
        <v>Open Ad</v>
      </c>
      <c r="E5160" s="6" t="s">
        <v>52</v>
      </c>
      <c r="F5160" s="6" t="s">
        <v>8022</v>
      </c>
      <c r="G5160" s="6" t="s">
        <v>8467</v>
      </c>
      <c r="H5160" s="6" t="s">
        <v>55</v>
      </c>
      <c r="I5160" s="6" t="s">
        <v>8397</v>
      </c>
      <c r="J5160" s="6" t="s">
        <v>52</v>
      </c>
      <c r="K5160" s="6" t="s">
        <v>60</v>
      </c>
      <c r="L5160" s="6" t="s">
        <v>62</v>
      </c>
      <c r="M5160" s="6" t="s">
        <v>1421</v>
      </c>
      <c r="N5160" s="6"/>
      <c r="O5160" s="36" t="s">
        <v>7541</v>
      </c>
      <c r="P5160" s="36" t="s">
        <v>7542</v>
      </c>
      <c r="Q5160" s="38"/>
    </row>
    <row r="5161">
      <c r="A5161" s="6" t="s">
        <v>1421</v>
      </c>
      <c r="B5161" s="6" t="s">
        <v>8395</v>
      </c>
      <c r="C5161" s="6">
        <v>143.0</v>
      </c>
      <c r="D5161" s="9" t="str">
        <f t="shared" ref="D5161:D5162" si="1381">HYPERLINK("https://www.linkedin.com/ad-library/detail/1461462384","Open Ad")</f>
        <v>Open Ad</v>
      </c>
      <c r="E5161" s="6" t="s">
        <v>91</v>
      </c>
      <c r="F5161" s="6" t="s">
        <v>8022</v>
      </c>
      <c r="G5161" s="6" t="s">
        <v>8468</v>
      </c>
      <c r="H5161" s="6" t="s">
        <v>55</v>
      </c>
      <c r="I5161" s="6" t="s">
        <v>8397</v>
      </c>
      <c r="J5161" s="6" t="s">
        <v>91</v>
      </c>
      <c r="K5161" s="12" t="str">
        <f t="shared" ref="K5161:K5162" si="1382">HYPERLINK("https://media.licdn.com/dms/image/v2/D4E22AQEFMpCrbqftKQ/feedshare-shrink_1280/B4EZ2_rdGhKYAM-/0/1777037333903?e=2147483647&amp;v=beta&amp;t=MkS-yo7ZAZhl09hLFYcA5Q88kAALwR2GOxPv6MfaDgY","View Creative")</f>
        <v>View Creative</v>
      </c>
      <c r="L5161" s="6" t="s">
        <v>62</v>
      </c>
      <c r="M5161" s="6" t="s">
        <v>1421</v>
      </c>
      <c r="N5161" s="6"/>
      <c r="O5161" s="36" t="s">
        <v>7541</v>
      </c>
      <c r="P5161" s="36" t="s">
        <v>7542</v>
      </c>
      <c r="Q5161" s="38"/>
    </row>
    <row r="5162">
      <c r="A5162" s="6" t="s">
        <v>1421</v>
      </c>
      <c r="B5162" s="6" t="s">
        <v>8395</v>
      </c>
      <c r="C5162" s="6">
        <v>144.0</v>
      </c>
      <c r="D5162" s="9" t="str">
        <f t="shared" si="1381"/>
        <v>Open Ad</v>
      </c>
      <c r="E5162" s="6" t="s">
        <v>91</v>
      </c>
      <c r="F5162" s="6" t="s">
        <v>8022</v>
      </c>
      <c r="G5162" s="6" t="s">
        <v>8468</v>
      </c>
      <c r="H5162" s="6" t="s">
        <v>55</v>
      </c>
      <c r="I5162" s="6" t="s">
        <v>8397</v>
      </c>
      <c r="J5162" s="6" t="s">
        <v>91</v>
      </c>
      <c r="K5162" s="12" t="str">
        <f t="shared" si="1382"/>
        <v>View Creative</v>
      </c>
      <c r="L5162" s="6" t="s">
        <v>62</v>
      </c>
      <c r="M5162" s="6" t="s">
        <v>1421</v>
      </c>
      <c r="N5162" s="6"/>
      <c r="O5162" s="36" t="s">
        <v>7541</v>
      </c>
      <c r="P5162" s="36" t="s">
        <v>7542</v>
      </c>
      <c r="Q5162" s="38"/>
    </row>
    <row r="5163">
      <c r="A5163" s="6" t="s">
        <v>1421</v>
      </c>
      <c r="B5163" s="6" t="s">
        <v>8395</v>
      </c>
      <c r="C5163" s="6">
        <v>145.0</v>
      </c>
      <c r="D5163" s="9" t="str">
        <f>HYPERLINK("https://www.linkedin.com/ad-library/detail/1461442484","Open Ad")</f>
        <v>Open Ad</v>
      </c>
      <c r="E5163" s="6" t="s">
        <v>52</v>
      </c>
      <c r="F5163" s="6" t="s">
        <v>8022</v>
      </c>
      <c r="G5163" s="6" t="s">
        <v>8466</v>
      </c>
      <c r="H5163" s="6" t="s">
        <v>55</v>
      </c>
      <c r="I5163" s="6" t="s">
        <v>8397</v>
      </c>
      <c r="J5163" s="6" t="s">
        <v>52</v>
      </c>
      <c r="K5163" s="6" t="s">
        <v>60</v>
      </c>
      <c r="L5163" s="6" t="s">
        <v>62</v>
      </c>
      <c r="M5163" s="6" t="s">
        <v>1421</v>
      </c>
      <c r="N5163" s="6"/>
      <c r="O5163" s="36" t="s">
        <v>7541</v>
      </c>
      <c r="P5163" s="36" t="s">
        <v>7542</v>
      </c>
      <c r="Q5163" s="38"/>
    </row>
    <row r="5164">
      <c r="A5164" s="6" t="s">
        <v>1421</v>
      </c>
      <c r="B5164" s="6" t="s">
        <v>8395</v>
      </c>
      <c r="C5164" s="6">
        <v>146.0</v>
      </c>
      <c r="D5164" s="9" t="str">
        <f t="shared" ref="D5164:D5165" si="1383">HYPERLINK("https://www.linkedin.com/ad-library/detail/1461442494","Open Ad")</f>
        <v>Open Ad</v>
      </c>
      <c r="E5164" s="6" t="s">
        <v>91</v>
      </c>
      <c r="F5164" s="6" t="s">
        <v>8022</v>
      </c>
      <c r="G5164" s="6" t="s">
        <v>8455</v>
      </c>
      <c r="H5164" s="6" t="s">
        <v>8456</v>
      </c>
      <c r="I5164" s="6" t="s">
        <v>8397</v>
      </c>
      <c r="J5164" s="6" t="s">
        <v>91</v>
      </c>
      <c r="K5164" s="12" t="str">
        <f t="shared" ref="K5164:K5165" si="1384">HYPERLINK("https://media.licdn.com/dms/image/sync/v2/D5627AQFX2ttCwROi6A/articleshare-shrink_1280_800/B4DZ5qII2OGcAY-/0/1779896980178?e=2147483647&amp;v=beta&amp;t=DomfkxSKWoO2ZmrEihmo9x_r_hW7O0SH2IY6Ehomuo0","View Creative")</f>
        <v>View Creative</v>
      </c>
      <c r="L5164" s="6" t="s">
        <v>62</v>
      </c>
      <c r="M5164" s="6" t="s">
        <v>1421</v>
      </c>
      <c r="N5164" s="6"/>
      <c r="O5164" s="36" t="s">
        <v>7541</v>
      </c>
      <c r="P5164" s="36" t="s">
        <v>7542</v>
      </c>
      <c r="Q5164" s="38"/>
    </row>
    <row r="5165">
      <c r="A5165" s="6" t="s">
        <v>1421</v>
      </c>
      <c r="B5165" s="6" t="s">
        <v>8395</v>
      </c>
      <c r="C5165" s="6">
        <v>147.0</v>
      </c>
      <c r="D5165" s="9" t="str">
        <f t="shared" si="1383"/>
        <v>Open Ad</v>
      </c>
      <c r="E5165" s="6" t="s">
        <v>91</v>
      </c>
      <c r="F5165" s="6" t="s">
        <v>8022</v>
      </c>
      <c r="G5165" s="6" t="s">
        <v>8455</v>
      </c>
      <c r="H5165" s="6" t="s">
        <v>8456</v>
      </c>
      <c r="I5165" s="6" t="s">
        <v>8397</v>
      </c>
      <c r="J5165" s="6" t="s">
        <v>91</v>
      </c>
      <c r="K5165" s="12" t="str">
        <f t="shared" si="1384"/>
        <v>View Creative</v>
      </c>
      <c r="L5165" s="6" t="s">
        <v>62</v>
      </c>
      <c r="M5165" s="6" t="s">
        <v>1421</v>
      </c>
      <c r="N5165" s="6"/>
      <c r="O5165" s="36" t="s">
        <v>7541</v>
      </c>
      <c r="P5165" s="36" t="s">
        <v>7542</v>
      </c>
      <c r="Q5165" s="38"/>
    </row>
    <row r="5166">
      <c r="A5166" s="6" t="s">
        <v>1421</v>
      </c>
      <c r="B5166" s="6" t="s">
        <v>8395</v>
      </c>
      <c r="C5166" s="6">
        <v>148.0</v>
      </c>
      <c r="D5166" s="9" t="str">
        <f>HYPERLINK("https://www.linkedin.com/ad-library/detail/1461482564","Open Ad")</f>
        <v>Open Ad</v>
      </c>
      <c r="E5166" s="6" t="s">
        <v>52</v>
      </c>
      <c r="F5166" s="6" t="s">
        <v>8022</v>
      </c>
      <c r="G5166" s="6" t="s">
        <v>8465</v>
      </c>
      <c r="H5166" s="6" t="s">
        <v>8431</v>
      </c>
      <c r="I5166" s="6" t="s">
        <v>8397</v>
      </c>
      <c r="J5166" s="6" t="s">
        <v>52</v>
      </c>
      <c r="K5166" s="6" t="s">
        <v>60</v>
      </c>
      <c r="L5166" s="6" t="s">
        <v>62</v>
      </c>
      <c r="M5166" s="6" t="s">
        <v>1421</v>
      </c>
      <c r="N5166" s="6"/>
      <c r="O5166" s="36" t="s">
        <v>7541</v>
      </c>
      <c r="P5166" s="36" t="s">
        <v>7542</v>
      </c>
      <c r="Q5166" s="38"/>
    </row>
    <row r="5167">
      <c r="A5167" s="6" t="s">
        <v>1421</v>
      </c>
      <c r="B5167" s="6" t="s">
        <v>8395</v>
      </c>
      <c r="C5167" s="6">
        <v>149.0</v>
      </c>
      <c r="D5167" s="9" t="str">
        <f t="shared" ref="D5167:D5168" si="1385">HYPERLINK("https://www.linkedin.com/ad-library/detail/1458148684","Open Ad")</f>
        <v>Open Ad</v>
      </c>
      <c r="E5167" s="6" t="s">
        <v>91</v>
      </c>
      <c r="F5167" s="6" t="s">
        <v>8022</v>
      </c>
      <c r="G5167" s="6" t="s">
        <v>8469</v>
      </c>
      <c r="H5167" s="6" t="s">
        <v>55</v>
      </c>
      <c r="I5167" s="6" t="s">
        <v>8397</v>
      </c>
      <c r="J5167" s="6" t="s">
        <v>91</v>
      </c>
      <c r="K5167" s="12" t="str">
        <f t="shared" ref="K5167:K5168" si="1386">HYPERLINK("https://media.licdn.com/dms/image/v2/D4E10AQEZ9ItEflEGeA/image-shrink_1280/B4EZ7XZ9M4JMAg-/0/1781730367113/ScrunchGifAd1-ClaudeTokengif?e=2147483647&amp;v=beta&amp;t=zY0y08Jr9oOrH_hcRv0fbM3WycllUJkIt-H5LIw2Pws","View Creative")</f>
        <v>View Creative</v>
      </c>
      <c r="L5167" s="6" t="s">
        <v>62</v>
      </c>
      <c r="M5167" s="6" t="s">
        <v>1421</v>
      </c>
      <c r="N5167" s="6"/>
      <c r="O5167" s="36" t="s">
        <v>7541</v>
      </c>
      <c r="P5167" s="36" t="s">
        <v>7542</v>
      </c>
      <c r="Q5167" s="38"/>
    </row>
    <row r="5168">
      <c r="A5168" s="6" t="s">
        <v>1421</v>
      </c>
      <c r="B5168" s="6" t="s">
        <v>8395</v>
      </c>
      <c r="C5168" s="6">
        <v>150.0</v>
      </c>
      <c r="D5168" s="9" t="str">
        <f t="shared" si="1385"/>
        <v>Open Ad</v>
      </c>
      <c r="E5168" s="6" t="s">
        <v>91</v>
      </c>
      <c r="F5168" s="6" t="s">
        <v>8022</v>
      </c>
      <c r="G5168" s="6" t="s">
        <v>8469</v>
      </c>
      <c r="H5168" s="6" t="s">
        <v>55</v>
      </c>
      <c r="I5168" s="6" t="s">
        <v>8397</v>
      </c>
      <c r="J5168" s="6" t="s">
        <v>91</v>
      </c>
      <c r="K5168" s="12" t="str">
        <f t="shared" si="1386"/>
        <v>View Creative</v>
      </c>
      <c r="L5168" s="6" t="s">
        <v>62</v>
      </c>
      <c r="M5168" s="6" t="s">
        <v>1421</v>
      </c>
      <c r="N5168" s="6"/>
      <c r="O5168" s="36" t="s">
        <v>7541</v>
      </c>
      <c r="P5168" s="36" t="s">
        <v>7542</v>
      </c>
      <c r="Q5168" s="38"/>
    </row>
    <row r="5169">
      <c r="A5169" s="6" t="s">
        <v>1421</v>
      </c>
      <c r="B5169" s="6" t="s">
        <v>8395</v>
      </c>
      <c r="C5169" s="6">
        <v>151.0</v>
      </c>
      <c r="D5169" s="9" t="str">
        <f>HYPERLINK("https://www.linkedin.com/ad-library/detail/1458228594","Open Ad")</f>
        <v>Open Ad</v>
      </c>
      <c r="E5169" s="6" t="s">
        <v>52</v>
      </c>
      <c r="F5169" s="6" t="s">
        <v>8022</v>
      </c>
      <c r="G5169" s="6" t="s">
        <v>8470</v>
      </c>
      <c r="H5169" s="6" t="s">
        <v>55</v>
      </c>
      <c r="I5169" s="6" t="s">
        <v>8397</v>
      </c>
      <c r="J5169" s="6" t="s">
        <v>52</v>
      </c>
      <c r="K5169" s="6" t="s">
        <v>60</v>
      </c>
      <c r="L5169" s="6" t="s">
        <v>62</v>
      </c>
      <c r="M5169" s="6" t="s">
        <v>1421</v>
      </c>
      <c r="N5169" s="6"/>
      <c r="O5169" s="36" t="s">
        <v>7541</v>
      </c>
      <c r="P5169" s="36" t="s">
        <v>7542</v>
      </c>
      <c r="Q5169" s="38"/>
    </row>
    <row r="5170">
      <c r="A5170" s="6" t="s">
        <v>1421</v>
      </c>
      <c r="B5170" s="6" t="s">
        <v>8395</v>
      </c>
      <c r="C5170" s="6">
        <v>152.0</v>
      </c>
      <c r="D5170" s="9" t="str">
        <f>HYPERLINK("https://www.linkedin.com/ad-library/detail/1458207244","Open Ad")</f>
        <v>Open Ad</v>
      </c>
      <c r="E5170" s="6" t="s">
        <v>52</v>
      </c>
      <c r="F5170" s="6" t="s">
        <v>8022</v>
      </c>
      <c r="G5170" s="6" t="s">
        <v>8471</v>
      </c>
      <c r="H5170" s="6" t="s">
        <v>55</v>
      </c>
      <c r="I5170" s="6" t="s">
        <v>8397</v>
      </c>
      <c r="J5170" s="6" t="s">
        <v>52</v>
      </c>
      <c r="K5170" s="6" t="s">
        <v>60</v>
      </c>
      <c r="L5170" s="6" t="s">
        <v>62</v>
      </c>
      <c r="M5170" s="6" t="s">
        <v>1421</v>
      </c>
      <c r="N5170" s="6"/>
      <c r="O5170" s="36" t="s">
        <v>7541</v>
      </c>
      <c r="P5170" s="36" t="s">
        <v>7542</v>
      </c>
      <c r="Q5170" s="38"/>
    </row>
    <row r="5171">
      <c r="A5171" s="6" t="s">
        <v>1421</v>
      </c>
      <c r="B5171" s="6" t="s">
        <v>8395</v>
      </c>
      <c r="C5171" s="6">
        <v>153.0</v>
      </c>
      <c r="D5171" s="9" t="str">
        <f t="shared" ref="D5171:D5172" si="1387">HYPERLINK("https://www.linkedin.com/ad-library/detail/1458229024","Open Ad")</f>
        <v>Open Ad</v>
      </c>
      <c r="E5171" s="6" t="s">
        <v>91</v>
      </c>
      <c r="F5171" s="6" t="s">
        <v>8022</v>
      </c>
      <c r="G5171" s="6" t="s">
        <v>8469</v>
      </c>
      <c r="H5171" s="6" t="s">
        <v>55</v>
      </c>
      <c r="I5171" s="6" t="s">
        <v>8397</v>
      </c>
      <c r="J5171" s="6" t="s">
        <v>91</v>
      </c>
      <c r="K5171" s="12" t="str">
        <f t="shared" ref="K5171:K5172" si="1388">HYPERLINK("https://media.licdn.com/dms/image/v2/D4E10AQE4VOicg9clhg/image-shrink_1280/B4EZ7XasfXKcAc-/0/1781730562556/ScrunchGIFAd1-ClaudeOfferInImage1gif?e=2147483647&amp;v=beta&amp;t=AWzKD0l-oQxphN15WW2fGfiS9EmiDjoFbahDgwWfauk","View Creative")</f>
        <v>View Creative</v>
      </c>
      <c r="L5171" s="6" t="s">
        <v>62</v>
      </c>
      <c r="M5171" s="6" t="s">
        <v>1421</v>
      </c>
      <c r="N5171" s="6"/>
      <c r="O5171" s="36" t="s">
        <v>7541</v>
      </c>
      <c r="P5171" s="36" t="s">
        <v>7542</v>
      </c>
      <c r="Q5171" s="38"/>
    </row>
    <row r="5172">
      <c r="A5172" s="6" t="s">
        <v>1421</v>
      </c>
      <c r="B5172" s="6" t="s">
        <v>8395</v>
      </c>
      <c r="C5172" s="6">
        <v>154.0</v>
      </c>
      <c r="D5172" s="9" t="str">
        <f t="shared" si="1387"/>
        <v>Open Ad</v>
      </c>
      <c r="E5172" s="6" t="s">
        <v>91</v>
      </c>
      <c r="F5172" s="6" t="s">
        <v>8022</v>
      </c>
      <c r="G5172" s="6" t="s">
        <v>8469</v>
      </c>
      <c r="H5172" s="6" t="s">
        <v>55</v>
      </c>
      <c r="I5172" s="6" t="s">
        <v>8397</v>
      </c>
      <c r="J5172" s="6" t="s">
        <v>91</v>
      </c>
      <c r="K5172" s="12" t="str">
        <f t="shared" si="1388"/>
        <v>View Creative</v>
      </c>
      <c r="L5172" s="6" t="s">
        <v>62</v>
      </c>
      <c r="M5172" s="6" t="s">
        <v>1421</v>
      </c>
      <c r="N5172" s="6"/>
      <c r="O5172" s="36" t="s">
        <v>7541</v>
      </c>
      <c r="P5172" s="36" t="s">
        <v>7542</v>
      </c>
      <c r="Q5172" s="38"/>
    </row>
    <row r="5173">
      <c r="A5173" s="6" t="s">
        <v>1421</v>
      </c>
      <c r="B5173" s="6" t="s">
        <v>8395</v>
      </c>
      <c r="C5173" s="6">
        <v>155.0</v>
      </c>
      <c r="D5173" s="9" t="str">
        <f t="shared" ref="D5173:D5174" si="1389">HYPERLINK("https://www.linkedin.com/ad-library/detail/1458199604","Open Ad")</f>
        <v>Open Ad</v>
      </c>
      <c r="E5173" s="6" t="s">
        <v>91</v>
      </c>
      <c r="F5173" s="6" t="s">
        <v>8022</v>
      </c>
      <c r="G5173" s="6" t="s">
        <v>8469</v>
      </c>
      <c r="H5173" s="6" t="s">
        <v>55</v>
      </c>
      <c r="I5173" s="6" t="s">
        <v>8397</v>
      </c>
      <c r="J5173" s="6" t="s">
        <v>91</v>
      </c>
      <c r="K5173" s="12" t="str">
        <f t="shared" ref="K5173:K5176" si="1390">HYPERLINK("https://media.licdn.com/dms/image/v2/D4E10AQEkjtqk6sFvYg/image-shrink_1280/B4EZ7Xb1THIkAc-/0/1781730860826/ScrunchGIFAd2-ClaudeOfferinImagegif?e=2147483647&amp;v=beta&amp;t=MU0qmKhDvMaQ5EG9F-5vE72aGllYxfAf-rQoPRL_YMs","View Creative")</f>
        <v>View Creative</v>
      </c>
      <c r="L5173" s="6" t="s">
        <v>62</v>
      </c>
      <c r="M5173" s="6" t="s">
        <v>1421</v>
      </c>
      <c r="N5173" s="6"/>
      <c r="O5173" s="36" t="s">
        <v>7541</v>
      </c>
      <c r="P5173" s="36" t="s">
        <v>7542</v>
      </c>
      <c r="Q5173" s="38"/>
    </row>
    <row r="5174">
      <c r="A5174" s="6" t="s">
        <v>1421</v>
      </c>
      <c r="B5174" s="6" t="s">
        <v>8395</v>
      </c>
      <c r="C5174" s="6">
        <v>156.0</v>
      </c>
      <c r="D5174" s="9" t="str">
        <f t="shared" si="1389"/>
        <v>Open Ad</v>
      </c>
      <c r="E5174" s="6" t="s">
        <v>91</v>
      </c>
      <c r="F5174" s="6" t="s">
        <v>8022</v>
      </c>
      <c r="G5174" s="6" t="s">
        <v>8469</v>
      </c>
      <c r="H5174" s="6" t="s">
        <v>55</v>
      </c>
      <c r="I5174" s="6" t="s">
        <v>8397</v>
      </c>
      <c r="J5174" s="6" t="s">
        <v>91</v>
      </c>
      <c r="K5174" s="12" t="str">
        <f t="shared" si="1390"/>
        <v>View Creative</v>
      </c>
      <c r="L5174" s="6" t="s">
        <v>62</v>
      </c>
      <c r="M5174" s="6" t="s">
        <v>1421</v>
      </c>
      <c r="N5174" s="6"/>
      <c r="O5174" s="36" t="s">
        <v>7541</v>
      </c>
      <c r="P5174" s="36" t="s">
        <v>7542</v>
      </c>
      <c r="Q5174" s="38"/>
    </row>
    <row r="5175">
      <c r="A5175" s="6" t="s">
        <v>1421</v>
      </c>
      <c r="B5175" s="6" t="s">
        <v>8395</v>
      </c>
      <c r="C5175" s="6">
        <v>157.0</v>
      </c>
      <c r="D5175" s="9" t="str">
        <f t="shared" ref="D5175:D5176" si="1391">HYPERLINK("https://www.linkedin.com/ad-library/detail/1458318934","Open Ad")</f>
        <v>Open Ad</v>
      </c>
      <c r="E5175" s="6" t="s">
        <v>91</v>
      </c>
      <c r="F5175" s="6" t="s">
        <v>8022</v>
      </c>
      <c r="G5175" s="6" t="s">
        <v>8469</v>
      </c>
      <c r="H5175" s="6" t="s">
        <v>55</v>
      </c>
      <c r="I5175" s="6" t="s">
        <v>8397</v>
      </c>
      <c r="J5175" s="6" t="s">
        <v>91</v>
      </c>
      <c r="K5175" s="12" t="str">
        <f t="shared" si="1390"/>
        <v>View Creative</v>
      </c>
      <c r="L5175" s="6" t="s">
        <v>62</v>
      </c>
      <c r="M5175" s="6" t="s">
        <v>1421</v>
      </c>
      <c r="N5175" s="6"/>
      <c r="O5175" s="36" t="s">
        <v>7541</v>
      </c>
      <c r="P5175" s="36" t="s">
        <v>7542</v>
      </c>
      <c r="Q5175" s="38"/>
    </row>
    <row r="5176">
      <c r="A5176" s="6" t="s">
        <v>1421</v>
      </c>
      <c r="B5176" s="6" t="s">
        <v>8395</v>
      </c>
      <c r="C5176" s="6">
        <v>158.0</v>
      </c>
      <c r="D5176" s="9" t="str">
        <f t="shared" si="1391"/>
        <v>Open Ad</v>
      </c>
      <c r="E5176" s="6" t="s">
        <v>91</v>
      </c>
      <c r="F5176" s="6" t="s">
        <v>8022</v>
      </c>
      <c r="G5176" s="6" t="s">
        <v>8469</v>
      </c>
      <c r="H5176" s="6" t="s">
        <v>55</v>
      </c>
      <c r="I5176" s="6" t="s">
        <v>8397</v>
      </c>
      <c r="J5176" s="6" t="s">
        <v>91</v>
      </c>
      <c r="K5176" s="12" t="str">
        <f t="shared" si="1390"/>
        <v>View Creative</v>
      </c>
      <c r="L5176" s="6" t="s">
        <v>62</v>
      </c>
      <c r="M5176" s="6" t="s">
        <v>1421</v>
      </c>
      <c r="N5176" s="6"/>
      <c r="O5176" s="36" t="s">
        <v>7541</v>
      </c>
      <c r="P5176" s="36" t="s">
        <v>7542</v>
      </c>
      <c r="Q5176" s="38"/>
    </row>
    <row r="5177">
      <c r="A5177" s="6" t="s">
        <v>1421</v>
      </c>
      <c r="B5177" s="6" t="s">
        <v>8395</v>
      </c>
      <c r="C5177" s="6">
        <v>159.0</v>
      </c>
      <c r="D5177" s="9" t="str">
        <f t="shared" ref="D5177:D5178" si="1392">HYPERLINK("https://www.linkedin.com/ad-library/detail/1458148764","Open Ad")</f>
        <v>Open Ad</v>
      </c>
      <c r="E5177" s="6" t="s">
        <v>91</v>
      </c>
      <c r="F5177" s="6" t="s">
        <v>8022</v>
      </c>
      <c r="G5177" s="6" t="s">
        <v>8472</v>
      </c>
      <c r="H5177" s="6" t="s">
        <v>55</v>
      </c>
      <c r="I5177" s="6" t="s">
        <v>8397</v>
      </c>
      <c r="J5177" s="6" t="s">
        <v>91</v>
      </c>
      <c r="K5177" s="12" t="str">
        <f t="shared" ref="K5177:K5178" si="1393">HYPERLINK("https://media.licdn.com/dms/image/v2/D4E10AQHTXeChR88vWQ/image-shrink_1280/B4EZ7XcRu2IAAc-/0/1781730976416/ScrunchGifAd1-DoorDashOffergif?e=2147483647&amp;v=beta&amp;t=nIdsPL2q_gclC40q1tgLhG-77v3K8R6QizzsUioFqfA","View Creative")</f>
        <v>View Creative</v>
      </c>
      <c r="L5177" s="6" t="s">
        <v>62</v>
      </c>
      <c r="M5177" s="6" t="s">
        <v>1421</v>
      </c>
      <c r="N5177" s="6"/>
      <c r="O5177" s="36" t="s">
        <v>7541</v>
      </c>
      <c r="P5177" s="36" t="s">
        <v>7542</v>
      </c>
      <c r="Q5177" s="38"/>
    </row>
    <row r="5178">
      <c r="A5178" s="6" t="s">
        <v>1421</v>
      </c>
      <c r="B5178" s="6" t="s">
        <v>8395</v>
      </c>
      <c r="C5178" s="6">
        <v>160.0</v>
      </c>
      <c r="D5178" s="9" t="str">
        <f t="shared" si="1392"/>
        <v>Open Ad</v>
      </c>
      <c r="E5178" s="6" t="s">
        <v>91</v>
      </c>
      <c r="F5178" s="6" t="s">
        <v>8022</v>
      </c>
      <c r="G5178" s="6" t="s">
        <v>8472</v>
      </c>
      <c r="H5178" s="6" t="s">
        <v>55</v>
      </c>
      <c r="I5178" s="6" t="s">
        <v>8397</v>
      </c>
      <c r="J5178" s="6" t="s">
        <v>91</v>
      </c>
      <c r="K5178" s="12" t="str">
        <f t="shared" si="1393"/>
        <v>View Creative</v>
      </c>
      <c r="L5178" s="6" t="s">
        <v>62</v>
      </c>
      <c r="M5178" s="6" t="s">
        <v>1421</v>
      </c>
      <c r="N5178" s="6"/>
      <c r="O5178" s="36" t="s">
        <v>7541</v>
      </c>
      <c r="P5178" s="36" t="s">
        <v>7542</v>
      </c>
      <c r="Q5178" s="38"/>
    </row>
    <row r="5179">
      <c r="A5179" s="6" t="s">
        <v>1421</v>
      </c>
      <c r="B5179" s="6" t="s">
        <v>8395</v>
      </c>
      <c r="C5179" s="6">
        <v>161.0</v>
      </c>
      <c r="D5179" s="9" t="str">
        <f>HYPERLINK("https://www.linkedin.com/ad-library/detail/1458148334","Open Ad")</f>
        <v>Open Ad</v>
      </c>
      <c r="E5179" s="6" t="s">
        <v>52</v>
      </c>
      <c r="F5179" s="6" t="s">
        <v>8022</v>
      </c>
      <c r="G5179" s="6" t="s">
        <v>8473</v>
      </c>
      <c r="H5179" s="6" t="s">
        <v>55</v>
      </c>
      <c r="I5179" s="6" t="s">
        <v>8397</v>
      </c>
      <c r="J5179" s="6" t="s">
        <v>52</v>
      </c>
      <c r="K5179" s="6" t="s">
        <v>60</v>
      </c>
      <c r="L5179" s="6" t="s">
        <v>62</v>
      </c>
      <c r="M5179" s="6" t="s">
        <v>1421</v>
      </c>
      <c r="N5179" s="6"/>
      <c r="O5179" s="36" t="s">
        <v>7541</v>
      </c>
      <c r="P5179" s="36" t="s">
        <v>7542</v>
      </c>
      <c r="Q5179" s="38"/>
    </row>
    <row r="5180">
      <c r="A5180" s="6" t="s">
        <v>1421</v>
      </c>
      <c r="B5180" s="6" t="s">
        <v>8395</v>
      </c>
      <c r="C5180" s="6">
        <v>162.0</v>
      </c>
      <c r="D5180" s="9" t="str">
        <f t="shared" ref="D5180:D5181" si="1394">HYPERLINK("https://www.linkedin.com/ad-library/detail/1461492124","Open Ad")</f>
        <v>Open Ad</v>
      </c>
      <c r="E5180" s="6" t="s">
        <v>91</v>
      </c>
      <c r="F5180" s="6" t="s">
        <v>8022</v>
      </c>
      <c r="G5180" s="6" t="s">
        <v>8474</v>
      </c>
      <c r="H5180" s="6" t="s">
        <v>55</v>
      </c>
      <c r="I5180" s="6" t="s">
        <v>8397</v>
      </c>
      <c r="J5180" s="6" t="s">
        <v>91</v>
      </c>
      <c r="K5180" s="12" t="str">
        <f t="shared" ref="K5180:K5181" si="1395">HYPERLINK("https://media.licdn.com/dms/image/sync/v2/D4D27AQHgfxclDTNEog/articleshare-shrink_1280_800/B4DZ6SvK7OK4Ag-/0/1780578300352?e=2147483647&amp;v=beta&amp;t=0VM_rgyn7S4wY1ZB5eoa-MZatEldjXhypjtil3-T0ZI","View Creative")</f>
        <v>View Creative</v>
      </c>
      <c r="L5180" s="6" t="s">
        <v>62</v>
      </c>
      <c r="M5180" s="6" t="s">
        <v>1421</v>
      </c>
      <c r="N5180" s="6"/>
      <c r="O5180" s="36" t="s">
        <v>7541</v>
      </c>
      <c r="P5180" s="36" t="s">
        <v>7542</v>
      </c>
      <c r="Q5180" s="38"/>
    </row>
    <row r="5181">
      <c r="A5181" s="6" t="s">
        <v>1421</v>
      </c>
      <c r="B5181" s="6" t="s">
        <v>8395</v>
      </c>
      <c r="C5181" s="6">
        <v>163.0</v>
      </c>
      <c r="D5181" s="9" t="str">
        <f t="shared" si="1394"/>
        <v>Open Ad</v>
      </c>
      <c r="E5181" s="6" t="s">
        <v>91</v>
      </c>
      <c r="F5181" s="6" t="s">
        <v>8022</v>
      </c>
      <c r="G5181" s="6" t="s">
        <v>8474</v>
      </c>
      <c r="H5181" s="6" t="s">
        <v>55</v>
      </c>
      <c r="I5181" s="6" t="s">
        <v>8397</v>
      </c>
      <c r="J5181" s="6" t="s">
        <v>91</v>
      </c>
      <c r="K5181" s="12" t="str">
        <f t="shared" si="1395"/>
        <v>View Creative</v>
      </c>
      <c r="L5181" s="6" t="s">
        <v>62</v>
      </c>
      <c r="M5181" s="6" t="s">
        <v>1421</v>
      </c>
      <c r="N5181" s="6"/>
      <c r="O5181" s="36" t="s">
        <v>7541</v>
      </c>
      <c r="P5181" s="36" t="s">
        <v>7542</v>
      </c>
      <c r="Q5181" s="38"/>
    </row>
    <row r="5182">
      <c r="A5182" s="6" t="s">
        <v>1421</v>
      </c>
      <c r="B5182" s="6" t="s">
        <v>8395</v>
      </c>
      <c r="C5182" s="6">
        <v>164.0</v>
      </c>
      <c r="D5182" s="9" t="str">
        <f>HYPERLINK("https://www.linkedin.com/ad-library/detail/1458158944","Open Ad")</f>
        <v>Open Ad</v>
      </c>
      <c r="E5182" s="6" t="s">
        <v>52</v>
      </c>
      <c r="F5182" s="6" t="s">
        <v>8022</v>
      </c>
      <c r="G5182" s="6" t="s">
        <v>8473</v>
      </c>
      <c r="H5182" s="6" t="s">
        <v>55</v>
      </c>
      <c r="I5182" s="6" t="s">
        <v>8397</v>
      </c>
      <c r="J5182" s="6" t="s">
        <v>52</v>
      </c>
      <c r="K5182" s="6" t="s">
        <v>60</v>
      </c>
      <c r="L5182" s="6" t="s">
        <v>62</v>
      </c>
      <c r="M5182" s="6" t="s">
        <v>1421</v>
      </c>
      <c r="N5182" s="6"/>
      <c r="O5182" s="36" t="s">
        <v>7541</v>
      </c>
      <c r="P5182" s="36" t="s">
        <v>7542</v>
      </c>
      <c r="Q5182" s="38"/>
    </row>
    <row r="5183">
      <c r="A5183" s="6" t="s">
        <v>1421</v>
      </c>
      <c r="B5183" s="6" t="s">
        <v>8395</v>
      </c>
      <c r="C5183" s="6">
        <v>165.0</v>
      </c>
      <c r="D5183" s="9" t="str">
        <f>HYPERLINK("https://www.linkedin.com/ad-library/detail/1461047654","Open Ad")</f>
        <v>Open Ad</v>
      </c>
      <c r="E5183" s="6" t="s">
        <v>52</v>
      </c>
      <c r="F5183" s="6" t="s">
        <v>8022</v>
      </c>
      <c r="G5183" s="6" t="s">
        <v>8399</v>
      </c>
      <c r="H5183" s="6" t="s">
        <v>55</v>
      </c>
      <c r="I5183" s="6" t="s">
        <v>8397</v>
      </c>
      <c r="J5183" s="6" t="s">
        <v>52</v>
      </c>
      <c r="K5183" s="6" t="s">
        <v>60</v>
      </c>
      <c r="L5183" s="6" t="s">
        <v>62</v>
      </c>
      <c r="M5183" s="6" t="s">
        <v>1421</v>
      </c>
      <c r="N5183" s="6"/>
      <c r="O5183" s="36" t="s">
        <v>7541</v>
      </c>
      <c r="P5183" s="36" t="s">
        <v>7542</v>
      </c>
      <c r="Q5183" s="38"/>
    </row>
    <row r="5184">
      <c r="A5184" s="6" t="s">
        <v>1421</v>
      </c>
      <c r="B5184" s="6" t="s">
        <v>8395</v>
      </c>
      <c r="C5184" s="6">
        <v>166.0</v>
      </c>
      <c r="D5184" s="9" t="str">
        <f>HYPERLINK("https://www.linkedin.com/ad-library/detail/1460977764","Open Ad")</f>
        <v>Open Ad</v>
      </c>
      <c r="E5184" s="6" t="s">
        <v>52</v>
      </c>
      <c r="F5184" s="6" t="s">
        <v>8022</v>
      </c>
      <c r="G5184" s="6" t="s">
        <v>8411</v>
      </c>
      <c r="H5184" s="6" t="s">
        <v>55</v>
      </c>
      <c r="I5184" s="6" t="s">
        <v>8397</v>
      </c>
      <c r="J5184" s="6" t="s">
        <v>52</v>
      </c>
      <c r="K5184" s="6" t="s">
        <v>60</v>
      </c>
      <c r="L5184" s="6" t="s">
        <v>62</v>
      </c>
      <c r="M5184" s="6" t="s">
        <v>1421</v>
      </c>
      <c r="N5184" s="6"/>
      <c r="O5184" s="36" t="s">
        <v>7541</v>
      </c>
      <c r="P5184" s="36" t="s">
        <v>7542</v>
      </c>
      <c r="Q5184" s="38"/>
    </row>
    <row r="5185">
      <c r="A5185" s="6" t="s">
        <v>1421</v>
      </c>
      <c r="B5185" s="6" t="s">
        <v>8395</v>
      </c>
      <c r="C5185" s="6">
        <v>167.0</v>
      </c>
      <c r="D5185" s="9" t="str">
        <f t="shared" ref="D5185:D5186" si="1396">HYPERLINK("https://www.linkedin.com/ad-library/detail/1458229004","Open Ad")</f>
        <v>Open Ad</v>
      </c>
      <c r="E5185" s="6" t="s">
        <v>91</v>
      </c>
      <c r="F5185" s="6" t="s">
        <v>8022</v>
      </c>
      <c r="G5185" s="6" t="s">
        <v>8469</v>
      </c>
      <c r="H5185" s="6" t="s">
        <v>55</v>
      </c>
      <c r="I5185" s="6" t="s">
        <v>8397</v>
      </c>
      <c r="J5185" s="6" t="s">
        <v>91</v>
      </c>
      <c r="K5185" s="12" t="str">
        <f t="shared" ref="K5185:K5186" si="1397">HYPERLINK("https://media.licdn.com/dms/image/v2/D4E10AQGWg3US0VhLEQ/image-shrink_1280/B4EZ7XbV0AKIAc-/0/1781730729869/ScrunchGIFAd2-ClaudeTokengif?e=2147483647&amp;v=beta&amp;t=3FdrPJfCvZHXCDcrWbgbOjZuCg0yxmsjrvzCnduoAdU","View Creative")</f>
        <v>View Creative</v>
      </c>
      <c r="L5185" s="6" t="s">
        <v>62</v>
      </c>
      <c r="M5185" s="6" t="s">
        <v>1421</v>
      </c>
      <c r="N5185" s="6"/>
      <c r="O5185" s="36" t="s">
        <v>7541</v>
      </c>
      <c r="P5185" s="36" t="s">
        <v>7542</v>
      </c>
      <c r="Q5185" s="38"/>
    </row>
    <row r="5186">
      <c r="A5186" s="6" t="s">
        <v>1421</v>
      </c>
      <c r="B5186" s="6" t="s">
        <v>8395</v>
      </c>
      <c r="C5186" s="6">
        <v>168.0</v>
      </c>
      <c r="D5186" s="9" t="str">
        <f t="shared" si="1396"/>
        <v>Open Ad</v>
      </c>
      <c r="E5186" s="6" t="s">
        <v>91</v>
      </c>
      <c r="F5186" s="6" t="s">
        <v>8022</v>
      </c>
      <c r="G5186" s="6" t="s">
        <v>8469</v>
      </c>
      <c r="H5186" s="6" t="s">
        <v>55</v>
      </c>
      <c r="I5186" s="6" t="s">
        <v>8397</v>
      </c>
      <c r="J5186" s="6" t="s">
        <v>91</v>
      </c>
      <c r="K5186" s="12" t="str">
        <f t="shared" si="1397"/>
        <v>View Creative</v>
      </c>
      <c r="L5186" s="6" t="s">
        <v>62</v>
      </c>
      <c r="M5186" s="6" t="s">
        <v>1421</v>
      </c>
      <c r="N5186" s="6"/>
      <c r="O5186" s="36" t="s">
        <v>7541</v>
      </c>
      <c r="P5186" s="36" t="s">
        <v>7542</v>
      </c>
      <c r="Q5186" s="38"/>
    </row>
    <row r="5187">
      <c r="A5187" s="6" t="s">
        <v>1421</v>
      </c>
      <c r="B5187" s="6" t="s">
        <v>8395</v>
      </c>
      <c r="C5187" s="6">
        <v>169.0</v>
      </c>
      <c r="D5187" s="9" t="str">
        <f>HYPERLINK("https://www.linkedin.com/ad-library/detail/1458249524","Open Ad")</f>
        <v>Open Ad</v>
      </c>
      <c r="E5187" s="6" t="s">
        <v>52</v>
      </c>
      <c r="F5187" s="6" t="s">
        <v>8022</v>
      </c>
      <c r="G5187" s="6" t="s">
        <v>8475</v>
      </c>
      <c r="H5187" s="6" t="s">
        <v>55</v>
      </c>
      <c r="I5187" s="6" t="s">
        <v>8397</v>
      </c>
      <c r="J5187" s="6" t="s">
        <v>52</v>
      </c>
      <c r="K5187" s="6" t="s">
        <v>60</v>
      </c>
      <c r="L5187" s="6" t="s">
        <v>62</v>
      </c>
      <c r="M5187" s="6" t="s">
        <v>1421</v>
      </c>
      <c r="N5187" s="6"/>
      <c r="O5187" s="36" t="s">
        <v>7541</v>
      </c>
      <c r="P5187" s="36" t="s">
        <v>7542</v>
      </c>
      <c r="Q5187" s="38"/>
    </row>
    <row r="5188">
      <c r="A5188" s="6" t="s">
        <v>1421</v>
      </c>
      <c r="B5188" s="6" t="s">
        <v>8395</v>
      </c>
      <c r="C5188" s="6">
        <v>170.0</v>
      </c>
      <c r="D5188" s="9" t="str">
        <f t="shared" ref="D5188:D5189" si="1398">HYPERLINK("https://www.linkedin.com/ad-library/detail/1458359224","Open Ad")</f>
        <v>Open Ad</v>
      </c>
      <c r="E5188" s="6" t="s">
        <v>91</v>
      </c>
      <c r="F5188" s="6" t="s">
        <v>8022</v>
      </c>
      <c r="G5188" s="6" t="s">
        <v>8469</v>
      </c>
      <c r="H5188" s="6" t="s">
        <v>55</v>
      </c>
      <c r="I5188" s="6" t="s">
        <v>8397</v>
      </c>
      <c r="J5188" s="6" t="s">
        <v>91</v>
      </c>
      <c r="K5188" s="12" t="str">
        <f t="shared" ref="K5188:K5189" si="1399">HYPERLINK("https://media.licdn.com/dms/image/v2/D4E10AQGWg3US0VhLEQ/image-shrink_1280/B4EZ7XbV0AKIAc-/0/1781730729869/ScrunchGIFAd2-ClaudeTokengif?e=2147483647&amp;v=beta&amp;t=3FdrPJfCvZHXCDcrWbgbOjZuCg0yxmsjrvzCnduoAdU","View Creative")</f>
        <v>View Creative</v>
      </c>
      <c r="L5188" s="6" t="s">
        <v>62</v>
      </c>
      <c r="M5188" s="6" t="s">
        <v>1421</v>
      </c>
      <c r="N5188" s="6"/>
      <c r="O5188" s="36" t="s">
        <v>7541</v>
      </c>
      <c r="P5188" s="36" t="s">
        <v>7542</v>
      </c>
      <c r="Q5188" s="38"/>
    </row>
    <row r="5189">
      <c r="A5189" s="6" t="s">
        <v>1421</v>
      </c>
      <c r="B5189" s="6" t="s">
        <v>8395</v>
      </c>
      <c r="C5189" s="6">
        <v>171.0</v>
      </c>
      <c r="D5189" s="9" t="str">
        <f t="shared" si="1398"/>
        <v>Open Ad</v>
      </c>
      <c r="E5189" s="6" t="s">
        <v>91</v>
      </c>
      <c r="F5189" s="6" t="s">
        <v>8022</v>
      </c>
      <c r="G5189" s="6" t="s">
        <v>8469</v>
      </c>
      <c r="H5189" s="6" t="s">
        <v>55</v>
      </c>
      <c r="I5189" s="6" t="s">
        <v>8397</v>
      </c>
      <c r="J5189" s="6" t="s">
        <v>91</v>
      </c>
      <c r="K5189" s="12" t="str">
        <f t="shared" si="1399"/>
        <v>View Creative</v>
      </c>
      <c r="L5189" s="6" t="s">
        <v>62</v>
      </c>
      <c r="M5189" s="6" t="s">
        <v>1421</v>
      </c>
      <c r="N5189" s="6"/>
      <c r="O5189" s="36" t="s">
        <v>7541</v>
      </c>
      <c r="P5189" s="36" t="s">
        <v>7542</v>
      </c>
      <c r="Q5189" s="38"/>
    </row>
    <row r="5190">
      <c r="A5190" s="6" t="s">
        <v>1421</v>
      </c>
      <c r="B5190" s="6" t="s">
        <v>8395</v>
      </c>
      <c r="C5190" s="6">
        <v>172.0</v>
      </c>
      <c r="D5190" s="9" t="str">
        <f>HYPERLINK("https://www.linkedin.com/ad-library/detail/1458148184","Open Ad")</f>
        <v>Open Ad</v>
      </c>
      <c r="E5190" s="6" t="s">
        <v>52</v>
      </c>
      <c r="F5190" s="6" t="s">
        <v>8022</v>
      </c>
      <c r="G5190" s="6" t="s">
        <v>8476</v>
      </c>
      <c r="H5190" s="6" t="s">
        <v>55</v>
      </c>
      <c r="I5190" s="6" t="s">
        <v>8397</v>
      </c>
      <c r="J5190" s="6" t="s">
        <v>52</v>
      </c>
      <c r="K5190" s="6" t="s">
        <v>60</v>
      </c>
      <c r="L5190" s="6" t="s">
        <v>62</v>
      </c>
      <c r="M5190" s="6" t="s">
        <v>1421</v>
      </c>
      <c r="N5190" s="6"/>
      <c r="O5190" s="36" t="s">
        <v>7541</v>
      </c>
      <c r="P5190" s="36" t="s">
        <v>7542</v>
      </c>
      <c r="Q5190" s="38"/>
    </row>
    <row r="5191">
      <c r="A5191" s="6" t="s">
        <v>1421</v>
      </c>
      <c r="B5191" s="6" t="s">
        <v>8395</v>
      </c>
      <c r="C5191" s="6">
        <v>173.0</v>
      </c>
      <c r="D5191" s="9" t="str">
        <f t="shared" ref="D5191:D5192" si="1400">HYPERLINK("https://www.linkedin.com/ad-library/detail/1458359214","Open Ad")</f>
        <v>Open Ad</v>
      </c>
      <c r="E5191" s="6" t="s">
        <v>91</v>
      </c>
      <c r="F5191" s="6" t="s">
        <v>8022</v>
      </c>
      <c r="G5191" s="6" t="s">
        <v>8469</v>
      </c>
      <c r="H5191" s="6" t="s">
        <v>55</v>
      </c>
      <c r="I5191" s="6" t="s">
        <v>8397</v>
      </c>
      <c r="J5191" s="6" t="s">
        <v>91</v>
      </c>
      <c r="K5191" s="12" t="str">
        <f t="shared" ref="K5191:K5192" si="1401">HYPERLINK("https://media.licdn.com/dms/image/v2/D4E10AQEZ9ItEflEGeA/image-shrink_1280/B4EZ7XZ9M4JMAg-/0/1781730367113/ScrunchGifAd1-ClaudeTokengif?e=2147483647&amp;v=beta&amp;t=zY0y08Jr9oOrH_hcRv0fbM3WycllUJkIt-H5LIw2Pws","View Creative")</f>
        <v>View Creative</v>
      </c>
      <c r="L5191" s="6" t="s">
        <v>62</v>
      </c>
      <c r="M5191" s="6" t="s">
        <v>1421</v>
      </c>
      <c r="N5191" s="6"/>
      <c r="O5191" s="36" t="s">
        <v>7541</v>
      </c>
      <c r="P5191" s="36" t="s">
        <v>7542</v>
      </c>
      <c r="Q5191" s="38"/>
    </row>
    <row r="5192">
      <c r="A5192" s="6" t="s">
        <v>1421</v>
      </c>
      <c r="B5192" s="6" t="s">
        <v>8395</v>
      </c>
      <c r="C5192" s="6">
        <v>174.0</v>
      </c>
      <c r="D5192" s="9" t="str">
        <f t="shared" si="1400"/>
        <v>Open Ad</v>
      </c>
      <c r="E5192" s="6" t="s">
        <v>91</v>
      </c>
      <c r="F5192" s="6" t="s">
        <v>8022</v>
      </c>
      <c r="G5192" s="6" t="s">
        <v>8469</v>
      </c>
      <c r="H5192" s="6" t="s">
        <v>55</v>
      </c>
      <c r="I5192" s="6" t="s">
        <v>8397</v>
      </c>
      <c r="J5192" s="6" t="s">
        <v>91</v>
      </c>
      <c r="K5192" s="12" t="str">
        <f t="shared" si="1401"/>
        <v>View Creative</v>
      </c>
      <c r="L5192" s="6" t="s">
        <v>62</v>
      </c>
      <c r="M5192" s="6" t="s">
        <v>1421</v>
      </c>
      <c r="N5192" s="6"/>
      <c r="O5192" s="36" t="s">
        <v>7541</v>
      </c>
      <c r="P5192" s="36" t="s">
        <v>7542</v>
      </c>
      <c r="Q5192" s="38"/>
    </row>
    <row r="5193">
      <c r="A5193" s="6" t="s">
        <v>1421</v>
      </c>
      <c r="B5193" s="6" t="s">
        <v>8395</v>
      </c>
      <c r="C5193" s="6">
        <v>175.0</v>
      </c>
      <c r="D5193" s="9" t="str">
        <f>HYPERLINK("https://www.linkedin.com/ad-library/detail/1458298734","Open Ad")</f>
        <v>Open Ad</v>
      </c>
      <c r="E5193" s="6" t="s">
        <v>52</v>
      </c>
      <c r="F5193" s="6" t="s">
        <v>8022</v>
      </c>
      <c r="G5193" s="6" t="s">
        <v>8477</v>
      </c>
      <c r="H5193" s="6" t="s">
        <v>55</v>
      </c>
      <c r="I5193" s="6" t="s">
        <v>8397</v>
      </c>
      <c r="J5193" s="6" t="s">
        <v>52</v>
      </c>
      <c r="K5193" s="6" t="s">
        <v>60</v>
      </c>
      <c r="L5193" s="6" t="s">
        <v>62</v>
      </c>
      <c r="M5193" s="6" t="s">
        <v>1421</v>
      </c>
      <c r="N5193" s="6"/>
      <c r="O5193" s="36" t="s">
        <v>7541</v>
      </c>
      <c r="P5193" s="36" t="s">
        <v>7542</v>
      </c>
      <c r="Q5193" s="38"/>
    </row>
    <row r="5194">
      <c r="A5194" s="6" t="s">
        <v>1421</v>
      </c>
      <c r="B5194" s="6" t="s">
        <v>8395</v>
      </c>
      <c r="C5194" s="6">
        <v>176.0</v>
      </c>
      <c r="D5194" s="9" t="str">
        <f>HYPERLINK("https://www.linkedin.com/ad-library/detail/1458591424","Open Ad")</f>
        <v>Open Ad</v>
      </c>
      <c r="E5194" s="6" t="s">
        <v>52</v>
      </c>
      <c r="F5194" s="6" t="s">
        <v>8022</v>
      </c>
      <c r="G5194" s="6" t="s">
        <v>8478</v>
      </c>
      <c r="H5194" s="6" t="s">
        <v>55</v>
      </c>
      <c r="I5194" s="6" t="s">
        <v>8397</v>
      </c>
      <c r="J5194" s="6" t="s">
        <v>52</v>
      </c>
      <c r="K5194" s="6" t="s">
        <v>60</v>
      </c>
      <c r="L5194" s="6" t="s">
        <v>62</v>
      </c>
      <c r="M5194" s="6" t="s">
        <v>1421</v>
      </c>
      <c r="N5194" s="6"/>
      <c r="O5194" s="36" t="s">
        <v>7541</v>
      </c>
      <c r="P5194" s="36" t="s">
        <v>7542</v>
      </c>
      <c r="Q5194" s="38"/>
    </row>
    <row r="5195">
      <c r="A5195" s="6" t="s">
        <v>1421</v>
      </c>
      <c r="B5195" s="6" t="s">
        <v>8395</v>
      </c>
      <c r="C5195" s="6">
        <v>177.0</v>
      </c>
      <c r="D5195" s="9" t="str">
        <f>HYPERLINK("https://www.linkedin.com/ad-library/detail/1458158984","Open Ad")</f>
        <v>Open Ad</v>
      </c>
      <c r="E5195" s="6" t="s">
        <v>52</v>
      </c>
      <c r="F5195" s="6" t="s">
        <v>8022</v>
      </c>
      <c r="G5195" s="6" t="s">
        <v>8479</v>
      </c>
      <c r="H5195" s="6" t="s">
        <v>55</v>
      </c>
      <c r="I5195" s="6" t="s">
        <v>8397</v>
      </c>
      <c r="J5195" s="6" t="s">
        <v>52</v>
      </c>
      <c r="K5195" s="6" t="s">
        <v>60</v>
      </c>
      <c r="L5195" s="6" t="s">
        <v>62</v>
      </c>
      <c r="M5195" s="6" t="s">
        <v>1421</v>
      </c>
      <c r="N5195" s="6"/>
      <c r="O5195" s="36" t="s">
        <v>7541</v>
      </c>
      <c r="P5195" s="36" t="s">
        <v>7542</v>
      </c>
      <c r="Q5195" s="38"/>
    </row>
    <row r="5196">
      <c r="A5196" s="6" t="s">
        <v>1421</v>
      </c>
      <c r="B5196" s="6" t="s">
        <v>8395</v>
      </c>
      <c r="C5196" s="6">
        <v>178.0</v>
      </c>
      <c r="D5196" s="9" t="str">
        <f>HYPERLINK("https://www.linkedin.com/ad-library/detail/1458218604","Open Ad")</f>
        <v>Open Ad</v>
      </c>
      <c r="E5196" s="6" t="s">
        <v>52</v>
      </c>
      <c r="F5196" s="6" t="s">
        <v>8022</v>
      </c>
      <c r="G5196" s="6" t="s">
        <v>8480</v>
      </c>
      <c r="H5196" s="6" t="s">
        <v>55</v>
      </c>
      <c r="I5196" s="6" t="s">
        <v>8397</v>
      </c>
      <c r="J5196" s="6" t="s">
        <v>52</v>
      </c>
      <c r="K5196" s="6" t="s">
        <v>60</v>
      </c>
      <c r="L5196" s="6" t="s">
        <v>62</v>
      </c>
      <c r="M5196" s="6" t="s">
        <v>1421</v>
      </c>
      <c r="N5196" s="6"/>
      <c r="O5196" s="36" t="s">
        <v>7541</v>
      </c>
      <c r="P5196" s="36" t="s">
        <v>7542</v>
      </c>
      <c r="Q5196" s="38"/>
    </row>
    <row r="5197">
      <c r="A5197" s="6" t="s">
        <v>1421</v>
      </c>
      <c r="B5197" s="6" t="s">
        <v>8395</v>
      </c>
      <c r="C5197" s="6">
        <v>179.0</v>
      </c>
      <c r="D5197" s="9" t="str">
        <f t="shared" ref="D5197:D5198" si="1402">HYPERLINK("https://www.linkedin.com/ad-library/detail/1458329154","Open Ad")</f>
        <v>Open Ad</v>
      </c>
      <c r="E5197" s="6" t="s">
        <v>91</v>
      </c>
      <c r="F5197" s="6" t="s">
        <v>8022</v>
      </c>
      <c r="G5197" s="6" t="s">
        <v>8472</v>
      </c>
      <c r="H5197" s="6" t="s">
        <v>55</v>
      </c>
      <c r="I5197" s="6" t="s">
        <v>8397</v>
      </c>
      <c r="J5197" s="6" t="s">
        <v>91</v>
      </c>
      <c r="K5197" s="12" t="str">
        <f t="shared" ref="K5197:K5198" si="1403">HYPERLINK("https://media.licdn.com/dms/image/v2/D4E10AQHTXeChR88vWQ/image-shrink_1280/B4EZ7XcRu2IAAc-/0/1781730976416/ScrunchGifAd1-DoorDashOffergif?e=2147483647&amp;v=beta&amp;t=nIdsPL2q_gclC40q1tgLhG-77v3K8R6QizzsUioFqfA","View Creative")</f>
        <v>View Creative</v>
      </c>
      <c r="L5197" s="6" t="s">
        <v>62</v>
      </c>
      <c r="M5197" s="6" t="s">
        <v>1421</v>
      </c>
      <c r="N5197" s="6"/>
      <c r="O5197" s="36" t="s">
        <v>7541</v>
      </c>
      <c r="P5197" s="36" t="s">
        <v>7542</v>
      </c>
      <c r="Q5197" s="38"/>
    </row>
    <row r="5198">
      <c r="A5198" s="6" t="s">
        <v>1421</v>
      </c>
      <c r="B5198" s="6" t="s">
        <v>8395</v>
      </c>
      <c r="C5198" s="6">
        <v>180.0</v>
      </c>
      <c r="D5198" s="9" t="str">
        <f t="shared" si="1402"/>
        <v>Open Ad</v>
      </c>
      <c r="E5198" s="6" t="s">
        <v>91</v>
      </c>
      <c r="F5198" s="6" t="s">
        <v>8022</v>
      </c>
      <c r="G5198" s="6" t="s">
        <v>8472</v>
      </c>
      <c r="H5198" s="6" t="s">
        <v>55</v>
      </c>
      <c r="I5198" s="6" t="s">
        <v>8397</v>
      </c>
      <c r="J5198" s="6" t="s">
        <v>91</v>
      </c>
      <c r="K5198" s="12" t="str">
        <f t="shared" si="1403"/>
        <v>View Creative</v>
      </c>
      <c r="L5198" s="6" t="s">
        <v>62</v>
      </c>
      <c r="M5198" s="6" t="s">
        <v>1421</v>
      </c>
      <c r="N5198" s="6"/>
      <c r="O5198" s="36" t="s">
        <v>7541</v>
      </c>
      <c r="P5198" s="36" t="s">
        <v>7542</v>
      </c>
      <c r="Q5198" s="38"/>
    </row>
    <row r="5199">
      <c r="A5199" s="6" t="s">
        <v>1421</v>
      </c>
      <c r="B5199" s="6" t="s">
        <v>8395</v>
      </c>
      <c r="C5199" s="6">
        <v>181.0</v>
      </c>
      <c r="D5199" s="9" t="str">
        <f>HYPERLINK("https://www.linkedin.com/ad-library/detail/1458199234","Open Ad")</f>
        <v>Open Ad</v>
      </c>
      <c r="E5199" s="6" t="s">
        <v>52</v>
      </c>
      <c r="F5199" s="6" t="s">
        <v>8022</v>
      </c>
      <c r="G5199" s="6" t="s">
        <v>8481</v>
      </c>
      <c r="H5199" s="6" t="s">
        <v>55</v>
      </c>
      <c r="I5199" s="6" t="s">
        <v>8397</v>
      </c>
      <c r="J5199" s="6" t="s">
        <v>52</v>
      </c>
      <c r="K5199" s="6" t="s">
        <v>60</v>
      </c>
      <c r="L5199" s="6" t="s">
        <v>62</v>
      </c>
      <c r="M5199" s="6" t="s">
        <v>1421</v>
      </c>
      <c r="N5199" s="6"/>
      <c r="O5199" s="36" t="s">
        <v>7541</v>
      </c>
      <c r="P5199" s="36" t="s">
        <v>7542</v>
      </c>
      <c r="Q5199" s="38"/>
    </row>
    <row r="5200">
      <c r="A5200" s="6" t="s">
        <v>1421</v>
      </c>
      <c r="B5200" s="6" t="s">
        <v>8395</v>
      </c>
      <c r="C5200" s="6">
        <v>182.0</v>
      </c>
      <c r="D5200" s="9" t="str">
        <f>HYPERLINK("https://www.linkedin.com/ad-library/detail/1458328894","Open Ad")</f>
        <v>Open Ad</v>
      </c>
      <c r="E5200" s="6" t="s">
        <v>52</v>
      </c>
      <c r="F5200" s="6" t="s">
        <v>8022</v>
      </c>
      <c r="G5200" s="6" t="s">
        <v>8471</v>
      </c>
      <c r="H5200" s="6" t="s">
        <v>55</v>
      </c>
      <c r="I5200" s="6" t="s">
        <v>8397</v>
      </c>
      <c r="J5200" s="6" t="s">
        <v>52</v>
      </c>
      <c r="K5200" s="6" t="s">
        <v>60</v>
      </c>
      <c r="L5200" s="6" t="s">
        <v>62</v>
      </c>
      <c r="M5200" s="6" t="s">
        <v>1421</v>
      </c>
      <c r="N5200" s="6"/>
      <c r="O5200" s="36" t="s">
        <v>7541</v>
      </c>
      <c r="P5200" s="36" t="s">
        <v>7542</v>
      </c>
      <c r="Q5200" s="38"/>
    </row>
    <row r="5201">
      <c r="A5201" s="6" t="s">
        <v>1421</v>
      </c>
      <c r="B5201" s="6" t="s">
        <v>8395</v>
      </c>
      <c r="C5201" s="6">
        <v>183.0</v>
      </c>
      <c r="D5201" s="9" t="str">
        <f t="shared" ref="D5201:D5202" si="1404">HYPERLINK("https://www.linkedin.com/ad-library/detail/1443528984","Open Ad")</f>
        <v>Open Ad</v>
      </c>
      <c r="E5201" s="6" t="s">
        <v>91</v>
      </c>
      <c r="F5201" s="6" t="s">
        <v>8022</v>
      </c>
      <c r="G5201" s="6" t="s">
        <v>8482</v>
      </c>
      <c r="H5201" s="6" t="s">
        <v>55</v>
      </c>
      <c r="I5201" s="6" t="s">
        <v>8397</v>
      </c>
      <c r="J5201" s="6" t="s">
        <v>91</v>
      </c>
      <c r="K5201" s="12" t="str">
        <f t="shared" ref="K5201:K5202" si="1405">HYPERLINK("https://media.licdn.com/dms/image/v2/D5610AQGbUy_EzTNL5w/image-shrink_1280/B56Z6U6cQXJsAk-/0/1780614809669?e=2147483647&amp;v=beta&amp;t=PqbZw_1UjzCGqjbAB3ldsW6o-EZt9WkPxViFy0Sut1w","View Creative")</f>
        <v>View Creative</v>
      </c>
      <c r="L5201" s="6" t="s">
        <v>62</v>
      </c>
      <c r="M5201" s="6" t="s">
        <v>1421</v>
      </c>
      <c r="N5201" s="6"/>
      <c r="O5201" s="36" t="s">
        <v>7541</v>
      </c>
      <c r="P5201" s="36" t="s">
        <v>7542</v>
      </c>
      <c r="Q5201" s="38"/>
    </row>
    <row r="5202">
      <c r="A5202" s="6" t="s">
        <v>1421</v>
      </c>
      <c r="B5202" s="6" t="s">
        <v>8395</v>
      </c>
      <c r="C5202" s="6">
        <v>184.0</v>
      </c>
      <c r="D5202" s="9" t="str">
        <f t="shared" si="1404"/>
        <v>Open Ad</v>
      </c>
      <c r="E5202" s="6" t="s">
        <v>91</v>
      </c>
      <c r="F5202" s="6" t="s">
        <v>8022</v>
      </c>
      <c r="G5202" s="6" t="s">
        <v>8482</v>
      </c>
      <c r="H5202" s="6" t="s">
        <v>55</v>
      </c>
      <c r="I5202" s="6" t="s">
        <v>8397</v>
      </c>
      <c r="J5202" s="6" t="s">
        <v>91</v>
      </c>
      <c r="K5202" s="12" t="str">
        <f t="shared" si="1405"/>
        <v>View Creative</v>
      </c>
      <c r="L5202" s="6" t="s">
        <v>62</v>
      </c>
      <c r="M5202" s="6" t="s">
        <v>1421</v>
      </c>
      <c r="N5202" s="6"/>
      <c r="O5202" s="36" t="s">
        <v>7541</v>
      </c>
      <c r="P5202" s="36" t="s">
        <v>7542</v>
      </c>
      <c r="Q5202" s="38"/>
    </row>
    <row r="5203">
      <c r="A5203" s="6" t="s">
        <v>1421</v>
      </c>
      <c r="B5203" s="6" t="s">
        <v>8395</v>
      </c>
      <c r="C5203" s="6">
        <v>185.0</v>
      </c>
      <c r="D5203" s="9" t="str">
        <f t="shared" ref="D5203:D5204" si="1406">HYPERLINK("https://www.linkedin.com/ad-library/detail/1327108164","Open Ad")</f>
        <v>Open Ad</v>
      </c>
      <c r="E5203" s="6" t="s">
        <v>91</v>
      </c>
      <c r="F5203" s="6" t="s">
        <v>8022</v>
      </c>
      <c r="G5203" s="6" t="s">
        <v>8482</v>
      </c>
      <c r="H5203" s="6" t="s">
        <v>55</v>
      </c>
      <c r="I5203" s="6" t="s">
        <v>8397</v>
      </c>
      <c r="J5203" s="6" t="s">
        <v>91</v>
      </c>
      <c r="K5203" s="12" t="str">
        <f t="shared" ref="K5203:K5204" si="1407">HYPERLINK("https://media.licdn.com/dms/image/v2/D5610AQE8Z0yYh4_jzw/image-shrink_1280/B56Z6U6OEWI4Ac-/0/1780614751561?e=2147483647&amp;v=beta&amp;t=Aa3QQV3MkIcjSqm9hrSIgoWz19UpdWjceez2vo3PLdo","View Creative")</f>
        <v>View Creative</v>
      </c>
      <c r="L5203" s="6" t="s">
        <v>62</v>
      </c>
      <c r="M5203" s="6" t="s">
        <v>1421</v>
      </c>
      <c r="N5203" s="6"/>
      <c r="O5203" s="36" t="s">
        <v>7541</v>
      </c>
      <c r="P5203" s="36" t="s">
        <v>7542</v>
      </c>
      <c r="Q5203" s="38"/>
    </row>
    <row r="5204">
      <c r="A5204" s="6" t="s">
        <v>1421</v>
      </c>
      <c r="B5204" s="6" t="s">
        <v>8395</v>
      </c>
      <c r="C5204" s="6">
        <v>186.0</v>
      </c>
      <c r="D5204" s="9" t="str">
        <f t="shared" si="1406"/>
        <v>Open Ad</v>
      </c>
      <c r="E5204" s="6" t="s">
        <v>91</v>
      </c>
      <c r="F5204" s="6" t="s">
        <v>8022</v>
      </c>
      <c r="G5204" s="6" t="s">
        <v>8482</v>
      </c>
      <c r="H5204" s="6" t="s">
        <v>55</v>
      </c>
      <c r="I5204" s="6" t="s">
        <v>8397</v>
      </c>
      <c r="J5204" s="6" t="s">
        <v>91</v>
      </c>
      <c r="K5204" s="12" t="str">
        <f t="shared" si="1407"/>
        <v>View Creative</v>
      </c>
      <c r="L5204" s="6" t="s">
        <v>62</v>
      </c>
      <c r="M5204" s="6" t="s">
        <v>1421</v>
      </c>
      <c r="N5204" s="6"/>
      <c r="O5204" s="36" t="s">
        <v>7541</v>
      </c>
      <c r="P5204" s="36" t="s">
        <v>7542</v>
      </c>
      <c r="Q5204" s="38"/>
    </row>
    <row r="5205">
      <c r="A5205" s="6" t="s">
        <v>1421</v>
      </c>
      <c r="B5205" s="6" t="s">
        <v>8395</v>
      </c>
      <c r="C5205" s="6">
        <v>187.0</v>
      </c>
      <c r="D5205" s="9" t="str">
        <f>HYPERLINK("https://www.linkedin.com/ad-library/detail/1443505324","Open Ad")</f>
        <v>Open Ad</v>
      </c>
      <c r="E5205" s="6" t="s">
        <v>52</v>
      </c>
      <c r="F5205" s="6" t="s">
        <v>8022</v>
      </c>
      <c r="G5205" s="6" t="s">
        <v>8483</v>
      </c>
      <c r="H5205" s="6" t="s">
        <v>55</v>
      </c>
      <c r="I5205" s="6" t="s">
        <v>8397</v>
      </c>
      <c r="J5205" s="6" t="s">
        <v>52</v>
      </c>
      <c r="K5205" s="6" t="s">
        <v>60</v>
      </c>
      <c r="L5205" s="6" t="s">
        <v>62</v>
      </c>
      <c r="M5205" s="6" t="s">
        <v>1421</v>
      </c>
      <c r="N5205" s="6"/>
      <c r="O5205" s="36" t="s">
        <v>7541</v>
      </c>
      <c r="P5205" s="36" t="s">
        <v>7542</v>
      </c>
      <c r="Q5205" s="38"/>
    </row>
    <row r="5206">
      <c r="A5206" s="6" t="s">
        <v>1421</v>
      </c>
      <c r="B5206" s="6" t="s">
        <v>8395</v>
      </c>
      <c r="C5206" s="6">
        <v>188.0</v>
      </c>
      <c r="D5206" s="9" t="str">
        <f>HYPERLINK("https://www.linkedin.com/ad-library/detail/1443465594","Open Ad")</f>
        <v>Open Ad</v>
      </c>
      <c r="E5206" s="6" t="s">
        <v>52</v>
      </c>
      <c r="F5206" s="6" t="s">
        <v>8022</v>
      </c>
      <c r="G5206" s="6" t="s">
        <v>8484</v>
      </c>
      <c r="H5206" s="6" t="s">
        <v>55</v>
      </c>
      <c r="I5206" s="6" t="s">
        <v>8397</v>
      </c>
      <c r="J5206" s="6" t="s">
        <v>52</v>
      </c>
      <c r="K5206" s="6" t="s">
        <v>60</v>
      </c>
      <c r="L5206" s="6" t="s">
        <v>62</v>
      </c>
      <c r="M5206" s="6" t="s">
        <v>1421</v>
      </c>
      <c r="N5206" s="6"/>
      <c r="O5206" s="36" t="s">
        <v>7541</v>
      </c>
      <c r="P5206" s="36" t="s">
        <v>7542</v>
      </c>
      <c r="Q5206" s="38"/>
    </row>
    <row r="5207">
      <c r="A5207" s="6" t="s">
        <v>1421</v>
      </c>
      <c r="B5207" s="6" t="s">
        <v>8395</v>
      </c>
      <c r="C5207" s="6">
        <v>189.0</v>
      </c>
      <c r="D5207" s="9" t="str">
        <f t="shared" ref="D5207:D5208" si="1408">HYPERLINK("https://www.linkedin.com/ad-library/detail/1446110404","Open Ad")</f>
        <v>Open Ad</v>
      </c>
      <c r="E5207" s="6" t="s">
        <v>154</v>
      </c>
      <c r="F5207" s="6" t="s">
        <v>8022</v>
      </c>
      <c r="G5207" s="6" t="s">
        <v>8405</v>
      </c>
      <c r="H5207" s="6" t="s">
        <v>55</v>
      </c>
      <c r="I5207" s="6" t="s">
        <v>8397</v>
      </c>
      <c r="J5207" s="6" t="s">
        <v>154</v>
      </c>
      <c r="K5207" s="12" t="str">
        <f t="shared" ref="K5207:K5208" si="1409">HYPERLINK("https://dms.licdn.com/playlist/vid/v2/D4E10AQGKQ8n7wITebg/mp4-1080p-30fp-crf28/B4EZ6zHsO_KMA0-/0/1781121601720?e=2147483647&amp;v=beta&amp;t=mev76czSqB28fnMAFUD9mT4iXWFs-uBQvt_4leydJwY","View Creative")</f>
        <v>View Creative</v>
      </c>
      <c r="L5207" s="6" t="s">
        <v>62</v>
      </c>
      <c r="M5207" s="6" t="s">
        <v>1421</v>
      </c>
      <c r="N5207" s="6"/>
      <c r="O5207" s="36" t="s">
        <v>7541</v>
      </c>
      <c r="P5207" s="36" t="s">
        <v>7542</v>
      </c>
      <c r="Q5207" s="38"/>
    </row>
    <row r="5208">
      <c r="A5208" s="6" t="s">
        <v>1421</v>
      </c>
      <c r="B5208" s="6" t="s">
        <v>8395</v>
      </c>
      <c r="C5208" s="6">
        <v>190.0</v>
      </c>
      <c r="D5208" s="9" t="str">
        <f t="shared" si="1408"/>
        <v>Open Ad</v>
      </c>
      <c r="E5208" s="6" t="s">
        <v>154</v>
      </c>
      <c r="F5208" s="6" t="s">
        <v>8022</v>
      </c>
      <c r="G5208" s="6" t="s">
        <v>8405</v>
      </c>
      <c r="H5208" s="6" t="s">
        <v>55</v>
      </c>
      <c r="I5208" s="6" t="s">
        <v>8397</v>
      </c>
      <c r="J5208" s="6" t="s">
        <v>154</v>
      </c>
      <c r="K5208" s="12" t="str">
        <f t="shared" si="1409"/>
        <v>View Creative</v>
      </c>
      <c r="L5208" s="6" t="s">
        <v>62</v>
      </c>
      <c r="M5208" s="6" t="s">
        <v>1421</v>
      </c>
      <c r="N5208" s="6"/>
      <c r="O5208" s="36" t="s">
        <v>7541</v>
      </c>
      <c r="P5208" s="36" t="s">
        <v>7542</v>
      </c>
      <c r="Q5208" s="38"/>
    </row>
    <row r="5209">
      <c r="A5209" s="6" t="s">
        <v>1421</v>
      </c>
      <c r="B5209" s="6" t="s">
        <v>8395</v>
      </c>
      <c r="C5209" s="6">
        <v>191.0</v>
      </c>
      <c r="D5209" s="9" t="str">
        <f t="shared" ref="D5209:D5210" si="1410">HYPERLINK("https://www.linkedin.com/ad-library/detail/1443553514","Open Ad")</f>
        <v>Open Ad</v>
      </c>
      <c r="E5209" s="6" t="s">
        <v>91</v>
      </c>
      <c r="F5209" s="6" t="s">
        <v>8022</v>
      </c>
      <c r="G5209" s="6" t="s">
        <v>8485</v>
      </c>
      <c r="H5209" s="6" t="s">
        <v>55</v>
      </c>
      <c r="I5209" s="6" t="s">
        <v>8397</v>
      </c>
      <c r="J5209" s="6" t="s">
        <v>91</v>
      </c>
      <c r="K5209" s="12" t="str">
        <f t="shared" ref="K5209:K5210" si="1411">HYPERLINK("https://media.licdn.com/dms/image/v2/D5610AQELU5JFiNYnFA/image-shrink_1280/B56Z6U6OdKI4Ag-/0/1780614753994?e=2147483647&amp;v=beta&amp;t=pO33kY5KgzpeiF3Hj8jNPj9jBvJm2Yr5ST9rZyGBReg","View Creative")</f>
        <v>View Creative</v>
      </c>
      <c r="L5209" s="6" t="s">
        <v>62</v>
      </c>
      <c r="M5209" s="6" t="s">
        <v>1421</v>
      </c>
      <c r="N5209" s="6"/>
      <c r="O5209" s="36" t="s">
        <v>7541</v>
      </c>
      <c r="P5209" s="36" t="s">
        <v>7542</v>
      </c>
      <c r="Q5209" s="38"/>
    </row>
    <row r="5210">
      <c r="A5210" s="6" t="s">
        <v>1421</v>
      </c>
      <c r="B5210" s="6" t="s">
        <v>8395</v>
      </c>
      <c r="C5210" s="6">
        <v>192.0</v>
      </c>
      <c r="D5210" s="9" t="str">
        <f t="shared" si="1410"/>
        <v>Open Ad</v>
      </c>
      <c r="E5210" s="6" t="s">
        <v>91</v>
      </c>
      <c r="F5210" s="6" t="s">
        <v>8022</v>
      </c>
      <c r="G5210" s="6" t="s">
        <v>8485</v>
      </c>
      <c r="H5210" s="6" t="s">
        <v>55</v>
      </c>
      <c r="I5210" s="6" t="s">
        <v>8397</v>
      </c>
      <c r="J5210" s="6" t="s">
        <v>91</v>
      </c>
      <c r="K5210" s="12" t="str">
        <f t="shared" si="1411"/>
        <v>View Creative</v>
      </c>
      <c r="L5210" s="6" t="s">
        <v>62</v>
      </c>
      <c r="M5210" s="6" t="s">
        <v>1421</v>
      </c>
      <c r="N5210" s="6"/>
      <c r="O5210" s="36" t="s">
        <v>7541</v>
      </c>
      <c r="P5210" s="36" t="s">
        <v>7542</v>
      </c>
      <c r="Q5210" s="38"/>
    </row>
    <row r="5211">
      <c r="A5211" s="6" t="s">
        <v>1421</v>
      </c>
      <c r="B5211" s="6" t="s">
        <v>8395</v>
      </c>
      <c r="C5211" s="6">
        <v>193.0</v>
      </c>
      <c r="D5211" s="9" t="str">
        <f t="shared" ref="D5211:D5212" si="1412">HYPERLINK("https://www.linkedin.com/ad-library/detail/1326909304","Open Ad")</f>
        <v>Open Ad</v>
      </c>
      <c r="E5211" s="6" t="s">
        <v>91</v>
      </c>
      <c r="F5211" s="6" t="s">
        <v>8022</v>
      </c>
      <c r="G5211" s="6" t="s">
        <v>8486</v>
      </c>
      <c r="H5211" s="6" t="s">
        <v>55</v>
      </c>
      <c r="I5211" s="6" t="s">
        <v>8397</v>
      </c>
      <c r="J5211" s="6" t="s">
        <v>91</v>
      </c>
      <c r="K5211" s="12" t="str">
        <f t="shared" ref="K5211:K5212" si="1413">HYPERLINK("https://media.licdn.com/dms/image/v2/D5610AQGJ-B606F0dSQ/image-shrink_1280/B56Z6U6EhFKQAc-/0/1780614712151?e=2147483647&amp;v=beta&amp;t=TP3gixjJSK45J-enrUsFIraMjrLP_nwdbT4I_cjwG7k","View Creative")</f>
        <v>View Creative</v>
      </c>
      <c r="L5211" s="6" t="s">
        <v>62</v>
      </c>
      <c r="M5211" s="6" t="s">
        <v>1421</v>
      </c>
      <c r="N5211" s="6"/>
      <c r="O5211" s="36" t="s">
        <v>7541</v>
      </c>
      <c r="P5211" s="36" t="s">
        <v>7542</v>
      </c>
      <c r="Q5211" s="38"/>
    </row>
    <row r="5212">
      <c r="A5212" s="6" t="s">
        <v>1421</v>
      </c>
      <c r="B5212" s="6" t="s">
        <v>8395</v>
      </c>
      <c r="C5212" s="6">
        <v>194.0</v>
      </c>
      <c r="D5212" s="9" t="str">
        <f t="shared" si="1412"/>
        <v>Open Ad</v>
      </c>
      <c r="E5212" s="6" t="s">
        <v>91</v>
      </c>
      <c r="F5212" s="6" t="s">
        <v>8022</v>
      </c>
      <c r="G5212" s="6" t="s">
        <v>8486</v>
      </c>
      <c r="H5212" s="6" t="s">
        <v>55</v>
      </c>
      <c r="I5212" s="6" t="s">
        <v>8397</v>
      </c>
      <c r="J5212" s="6" t="s">
        <v>91</v>
      </c>
      <c r="K5212" s="12" t="str">
        <f t="shared" si="1413"/>
        <v>View Creative</v>
      </c>
      <c r="L5212" s="6" t="s">
        <v>62</v>
      </c>
      <c r="M5212" s="6" t="s">
        <v>1421</v>
      </c>
      <c r="N5212" s="6"/>
      <c r="O5212" s="36" t="s">
        <v>7541</v>
      </c>
      <c r="P5212" s="36" t="s">
        <v>7542</v>
      </c>
      <c r="Q5212" s="38"/>
    </row>
    <row r="5213">
      <c r="A5213" s="6" t="s">
        <v>1421</v>
      </c>
      <c r="B5213" s="6" t="s">
        <v>8395</v>
      </c>
      <c r="C5213" s="6">
        <v>195.0</v>
      </c>
      <c r="D5213" s="9" t="str">
        <f t="shared" ref="D5213:D5214" si="1414">HYPERLINK("https://www.linkedin.com/ad-library/detail/1445040704","Open Ad")</f>
        <v>Open Ad</v>
      </c>
      <c r="E5213" s="6" t="s">
        <v>91</v>
      </c>
      <c r="F5213" s="6" t="s">
        <v>8022</v>
      </c>
      <c r="G5213" s="6" t="s">
        <v>8474</v>
      </c>
      <c r="H5213" s="6" t="s">
        <v>55</v>
      </c>
      <c r="I5213" s="6" t="s">
        <v>8397</v>
      </c>
      <c r="J5213" s="6" t="s">
        <v>91</v>
      </c>
      <c r="K5213" s="12" t="str">
        <f t="shared" ref="K5213:K5214" si="1415">HYPERLINK("https://media.licdn.com/dms/image/sync/v2/D4D27AQHgfxclDTNEog/articleshare-shrink_1280_800/B4DZ6SvK7OK4Ag-/0/1780578300352?e=2147483647&amp;v=beta&amp;t=0VM_rgyn7S4wY1ZB5eoa-MZatEldjXhypjtil3-T0ZI","View Creative")</f>
        <v>View Creative</v>
      </c>
      <c r="L5213" s="6" t="s">
        <v>62</v>
      </c>
      <c r="M5213" s="6" t="s">
        <v>1421</v>
      </c>
      <c r="N5213" s="6"/>
      <c r="O5213" s="36" t="s">
        <v>7541</v>
      </c>
      <c r="P5213" s="36" t="s">
        <v>7542</v>
      </c>
      <c r="Q5213" s="38"/>
    </row>
    <row r="5214">
      <c r="A5214" s="6" t="s">
        <v>1421</v>
      </c>
      <c r="B5214" s="6" t="s">
        <v>8395</v>
      </c>
      <c r="C5214" s="6">
        <v>196.0</v>
      </c>
      <c r="D5214" s="9" t="str">
        <f t="shared" si="1414"/>
        <v>Open Ad</v>
      </c>
      <c r="E5214" s="6" t="s">
        <v>91</v>
      </c>
      <c r="F5214" s="6" t="s">
        <v>8022</v>
      </c>
      <c r="G5214" s="6" t="s">
        <v>8474</v>
      </c>
      <c r="H5214" s="6" t="s">
        <v>55</v>
      </c>
      <c r="I5214" s="6" t="s">
        <v>8397</v>
      </c>
      <c r="J5214" s="6" t="s">
        <v>91</v>
      </c>
      <c r="K5214" s="12" t="str">
        <f t="shared" si="1415"/>
        <v>View Creative</v>
      </c>
      <c r="L5214" s="6" t="s">
        <v>62</v>
      </c>
      <c r="M5214" s="6" t="s">
        <v>1421</v>
      </c>
      <c r="N5214" s="6"/>
      <c r="O5214" s="36" t="s">
        <v>7541</v>
      </c>
      <c r="P5214" s="36" t="s">
        <v>7542</v>
      </c>
      <c r="Q5214" s="38"/>
    </row>
    <row r="5215">
      <c r="A5215" s="6" t="s">
        <v>1421</v>
      </c>
      <c r="B5215" s="6" t="s">
        <v>8395</v>
      </c>
      <c r="C5215" s="6">
        <v>197.0</v>
      </c>
      <c r="D5215" s="9" t="str">
        <f>HYPERLINK("https://www.linkedin.com/ad-library/detail/1443447714","Open Ad")</f>
        <v>Open Ad</v>
      </c>
      <c r="E5215" s="6" t="s">
        <v>52</v>
      </c>
      <c r="F5215" s="6" t="s">
        <v>8022</v>
      </c>
      <c r="G5215" s="6" t="s">
        <v>8487</v>
      </c>
      <c r="H5215" s="6" t="s">
        <v>55</v>
      </c>
      <c r="I5215" s="6" t="s">
        <v>8397</v>
      </c>
      <c r="J5215" s="6" t="s">
        <v>52</v>
      </c>
      <c r="K5215" s="6" t="s">
        <v>60</v>
      </c>
      <c r="L5215" s="6" t="s">
        <v>62</v>
      </c>
      <c r="M5215" s="6" t="s">
        <v>1421</v>
      </c>
      <c r="N5215" s="6"/>
      <c r="O5215" s="36" t="s">
        <v>7541</v>
      </c>
      <c r="P5215" s="36" t="s">
        <v>7542</v>
      </c>
      <c r="Q5215" s="38"/>
    </row>
    <row r="5216">
      <c r="A5216" s="6" t="s">
        <v>1421</v>
      </c>
      <c r="B5216" s="6" t="s">
        <v>8395</v>
      </c>
      <c r="C5216" s="6">
        <v>198.0</v>
      </c>
      <c r="D5216" s="9" t="str">
        <f t="shared" ref="D5216:D5217" si="1416">HYPERLINK("https://www.linkedin.com/ad-library/detail/1450453594","Open Ad")</f>
        <v>Open Ad</v>
      </c>
      <c r="E5216" s="6" t="s">
        <v>91</v>
      </c>
      <c r="F5216" s="6" t="s">
        <v>8022</v>
      </c>
      <c r="G5216" s="6" t="s">
        <v>8464</v>
      </c>
      <c r="H5216" s="6" t="s">
        <v>55</v>
      </c>
      <c r="I5216" s="6" t="s">
        <v>8397</v>
      </c>
      <c r="J5216" s="6" t="s">
        <v>91</v>
      </c>
      <c r="K5216" s="12" t="str">
        <f t="shared" ref="K5216:K5217" si="1417">HYPERLINK("https://media.licdn.com/dms/image/v2/D5622AQEl0jIy3ag-6A/feedshare-shrink_800/B56Z63TPnlGsAc-/0/1781191736079?e=2147483647&amp;v=beta&amp;t=rza4hr0V93hFtuvmD5u9AuCZQPQa9x5CWYlJ1-RsFd8","View Creative")</f>
        <v>View Creative</v>
      </c>
      <c r="L5216" s="6" t="s">
        <v>62</v>
      </c>
      <c r="M5216" s="6" t="s">
        <v>1421</v>
      </c>
      <c r="N5216" s="6"/>
      <c r="O5216" s="36" t="s">
        <v>7541</v>
      </c>
      <c r="P5216" s="36" t="s">
        <v>7542</v>
      </c>
      <c r="Q5216" s="38"/>
    </row>
    <row r="5217">
      <c r="A5217" s="6" t="s">
        <v>1421</v>
      </c>
      <c r="B5217" s="6" t="s">
        <v>8395</v>
      </c>
      <c r="C5217" s="6">
        <v>199.0</v>
      </c>
      <c r="D5217" s="9" t="str">
        <f t="shared" si="1416"/>
        <v>Open Ad</v>
      </c>
      <c r="E5217" s="6" t="s">
        <v>91</v>
      </c>
      <c r="F5217" s="6" t="s">
        <v>8022</v>
      </c>
      <c r="G5217" s="6" t="s">
        <v>8464</v>
      </c>
      <c r="H5217" s="6" t="s">
        <v>55</v>
      </c>
      <c r="I5217" s="6" t="s">
        <v>8397</v>
      </c>
      <c r="J5217" s="6" t="s">
        <v>91</v>
      </c>
      <c r="K5217" s="12" t="str">
        <f t="shared" si="1417"/>
        <v>View Creative</v>
      </c>
      <c r="L5217" s="6" t="s">
        <v>62</v>
      </c>
      <c r="M5217" s="6" t="s">
        <v>1421</v>
      </c>
      <c r="N5217" s="6"/>
      <c r="O5217" s="36" t="s">
        <v>7541</v>
      </c>
      <c r="P5217" s="36" t="s">
        <v>7542</v>
      </c>
      <c r="Q5217" s="38"/>
    </row>
    <row r="5218">
      <c r="A5218" s="6" t="s">
        <v>1421</v>
      </c>
      <c r="B5218" s="6" t="s">
        <v>8395</v>
      </c>
      <c r="C5218" s="6">
        <v>200.0</v>
      </c>
      <c r="D5218" s="9" t="str">
        <f t="shared" ref="D5218:D5219" si="1418">HYPERLINK("https://www.linkedin.com/ad-library/detail/1446070774","Open Ad")</f>
        <v>Open Ad</v>
      </c>
      <c r="E5218" s="6" t="s">
        <v>154</v>
      </c>
      <c r="F5218" s="6" t="s">
        <v>8022</v>
      </c>
      <c r="G5218" s="6" t="s">
        <v>8488</v>
      </c>
      <c r="H5218" s="6" t="s">
        <v>55</v>
      </c>
      <c r="I5218" s="6" t="s">
        <v>8397</v>
      </c>
      <c r="J5218" s="6" t="s">
        <v>154</v>
      </c>
      <c r="K5218" s="12" t="str">
        <f t="shared" ref="K5218:K5219" si="1419">HYPERLINK("https://dms.licdn.com/playlist/vid/v2/D5605AQEZvFX2YaqEQQ/mp4-640p-30fp-crf28/B56Z6s_F.OIoBk-/0/1781018687734?e=2147483647&amp;v=beta&amp;t=mLQm0llZOTKVDfog8i8LWs_ErB9IeRoX_j_PtJuJ-EI","View Creative")</f>
        <v>View Creative</v>
      </c>
      <c r="L5218" s="6" t="s">
        <v>62</v>
      </c>
      <c r="M5218" s="6" t="s">
        <v>1421</v>
      </c>
      <c r="N5218" s="6"/>
      <c r="O5218" s="36" t="s">
        <v>7541</v>
      </c>
      <c r="P5218" s="36" t="s">
        <v>7542</v>
      </c>
      <c r="Q5218" s="38"/>
    </row>
    <row r="5219">
      <c r="A5219" s="6" t="s">
        <v>1421</v>
      </c>
      <c r="B5219" s="6" t="s">
        <v>8395</v>
      </c>
      <c r="C5219" s="6">
        <v>201.0</v>
      </c>
      <c r="D5219" s="9" t="str">
        <f t="shared" si="1418"/>
        <v>Open Ad</v>
      </c>
      <c r="E5219" s="6" t="s">
        <v>154</v>
      </c>
      <c r="F5219" s="6" t="s">
        <v>8022</v>
      </c>
      <c r="G5219" s="6" t="s">
        <v>8488</v>
      </c>
      <c r="H5219" s="6" t="s">
        <v>55</v>
      </c>
      <c r="I5219" s="6" t="s">
        <v>8397</v>
      </c>
      <c r="J5219" s="6" t="s">
        <v>154</v>
      </c>
      <c r="K5219" s="12" t="str">
        <f t="shared" si="1419"/>
        <v>View Creative</v>
      </c>
      <c r="L5219" s="6" t="s">
        <v>62</v>
      </c>
      <c r="M5219" s="6" t="s">
        <v>1421</v>
      </c>
      <c r="N5219" s="6"/>
      <c r="O5219" s="36" t="s">
        <v>7541</v>
      </c>
      <c r="P5219" s="36" t="s">
        <v>7542</v>
      </c>
      <c r="Q5219" s="38"/>
    </row>
    <row r="5220">
      <c r="A5220" s="6" t="s">
        <v>1421</v>
      </c>
      <c r="B5220" s="6" t="s">
        <v>8395</v>
      </c>
      <c r="C5220" s="6">
        <v>202.0</v>
      </c>
      <c r="D5220" s="9" t="str">
        <f t="shared" ref="D5220:D5221" si="1420">HYPERLINK("https://www.linkedin.com/ad-library/detail/1445869364","Open Ad")</f>
        <v>Open Ad</v>
      </c>
      <c r="E5220" s="6" t="s">
        <v>154</v>
      </c>
      <c r="F5220" s="6" t="s">
        <v>8022</v>
      </c>
      <c r="G5220" s="6" t="s">
        <v>8405</v>
      </c>
      <c r="H5220" s="6" t="s">
        <v>55</v>
      </c>
      <c r="I5220" s="6" t="s">
        <v>8397</v>
      </c>
      <c r="J5220" s="6" t="s">
        <v>154</v>
      </c>
      <c r="K5220" s="12" t="str">
        <f t="shared" ref="K5220:K5221" si="1421">HYPERLINK("https://dms.licdn.com/playlist/vid/v2/D4E10AQGKQ8n7wITebg/mp4-1080p-30fp-crf28/B4EZ6zHsO_KMA0-/0/1781121601720?e=2147483647&amp;v=beta&amp;t=mev76czSqB28fnMAFUD9mT4iXWFs-uBQvt_4leydJwY","View Creative")</f>
        <v>View Creative</v>
      </c>
      <c r="L5220" s="6" t="s">
        <v>62</v>
      </c>
      <c r="M5220" s="6" t="s">
        <v>1421</v>
      </c>
      <c r="N5220" s="6"/>
      <c r="O5220" s="36" t="s">
        <v>7541</v>
      </c>
      <c r="P5220" s="36" t="s">
        <v>7542</v>
      </c>
      <c r="Q5220" s="38"/>
    </row>
    <row r="5221">
      <c r="A5221" s="6" t="s">
        <v>1421</v>
      </c>
      <c r="B5221" s="6" t="s">
        <v>8395</v>
      </c>
      <c r="C5221" s="6">
        <v>203.0</v>
      </c>
      <c r="D5221" s="9" t="str">
        <f t="shared" si="1420"/>
        <v>Open Ad</v>
      </c>
      <c r="E5221" s="6" t="s">
        <v>154</v>
      </c>
      <c r="F5221" s="6" t="s">
        <v>8022</v>
      </c>
      <c r="G5221" s="6" t="s">
        <v>8405</v>
      </c>
      <c r="H5221" s="6" t="s">
        <v>55</v>
      </c>
      <c r="I5221" s="6" t="s">
        <v>8397</v>
      </c>
      <c r="J5221" s="6" t="s">
        <v>154</v>
      </c>
      <c r="K5221" s="12" t="str">
        <f t="shared" si="1421"/>
        <v>View Creative</v>
      </c>
      <c r="L5221" s="6" t="s">
        <v>62</v>
      </c>
      <c r="M5221" s="6" t="s">
        <v>1421</v>
      </c>
      <c r="N5221" s="6"/>
      <c r="O5221" s="36" t="s">
        <v>7541</v>
      </c>
      <c r="P5221" s="36" t="s">
        <v>7542</v>
      </c>
      <c r="Q5221" s="38"/>
    </row>
    <row r="5222">
      <c r="A5222" s="6" t="s">
        <v>1421</v>
      </c>
      <c r="B5222" s="6" t="s">
        <v>8395</v>
      </c>
      <c r="C5222" s="6">
        <v>204.0</v>
      </c>
      <c r="D5222" s="9" t="str">
        <f>HYPERLINK("https://www.linkedin.com/ad-library/detail/1457255114","Open Ad")</f>
        <v>Open Ad</v>
      </c>
      <c r="E5222" s="6" t="s">
        <v>52</v>
      </c>
      <c r="F5222" s="6" t="s">
        <v>8022</v>
      </c>
      <c r="G5222" s="6" t="s">
        <v>8489</v>
      </c>
      <c r="H5222" s="6" t="s">
        <v>55</v>
      </c>
      <c r="I5222" s="6" t="s">
        <v>8397</v>
      </c>
      <c r="J5222" s="6" t="s">
        <v>52</v>
      </c>
      <c r="K5222" s="6" t="s">
        <v>60</v>
      </c>
      <c r="L5222" s="6" t="s">
        <v>62</v>
      </c>
      <c r="M5222" s="6" t="s">
        <v>1421</v>
      </c>
      <c r="N5222" s="6"/>
      <c r="O5222" s="36" t="s">
        <v>7541</v>
      </c>
      <c r="P5222" s="36" t="s">
        <v>7542</v>
      </c>
      <c r="Q5222" s="38"/>
    </row>
    <row r="5223">
      <c r="A5223" s="6" t="s">
        <v>1421</v>
      </c>
      <c r="B5223" s="6" t="s">
        <v>8395</v>
      </c>
      <c r="C5223" s="6">
        <v>205.0</v>
      </c>
      <c r="D5223" s="9" t="str">
        <f>HYPERLINK("https://www.linkedin.com/ad-library/detail/1443485244","Open Ad")</f>
        <v>Open Ad</v>
      </c>
      <c r="E5223" s="6" t="s">
        <v>52</v>
      </c>
      <c r="F5223" s="6" t="s">
        <v>8022</v>
      </c>
      <c r="G5223" s="6" t="s">
        <v>8490</v>
      </c>
      <c r="H5223" s="6" t="s">
        <v>55</v>
      </c>
      <c r="I5223" s="6" t="s">
        <v>8397</v>
      </c>
      <c r="J5223" s="6" t="s">
        <v>52</v>
      </c>
      <c r="K5223" s="6" t="s">
        <v>60</v>
      </c>
      <c r="L5223" s="6" t="s">
        <v>62</v>
      </c>
      <c r="M5223" s="6" t="s">
        <v>1421</v>
      </c>
      <c r="N5223" s="6"/>
      <c r="O5223" s="36" t="s">
        <v>7541</v>
      </c>
      <c r="P5223" s="36" t="s">
        <v>7542</v>
      </c>
      <c r="Q5223" s="38"/>
    </row>
    <row r="5224">
      <c r="A5224" s="6" t="s">
        <v>1421</v>
      </c>
      <c r="B5224" s="6" t="s">
        <v>8395</v>
      </c>
      <c r="C5224" s="6">
        <v>206.0</v>
      </c>
      <c r="D5224" s="9" t="str">
        <f t="shared" ref="D5224:D5225" si="1422">HYPERLINK("https://www.linkedin.com/ad-library/detail/1446050814","Open Ad")</f>
        <v>Open Ad</v>
      </c>
      <c r="E5224" s="6" t="s">
        <v>154</v>
      </c>
      <c r="F5224" s="6" t="s">
        <v>8022</v>
      </c>
      <c r="G5224" s="6" t="s">
        <v>8405</v>
      </c>
      <c r="H5224" s="6" t="s">
        <v>55</v>
      </c>
      <c r="I5224" s="6" t="s">
        <v>8397</v>
      </c>
      <c r="J5224" s="6" t="s">
        <v>154</v>
      </c>
      <c r="K5224" s="12" t="str">
        <f t="shared" ref="K5224:K5225" si="1423">HYPERLINK("https://dms.licdn.com/playlist/vid/v2/D4E10AQGKQ8n7wITebg/mp4-1080p-30fp-crf28/B4EZ6zHsO_KMA0-/0/1781121601720?e=2147483647&amp;v=beta&amp;t=mev76czSqB28fnMAFUD9mT4iXWFs-uBQvt_4leydJwY","View Creative")</f>
        <v>View Creative</v>
      </c>
      <c r="L5224" s="6" t="s">
        <v>62</v>
      </c>
      <c r="M5224" s="6" t="s">
        <v>1421</v>
      </c>
      <c r="N5224" s="6"/>
      <c r="O5224" s="36" t="s">
        <v>7541</v>
      </c>
      <c r="P5224" s="36" t="s">
        <v>7542</v>
      </c>
      <c r="Q5224" s="38"/>
    </row>
    <row r="5225">
      <c r="A5225" s="6" t="s">
        <v>1421</v>
      </c>
      <c r="B5225" s="6" t="s">
        <v>8395</v>
      </c>
      <c r="C5225" s="6">
        <v>207.0</v>
      </c>
      <c r="D5225" s="9" t="str">
        <f t="shared" si="1422"/>
        <v>Open Ad</v>
      </c>
      <c r="E5225" s="6" t="s">
        <v>154</v>
      </c>
      <c r="F5225" s="6" t="s">
        <v>8022</v>
      </c>
      <c r="G5225" s="6" t="s">
        <v>8405</v>
      </c>
      <c r="H5225" s="6" t="s">
        <v>55</v>
      </c>
      <c r="I5225" s="6" t="s">
        <v>8397</v>
      </c>
      <c r="J5225" s="6" t="s">
        <v>154</v>
      </c>
      <c r="K5225" s="12" t="str">
        <f t="shared" si="1423"/>
        <v>View Creative</v>
      </c>
      <c r="L5225" s="6" t="s">
        <v>62</v>
      </c>
      <c r="M5225" s="6" t="s">
        <v>1421</v>
      </c>
      <c r="N5225" s="6"/>
      <c r="O5225" s="36" t="s">
        <v>7541</v>
      </c>
      <c r="P5225" s="36" t="s">
        <v>7542</v>
      </c>
      <c r="Q5225" s="38"/>
    </row>
    <row r="5226">
      <c r="A5226" s="6" t="s">
        <v>1421</v>
      </c>
      <c r="B5226" s="6" t="s">
        <v>8395</v>
      </c>
      <c r="C5226" s="6">
        <v>208.0</v>
      </c>
      <c r="D5226" s="9" t="str">
        <f>HYPERLINK("https://www.linkedin.com/ad-library/detail/1443515264","Open Ad")</f>
        <v>Open Ad</v>
      </c>
      <c r="E5226" s="6" t="s">
        <v>52</v>
      </c>
      <c r="F5226" s="6" t="s">
        <v>8022</v>
      </c>
      <c r="G5226" s="6" t="s">
        <v>8491</v>
      </c>
      <c r="H5226" s="6" t="s">
        <v>55</v>
      </c>
      <c r="I5226" s="6" t="s">
        <v>8397</v>
      </c>
      <c r="J5226" s="6" t="s">
        <v>52</v>
      </c>
      <c r="K5226" s="6" t="s">
        <v>60</v>
      </c>
      <c r="L5226" s="6" t="s">
        <v>62</v>
      </c>
      <c r="M5226" s="6" t="s">
        <v>1421</v>
      </c>
      <c r="N5226" s="6"/>
      <c r="O5226" s="36" t="s">
        <v>7541</v>
      </c>
      <c r="P5226" s="36" t="s">
        <v>7542</v>
      </c>
      <c r="Q5226" s="38"/>
    </row>
    <row r="5227">
      <c r="A5227" s="6" t="s">
        <v>1421</v>
      </c>
      <c r="B5227" s="6" t="s">
        <v>8395</v>
      </c>
      <c r="C5227" s="6">
        <v>209.0</v>
      </c>
      <c r="D5227" s="9" t="str">
        <f t="shared" ref="D5227:D5228" si="1424">HYPERLINK("https://www.linkedin.com/ad-library/detail/1445689404","Open Ad")</f>
        <v>Open Ad</v>
      </c>
      <c r="E5227" s="6" t="s">
        <v>154</v>
      </c>
      <c r="F5227" s="6" t="s">
        <v>8022</v>
      </c>
      <c r="G5227" s="6" t="s">
        <v>8405</v>
      </c>
      <c r="H5227" s="6" t="s">
        <v>55</v>
      </c>
      <c r="I5227" s="6" t="s">
        <v>8397</v>
      </c>
      <c r="J5227" s="6" t="s">
        <v>154</v>
      </c>
      <c r="K5227" s="12" t="str">
        <f t="shared" ref="K5227:K5228" si="1425">HYPERLINK("https://dms.licdn.com/playlist/vid/v2/D4E10AQGKQ8n7wITebg/mp4-1080p-30fp-crf28/B4EZ6zHsO_KMA0-/0/1781121601720?e=2147483647&amp;v=beta&amp;t=mev76czSqB28fnMAFUD9mT4iXWFs-uBQvt_4leydJwY","View Creative")</f>
        <v>View Creative</v>
      </c>
      <c r="L5227" s="6" t="s">
        <v>62</v>
      </c>
      <c r="M5227" s="6" t="s">
        <v>1421</v>
      </c>
      <c r="N5227" s="6"/>
      <c r="O5227" s="36" t="s">
        <v>7541</v>
      </c>
      <c r="P5227" s="36" t="s">
        <v>7542</v>
      </c>
      <c r="Q5227" s="38"/>
    </row>
    <row r="5228">
      <c r="A5228" s="6" t="s">
        <v>1421</v>
      </c>
      <c r="B5228" s="6" t="s">
        <v>8395</v>
      </c>
      <c r="C5228" s="6">
        <v>210.0</v>
      </c>
      <c r="D5228" s="9" t="str">
        <f t="shared" si="1424"/>
        <v>Open Ad</v>
      </c>
      <c r="E5228" s="6" t="s">
        <v>154</v>
      </c>
      <c r="F5228" s="6" t="s">
        <v>8022</v>
      </c>
      <c r="G5228" s="6" t="s">
        <v>8405</v>
      </c>
      <c r="H5228" s="6" t="s">
        <v>55</v>
      </c>
      <c r="I5228" s="6" t="s">
        <v>8397</v>
      </c>
      <c r="J5228" s="6" t="s">
        <v>154</v>
      </c>
      <c r="K5228" s="12" t="str">
        <f t="shared" si="1425"/>
        <v>View Creative</v>
      </c>
      <c r="L5228" s="6" t="s">
        <v>62</v>
      </c>
      <c r="M5228" s="6" t="s">
        <v>1421</v>
      </c>
      <c r="N5228" s="6"/>
      <c r="O5228" s="36" t="s">
        <v>7541</v>
      </c>
      <c r="P5228" s="36" t="s">
        <v>7542</v>
      </c>
      <c r="Q5228" s="38"/>
    </row>
    <row r="5229">
      <c r="A5229" s="6" t="s">
        <v>1421</v>
      </c>
      <c r="B5229" s="6" t="s">
        <v>8395</v>
      </c>
      <c r="C5229" s="6">
        <v>211.0</v>
      </c>
      <c r="D5229" s="9" t="str">
        <f t="shared" ref="D5229:D5230" si="1426">HYPERLINK("https://www.linkedin.com/ad-library/detail/1443590934","Open Ad")</f>
        <v>Open Ad</v>
      </c>
      <c r="E5229" s="6" t="s">
        <v>91</v>
      </c>
      <c r="F5229" s="6" t="s">
        <v>8022</v>
      </c>
      <c r="G5229" s="6" t="s">
        <v>8486</v>
      </c>
      <c r="H5229" s="6" t="s">
        <v>55</v>
      </c>
      <c r="I5229" s="6" t="s">
        <v>8397</v>
      </c>
      <c r="J5229" s="6" t="s">
        <v>91</v>
      </c>
      <c r="K5229" s="12" t="str">
        <f t="shared" ref="K5229:K5230" si="1427">HYPERLINK("https://media.licdn.com/dms/image/v2/D5610AQHOnPBMBDn-kg/image-shrink_1280/B56Z6U6YEiIAAg-/0/1780614792147?e=2147483647&amp;v=beta&amp;t=GS2Qg9xfwQUv5I572MmpTban6UPa4ZPp_SXoQiC9XGE","View Creative")</f>
        <v>View Creative</v>
      </c>
      <c r="L5229" s="6" t="s">
        <v>62</v>
      </c>
      <c r="M5229" s="6" t="s">
        <v>1421</v>
      </c>
      <c r="N5229" s="6"/>
      <c r="O5229" s="36" t="s">
        <v>7541</v>
      </c>
      <c r="P5229" s="36" t="s">
        <v>7542</v>
      </c>
      <c r="Q5229" s="38"/>
    </row>
    <row r="5230">
      <c r="A5230" s="6" t="s">
        <v>1421</v>
      </c>
      <c r="B5230" s="6" t="s">
        <v>8395</v>
      </c>
      <c r="C5230" s="6">
        <v>212.0</v>
      </c>
      <c r="D5230" s="9" t="str">
        <f t="shared" si="1426"/>
        <v>Open Ad</v>
      </c>
      <c r="E5230" s="6" t="s">
        <v>91</v>
      </c>
      <c r="F5230" s="6" t="s">
        <v>8022</v>
      </c>
      <c r="G5230" s="6" t="s">
        <v>8486</v>
      </c>
      <c r="H5230" s="6" t="s">
        <v>55</v>
      </c>
      <c r="I5230" s="6" t="s">
        <v>8397</v>
      </c>
      <c r="J5230" s="6" t="s">
        <v>91</v>
      </c>
      <c r="K5230" s="12" t="str">
        <f t="shared" si="1427"/>
        <v>View Creative</v>
      </c>
      <c r="L5230" s="6" t="s">
        <v>62</v>
      </c>
      <c r="M5230" s="6" t="s">
        <v>1421</v>
      </c>
      <c r="N5230" s="6"/>
      <c r="O5230" s="36" t="s">
        <v>7541</v>
      </c>
      <c r="P5230" s="36" t="s">
        <v>7542</v>
      </c>
      <c r="Q5230" s="38"/>
    </row>
    <row r="5231">
      <c r="A5231" s="6" t="s">
        <v>1421</v>
      </c>
      <c r="B5231" s="6" t="s">
        <v>8395</v>
      </c>
      <c r="C5231" s="6">
        <v>213.0</v>
      </c>
      <c r="D5231" s="9" t="str">
        <f t="shared" ref="D5231:D5232" si="1428">HYPERLINK("https://www.linkedin.com/ad-library/detail/1445941184","Open Ad")</f>
        <v>Open Ad</v>
      </c>
      <c r="E5231" s="6" t="s">
        <v>154</v>
      </c>
      <c r="F5231" s="6" t="s">
        <v>8022</v>
      </c>
      <c r="G5231" s="6" t="s">
        <v>8433</v>
      </c>
      <c r="H5231" s="6" t="s">
        <v>55</v>
      </c>
      <c r="I5231" s="6" t="s">
        <v>8397</v>
      </c>
      <c r="J5231" s="6" t="s">
        <v>154</v>
      </c>
      <c r="K5231" s="12" t="str">
        <f t="shared" ref="K5231:K5234" si="1429">HYPERLINK("https://dms.licdn.com/playlist/vid/v2/D4E05AQEGh8tNi4vnsA/mp4-640p-30fp-crf28/B4EZ6tF.M.KEBk-/0/1781020496286?e=2147483647&amp;v=beta&amp;t=mmJsN-gluJv_IJ0aHj_-JC8EQkdhozrAfVMFlQMW90o","View Creative")</f>
        <v>View Creative</v>
      </c>
      <c r="L5231" s="6" t="s">
        <v>62</v>
      </c>
      <c r="M5231" s="6" t="s">
        <v>1421</v>
      </c>
      <c r="N5231" s="6"/>
      <c r="O5231" s="36" t="s">
        <v>7541</v>
      </c>
      <c r="P5231" s="36" t="s">
        <v>7542</v>
      </c>
      <c r="Q5231" s="38"/>
    </row>
    <row r="5232">
      <c r="A5232" s="6" t="s">
        <v>1421</v>
      </c>
      <c r="B5232" s="6" t="s">
        <v>8395</v>
      </c>
      <c r="C5232" s="6">
        <v>214.0</v>
      </c>
      <c r="D5232" s="9" t="str">
        <f t="shared" si="1428"/>
        <v>Open Ad</v>
      </c>
      <c r="E5232" s="6" t="s">
        <v>154</v>
      </c>
      <c r="F5232" s="6" t="s">
        <v>8022</v>
      </c>
      <c r="G5232" s="6" t="s">
        <v>8433</v>
      </c>
      <c r="H5232" s="6" t="s">
        <v>55</v>
      </c>
      <c r="I5232" s="6" t="s">
        <v>8397</v>
      </c>
      <c r="J5232" s="6" t="s">
        <v>154</v>
      </c>
      <c r="K5232" s="12" t="str">
        <f t="shared" si="1429"/>
        <v>View Creative</v>
      </c>
      <c r="L5232" s="6" t="s">
        <v>62</v>
      </c>
      <c r="M5232" s="6" t="s">
        <v>1421</v>
      </c>
      <c r="N5232" s="6"/>
      <c r="O5232" s="36" t="s">
        <v>7541</v>
      </c>
      <c r="P5232" s="36" t="s">
        <v>7542</v>
      </c>
      <c r="Q5232" s="38"/>
    </row>
    <row r="5233">
      <c r="A5233" s="6" t="s">
        <v>1421</v>
      </c>
      <c r="B5233" s="6" t="s">
        <v>8395</v>
      </c>
      <c r="C5233" s="6">
        <v>215.0</v>
      </c>
      <c r="D5233" s="9" t="str">
        <f t="shared" ref="D5233:D5234" si="1430">HYPERLINK("https://www.linkedin.com/ad-library/detail/1445769604","Open Ad")</f>
        <v>Open Ad</v>
      </c>
      <c r="E5233" s="6" t="s">
        <v>154</v>
      </c>
      <c r="F5233" s="6" t="s">
        <v>8022</v>
      </c>
      <c r="G5233" s="6" t="s">
        <v>8433</v>
      </c>
      <c r="H5233" s="6" t="s">
        <v>55</v>
      </c>
      <c r="I5233" s="6" t="s">
        <v>8397</v>
      </c>
      <c r="J5233" s="6" t="s">
        <v>154</v>
      </c>
      <c r="K5233" s="12" t="str">
        <f t="shared" si="1429"/>
        <v>View Creative</v>
      </c>
      <c r="L5233" s="6" t="s">
        <v>62</v>
      </c>
      <c r="M5233" s="6" t="s">
        <v>1421</v>
      </c>
      <c r="N5233" s="6"/>
      <c r="O5233" s="36" t="s">
        <v>7541</v>
      </c>
      <c r="P5233" s="36" t="s">
        <v>7542</v>
      </c>
      <c r="Q5233" s="38"/>
    </row>
    <row r="5234">
      <c r="A5234" s="6" t="s">
        <v>1421</v>
      </c>
      <c r="B5234" s="6" t="s">
        <v>8395</v>
      </c>
      <c r="C5234" s="6">
        <v>216.0</v>
      </c>
      <c r="D5234" s="9" t="str">
        <f t="shared" si="1430"/>
        <v>Open Ad</v>
      </c>
      <c r="E5234" s="6" t="s">
        <v>154</v>
      </c>
      <c r="F5234" s="6" t="s">
        <v>8022</v>
      </c>
      <c r="G5234" s="6" t="s">
        <v>8433</v>
      </c>
      <c r="H5234" s="6" t="s">
        <v>55</v>
      </c>
      <c r="I5234" s="6" t="s">
        <v>8397</v>
      </c>
      <c r="J5234" s="6" t="s">
        <v>154</v>
      </c>
      <c r="K5234" s="12" t="str">
        <f t="shared" si="1429"/>
        <v>View Creative</v>
      </c>
      <c r="L5234" s="6" t="s">
        <v>62</v>
      </c>
      <c r="M5234" s="6" t="s">
        <v>1421</v>
      </c>
      <c r="N5234" s="6"/>
      <c r="O5234" s="36" t="s">
        <v>7541</v>
      </c>
      <c r="P5234" s="36" t="s">
        <v>7542</v>
      </c>
      <c r="Q5234" s="38"/>
    </row>
    <row r="5235">
      <c r="A5235" s="6" t="s">
        <v>1421</v>
      </c>
      <c r="B5235" s="6" t="s">
        <v>8395</v>
      </c>
      <c r="C5235" s="6">
        <v>217.0</v>
      </c>
      <c r="D5235" s="9" t="str">
        <f>HYPERLINK("https://www.linkedin.com/ad-library/detail/1443531934","Open Ad")</f>
        <v>Open Ad</v>
      </c>
      <c r="E5235" s="6" t="s">
        <v>52</v>
      </c>
      <c r="F5235" s="6" t="s">
        <v>8022</v>
      </c>
      <c r="G5235" s="6" t="s">
        <v>8492</v>
      </c>
      <c r="H5235" s="6" t="s">
        <v>55</v>
      </c>
      <c r="I5235" s="6" t="s">
        <v>8397</v>
      </c>
      <c r="J5235" s="6" t="s">
        <v>52</v>
      </c>
      <c r="K5235" s="6" t="s">
        <v>60</v>
      </c>
      <c r="L5235" s="6" t="s">
        <v>62</v>
      </c>
      <c r="M5235" s="6" t="s">
        <v>1421</v>
      </c>
      <c r="N5235" s="6"/>
      <c r="O5235" s="36" t="s">
        <v>7541</v>
      </c>
      <c r="P5235" s="36" t="s">
        <v>7542</v>
      </c>
      <c r="Q5235" s="38"/>
    </row>
    <row r="5236">
      <c r="A5236" s="6" t="s">
        <v>1421</v>
      </c>
      <c r="B5236" s="6" t="s">
        <v>8395</v>
      </c>
      <c r="C5236" s="6">
        <v>218.0</v>
      </c>
      <c r="D5236" s="9" t="str">
        <f t="shared" ref="D5236:D5237" si="1431">HYPERLINK("https://www.linkedin.com/ad-library/detail/1446009914","Open Ad")</f>
        <v>Open Ad</v>
      </c>
      <c r="E5236" s="6" t="s">
        <v>154</v>
      </c>
      <c r="F5236" s="6" t="s">
        <v>8022</v>
      </c>
      <c r="G5236" s="6" t="s">
        <v>8488</v>
      </c>
      <c r="H5236" s="6" t="s">
        <v>55</v>
      </c>
      <c r="I5236" s="6" t="s">
        <v>8397</v>
      </c>
      <c r="J5236" s="6" t="s">
        <v>154</v>
      </c>
      <c r="K5236" s="12" t="str">
        <f t="shared" ref="K5236:K5237" si="1432">HYPERLINK("https://dms.licdn.com/playlist/vid/v2/D5605AQEZvFX2YaqEQQ/mp4-640p-30fp-crf28/B56Z6s_F.OIoBk-/0/1781018687734?e=2147483647&amp;v=beta&amp;t=mLQm0llZOTKVDfog8i8LWs_ErB9IeRoX_j_PtJuJ-EI","View Creative")</f>
        <v>View Creative</v>
      </c>
      <c r="L5236" s="6" t="s">
        <v>62</v>
      </c>
      <c r="M5236" s="6" t="s">
        <v>1421</v>
      </c>
      <c r="N5236" s="6"/>
      <c r="O5236" s="36" t="s">
        <v>7541</v>
      </c>
      <c r="P5236" s="36" t="s">
        <v>7542</v>
      </c>
      <c r="Q5236" s="38"/>
    </row>
    <row r="5237">
      <c r="A5237" s="6" t="s">
        <v>1421</v>
      </c>
      <c r="B5237" s="6" t="s">
        <v>8395</v>
      </c>
      <c r="C5237" s="6">
        <v>219.0</v>
      </c>
      <c r="D5237" s="9" t="str">
        <f t="shared" si="1431"/>
        <v>Open Ad</v>
      </c>
      <c r="E5237" s="6" t="s">
        <v>154</v>
      </c>
      <c r="F5237" s="6" t="s">
        <v>8022</v>
      </c>
      <c r="G5237" s="6" t="s">
        <v>8488</v>
      </c>
      <c r="H5237" s="6" t="s">
        <v>55</v>
      </c>
      <c r="I5237" s="6" t="s">
        <v>8397</v>
      </c>
      <c r="J5237" s="6" t="s">
        <v>154</v>
      </c>
      <c r="K5237" s="12" t="str">
        <f t="shared" si="1432"/>
        <v>View Creative</v>
      </c>
      <c r="L5237" s="6" t="s">
        <v>62</v>
      </c>
      <c r="M5237" s="6" t="s">
        <v>1421</v>
      </c>
      <c r="N5237" s="6"/>
      <c r="O5237" s="36" t="s">
        <v>7541</v>
      </c>
      <c r="P5237" s="36" t="s">
        <v>7542</v>
      </c>
      <c r="Q5237" s="38"/>
    </row>
    <row r="5238">
      <c r="A5238" s="6" t="s">
        <v>1421</v>
      </c>
      <c r="B5238" s="6" t="s">
        <v>8395</v>
      </c>
      <c r="C5238" s="6">
        <v>220.0</v>
      </c>
      <c r="D5238" s="9" t="str">
        <f t="shared" ref="D5238:D5239" si="1433">HYPERLINK("https://www.linkedin.com/ad-library/detail/1326909294","Open Ad")</f>
        <v>Open Ad</v>
      </c>
      <c r="E5238" s="6" t="s">
        <v>91</v>
      </c>
      <c r="F5238" s="6" t="s">
        <v>8022</v>
      </c>
      <c r="G5238" s="6" t="s">
        <v>8486</v>
      </c>
      <c r="H5238" s="6" t="s">
        <v>55</v>
      </c>
      <c r="I5238" s="6" t="s">
        <v>8397</v>
      </c>
      <c r="J5238" s="6" t="s">
        <v>91</v>
      </c>
      <c r="K5238" s="12" t="str">
        <f t="shared" ref="K5238:K5239" si="1434">HYPERLINK("https://media.licdn.com/dms/image/v2/D5610AQE7PdWPa9yeqA/image-shrink_1280/B56Z6U59rqHEAc-/0/1780614685609?e=2147483647&amp;v=beta&amp;t=uG-UIzMiCiqEhtDtyUwh4Gp8BEDrmi-peLLFEUFsTOw","View Creative")</f>
        <v>View Creative</v>
      </c>
      <c r="L5238" s="6" t="s">
        <v>62</v>
      </c>
      <c r="M5238" s="6" t="s">
        <v>1421</v>
      </c>
      <c r="N5238" s="6"/>
      <c r="O5238" s="36" t="s">
        <v>7541</v>
      </c>
      <c r="P5238" s="36" t="s">
        <v>7542</v>
      </c>
      <c r="Q5238" s="38"/>
    </row>
    <row r="5239">
      <c r="A5239" s="6" t="s">
        <v>1421</v>
      </c>
      <c r="B5239" s="6" t="s">
        <v>8395</v>
      </c>
      <c r="C5239" s="6">
        <v>221.0</v>
      </c>
      <c r="D5239" s="9" t="str">
        <f t="shared" si="1433"/>
        <v>Open Ad</v>
      </c>
      <c r="E5239" s="6" t="s">
        <v>91</v>
      </c>
      <c r="F5239" s="6" t="s">
        <v>8022</v>
      </c>
      <c r="G5239" s="6" t="s">
        <v>8486</v>
      </c>
      <c r="H5239" s="6" t="s">
        <v>55</v>
      </c>
      <c r="I5239" s="6" t="s">
        <v>8397</v>
      </c>
      <c r="J5239" s="6" t="s">
        <v>91</v>
      </c>
      <c r="K5239" s="12" t="str">
        <f t="shared" si="1434"/>
        <v>View Creative</v>
      </c>
      <c r="L5239" s="6" t="s">
        <v>62</v>
      </c>
      <c r="M5239" s="6" t="s">
        <v>1421</v>
      </c>
      <c r="N5239" s="6"/>
      <c r="O5239" s="36" t="s">
        <v>7541</v>
      </c>
      <c r="P5239" s="36" t="s">
        <v>7542</v>
      </c>
      <c r="Q5239" s="38"/>
    </row>
    <row r="5240">
      <c r="A5240" s="6" t="s">
        <v>1421</v>
      </c>
      <c r="B5240" s="6" t="s">
        <v>8395</v>
      </c>
      <c r="C5240" s="6">
        <v>222.0</v>
      </c>
      <c r="D5240" s="9" t="str">
        <f t="shared" ref="D5240:D5241" si="1435">HYPERLINK("https://www.linkedin.com/ad-library/detail/1443498834","Open Ad")</f>
        <v>Open Ad</v>
      </c>
      <c r="E5240" s="6" t="s">
        <v>91</v>
      </c>
      <c r="F5240" s="6" t="s">
        <v>8022</v>
      </c>
      <c r="G5240" s="6" t="s">
        <v>8482</v>
      </c>
      <c r="H5240" s="6" t="s">
        <v>55</v>
      </c>
      <c r="I5240" s="6" t="s">
        <v>8397</v>
      </c>
      <c r="J5240" s="6" t="s">
        <v>91</v>
      </c>
      <c r="K5240" s="12" t="str">
        <f t="shared" ref="K5240:K5241" si="1436">HYPERLINK("https://media.licdn.com/dms/image/v2/D5610AQEekAT7WaZZFw/image-shrink_1280/B56Z6U6VKOKgAg-/0/1780614781930?e=2147483647&amp;v=beta&amp;t=5FLY6gum4tNUYkc04eVnO7F2CUEAMT0sFdcF810MA6Y","View Creative")</f>
        <v>View Creative</v>
      </c>
      <c r="L5240" s="6" t="s">
        <v>62</v>
      </c>
      <c r="M5240" s="6" t="s">
        <v>1421</v>
      </c>
      <c r="N5240" s="6"/>
      <c r="O5240" s="36" t="s">
        <v>7541</v>
      </c>
      <c r="P5240" s="36" t="s">
        <v>7542</v>
      </c>
      <c r="Q5240" s="38"/>
    </row>
    <row r="5241">
      <c r="A5241" s="6" t="s">
        <v>1421</v>
      </c>
      <c r="B5241" s="6" t="s">
        <v>8395</v>
      </c>
      <c r="C5241" s="6">
        <v>223.0</v>
      </c>
      <c r="D5241" s="9" t="str">
        <f t="shared" si="1435"/>
        <v>Open Ad</v>
      </c>
      <c r="E5241" s="6" t="s">
        <v>91</v>
      </c>
      <c r="F5241" s="6" t="s">
        <v>8022</v>
      </c>
      <c r="G5241" s="6" t="s">
        <v>8482</v>
      </c>
      <c r="H5241" s="6" t="s">
        <v>55</v>
      </c>
      <c r="I5241" s="6" t="s">
        <v>8397</v>
      </c>
      <c r="J5241" s="6" t="s">
        <v>91</v>
      </c>
      <c r="K5241" s="12" t="str">
        <f t="shared" si="1436"/>
        <v>View Creative</v>
      </c>
      <c r="L5241" s="6" t="s">
        <v>62</v>
      </c>
      <c r="M5241" s="6" t="s">
        <v>1421</v>
      </c>
      <c r="N5241" s="6"/>
      <c r="O5241" s="36" t="s">
        <v>7541</v>
      </c>
      <c r="P5241" s="36" t="s">
        <v>7542</v>
      </c>
      <c r="Q5241" s="38"/>
    </row>
    <row r="5242">
      <c r="A5242" s="6" t="s">
        <v>1421</v>
      </c>
      <c r="B5242" s="6" t="s">
        <v>8395</v>
      </c>
      <c r="C5242" s="6">
        <v>224.0</v>
      </c>
      <c r="D5242" s="9" t="str">
        <f t="shared" ref="D5242:D5243" si="1437">HYPERLINK("https://www.linkedin.com/ad-library/detail/1284547004","Open Ad")</f>
        <v>Open Ad</v>
      </c>
      <c r="E5242" s="6" t="s">
        <v>91</v>
      </c>
      <c r="F5242" s="6" t="s">
        <v>8022</v>
      </c>
      <c r="G5242" s="6" t="s">
        <v>8455</v>
      </c>
      <c r="H5242" s="6" t="s">
        <v>8456</v>
      </c>
      <c r="I5242" s="6" t="s">
        <v>8397</v>
      </c>
      <c r="J5242" s="6" t="s">
        <v>91</v>
      </c>
      <c r="K5242" s="12" t="str">
        <f t="shared" ref="K5242:K5243" si="1438">HYPERLINK("https://media.licdn.com/dms/image/sync/v2/D5627AQFX2ttCwROi6A/articleshare-shrink_1280_800/B4DZ5qII2OGcAY-/0/1779896980178?e=2147483647&amp;v=beta&amp;t=DomfkxSKWoO2ZmrEihmo9x_r_hW7O0SH2IY6Ehomuo0","View Creative")</f>
        <v>View Creative</v>
      </c>
      <c r="L5242" s="6" t="s">
        <v>62</v>
      </c>
      <c r="M5242" s="6" t="s">
        <v>1421</v>
      </c>
      <c r="N5242" s="6"/>
      <c r="O5242" s="36" t="s">
        <v>7541</v>
      </c>
      <c r="P5242" s="36" t="s">
        <v>7542</v>
      </c>
      <c r="Q5242" s="38"/>
    </row>
    <row r="5243">
      <c r="A5243" s="6" t="s">
        <v>1421</v>
      </c>
      <c r="B5243" s="6" t="s">
        <v>8395</v>
      </c>
      <c r="C5243" s="6">
        <v>225.0</v>
      </c>
      <c r="D5243" s="9" t="str">
        <f t="shared" si="1437"/>
        <v>Open Ad</v>
      </c>
      <c r="E5243" s="6" t="s">
        <v>91</v>
      </c>
      <c r="F5243" s="6" t="s">
        <v>8022</v>
      </c>
      <c r="G5243" s="6" t="s">
        <v>8455</v>
      </c>
      <c r="H5243" s="6" t="s">
        <v>8456</v>
      </c>
      <c r="I5243" s="6" t="s">
        <v>8397</v>
      </c>
      <c r="J5243" s="6" t="s">
        <v>91</v>
      </c>
      <c r="K5243" s="12" t="str">
        <f t="shared" si="1438"/>
        <v>View Creative</v>
      </c>
      <c r="L5243" s="6" t="s">
        <v>62</v>
      </c>
      <c r="M5243" s="6" t="s">
        <v>1421</v>
      </c>
      <c r="N5243" s="6"/>
      <c r="O5243" s="36" t="s">
        <v>7541</v>
      </c>
      <c r="P5243" s="36" t="s">
        <v>7542</v>
      </c>
      <c r="Q5243" s="38"/>
    </row>
    <row r="5244">
      <c r="A5244" s="6" t="s">
        <v>1421</v>
      </c>
      <c r="B5244" s="6" t="s">
        <v>8395</v>
      </c>
      <c r="C5244" s="6">
        <v>226.0</v>
      </c>
      <c r="D5244" s="9" t="str">
        <f>HYPERLINK("https://www.linkedin.com/ad-library/detail/1443392704","Open Ad")</f>
        <v>Open Ad</v>
      </c>
      <c r="E5244" s="6" t="s">
        <v>52</v>
      </c>
      <c r="F5244" s="6" t="s">
        <v>8022</v>
      </c>
      <c r="G5244" s="6" t="s">
        <v>8483</v>
      </c>
      <c r="H5244" s="6" t="s">
        <v>55</v>
      </c>
      <c r="I5244" s="6" t="s">
        <v>8397</v>
      </c>
      <c r="J5244" s="6" t="s">
        <v>52</v>
      </c>
      <c r="K5244" s="6" t="s">
        <v>60</v>
      </c>
      <c r="L5244" s="6" t="s">
        <v>62</v>
      </c>
      <c r="M5244" s="6" t="s">
        <v>1421</v>
      </c>
      <c r="N5244" s="6"/>
      <c r="O5244" s="36" t="s">
        <v>7541</v>
      </c>
      <c r="P5244" s="36" t="s">
        <v>7542</v>
      </c>
      <c r="Q5244" s="38"/>
    </row>
    <row r="5245">
      <c r="A5245" s="6" t="s">
        <v>1421</v>
      </c>
      <c r="B5245" s="6" t="s">
        <v>8395</v>
      </c>
      <c r="C5245" s="6">
        <v>227.0</v>
      </c>
      <c r="D5245" s="9" t="str">
        <f t="shared" ref="D5245:D5246" si="1439">HYPERLINK("https://www.linkedin.com/ad-library/detail/1285647194","Open Ad")</f>
        <v>Open Ad</v>
      </c>
      <c r="E5245" s="6" t="s">
        <v>91</v>
      </c>
      <c r="F5245" s="6" t="s">
        <v>8022</v>
      </c>
      <c r="G5245" s="6" t="s">
        <v>8455</v>
      </c>
      <c r="H5245" s="6" t="s">
        <v>8456</v>
      </c>
      <c r="I5245" s="6" t="s">
        <v>8397</v>
      </c>
      <c r="J5245" s="6" t="s">
        <v>91</v>
      </c>
      <c r="K5245" s="12" t="str">
        <f t="shared" ref="K5245:K5246" si="1440">HYPERLINK("https://media.licdn.com/dms/image/sync/v2/D5627AQFX2ttCwROi6A/articleshare-shrink_1280_800/B4DZ5qII2OGcAY-/0/1779896980178?e=2147483647&amp;v=beta&amp;t=DomfkxSKWoO2ZmrEihmo9x_r_hW7O0SH2IY6Ehomuo0","View Creative")</f>
        <v>View Creative</v>
      </c>
      <c r="L5245" s="6" t="s">
        <v>62</v>
      </c>
      <c r="M5245" s="6" t="s">
        <v>1421</v>
      </c>
      <c r="N5245" s="6"/>
      <c r="O5245" s="36" t="s">
        <v>7541</v>
      </c>
      <c r="P5245" s="36" t="s">
        <v>7542</v>
      </c>
      <c r="Q5245" s="38"/>
    </row>
    <row r="5246">
      <c r="A5246" s="6" t="s">
        <v>1421</v>
      </c>
      <c r="B5246" s="6" t="s">
        <v>8395</v>
      </c>
      <c r="C5246" s="6">
        <v>228.0</v>
      </c>
      <c r="D5246" s="9" t="str">
        <f t="shared" si="1439"/>
        <v>Open Ad</v>
      </c>
      <c r="E5246" s="6" t="s">
        <v>91</v>
      </c>
      <c r="F5246" s="6" t="s">
        <v>8022</v>
      </c>
      <c r="G5246" s="6" t="s">
        <v>8455</v>
      </c>
      <c r="H5246" s="6" t="s">
        <v>8456</v>
      </c>
      <c r="I5246" s="6" t="s">
        <v>8397</v>
      </c>
      <c r="J5246" s="6" t="s">
        <v>91</v>
      </c>
      <c r="K5246" s="12" t="str">
        <f t="shared" si="1440"/>
        <v>View Creative</v>
      </c>
      <c r="L5246" s="6" t="s">
        <v>62</v>
      </c>
      <c r="M5246" s="6" t="s">
        <v>1421</v>
      </c>
      <c r="N5246" s="6"/>
      <c r="O5246" s="36" t="s">
        <v>7541</v>
      </c>
      <c r="P5246" s="36" t="s">
        <v>7542</v>
      </c>
      <c r="Q5246" s="38"/>
    </row>
    <row r="5247">
      <c r="A5247" s="6" t="s">
        <v>1421</v>
      </c>
      <c r="B5247" s="6" t="s">
        <v>8395</v>
      </c>
      <c r="C5247" s="6">
        <v>229.0</v>
      </c>
      <c r="D5247" s="9" t="str">
        <f>HYPERLINK("https://www.linkedin.com/ad-library/detail/1278286724","Open Ad")</f>
        <v>Open Ad</v>
      </c>
      <c r="E5247" s="6" t="s">
        <v>52</v>
      </c>
      <c r="F5247" s="6" t="s">
        <v>8022</v>
      </c>
      <c r="G5247" s="6" t="s">
        <v>8450</v>
      </c>
      <c r="H5247" s="6" t="s">
        <v>55</v>
      </c>
      <c r="I5247" s="6" t="s">
        <v>8397</v>
      </c>
      <c r="J5247" s="6" t="s">
        <v>52</v>
      </c>
      <c r="K5247" s="6" t="s">
        <v>60</v>
      </c>
      <c r="L5247" s="6" t="s">
        <v>62</v>
      </c>
      <c r="M5247" s="6" t="s">
        <v>1421</v>
      </c>
      <c r="N5247" s="6"/>
      <c r="O5247" s="36" t="s">
        <v>7541</v>
      </c>
      <c r="P5247" s="36" t="s">
        <v>7542</v>
      </c>
      <c r="Q5247" s="38"/>
    </row>
    <row r="5248">
      <c r="A5248" s="6" t="s">
        <v>1421</v>
      </c>
      <c r="B5248" s="6" t="s">
        <v>8395</v>
      </c>
      <c r="C5248" s="6">
        <v>230.0</v>
      </c>
      <c r="D5248" s="9" t="str">
        <f t="shared" ref="D5248:D5249" si="1441">HYPERLINK("https://www.linkedin.com/ad-library/detail/1293091944","Open Ad")</f>
        <v>Open Ad</v>
      </c>
      <c r="E5248" s="6" t="s">
        <v>91</v>
      </c>
      <c r="F5248" s="6" t="s">
        <v>8022</v>
      </c>
      <c r="G5248" s="6" t="s">
        <v>8493</v>
      </c>
      <c r="H5248" s="6" t="s">
        <v>55</v>
      </c>
      <c r="I5248" s="6" t="s">
        <v>8397</v>
      </c>
      <c r="J5248" s="6" t="s">
        <v>91</v>
      </c>
      <c r="K5248" s="12" t="str">
        <f t="shared" ref="K5248:K5249" si="1442">HYPERLINK("https://media.licdn.com/dms/image/v2/D5622AQE-lUbHYpHXSg/feedshare-image-high-res/B56Z399vZxGUAY-/0/1778082314280?e=2147483647&amp;v=beta&amp;t=9BAh-yG_s7EDerbkjK7ytA9N-85KWtWRjF0UB4nqLqY","View Creative")</f>
        <v>View Creative</v>
      </c>
      <c r="L5248" s="6" t="s">
        <v>62</v>
      </c>
      <c r="M5248" s="6" t="s">
        <v>1421</v>
      </c>
      <c r="N5248" s="6"/>
      <c r="O5248" s="36" t="s">
        <v>7541</v>
      </c>
      <c r="P5248" s="36" t="s">
        <v>7542</v>
      </c>
      <c r="Q5248" s="38"/>
    </row>
    <row r="5249">
      <c r="A5249" s="6" t="s">
        <v>1421</v>
      </c>
      <c r="B5249" s="6" t="s">
        <v>8395</v>
      </c>
      <c r="C5249" s="6">
        <v>231.0</v>
      </c>
      <c r="D5249" s="9" t="str">
        <f t="shared" si="1441"/>
        <v>Open Ad</v>
      </c>
      <c r="E5249" s="6" t="s">
        <v>91</v>
      </c>
      <c r="F5249" s="6" t="s">
        <v>8022</v>
      </c>
      <c r="G5249" s="6" t="s">
        <v>8493</v>
      </c>
      <c r="H5249" s="6" t="s">
        <v>55</v>
      </c>
      <c r="I5249" s="6" t="s">
        <v>8397</v>
      </c>
      <c r="J5249" s="6" t="s">
        <v>91</v>
      </c>
      <c r="K5249" s="12" t="str">
        <f t="shared" si="1442"/>
        <v>View Creative</v>
      </c>
      <c r="L5249" s="6" t="s">
        <v>62</v>
      </c>
      <c r="M5249" s="6" t="s">
        <v>1421</v>
      </c>
      <c r="N5249" s="6"/>
      <c r="O5249" s="36" t="s">
        <v>7541</v>
      </c>
      <c r="P5249" s="36" t="s">
        <v>7542</v>
      </c>
      <c r="Q5249" s="38"/>
    </row>
    <row r="5250">
      <c r="A5250" s="6" t="s">
        <v>1421</v>
      </c>
      <c r="B5250" s="6" t="s">
        <v>8395</v>
      </c>
      <c r="C5250" s="6">
        <v>232.0</v>
      </c>
      <c r="D5250" s="9" t="str">
        <f t="shared" ref="D5250:D5251" si="1443">HYPERLINK("https://www.linkedin.com/ad-library/detail/1291992544","Open Ad")</f>
        <v>Open Ad</v>
      </c>
      <c r="E5250" s="6" t="s">
        <v>91</v>
      </c>
      <c r="F5250" s="6" t="s">
        <v>8022</v>
      </c>
      <c r="G5250" s="6" t="s">
        <v>8459</v>
      </c>
      <c r="H5250" s="6" t="s">
        <v>55</v>
      </c>
      <c r="I5250" s="6" t="s">
        <v>8397</v>
      </c>
      <c r="J5250" s="6" t="s">
        <v>91</v>
      </c>
      <c r="K5250" s="12" t="str">
        <f t="shared" ref="K5250:K5251" si="1444">HYPERLINK("https://media.licdn.com/dms/image/v2/D4E22AQEqRE-kod-YWA/feedshare-image-high-res/B4EZ398HAQH0AY-/0/1778081886723?e=2147483647&amp;v=beta&amp;t=-wLfaZ_iT7EOfmS63OLApJHy_G4EAtERfOcUoCcGqoY","View Creative")</f>
        <v>View Creative</v>
      </c>
      <c r="L5250" s="6" t="s">
        <v>62</v>
      </c>
      <c r="M5250" s="6" t="s">
        <v>1421</v>
      </c>
      <c r="N5250" s="6"/>
      <c r="O5250" s="36" t="s">
        <v>7541</v>
      </c>
      <c r="P5250" s="36" t="s">
        <v>7542</v>
      </c>
      <c r="Q5250" s="38"/>
    </row>
    <row r="5251">
      <c r="A5251" s="6" t="s">
        <v>1421</v>
      </c>
      <c r="B5251" s="6" t="s">
        <v>8395</v>
      </c>
      <c r="C5251" s="6">
        <v>233.0</v>
      </c>
      <c r="D5251" s="9" t="str">
        <f t="shared" si="1443"/>
        <v>Open Ad</v>
      </c>
      <c r="E5251" s="6" t="s">
        <v>91</v>
      </c>
      <c r="F5251" s="6" t="s">
        <v>8022</v>
      </c>
      <c r="G5251" s="6" t="s">
        <v>8459</v>
      </c>
      <c r="H5251" s="6" t="s">
        <v>55</v>
      </c>
      <c r="I5251" s="6" t="s">
        <v>8397</v>
      </c>
      <c r="J5251" s="6" t="s">
        <v>91</v>
      </c>
      <c r="K5251" s="12" t="str">
        <f t="shared" si="1444"/>
        <v>View Creative</v>
      </c>
      <c r="L5251" s="6" t="s">
        <v>62</v>
      </c>
      <c r="M5251" s="6" t="s">
        <v>1421</v>
      </c>
      <c r="N5251" s="6"/>
      <c r="O5251" s="36" t="s">
        <v>7541</v>
      </c>
      <c r="P5251" s="36" t="s">
        <v>7542</v>
      </c>
      <c r="Q5251" s="38"/>
    </row>
    <row r="5252">
      <c r="A5252" s="6" t="s">
        <v>1421</v>
      </c>
      <c r="B5252" s="6" t="s">
        <v>8395</v>
      </c>
      <c r="C5252" s="6">
        <v>234.0</v>
      </c>
      <c r="D5252" s="9" t="str">
        <f>HYPERLINK("https://www.linkedin.com/ad-library/detail/1443297654","Open Ad")</f>
        <v>Open Ad</v>
      </c>
      <c r="E5252" s="6" t="s">
        <v>52</v>
      </c>
      <c r="F5252" s="6" t="s">
        <v>8022</v>
      </c>
      <c r="G5252" s="6" t="s">
        <v>8494</v>
      </c>
      <c r="H5252" s="6" t="s">
        <v>55</v>
      </c>
      <c r="I5252" s="6" t="s">
        <v>8397</v>
      </c>
      <c r="J5252" s="6" t="s">
        <v>52</v>
      </c>
      <c r="K5252" s="6" t="s">
        <v>60</v>
      </c>
      <c r="L5252" s="6" t="s">
        <v>62</v>
      </c>
      <c r="M5252" s="6" t="s">
        <v>1421</v>
      </c>
      <c r="N5252" s="6"/>
      <c r="O5252" s="36" t="s">
        <v>7541</v>
      </c>
      <c r="P5252" s="36" t="s">
        <v>7542</v>
      </c>
      <c r="Q5252" s="38"/>
    </row>
    <row r="5253">
      <c r="A5253" s="6" t="s">
        <v>1421</v>
      </c>
      <c r="B5253" s="6" t="s">
        <v>8395</v>
      </c>
      <c r="C5253" s="6">
        <v>235.0</v>
      </c>
      <c r="D5253" s="9" t="str">
        <f>HYPERLINK("https://www.linkedin.com/ad-library/detail/1443297644","Open Ad")</f>
        <v>Open Ad</v>
      </c>
      <c r="E5253" s="6" t="s">
        <v>52</v>
      </c>
      <c r="F5253" s="6" t="s">
        <v>8022</v>
      </c>
      <c r="G5253" s="6" t="s">
        <v>8495</v>
      </c>
      <c r="H5253" s="6" t="s">
        <v>55</v>
      </c>
      <c r="I5253" s="6" t="s">
        <v>8397</v>
      </c>
      <c r="J5253" s="6" t="s">
        <v>52</v>
      </c>
      <c r="K5253" s="6" t="s">
        <v>60</v>
      </c>
      <c r="L5253" s="6" t="s">
        <v>62</v>
      </c>
      <c r="M5253" s="6" t="s">
        <v>1421</v>
      </c>
      <c r="N5253" s="6"/>
      <c r="O5253" s="36" t="s">
        <v>7541</v>
      </c>
      <c r="P5253" s="36" t="s">
        <v>7542</v>
      </c>
      <c r="Q5253" s="38"/>
    </row>
    <row r="5254">
      <c r="A5254" s="6" t="s">
        <v>1421</v>
      </c>
      <c r="B5254" s="6" t="s">
        <v>8395</v>
      </c>
      <c r="C5254" s="6">
        <v>236.0</v>
      </c>
      <c r="D5254" s="9" t="str">
        <f>HYPERLINK("https://www.linkedin.com/ad-library/detail/1249579944","Open Ad")</f>
        <v>Open Ad</v>
      </c>
      <c r="E5254" s="6" t="s">
        <v>52</v>
      </c>
      <c r="F5254" s="6" t="s">
        <v>8022</v>
      </c>
      <c r="G5254" s="6" t="s">
        <v>8496</v>
      </c>
      <c r="H5254" s="6" t="s">
        <v>55</v>
      </c>
      <c r="I5254" s="6" t="s">
        <v>8397</v>
      </c>
      <c r="J5254" s="6" t="s">
        <v>52</v>
      </c>
      <c r="K5254" s="6" t="s">
        <v>60</v>
      </c>
      <c r="L5254" s="6" t="s">
        <v>62</v>
      </c>
      <c r="M5254" s="6" t="s">
        <v>1421</v>
      </c>
      <c r="N5254" s="6"/>
      <c r="O5254" s="36" t="s">
        <v>7541</v>
      </c>
      <c r="P5254" s="36" t="s">
        <v>7542</v>
      </c>
      <c r="Q5254" s="38"/>
    </row>
    <row r="5255">
      <c r="A5255" s="6" t="s">
        <v>1421</v>
      </c>
      <c r="B5255" s="6" t="s">
        <v>8395</v>
      </c>
      <c r="C5255" s="6">
        <v>237.0</v>
      </c>
      <c r="D5255" s="9" t="str">
        <f>HYPERLINK("https://www.linkedin.com/ad-library/detail/1443316594","Open Ad")</f>
        <v>Open Ad</v>
      </c>
      <c r="E5255" s="6" t="s">
        <v>52</v>
      </c>
      <c r="F5255" s="6" t="s">
        <v>8022</v>
      </c>
      <c r="G5255" s="6" t="s">
        <v>8497</v>
      </c>
      <c r="H5255" s="6" t="s">
        <v>55</v>
      </c>
      <c r="I5255" s="6" t="s">
        <v>8397</v>
      </c>
      <c r="J5255" s="6" t="s">
        <v>52</v>
      </c>
      <c r="K5255" s="6" t="s">
        <v>60</v>
      </c>
      <c r="L5255" s="6" t="s">
        <v>62</v>
      </c>
      <c r="M5255" s="6" t="s">
        <v>1421</v>
      </c>
      <c r="N5255" s="6"/>
      <c r="O5255" s="36" t="s">
        <v>7541</v>
      </c>
      <c r="P5255" s="36" t="s">
        <v>7542</v>
      </c>
      <c r="Q5255" s="38"/>
    </row>
    <row r="5256">
      <c r="A5256" s="6" t="s">
        <v>1421</v>
      </c>
      <c r="B5256" s="6" t="s">
        <v>8395</v>
      </c>
      <c r="C5256" s="6">
        <v>238.0</v>
      </c>
      <c r="D5256" s="9" t="str">
        <f t="shared" ref="D5256:D5257" si="1445">HYPERLINK("https://www.linkedin.com/ad-library/detail/1245469494","Open Ad")</f>
        <v>Open Ad</v>
      </c>
      <c r="E5256" s="6" t="s">
        <v>91</v>
      </c>
      <c r="F5256" s="6" t="s">
        <v>8022</v>
      </c>
      <c r="G5256" s="6" t="s">
        <v>8498</v>
      </c>
      <c r="H5256" s="6" t="s">
        <v>55</v>
      </c>
      <c r="I5256" s="6" t="s">
        <v>8397</v>
      </c>
      <c r="J5256" s="6" t="s">
        <v>91</v>
      </c>
      <c r="K5256" s="12" t="str">
        <f t="shared" ref="K5256:K5257" si="1446">HYPERLINK("https://media.licdn.com/dms/image/v2/D5610AQEaosUYGjyP9A/image-shrink_1280/B56Z2SaqUdIQAc-/0/1776277956578?e=2147483647&amp;v=beta&amp;t=0nJ5DaK49lvRE55_dWJKc8VJXT4yIdPpmiifYF4C1i0","View Creative")</f>
        <v>View Creative</v>
      </c>
      <c r="L5256" s="6" t="s">
        <v>62</v>
      </c>
      <c r="M5256" s="6" t="s">
        <v>1421</v>
      </c>
      <c r="N5256" s="6"/>
      <c r="O5256" s="36" t="s">
        <v>7541</v>
      </c>
      <c r="P5256" s="36" t="s">
        <v>7542</v>
      </c>
      <c r="Q5256" s="38"/>
    </row>
    <row r="5257">
      <c r="A5257" s="6" t="s">
        <v>1421</v>
      </c>
      <c r="B5257" s="6" t="s">
        <v>8395</v>
      </c>
      <c r="C5257" s="6">
        <v>239.0</v>
      </c>
      <c r="D5257" s="9" t="str">
        <f t="shared" si="1445"/>
        <v>Open Ad</v>
      </c>
      <c r="E5257" s="6" t="s">
        <v>91</v>
      </c>
      <c r="F5257" s="6" t="s">
        <v>8022</v>
      </c>
      <c r="G5257" s="6" t="s">
        <v>8498</v>
      </c>
      <c r="H5257" s="6" t="s">
        <v>55</v>
      </c>
      <c r="I5257" s="6" t="s">
        <v>8397</v>
      </c>
      <c r="J5257" s="6" t="s">
        <v>91</v>
      </c>
      <c r="K5257" s="12" t="str">
        <f t="shared" si="1446"/>
        <v>View Creative</v>
      </c>
      <c r="L5257" s="6" t="s">
        <v>62</v>
      </c>
      <c r="M5257" s="6" t="s">
        <v>1421</v>
      </c>
      <c r="N5257" s="6"/>
      <c r="O5257" s="36" t="s">
        <v>7541</v>
      </c>
      <c r="P5257" s="36" t="s">
        <v>7542</v>
      </c>
      <c r="Q5257" s="38"/>
    </row>
    <row r="5258">
      <c r="A5258" s="6" t="s">
        <v>1421</v>
      </c>
      <c r="B5258" s="6" t="s">
        <v>8395</v>
      </c>
      <c r="C5258" s="6">
        <v>240.0</v>
      </c>
      <c r="D5258" s="9" t="str">
        <f t="shared" ref="D5258:D5259" si="1447">HYPERLINK("https://www.linkedin.com/ad-library/detail/1294209124","Open Ad")</f>
        <v>Open Ad</v>
      </c>
      <c r="E5258" s="6" t="s">
        <v>154</v>
      </c>
      <c r="F5258" s="6" t="s">
        <v>8022</v>
      </c>
      <c r="G5258" s="6" t="s">
        <v>8432</v>
      </c>
      <c r="H5258" s="6" t="s">
        <v>55</v>
      </c>
      <c r="I5258" s="6" t="s">
        <v>8397</v>
      </c>
      <c r="J5258" s="6" t="s">
        <v>154</v>
      </c>
      <c r="K5258" s="12" t="str">
        <f t="shared" ref="K5258:K5259" si="1448">HYPERLINK("https://dms.licdn.com/playlist/vid/v2/D5605AQEWNe09ZoqOxA/mp4-720p-30fp-crf28/B56Z4h8If4IYB4-/0/1778685879338?e=2147483647&amp;v=beta&amp;t=GcORgHPD11kmTB6xULXOiMdQZ41gwkeyuXn30kkHS1s","View Creative")</f>
        <v>View Creative</v>
      </c>
      <c r="L5258" s="6" t="s">
        <v>62</v>
      </c>
      <c r="M5258" s="6" t="s">
        <v>1421</v>
      </c>
      <c r="N5258" s="6"/>
      <c r="O5258" s="36" t="s">
        <v>7541</v>
      </c>
      <c r="P5258" s="36" t="s">
        <v>7542</v>
      </c>
      <c r="Q5258" s="38"/>
    </row>
    <row r="5259">
      <c r="A5259" s="6" t="s">
        <v>1421</v>
      </c>
      <c r="B5259" s="6" t="s">
        <v>8395</v>
      </c>
      <c r="C5259" s="6">
        <v>241.0</v>
      </c>
      <c r="D5259" s="9" t="str">
        <f t="shared" si="1447"/>
        <v>Open Ad</v>
      </c>
      <c r="E5259" s="6" t="s">
        <v>154</v>
      </c>
      <c r="F5259" s="6" t="s">
        <v>8022</v>
      </c>
      <c r="G5259" s="6" t="s">
        <v>8432</v>
      </c>
      <c r="H5259" s="6" t="s">
        <v>55</v>
      </c>
      <c r="I5259" s="6" t="s">
        <v>8397</v>
      </c>
      <c r="J5259" s="6" t="s">
        <v>154</v>
      </c>
      <c r="K5259" s="12" t="str">
        <f t="shared" si="1448"/>
        <v>View Creative</v>
      </c>
      <c r="L5259" s="6" t="s">
        <v>62</v>
      </c>
      <c r="M5259" s="6" t="s">
        <v>1421</v>
      </c>
      <c r="N5259" s="6"/>
      <c r="O5259" s="36" t="s">
        <v>7541</v>
      </c>
      <c r="P5259" s="36" t="s">
        <v>7542</v>
      </c>
      <c r="Q5259" s="38"/>
    </row>
    <row r="5260">
      <c r="A5260" s="6" t="s">
        <v>1421</v>
      </c>
      <c r="B5260" s="6" t="s">
        <v>8395</v>
      </c>
      <c r="C5260" s="6">
        <v>242.0</v>
      </c>
      <c r="D5260" s="9" t="str">
        <f t="shared" ref="D5260:D5261" si="1449">HYPERLINK("https://www.linkedin.com/ad-library/detail/1294209134","Open Ad")</f>
        <v>Open Ad</v>
      </c>
      <c r="E5260" s="6" t="s">
        <v>154</v>
      </c>
      <c r="F5260" s="6" t="s">
        <v>8022</v>
      </c>
      <c r="G5260" s="6" t="s">
        <v>8499</v>
      </c>
      <c r="H5260" s="6" t="s">
        <v>55</v>
      </c>
      <c r="I5260" s="6" t="s">
        <v>8397</v>
      </c>
      <c r="J5260" s="6" t="s">
        <v>154</v>
      </c>
      <c r="K5260" s="12" t="str">
        <f t="shared" ref="K5260:K5261" si="1450">HYPERLINK("https://dms.licdn.com/playlist/vid/v2/D5605AQGI4ivDWv93JA/mp4-640p-30fp-crf28/B56Z4h.zwpG0Bg-/0/1778686579865?e=2147483647&amp;v=beta&amp;t=tk47JFLNynE8jBU7qlpI5ZoK6pivMIqL4O9zjsmKey4","View Creative")</f>
        <v>View Creative</v>
      </c>
      <c r="L5260" s="6" t="s">
        <v>62</v>
      </c>
      <c r="M5260" s="6" t="s">
        <v>1421</v>
      </c>
      <c r="N5260" s="6"/>
      <c r="O5260" s="36" t="s">
        <v>7541</v>
      </c>
      <c r="P5260" s="36" t="s">
        <v>7542</v>
      </c>
      <c r="Q5260" s="38"/>
    </row>
    <row r="5261">
      <c r="A5261" s="6" t="s">
        <v>1421</v>
      </c>
      <c r="B5261" s="6" t="s">
        <v>8395</v>
      </c>
      <c r="C5261" s="6">
        <v>243.0</v>
      </c>
      <c r="D5261" s="9" t="str">
        <f t="shared" si="1449"/>
        <v>Open Ad</v>
      </c>
      <c r="E5261" s="6" t="s">
        <v>154</v>
      </c>
      <c r="F5261" s="6" t="s">
        <v>8022</v>
      </c>
      <c r="G5261" s="6" t="s">
        <v>8499</v>
      </c>
      <c r="H5261" s="6" t="s">
        <v>55</v>
      </c>
      <c r="I5261" s="6" t="s">
        <v>8397</v>
      </c>
      <c r="J5261" s="6" t="s">
        <v>154</v>
      </c>
      <c r="K5261" s="12" t="str">
        <f t="shared" si="1450"/>
        <v>View Creative</v>
      </c>
      <c r="L5261" s="6" t="s">
        <v>62</v>
      </c>
      <c r="M5261" s="6" t="s">
        <v>1421</v>
      </c>
      <c r="N5261" s="6"/>
      <c r="O5261" s="36" t="s">
        <v>7541</v>
      </c>
      <c r="P5261" s="36" t="s">
        <v>7542</v>
      </c>
      <c r="Q5261" s="38"/>
    </row>
    <row r="5262">
      <c r="A5262" s="6" t="s">
        <v>1421</v>
      </c>
      <c r="B5262" s="6" t="s">
        <v>8395</v>
      </c>
      <c r="C5262" s="6">
        <v>244.0</v>
      </c>
      <c r="D5262" s="9" t="str">
        <f t="shared" ref="D5262:D5263" si="1451">HYPERLINK("https://www.linkedin.com/ad-library/detail/1283587994","Open Ad")</f>
        <v>Open Ad</v>
      </c>
      <c r="E5262" s="6" t="s">
        <v>91</v>
      </c>
      <c r="F5262" s="6" t="s">
        <v>8022</v>
      </c>
      <c r="G5262" s="6" t="s">
        <v>8468</v>
      </c>
      <c r="H5262" s="6" t="s">
        <v>55</v>
      </c>
      <c r="I5262" s="6" t="s">
        <v>8397</v>
      </c>
      <c r="J5262" s="6" t="s">
        <v>91</v>
      </c>
      <c r="K5262" s="12" t="str">
        <f t="shared" ref="K5262:K5263" si="1452">HYPERLINK("https://media.licdn.com/dms/image/v2/D4E22AQEFMpCrbqftKQ/feedshare-shrink_1280/B4EZ2_rdGhKYAM-/0/1777037333903?e=2147483647&amp;v=beta&amp;t=MkS-yo7ZAZhl09hLFYcA5Q88kAALwR2GOxPv6MfaDgY","View Creative")</f>
        <v>View Creative</v>
      </c>
      <c r="L5262" s="6" t="s">
        <v>62</v>
      </c>
      <c r="M5262" s="6" t="s">
        <v>1421</v>
      </c>
      <c r="N5262" s="6"/>
      <c r="O5262" s="36" t="s">
        <v>7541</v>
      </c>
      <c r="P5262" s="36" t="s">
        <v>7542</v>
      </c>
      <c r="Q5262" s="38"/>
    </row>
    <row r="5263">
      <c r="A5263" s="6" t="s">
        <v>1421</v>
      </c>
      <c r="B5263" s="6" t="s">
        <v>8395</v>
      </c>
      <c r="C5263" s="6">
        <v>245.0</v>
      </c>
      <c r="D5263" s="9" t="str">
        <f t="shared" si="1451"/>
        <v>Open Ad</v>
      </c>
      <c r="E5263" s="6" t="s">
        <v>91</v>
      </c>
      <c r="F5263" s="6" t="s">
        <v>8022</v>
      </c>
      <c r="G5263" s="6" t="s">
        <v>8468</v>
      </c>
      <c r="H5263" s="6" t="s">
        <v>55</v>
      </c>
      <c r="I5263" s="6" t="s">
        <v>8397</v>
      </c>
      <c r="J5263" s="6" t="s">
        <v>91</v>
      </c>
      <c r="K5263" s="12" t="str">
        <f t="shared" si="1452"/>
        <v>View Creative</v>
      </c>
      <c r="L5263" s="6" t="s">
        <v>62</v>
      </c>
      <c r="M5263" s="6" t="s">
        <v>1421</v>
      </c>
      <c r="N5263" s="6"/>
      <c r="O5263" s="36" t="s">
        <v>7541</v>
      </c>
      <c r="P5263" s="36" t="s">
        <v>7542</v>
      </c>
      <c r="Q5263" s="38"/>
    </row>
    <row r="5264">
      <c r="A5264" s="6" t="s">
        <v>1421</v>
      </c>
      <c r="B5264" s="6" t="s">
        <v>8395</v>
      </c>
      <c r="C5264" s="6">
        <v>246.0</v>
      </c>
      <c r="D5264" s="9" t="str">
        <f t="shared" ref="D5264:D5265" si="1453">HYPERLINK("https://www.linkedin.com/ad-library/detail/1279410864","Open Ad")</f>
        <v>Open Ad</v>
      </c>
      <c r="E5264" s="6" t="s">
        <v>91</v>
      </c>
      <c r="F5264" s="6" t="s">
        <v>8022</v>
      </c>
      <c r="G5264" s="6" t="s">
        <v>8500</v>
      </c>
      <c r="H5264" s="6" t="s">
        <v>55</v>
      </c>
      <c r="I5264" s="6" t="s">
        <v>8397</v>
      </c>
      <c r="J5264" s="6" t="s">
        <v>91</v>
      </c>
      <c r="K5264" s="12" t="str">
        <f t="shared" ref="K5264:K5265" si="1454">HYPERLINK("https://media.licdn.com/dms/image/v2/D5610AQEHlqpwXP032w/image-shrink_1280/B56Z22eZAmIkAc-/0/1776882914000?e=2147483647&amp;v=beta&amp;t=nd9ZGetcOqLdlb0HRfFiz-JPrvPcQvLe6M65TtVTKKg","View Creative")</f>
        <v>View Creative</v>
      </c>
      <c r="L5264" s="6" t="s">
        <v>62</v>
      </c>
      <c r="M5264" s="6" t="s">
        <v>1421</v>
      </c>
      <c r="N5264" s="6"/>
      <c r="O5264" s="36" t="s">
        <v>7541</v>
      </c>
      <c r="P5264" s="36" t="s">
        <v>7542</v>
      </c>
      <c r="Q5264" s="38"/>
    </row>
    <row r="5265">
      <c r="A5265" s="6" t="s">
        <v>1421</v>
      </c>
      <c r="B5265" s="6" t="s">
        <v>8395</v>
      </c>
      <c r="C5265" s="6">
        <v>247.0</v>
      </c>
      <c r="D5265" s="9" t="str">
        <f t="shared" si="1453"/>
        <v>Open Ad</v>
      </c>
      <c r="E5265" s="6" t="s">
        <v>91</v>
      </c>
      <c r="F5265" s="6" t="s">
        <v>8022</v>
      </c>
      <c r="G5265" s="6" t="s">
        <v>8500</v>
      </c>
      <c r="H5265" s="6" t="s">
        <v>55</v>
      </c>
      <c r="I5265" s="6" t="s">
        <v>8397</v>
      </c>
      <c r="J5265" s="6" t="s">
        <v>91</v>
      </c>
      <c r="K5265" s="12" t="str">
        <f t="shared" si="1454"/>
        <v>View Creative</v>
      </c>
      <c r="L5265" s="6" t="s">
        <v>62</v>
      </c>
      <c r="M5265" s="6" t="s">
        <v>1421</v>
      </c>
      <c r="N5265" s="6"/>
      <c r="O5265" s="36" t="s">
        <v>7541</v>
      </c>
      <c r="P5265" s="36" t="s">
        <v>7542</v>
      </c>
      <c r="Q5265" s="38"/>
    </row>
    <row r="5266">
      <c r="A5266" s="6" t="s">
        <v>1421</v>
      </c>
      <c r="B5266" s="6" t="s">
        <v>8395</v>
      </c>
      <c r="C5266" s="6">
        <v>248.0</v>
      </c>
      <c r="D5266" s="9" t="str">
        <f t="shared" ref="D5266:D5267" si="1455">HYPERLINK("https://www.linkedin.com/ad-library/detail/1277910444","Open Ad")</f>
        <v>Open Ad</v>
      </c>
      <c r="E5266" s="6" t="s">
        <v>91</v>
      </c>
      <c r="F5266" s="6" t="s">
        <v>8022</v>
      </c>
      <c r="G5266" s="6" t="s">
        <v>8501</v>
      </c>
      <c r="H5266" s="6" t="s">
        <v>55</v>
      </c>
      <c r="I5266" s="6" t="s">
        <v>8397</v>
      </c>
      <c r="J5266" s="6" t="s">
        <v>91</v>
      </c>
      <c r="K5266" s="12" t="str">
        <f t="shared" ref="K5266:K5267" si="1456">HYPERLINK("https://media.licdn.com/dms/image/v2/D5610AQErTq3HVYwRtQ/image-shrink_1280/B56Z22efzNJgAc-/0/1776882941436?e=2147483647&amp;v=beta&amp;t=ySPx7uUo5y7GryZF-jSBgTDnAxHQ18b5sMXM-HVSehQ","View Creative")</f>
        <v>View Creative</v>
      </c>
      <c r="L5266" s="6" t="s">
        <v>62</v>
      </c>
      <c r="M5266" s="6" t="s">
        <v>1421</v>
      </c>
      <c r="N5266" s="6"/>
      <c r="O5266" s="36" t="s">
        <v>7541</v>
      </c>
      <c r="P5266" s="36" t="s">
        <v>7542</v>
      </c>
      <c r="Q5266" s="38"/>
    </row>
    <row r="5267">
      <c r="A5267" s="6" t="s">
        <v>1421</v>
      </c>
      <c r="B5267" s="6" t="s">
        <v>8395</v>
      </c>
      <c r="C5267" s="6">
        <v>249.0</v>
      </c>
      <c r="D5267" s="9" t="str">
        <f t="shared" si="1455"/>
        <v>Open Ad</v>
      </c>
      <c r="E5267" s="6" t="s">
        <v>91</v>
      </c>
      <c r="F5267" s="6" t="s">
        <v>8022</v>
      </c>
      <c r="G5267" s="6" t="s">
        <v>8501</v>
      </c>
      <c r="H5267" s="6" t="s">
        <v>55</v>
      </c>
      <c r="I5267" s="6" t="s">
        <v>8397</v>
      </c>
      <c r="J5267" s="6" t="s">
        <v>91</v>
      </c>
      <c r="K5267" s="12" t="str">
        <f t="shared" si="1456"/>
        <v>View Creative</v>
      </c>
      <c r="L5267" s="6" t="s">
        <v>62</v>
      </c>
      <c r="M5267" s="6" t="s">
        <v>1421</v>
      </c>
      <c r="N5267" s="6"/>
      <c r="O5267" s="36" t="s">
        <v>7541</v>
      </c>
      <c r="P5267" s="36" t="s">
        <v>7542</v>
      </c>
      <c r="Q5267" s="38"/>
    </row>
    <row r="5268">
      <c r="A5268" s="6" t="s">
        <v>1421</v>
      </c>
      <c r="B5268" s="6" t="s">
        <v>8395</v>
      </c>
      <c r="C5268" s="6">
        <v>250.0</v>
      </c>
      <c r="D5268" s="9" t="str">
        <f t="shared" ref="D5268:D5269" si="1457">HYPERLINK("https://www.linkedin.com/ad-library/detail/1443297504","Open Ad")</f>
        <v>Open Ad</v>
      </c>
      <c r="E5268" s="6" t="s">
        <v>154</v>
      </c>
      <c r="F5268" s="6" t="s">
        <v>8022</v>
      </c>
      <c r="G5268" s="6" t="s">
        <v>8502</v>
      </c>
      <c r="H5268" s="6" t="s">
        <v>55</v>
      </c>
      <c r="I5268" s="6" t="s">
        <v>8397</v>
      </c>
      <c r="J5268" s="6" t="s">
        <v>154</v>
      </c>
      <c r="K5268" s="12" t="str">
        <f t="shared" ref="K5268:K5269" si="1458">HYPERLINK("https://dms.licdn.com/playlist/vid/v2/D4E05AQGfsN6dg4mj9Q/mp4-640p-30fp-crf28/B4EZ5p1dxwK8B0-/0/1779892088095?e=2147483647&amp;v=beta&amp;t=pGqM9eHnlK3jZ57dSDymwYYlknkSU5niFWUmsYoY2MA","View Creative")</f>
        <v>View Creative</v>
      </c>
      <c r="L5268" s="6" t="s">
        <v>62</v>
      </c>
      <c r="M5268" s="6" t="s">
        <v>1421</v>
      </c>
      <c r="N5268" s="6"/>
      <c r="O5268" s="36" t="s">
        <v>7541</v>
      </c>
      <c r="P5268" s="36" t="s">
        <v>7542</v>
      </c>
      <c r="Q5268" s="38"/>
    </row>
    <row r="5269">
      <c r="A5269" s="6" t="s">
        <v>1421</v>
      </c>
      <c r="B5269" s="6" t="s">
        <v>8395</v>
      </c>
      <c r="C5269" s="6">
        <v>251.0</v>
      </c>
      <c r="D5269" s="9" t="str">
        <f t="shared" si="1457"/>
        <v>Open Ad</v>
      </c>
      <c r="E5269" s="6" t="s">
        <v>154</v>
      </c>
      <c r="F5269" s="6" t="s">
        <v>8022</v>
      </c>
      <c r="G5269" s="6" t="s">
        <v>8502</v>
      </c>
      <c r="H5269" s="6" t="s">
        <v>55</v>
      </c>
      <c r="I5269" s="6" t="s">
        <v>8397</v>
      </c>
      <c r="J5269" s="6" t="s">
        <v>154</v>
      </c>
      <c r="K5269" s="12" t="str">
        <f t="shared" si="1458"/>
        <v>View Creative</v>
      </c>
      <c r="L5269" s="6" t="s">
        <v>62</v>
      </c>
      <c r="M5269" s="6" t="s">
        <v>1421</v>
      </c>
      <c r="N5269" s="6"/>
      <c r="O5269" s="36" t="s">
        <v>7541</v>
      </c>
      <c r="P5269" s="36" t="s">
        <v>7542</v>
      </c>
      <c r="Q5269" s="38"/>
    </row>
    <row r="5270">
      <c r="A5270" s="6" t="s">
        <v>1421</v>
      </c>
      <c r="B5270" s="6" t="s">
        <v>8395</v>
      </c>
      <c r="C5270" s="6">
        <v>252.0</v>
      </c>
      <c r="D5270" s="9" t="str">
        <f t="shared" ref="D5270:D5271" si="1459">HYPERLINK("https://www.linkedin.com/ad-library/detail/1284446034","Open Ad")</f>
        <v>Open Ad</v>
      </c>
      <c r="E5270" s="6" t="s">
        <v>91</v>
      </c>
      <c r="F5270" s="6" t="s">
        <v>8022</v>
      </c>
      <c r="G5270" s="6" t="s">
        <v>8455</v>
      </c>
      <c r="H5270" s="6" t="s">
        <v>8456</v>
      </c>
      <c r="I5270" s="6" t="s">
        <v>8397</v>
      </c>
      <c r="J5270" s="6" t="s">
        <v>91</v>
      </c>
      <c r="K5270" s="12" t="str">
        <f t="shared" ref="K5270:K5271" si="1460">HYPERLINK("https://media.licdn.com/dms/image/sync/v2/D5627AQFX2ttCwROi6A/articleshare-shrink_1280_800/B4DZ5qII2OGcAY-/0/1779896980178?e=2147483647&amp;v=beta&amp;t=DomfkxSKWoO2ZmrEihmo9x_r_hW7O0SH2IY6Ehomuo0","View Creative")</f>
        <v>View Creative</v>
      </c>
      <c r="L5270" s="6" t="s">
        <v>62</v>
      </c>
      <c r="M5270" s="6" t="s">
        <v>1421</v>
      </c>
      <c r="N5270" s="6"/>
      <c r="O5270" s="36" t="s">
        <v>7541</v>
      </c>
      <c r="P5270" s="36" t="s">
        <v>7542</v>
      </c>
      <c r="Q5270" s="38"/>
    </row>
    <row r="5271">
      <c r="A5271" s="6" t="s">
        <v>1421</v>
      </c>
      <c r="B5271" s="6" t="s">
        <v>8395</v>
      </c>
      <c r="C5271" s="6">
        <v>253.0</v>
      </c>
      <c r="D5271" s="9" t="str">
        <f t="shared" si="1459"/>
        <v>Open Ad</v>
      </c>
      <c r="E5271" s="6" t="s">
        <v>91</v>
      </c>
      <c r="F5271" s="6" t="s">
        <v>8022</v>
      </c>
      <c r="G5271" s="6" t="s">
        <v>8455</v>
      </c>
      <c r="H5271" s="6" t="s">
        <v>8456</v>
      </c>
      <c r="I5271" s="6" t="s">
        <v>8397</v>
      </c>
      <c r="J5271" s="6" t="s">
        <v>91</v>
      </c>
      <c r="K5271" s="12" t="str">
        <f t="shared" si="1460"/>
        <v>View Creative</v>
      </c>
      <c r="L5271" s="6" t="s">
        <v>62</v>
      </c>
      <c r="M5271" s="6" t="s">
        <v>1421</v>
      </c>
      <c r="N5271" s="6"/>
      <c r="O5271" s="36" t="s">
        <v>7541</v>
      </c>
      <c r="P5271" s="36" t="s">
        <v>7542</v>
      </c>
      <c r="Q5271" s="38"/>
    </row>
    <row r="5272">
      <c r="A5272" s="6" t="s">
        <v>1421</v>
      </c>
      <c r="B5272" s="6" t="s">
        <v>8395</v>
      </c>
      <c r="C5272" s="6">
        <v>254.0</v>
      </c>
      <c r="D5272" s="9" t="str">
        <f t="shared" ref="D5272:D5273" si="1461">HYPERLINK("https://www.linkedin.com/ad-library/detail/1280796314","Open Ad")</f>
        <v>Open Ad</v>
      </c>
      <c r="E5272" s="6" t="s">
        <v>91</v>
      </c>
      <c r="F5272" s="6" t="s">
        <v>8022</v>
      </c>
      <c r="G5272" s="6" t="s">
        <v>8503</v>
      </c>
      <c r="H5272" s="6" t="s">
        <v>55</v>
      </c>
      <c r="I5272" s="6" t="s">
        <v>8397</v>
      </c>
      <c r="J5272" s="6" t="s">
        <v>91</v>
      </c>
      <c r="K5272" s="12" t="str">
        <f t="shared" ref="K5272:K5273" si="1462">HYPERLINK("https://media.licdn.com/dms/image/v2/D5610AQEbe-fVeB3xNA/image-shrink_1280/B56Z22egQ7G0Ac-/0/1776882943585?e=2147483647&amp;v=beta&amp;t=ilriH7nhbSVakQaHFKo_6m4kDDhjFd0BeARdtgO4Ly0","View Creative")</f>
        <v>View Creative</v>
      </c>
      <c r="L5272" s="6" t="s">
        <v>62</v>
      </c>
      <c r="M5272" s="6" t="s">
        <v>1421</v>
      </c>
      <c r="N5272" s="6"/>
      <c r="O5272" s="36" t="s">
        <v>7541</v>
      </c>
      <c r="P5272" s="36" t="s">
        <v>7542</v>
      </c>
      <c r="Q5272" s="38"/>
    </row>
    <row r="5273">
      <c r="A5273" s="6" t="s">
        <v>1421</v>
      </c>
      <c r="B5273" s="6" t="s">
        <v>8395</v>
      </c>
      <c r="C5273" s="6">
        <v>255.0</v>
      </c>
      <c r="D5273" s="9" t="str">
        <f t="shared" si="1461"/>
        <v>Open Ad</v>
      </c>
      <c r="E5273" s="6" t="s">
        <v>91</v>
      </c>
      <c r="F5273" s="6" t="s">
        <v>8022</v>
      </c>
      <c r="G5273" s="6" t="s">
        <v>8503</v>
      </c>
      <c r="H5273" s="6" t="s">
        <v>55</v>
      </c>
      <c r="I5273" s="6" t="s">
        <v>8397</v>
      </c>
      <c r="J5273" s="6" t="s">
        <v>91</v>
      </c>
      <c r="K5273" s="12" t="str">
        <f t="shared" si="1462"/>
        <v>View Creative</v>
      </c>
      <c r="L5273" s="6" t="s">
        <v>62</v>
      </c>
      <c r="M5273" s="6" t="s">
        <v>1421</v>
      </c>
      <c r="N5273" s="6"/>
      <c r="O5273" s="36" t="s">
        <v>7541</v>
      </c>
      <c r="P5273" s="36" t="s">
        <v>7542</v>
      </c>
      <c r="Q5273" s="38"/>
    </row>
    <row r="5274">
      <c r="A5274" s="6" t="s">
        <v>1421</v>
      </c>
      <c r="B5274" s="6" t="s">
        <v>8395</v>
      </c>
      <c r="C5274" s="6">
        <v>256.0</v>
      </c>
      <c r="D5274" s="9" t="str">
        <f t="shared" ref="D5274:D5275" si="1463">HYPERLINK("https://www.linkedin.com/ad-library/detail/1247280274","Open Ad")</f>
        <v>Open Ad</v>
      </c>
      <c r="E5274" s="6" t="s">
        <v>91</v>
      </c>
      <c r="F5274" s="6" t="s">
        <v>8022</v>
      </c>
      <c r="G5274" s="6" t="s">
        <v>8504</v>
      </c>
      <c r="H5274" s="6" t="s">
        <v>55</v>
      </c>
      <c r="I5274" s="6" t="s">
        <v>8397</v>
      </c>
      <c r="J5274" s="6" t="s">
        <v>91</v>
      </c>
      <c r="K5274" s="12" t="str">
        <f t="shared" ref="K5274:K5275" si="1464">HYPERLINK("https://media.licdn.com/dms/image/v2/D5610AQFpQxhiaOSzfg/image-shrink_1280/B56Z2SasRtKcAk-/0/1776277964169?e=2147483647&amp;v=beta&amp;t=957XlmvdMEaZ8VVITfsraw7uBlQSmCVNennWsDPMVYU","View Creative")</f>
        <v>View Creative</v>
      </c>
      <c r="L5274" s="6" t="s">
        <v>62</v>
      </c>
      <c r="M5274" s="6" t="s">
        <v>1421</v>
      </c>
      <c r="N5274" s="6"/>
      <c r="O5274" s="36" t="s">
        <v>7541</v>
      </c>
      <c r="P5274" s="36" t="s">
        <v>7542</v>
      </c>
      <c r="Q5274" s="38"/>
    </row>
    <row r="5275">
      <c r="A5275" s="6" t="s">
        <v>1421</v>
      </c>
      <c r="B5275" s="6" t="s">
        <v>8395</v>
      </c>
      <c r="C5275" s="6">
        <v>257.0</v>
      </c>
      <c r="D5275" s="9" t="str">
        <f t="shared" si="1463"/>
        <v>Open Ad</v>
      </c>
      <c r="E5275" s="6" t="s">
        <v>91</v>
      </c>
      <c r="F5275" s="6" t="s">
        <v>8022</v>
      </c>
      <c r="G5275" s="6" t="s">
        <v>8504</v>
      </c>
      <c r="H5275" s="6" t="s">
        <v>55</v>
      </c>
      <c r="I5275" s="6" t="s">
        <v>8397</v>
      </c>
      <c r="J5275" s="6" t="s">
        <v>91</v>
      </c>
      <c r="K5275" s="12" t="str">
        <f t="shared" si="1464"/>
        <v>View Creative</v>
      </c>
      <c r="L5275" s="6" t="s">
        <v>62</v>
      </c>
      <c r="M5275" s="6" t="s">
        <v>1421</v>
      </c>
      <c r="N5275" s="6"/>
      <c r="O5275" s="36" t="s">
        <v>7541</v>
      </c>
      <c r="P5275" s="36" t="s">
        <v>7542</v>
      </c>
      <c r="Q5275" s="38"/>
    </row>
    <row r="5276">
      <c r="A5276" s="6" t="s">
        <v>1421</v>
      </c>
      <c r="B5276" s="6" t="s">
        <v>8395</v>
      </c>
      <c r="C5276" s="6">
        <v>258.0</v>
      </c>
      <c r="D5276" s="9" t="str">
        <f>HYPERLINK("https://www.linkedin.com/ad-library/detail/1333597374","Open Ad")</f>
        <v>Open Ad</v>
      </c>
      <c r="E5276" s="6" t="s">
        <v>52</v>
      </c>
      <c r="F5276" s="6" t="s">
        <v>8022</v>
      </c>
      <c r="G5276" s="6" t="s">
        <v>8487</v>
      </c>
      <c r="H5276" s="6" t="s">
        <v>55</v>
      </c>
      <c r="I5276" s="6" t="s">
        <v>8397</v>
      </c>
      <c r="J5276" s="6" t="s">
        <v>52</v>
      </c>
      <c r="K5276" s="6" t="s">
        <v>60</v>
      </c>
      <c r="L5276" s="6" t="s">
        <v>62</v>
      </c>
      <c r="M5276" s="6" t="s">
        <v>1421</v>
      </c>
      <c r="N5276" s="6"/>
      <c r="O5276" s="36" t="s">
        <v>7541</v>
      </c>
      <c r="P5276" s="36" t="s">
        <v>7542</v>
      </c>
      <c r="Q5276" s="38"/>
    </row>
    <row r="5277">
      <c r="A5277" s="6" t="s">
        <v>1421</v>
      </c>
      <c r="B5277" s="6" t="s">
        <v>8395</v>
      </c>
      <c r="C5277" s="6">
        <v>259.0</v>
      </c>
      <c r="D5277" s="9" t="str">
        <f t="shared" ref="D5277:D5278" si="1465">HYPERLINK("https://www.linkedin.com/ad-library/detail/1320689944","Open Ad")</f>
        <v>Open Ad</v>
      </c>
      <c r="E5277" s="6" t="s">
        <v>154</v>
      </c>
      <c r="F5277" s="6" t="s">
        <v>8022</v>
      </c>
      <c r="G5277" s="6" t="s">
        <v>8502</v>
      </c>
      <c r="H5277" s="6" t="s">
        <v>55</v>
      </c>
      <c r="I5277" s="6" t="s">
        <v>8397</v>
      </c>
      <c r="J5277" s="6" t="s">
        <v>154</v>
      </c>
      <c r="K5277" s="12" t="str">
        <f t="shared" ref="K5277:K5278" si="1466">HYPERLINK("https://dms.licdn.com/playlist/vid/v2/D4E05AQGfsN6dg4mj9Q/mp4-640p-30fp-crf28/B4EZ5p1dxwK8B0-/0/1779892088095?e=2147483647&amp;v=beta&amp;t=pGqM9eHnlK3jZ57dSDymwYYlknkSU5niFWUmsYoY2MA","View Creative")</f>
        <v>View Creative</v>
      </c>
      <c r="L5277" s="6" t="s">
        <v>62</v>
      </c>
      <c r="M5277" s="6" t="s">
        <v>1421</v>
      </c>
      <c r="N5277" s="6"/>
      <c r="O5277" s="36" t="s">
        <v>7541</v>
      </c>
      <c r="P5277" s="36" t="s">
        <v>7542</v>
      </c>
      <c r="Q5277" s="38"/>
    </row>
    <row r="5278">
      <c r="A5278" s="6" t="s">
        <v>1421</v>
      </c>
      <c r="B5278" s="6" t="s">
        <v>8395</v>
      </c>
      <c r="C5278" s="6">
        <v>260.0</v>
      </c>
      <c r="D5278" s="9" t="str">
        <f t="shared" si="1465"/>
        <v>Open Ad</v>
      </c>
      <c r="E5278" s="6" t="s">
        <v>154</v>
      </c>
      <c r="F5278" s="6" t="s">
        <v>8022</v>
      </c>
      <c r="G5278" s="6" t="s">
        <v>8502</v>
      </c>
      <c r="H5278" s="6" t="s">
        <v>55</v>
      </c>
      <c r="I5278" s="6" t="s">
        <v>8397</v>
      </c>
      <c r="J5278" s="6" t="s">
        <v>154</v>
      </c>
      <c r="K5278" s="12" t="str">
        <f t="shared" si="1466"/>
        <v>View Creative</v>
      </c>
      <c r="L5278" s="6" t="s">
        <v>62</v>
      </c>
      <c r="M5278" s="6" t="s">
        <v>1421</v>
      </c>
      <c r="N5278" s="6"/>
      <c r="O5278" s="36" t="s">
        <v>7541</v>
      </c>
      <c r="P5278" s="36" t="s">
        <v>7542</v>
      </c>
      <c r="Q5278" s="38"/>
    </row>
    <row r="5279">
      <c r="A5279" s="6" t="s">
        <v>1421</v>
      </c>
      <c r="B5279" s="6" t="s">
        <v>8395</v>
      </c>
      <c r="C5279" s="6">
        <v>261.0</v>
      </c>
      <c r="D5279" s="9" t="str">
        <f>HYPERLINK("https://www.linkedin.com/ad-library/detail/1278043814","Open Ad")</f>
        <v>Open Ad</v>
      </c>
      <c r="E5279" s="6" t="s">
        <v>52</v>
      </c>
      <c r="F5279" s="6" t="s">
        <v>8022</v>
      </c>
      <c r="G5279" s="6" t="s">
        <v>8458</v>
      </c>
      <c r="H5279" s="6" t="s">
        <v>55</v>
      </c>
      <c r="I5279" s="6" t="s">
        <v>8397</v>
      </c>
      <c r="J5279" s="6" t="s">
        <v>52</v>
      </c>
      <c r="K5279" s="6" t="s">
        <v>60</v>
      </c>
      <c r="L5279" s="6" t="s">
        <v>62</v>
      </c>
      <c r="M5279" s="6" t="s">
        <v>1421</v>
      </c>
      <c r="N5279" s="6"/>
      <c r="O5279" s="36" t="s">
        <v>7541</v>
      </c>
      <c r="P5279" s="36" t="s">
        <v>7542</v>
      </c>
      <c r="Q5279" s="38"/>
    </row>
    <row r="5280">
      <c r="A5280" s="6" t="s">
        <v>1421</v>
      </c>
      <c r="B5280" s="6" t="s">
        <v>8395</v>
      </c>
      <c r="C5280" s="6">
        <v>262.0</v>
      </c>
      <c r="D5280" s="9" t="str">
        <f t="shared" ref="D5280:D5281" si="1467">HYPERLINK("https://www.linkedin.com/ad-library/detail/1278809724","Open Ad")</f>
        <v>Open Ad</v>
      </c>
      <c r="E5280" s="6" t="s">
        <v>91</v>
      </c>
      <c r="F5280" s="6" t="s">
        <v>8022</v>
      </c>
      <c r="G5280" s="6" t="s">
        <v>8505</v>
      </c>
      <c r="H5280" s="6" t="s">
        <v>55</v>
      </c>
      <c r="I5280" s="6" t="s">
        <v>8397</v>
      </c>
      <c r="J5280" s="6" t="s">
        <v>91</v>
      </c>
      <c r="K5280" s="12" t="str">
        <f t="shared" ref="K5280:K5281" si="1468">HYPERLINK("https://media.licdn.com/dms/image/v2/D5610AQEi47RRAZgb1Q/image-shrink_1280/B56Z22eZfSKIAc-/0/1776882915969?e=2147483647&amp;v=beta&amp;t=GQ-MdQrf2zhF7kfmGFUZdx2tLMryJq-7SK_Jd9QSmEU","View Creative")</f>
        <v>View Creative</v>
      </c>
      <c r="L5280" s="6" t="s">
        <v>62</v>
      </c>
      <c r="M5280" s="6" t="s">
        <v>1421</v>
      </c>
      <c r="N5280" s="6"/>
      <c r="O5280" s="36" t="s">
        <v>7541</v>
      </c>
      <c r="P5280" s="36" t="s">
        <v>7542</v>
      </c>
      <c r="Q5280" s="38"/>
    </row>
    <row r="5281">
      <c r="A5281" s="6" t="s">
        <v>1421</v>
      </c>
      <c r="B5281" s="6" t="s">
        <v>8395</v>
      </c>
      <c r="C5281" s="6">
        <v>263.0</v>
      </c>
      <c r="D5281" s="9" t="str">
        <f t="shared" si="1467"/>
        <v>Open Ad</v>
      </c>
      <c r="E5281" s="6" t="s">
        <v>91</v>
      </c>
      <c r="F5281" s="6" t="s">
        <v>8022</v>
      </c>
      <c r="G5281" s="6" t="s">
        <v>8505</v>
      </c>
      <c r="H5281" s="6" t="s">
        <v>55</v>
      </c>
      <c r="I5281" s="6" t="s">
        <v>8397</v>
      </c>
      <c r="J5281" s="6" t="s">
        <v>91</v>
      </c>
      <c r="K5281" s="12" t="str">
        <f t="shared" si="1468"/>
        <v>View Creative</v>
      </c>
      <c r="L5281" s="6" t="s">
        <v>62</v>
      </c>
      <c r="M5281" s="6" t="s">
        <v>1421</v>
      </c>
      <c r="N5281" s="6"/>
      <c r="O5281" s="36" t="s">
        <v>7541</v>
      </c>
      <c r="P5281" s="36" t="s">
        <v>7542</v>
      </c>
      <c r="Q5281" s="38"/>
    </row>
    <row r="5282">
      <c r="A5282" s="6" t="s">
        <v>1421</v>
      </c>
      <c r="B5282" s="6" t="s">
        <v>8395</v>
      </c>
      <c r="C5282" s="6">
        <v>264.0</v>
      </c>
      <c r="D5282" s="9" t="str">
        <f>HYPERLINK("https://www.linkedin.com/ad-library/detail/1246845984","Open Ad")</f>
        <v>Open Ad</v>
      </c>
      <c r="E5282" s="6" t="s">
        <v>52</v>
      </c>
      <c r="F5282" s="6" t="s">
        <v>8022</v>
      </c>
      <c r="G5282" s="6" t="s">
        <v>8411</v>
      </c>
      <c r="H5282" s="6" t="s">
        <v>55</v>
      </c>
      <c r="I5282" s="6" t="s">
        <v>8397</v>
      </c>
      <c r="J5282" s="6" t="s">
        <v>52</v>
      </c>
      <c r="K5282" s="6" t="s">
        <v>60</v>
      </c>
      <c r="L5282" s="6" t="s">
        <v>62</v>
      </c>
      <c r="M5282" s="6" t="s">
        <v>1421</v>
      </c>
      <c r="N5282" s="6"/>
      <c r="O5282" s="36" t="s">
        <v>7541</v>
      </c>
      <c r="P5282" s="36" t="s">
        <v>7542</v>
      </c>
      <c r="Q5282" s="38"/>
    </row>
    <row r="5283">
      <c r="A5283" s="6" t="s">
        <v>1421</v>
      </c>
      <c r="B5283" s="6" t="s">
        <v>8395</v>
      </c>
      <c r="C5283" s="6">
        <v>265.0</v>
      </c>
      <c r="D5283" s="9" t="str">
        <f t="shared" ref="D5283:D5285" si="1469">HYPERLINK("https://www.linkedin.com/ad-library/detail/1245081274","Open Ad")</f>
        <v>Open Ad</v>
      </c>
      <c r="E5283" s="6" t="s">
        <v>52</v>
      </c>
      <c r="F5283" s="6" t="s">
        <v>8022</v>
      </c>
      <c r="G5283" s="6" t="s">
        <v>8506</v>
      </c>
      <c r="H5283" s="6" t="s">
        <v>55</v>
      </c>
      <c r="I5283" s="6" t="s">
        <v>8397</v>
      </c>
      <c r="J5283" s="6" t="s">
        <v>52</v>
      </c>
      <c r="K5283" s="6" t="s">
        <v>60</v>
      </c>
      <c r="L5283" s="6" t="s">
        <v>62</v>
      </c>
      <c r="M5283" s="6" t="s">
        <v>1421</v>
      </c>
      <c r="N5283" s="6"/>
      <c r="O5283" s="36" t="s">
        <v>7541</v>
      </c>
      <c r="P5283" s="36" t="s">
        <v>7542</v>
      </c>
      <c r="Q5283" s="38"/>
    </row>
    <row r="5284">
      <c r="A5284" s="6" t="s">
        <v>1421</v>
      </c>
      <c r="B5284" s="6" t="s">
        <v>8395</v>
      </c>
      <c r="C5284" s="6">
        <v>266.0</v>
      </c>
      <c r="D5284" s="9" t="str">
        <f t="shared" si="1469"/>
        <v>Open Ad</v>
      </c>
      <c r="E5284" s="6" t="s">
        <v>52</v>
      </c>
      <c r="F5284" s="6" t="s">
        <v>8022</v>
      </c>
      <c r="G5284" s="6" t="s">
        <v>8506</v>
      </c>
      <c r="H5284" s="6" t="s">
        <v>55</v>
      </c>
      <c r="I5284" s="6" t="s">
        <v>8397</v>
      </c>
      <c r="J5284" s="6" t="s">
        <v>52</v>
      </c>
      <c r="K5284" s="6" t="s">
        <v>60</v>
      </c>
      <c r="L5284" s="6" t="s">
        <v>62</v>
      </c>
      <c r="M5284" s="6" t="s">
        <v>1421</v>
      </c>
      <c r="N5284" s="6"/>
      <c r="O5284" s="36" t="s">
        <v>7541</v>
      </c>
      <c r="P5284" s="36" t="s">
        <v>7542</v>
      </c>
      <c r="Q5284" s="38"/>
    </row>
    <row r="5285">
      <c r="A5285" s="6" t="s">
        <v>1421</v>
      </c>
      <c r="B5285" s="6" t="s">
        <v>8395</v>
      </c>
      <c r="C5285" s="6">
        <v>267.0</v>
      </c>
      <c r="D5285" s="9" t="str">
        <f t="shared" si="1469"/>
        <v>Open Ad</v>
      </c>
      <c r="E5285" s="6" t="s">
        <v>52</v>
      </c>
      <c r="F5285" s="6" t="s">
        <v>8022</v>
      </c>
      <c r="G5285" s="6" t="s">
        <v>8506</v>
      </c>
      <c r="H5285" s="6" t="s">
        <v>55</v>
      </c>
      <c r="I5285" s="6" t="s">
        <v>8397</v>
      </c>
      <c r="J5285" s="6" t="s">
        <v>52</v>
      </c>
      <c r="K5285" s="6" t="s">
        <v>60</v>
      </c>
      <c r="L5285" s="6" t="s">
        <v>62</v>
      </c>
      <c r="M5285" s="6" t="s">
        <v>1421</v>
      </c>
      <c r="N5285" s="6"/>
      <c r="O5285" s="36" t="s">
        <v>7541</v>
      </c>
      <c r="P5285" s="36" t="s">
        <v>7542</v>
      </c>
      <c r="Q5285" s="38"/>
    </row>
    <row r="5286">
      <c r="A5286" s="6" t="s">
        <v>1421</v>
      </c>
      <c r="B5286" s="6" t="s">
        <v>8395</v>
      </c>
      <c r="C5286" s="6">
        <v>268.0</v>
      </c>
      <c r="D5286" s="9" t="str">
        <f t="shared" ref="D5286:D5288" si="1470">HYPERLINK("https://www.linkedin.com/ad-library/detail/1240460374","Open Ad")</f>
        <v>Open Ad</v>
      </c>
      <c r="E5286" s="6" t="s">
        <v>52</v>
      </c>
      <c r="F5286" s="6" t="s">
        <v>8022</v>
      </c>
      <c r="G5286" s="6" t="s">
        <v>8507</v>
      </c>
      <c r="H5286" s="6" t="s">
        <v>55</v>
      </c>
      <c r="I5286" s="6" t="s">
        <v>8397</v>
      </c>
      <c r="J5286" s="6" t="s">
        <v>52</v>
      </c>
      <c r="K5286" s="6" t="s">
        <v>60</v>
      </c>
      <c r="L5286" s="6" t="s">
        <v>62</v>
      </c>
      <c r="M5286" s="6" t="s">
        <v>1421</v>
      </c>
      <c r="N5286" s="6"/>
      <c r="O5286" s="36" t="s">
        <v>7541</v>
      </c>
      <c r="P5286" s="36" t="s">
        <v>7542</v>
      </c>
      <c r="Q5286" s="38"/>
    </row>
    <row r="5287">
      <c r="A5287" s="6" t="s">
        <v>1421</v>
      </c>
      <c r="B5287" s="6" t="s">
        <v>8395</v>
      </c>
      <c r="C5287" s="6">
        <v>269.0</v>
      </c>
      <c r="D5287" s="9" t="str">
        <f t="shared" si="1470"/>
        <v>Open Ad</v>
      </c>
      <c r="E5287" s="6" t="s">
        <v>52</v>
      </c>
      <c r="F5287" s="6" t="s">
        <v>8022</v>
      </c>
      <c r="G5287" s="6" t="s">
        <v>8507</v>
      </c>
      <c r="H5287" s="6" t="s">
        <v>55</v>
      </c>
      <c r="I5287" s="6" t="s">
        <v>8397</v>
      </c>
      <c r="J5287" s="6" t="s">
        <v>52</v>
      </c>
      <c r="K5287" s="6" t="s">
        <v>60</v>
      </c>
      <c r="L5287" s="6" t="s">
        <v>62</v>
      </c>
      <c r="M5287" s="6" t="s">
        <v>1421</v>
      </c>
      <c r="N5287" s="6"/>
      <c r="O5287" s="36" t="s">
        <v>7541</v>
      </c>
      <c r="P5287" s="36" t="s">
        <v>7542</v>
      </c>
      <c r="Q5287" s="38"/>
    </row>
    <row r="5288">
      <c r="A5288" s="6" t="s">
        <v>1421</v>
      </c>
      <c r="B5288" s="6" t="s">
        <v>8395</v>
      </c>
      <c r="C5288" s="6">
        <v>270.0</v>
      </c>
      <c r="D5288" s="9" t="str">
        <f t="shared" si="1470"/>
        <v>Open Ad</v>
      </c>
      <c r="E5288" s="6" t="s">
        <v>52</v>
      </c>
      <c r="F5288" s="6" t="s">
        <v>8022</v>
      </c>
      <c r="G5288" s="6" t="s">
        <v>8507</v>
      </c>
      <c r="H5288" s="6" t="s">
        <v>55</v>
      </c>
      <c r="I5288" s="6" t="s">
        <v>8397</v>
      </c>
      <c r="J5288" s="6" t="s">
        <v>52</v>
      </c>
      <c r="K5288" s="6" t="s">
        <v>60</v>
      </c>
      <c r="L5288" s="6" t="s">
        <v>62</v>
      </c>
      <c r="M5288" s="6" t="s">
        <v>1421</v>
      </c>
      <c r="N5288" s="6"/>
      <c r="O5288" s="36" t="s">
        <v>7541</v>
      </c>
      <c r="P5288" s="36" t="s">
        <v>7542</v>
      </c>
      <c r="Q5288" s="38"/>
    </row>
    <row r="5289">
      <c r="A5289" s="6" t="s">
        <v>1421</v>
      </c>
      <c r="B5289" s="6" t="s">
        <v>8395</v>
      </c>
      <c r="C5289" s="6">
        <v>271.0</v>
      </c>
      <c r="D5289" s="9" t="str">
        <f t="shared" ref="D5289:D5290" si="1471">HYPERLINK("https://www.linkedin.com/ad-library/detail/1244072914","Open Ad")</f>
        <v>Open Ad</v>
      </c>
      <c r="E5289" s="6" t="s">
        <v>91</v>
      </c>
      <c r="F5289" s="6" t="s">
        <v>8022</v>
      </c>
      <c r="G5289" s="6" t="s">
        <v>8508</v>
      </c>
      <c r="H5289" s="6" t="s">
        <v>55</v>
      </c>
      <c r="I5289" s="6" t="s">
        <v>8397</v>
      </c>
      <c r="J5289" s="6" t="s">
        <v>91</v>
      </c>
      <c r="K5289" s="12" t="str">
        <f t="shared" ref="K5289:K5290" si="1472">HYPERLINK("https://media.licdn.com/dms/image/v2/D5610AQHGxD4NmbwksQ/image-shrink_1280/B56Z2SagVGHEAg-/0/1776277915233?e=2147483647&amp;v=beta&amp;t=m1rx6vJl-YLhSgMPslSxKKEUBKcqhih73vP96HxJ0zk","View Creative")</f>
        <v>View Creative</v>
      </c>
      <c r="L5289" s="6" t="s">
        <v>62</v>
      </c>
      <c r="M5289" s="6" t="s">
        <v>1421</v>
      </c>
      <c r="N5289" s="6"/>
      <c r="O5289" s="36" t="s">
        <v>7541</v>
      </c>
      <c r="P5289" s="36" t="s">
        <v>7542</v>
      </c>
      <c r="Q5289" s="38"/>
    </row>
    <row r="5290">
      <c r="A5290" s="6" t="s">
        <v>1421</v>
      </c>
      <c r="B5290" s="6" t="s">
        <v>8395</v>
      </c>
      <c r="C5290" s="6">
        <v>272.0</v>
      </c>
      <c r="D5290" s="9" t="str">
        <f t="shared" si="1471"/>
        <v>Open Ad</v>
      </c>
      <c r="E5290" s="6" t="s">
        <v>91</v>
      </c>
      <c r="F5290" s="6" t="s">
        <v>8022</v>
      </c>
      <c r="G5290" s="6" t="s">
        <v>8508</v>
      </c>
      <c r="H5290" s="6" t="s">
        <v>55</v>
      </c>
      <c r="I5290" s="6" t="s">
        <v>8397</v>
      </c>
      <c r="J5290" s="6" t="s">
        <v>91</v>
      </c>
      <c r="K5290" s="12" t="str">
        <f t="shared" si="1472"/>
        <v>View Creative</v>
      </c>
      <c r="L5290" s="6" t="s">
        <v>62</v>
      </c>
      <c r="M5290" s="6" t="s">
        <v>1421</v>
      </c>
      <c r="N5290" s="6"/>
      <c r="O5290" s="36" t="s">
        <v>7541</v>
      </c>
      <c r="P5290" s="36" t="s">
        <v>7542</v>
      </c>
      <c r="Q5290" s="38"/>
    </row>
    <row r="5291">
      <c r="A5291" s="6" t="s">
        <v>1421</v>
      </c>
      <c r="B5291" s="6" t="s">
        <v>8395</v>
      </c>
      <c r="C5291" s="6">
        <v>273.0</v>
      </c>
      <c r="D5291" s="9" t="str">
        <f>HYPERLINK("https://www.linkedin.com/ad-library/detail/1241812184","Open Ad")</f>
        <v>Open Ad</v>
      </c>
      <c r="E5291" s="6" t="s">
        <v>52</v>
      </c>
      <c r="F5291" s="6" t="s">
        <v>8022</v>
      </c>
      <c r="G5291" s="6" t="s">
        <v>8509</v>
      </c>
      <c r="H5291" s="6" t="s">
        <v>55</v>
      </c>
      <c r="I5291" s="6" t="s">
        <v>8397</v>
      </c>
      <c r="J5291" s="6" t="s">
        <v>52</v>
      </c>
      <c r="K5291" s="6" t="s">
        <v>60</v>
      </c>
      <c r="L5291" s="6" t="s">
        <v>62</v>
      </c>
      <c r="M5291" s="6" t="s">
        <v>1421</v>
      </c>
      <c r="N5291" s="6"/>
      <c r="O5291" s="36" t="s">
        <v>7541</v>
      </c>
      <c r="P5291" s="36" t="s">
        <v>7542</v>
      </c>
      <c r="Q5291" s="38"/>
    </row>
    <row r="5292">
      <c r="A5292" s="6" t="s">
        <v>1421</v>
      </c>
      <c r="B5292" s="6" t="s">
        <v>8395</v>
      </c>
      <c r="C5292" s="6">
        <v>274.0</v>
      </c>
      <c r="D5292" s="9" t="str">
        <f t="shared" ref="D5292:D5293" si="1473">HYPERLINK("https://www.linkedin.com/ad-library/detail/1246897714","Open Ad")</f>
        <v>Open Ad</v>
      </c>
      <c r="E5292" s="6" t="s">
        <v>91</v>
      </c>
      <c r="F5292" s="6" t="s">
        <v>8022</v>
      </c>
      <c r="G5292" s="6" t="s">
        <v>8452</v>
      </c>
      <c r="H5292" s="6" t="s">
        <v>55</v>
      </c>
      <c r="I5292" s="6" t="s">
        <v>8397</v>
      </c>
      <c r="J5292" s="6" t="s">
        <v>91</v>
      </c>
      <c r="K5292" s="12" t="str">
        <f t="shared" ref="K5292:K5293" si="1474">HYPERLINK("https://media.licdn.com/dms/image/v2/D4E22AQEe6Kn8FzbO6A/feedshare-image-high-res/B4EZ1oq9ZZJEAU-/0/1775577585791?e=2147483647&amp;v=beta&amp;t=bKCZ4NWsxF52e0yGjdDUpw3Ba3gvRDYiO-A21-3uLr8","View Creative")</f>
        <v>View Creative</v>
      </c>
      <c r="L5292" s="6" t="s">
        <v>62</v>
      </c>
      <c r="M5292" s="6" t="s">
        <v>1421</v>
      </c>
      <c r="N5292" s="6"/>
      <c r="O5292" s="36" t="s">
        <v>7541</v>
      </c>
      <c r="P5292" s="36" t="s">
        <v>7542</v>
      </c>
      <c r="Q5292" s="38"/>
    </row>
    <row r="5293">
      <c r="A5293" s="6" t="s">
        <v>1421</v>
      </c>
      <c r="B5293" s="6" t="s">
        <v>8395</v>
      </c>
      <c r="C5293" s="6">
        <v>275.0</v>
      </c>
      <c r="D5293" s="9" t="str">
        <f t="shared" si="1473"/>
        <v>Open Ad</v>
      </c>
      <c r="E5293" s="6" t="s">
        <v>91</v>
      </c>
      <c r="F5293" s="6" t="s">
        <v>8022</v>
      </c>
      <c r="G5293" s="6" t="s">
        <v>8452</v>
      </c>
      <c r="H5293" s="6" t="s">
        <v>55</v>
      </c>
      <c r="I5293" s="6" t="s">
        <v>8397</v>
      </c>
      <c r="J5293" s="6" t="s">
        <v>91</v>
      </c>
      <c r="K5293" s="12" t="str">
        <f t="shared" si="1474"/>
        <v>View Creative</v>
      </c>
      <c r="L5293" s="6" t="s">
        <v>62</v>
      </c>
      <c r="M5293" s="6" t="s">
        <v>1421</v>
      </c>
      <c r="N5293" s="6"/>
      <c r="O5293" s="36" t="s">
        <v>7541</v>
      </c>
      <c r="P5293" s="36" t="s">
        <v>7542</v>
      </c>
      <c r="Q5293" s="38"/>
    </row>
    <row r="5294">
      <c r="A5294" s="6" t="s">
        <v>1421</v>
      </c>
      <c r="B5294" s="6" t="s">
        <v>8395</v>
      </c>
      <c r="C5294" s="6">
        <v>276.0</v>
      </c>
      <c r="D5294" s="9" t="str">
        <f>HYPERLINK("https://www.linkedin.com/ad-library/detail/1244013294","Open Ad")</f>
        <v>Open Ad</v>
      </c>
      <c r="E5294" s="6" t="s">
        <v>52</v>
      </c>
      <c r="F5294" s="6" t="s">
        <v>8022</v>
      </c>
      <c r="G5294" s="6" t="s">
        <v>8510</v>
      </c>
      <c r="H5294" s="6" t="s">
        <v>55</v>
      </c>
      <c r="I5294" s="6" t="s">
        <v>8397</v>
      </c>
      <c r="J5294" s="6" t="s">
        <v>52</v>
      </c>
      <c r="K5294" s="6" t="s">
        <v>60</v>
      </c>
      <c r="L5294" s="6" t="s">
        <v>62</v>
      </c>
      <c r="M5294" s="6" t="s">
        <v>1421</v>
      </c>
      <c r="N5294" s="6"/>
      <c r="O5294" s="36" t="s">
        <v>7541</v>
      </c>
      <c r="P5294" s="36" t="s">
        <v>7542</v>
      </c>
      <c r="Q5294" s="38"/>
    </row>
    <row r="5295">
      <c r="A5295" s="6" t="s">
        <v>1421</v>
      </c>
      <c r="B5295" s="6" t="s">
        <v>8395</v>
      </c>
      <c r="C5295" s="6">
        <v>277.0</v>
      </c>
      <c r="D5295" s="9" t="str">
        <f t="shared" ref="D5295:D5297" si="1475">HYPERLINK("https://www.linkedin.com/ad-library/detail/1240951954","Open Ad")</f>
        <v>Open Ad</v>
      </c>
      <c r="E5295" s="6" t="s">
        <v>52</v>
      </c>
      <c r="F5295" s="6" t="s">
        <v>8022</v>
      </c>
      <c r="G5295" s="6" t="s">
        <v>8511</v>
      </c>
      <c r="H5295" s="6" t="s">
        <v>55</v>
      </c>
      <c r="I5295" s="6" t="s">
        <v>8397</v>
      </c>
      <c r="J5295" s="6" t="s">
        <v>52</v>
      </c>
      <c r="K5295" s="6" t="s">
        <v>60</v>
      </c>
      <c r="L5295" s="6" t="s">
        <v>62</v>
      </c>
      <c r="M5295" s="6" t="s">
        <v>1421</v>
      </c>
      <c r="N5295" s="6"/>
      <c r="O5295" s="36" t="s">
        <v>7541</v>
      </c>
      <c r="P5295" s="36" t="s">
        <v>7542</v>
      </c>
      <c r="Q5295" s="38"/>
    </row>
    <row r="5296">
      <c r="A5296" s="6" t="s">
        <v>1421</v>
      </c>
      <c r="B5296" s="6" t="s">
        <v>8395</v>
      </c>
      <c r="C5296" s="6">
        <v>278.0</v>
      </c>
      <c r="D5296" s="9" t="str">
        <f t="shared" si="1475"/>
        <v>Open Ad</v>
      </c>
      <c r="E5296" s="6" t="s">
        <v>52</v>
      </c>
      <c r="F5296" s="6" t="s">
        <v>8022</v>
      </c>
      <c r="G5296" s="6" t="s">
        <v>8511</v>
      </c>
      <c r="H5296" s="6" t="s">
        <v>55</v>
      </c>
      <c r="I5296" s="6" t="s">
        <v>8397</v>
      </c>
      <c r="J5296" s="6" t="s">
        <v>52</v>
      </c>
      <c r="K5296" s="6" t="s">
        <v>60</v>
      </c>
      <c r="L5296" s="6" t="s">
        <v>62</v>
      </c>
      <c r="M5296" s="6" t="s">
        <v>1421</v>
      </c>
      <c r="N5296" s="6"/>
      <c r="O5296" s="36" t="s">
        <v>7541</v>
      </c>
      <c r="P5296" s="36" t="s">
        <v>7542</v>
      </c>
      <c r="Q5296" s="38"/>
    </row>
    <row r="5297">
      <c r="A5297" s="6" t="s">
        <v>1421</v>
      </c>
      <c r="B5297" s="6" t="s">
        <v>8395</v>
      </c>
      <c r="C5297" s="6">
        <v>279.0</v>
      </c>
      <c r="D5297" s="9" t="str">
        <f t="shared" si="1475"/>
        <v>Open Ad</v>
      </c>
      <c r="E5297" s="6" t="s">
        <v>52</v>
      </c>
      <c r="F5297" s="6" t="s">
        <v>8022</v>
      </c>
      <c r="G5297" s="6" t="s">
        <v>8511</v>
      </c>
      <c r="H5297" s="6" t="s">
        <v>55</v>
      </c>
      <c r="I5297" s="6" t="s">
        <v>8397</v>
      </c>
      <c r="J5297" s="6" t="s">
        <v>52</v>
      </c>
      <c r="K5297" s="6" t="s">
        <v>60</v>
      </c>
      <c r="L5297" s="6" t="s">
        <v>62</v>
      </c>
      <c r="M5297" s="6" t="s">
        <v>1421</v>
      </c>
      <c r="N5297" s="6"/>
      <c r="O5297" s="36" t="s">
        <v>7541</v>
      </c>
      <c r="P5297" s="36" t="s">
        <v>7542</v>
      </c>
      <c r="Q5297" s="38"/>
    </row>
    <row r="5298">
      <c r="A5298" s="6" t="s">
        <v>1421</v>
      </c>
      <c r="B5298" s="6" t="s">
        <v>8395</v>
      </c>
      <c r="C5298" s="6">
        <v>280.0</v>
      </c>
      <c r="D5298" s="9" t="str">
        <f t="shared" ref="D5298:D5300" si="1476">HYPERLINK("https://www.linkedin.com/ad-library/detail/1241050014","Open Ad")</f>
        <v>Open Ad</v>
      </c>
      <c r="E5298" s="6" t="s">
        <v>52</v>
      </c>
      <c r="F5298" s="6" t="s">
        <v>8022</v>
      </c>
      <c r="G5298" s="6" t="s">
        <v>8512</v>
      </c>
      <c r="H5298" s="6" t="s">
        <v>55</v>
      </c>
      <c r="I5298" s="6" t="s">
        <v>8397</v>
      </c>
      <c r="J5298" s="6" t="s">
        <v>52</v>
      </c>
      <c r="K5298" s="6" t="s">
        <v>60</v>
      </c>
      <c r="L5298" s="6" t="s">
        <v>62</v>
      </c>
      <c r="M5298" s="6" t="s">
        <v>1421</v>
      </c>
      <c r="N5298" s="6"/>
      <c r="O5298" s="36" t="s">
        <v>7541</v>
      </c>
      <c r="P5298" s="36" t="s">
        <v>7542</v>
      </c>
      <c r="Q5298" s="38"/>
    </row>
    <row r="5299">
      <c r="A5299" s="6" t="s">
        <v>1421</v>
      </c>
      <c r="B5299" s="6" t="s">
        <v>8395</v>
      </c>
      <c r="C5299" s="6">
        <v>281.0</v>
      </c>
      <c r="D5299" s="9" t="str">
        <f t="shared" si="1476"/>
        <v>Open Ad</v>
      </c>
      <c r="E5299" s="6" t="s">
        <v>52</v>
      </c>
      <c r="F5299" s="6" t="s">
        <v>8022</v>
      </c>
      <c r="G5299" s="6" t="s">
        <v>8512</v>
      </c>
      <c r="H5299" s="6" t="s">
        <v>55</v>
      </c>
      <c r="I5299" s="6" t="s">
        <v>8397</v>
      </c>
      <c r="J5299" s="6" t="s">
        <v>52</v>
      </c>
      <c r="K5299" s="6" t="s">
        <v>60</v>
      </c>
      <c r="L5299" s="6" t="s">
        <v>62</v>
      </c>
      <c r="M5299" s="6" t="s">
        <v>1421</v>
      </c>
      <c r="N5299" s="6"/>
      <c r="O5299" s="36" t="s">
        <v>7541</v>
      </c>
      <c r="P5299" s="36" t="s">
        <v>7542</v>
      </c>
      <c r="Q5299" s="38"/>
    </row>
    <row r="5300">
      <c r="A5300" s="6" t="s">
        <v>1421</v>
      </c>
      <c r="B5300" s="6" t="s">
        <v>8395</v>
      </c>
      <c r="C5300" s="6">
        <v>282.0</v>
      </c>
      <c r="D5300" s="9" t="str">
        <f t="shared" si="1476"/>
        <v>Open Ad</v>
      </c>
      <c r="E5300" s="6" t="s">
        <v>52</v>
      </c>
      <c r="F5300" s="6" t="s">
        <v>8022</v>
      </c>
      <c r="G5300" s="6" t="s">
        <v>8512</v>
      </c>
      <c r="H5300" s="6" t="s">
        <v>55</v>
      </c>
      <c r="I5300" s="6" t="s">
        <v>8397</v>
      </c>
      <c r="J5300" s="6" t="s">
        <v>52</v>
      </c>
      <c r="K5300" s="6" t="s">
        <v>60</v>
      </c>
      <c r="L5300" s="6" t="s">
        <v>62</v>
      </c>
      <c r="M5300" s="6" t="s">
        <v>1421</v>
      </c>
      <c r="N5300" s="6"/>
      <c r="O5300" s="36" t="s">
        <v>7541</v>
      </c>
      <c r="P5300" s="36" t="s">
        <v>7542</v>
      </c>
      <c r="Q5300" s="38"/>
    </row>
    <row r="5301">
      <c r="A5301" s="6" t="s">
        <v>1421</v>
      </c>
      <c r="B5301" s="6" t="s">
        <v>8395</v>
      </c>
      <c r="C5301" s="6">
        <v>283.0</v>
      </c>
      <c r="D5301" s="9" t="str">
        <f>HYPERLINK("https://www.linkedin.com/ad-library/detail/1237301974","Open Ad")</f>
        <v>Open Ad</v>
      </c>
      <c r="E5301" s="6" t="s">
        <v>52</v>
      </c>
      <c r="F5301" s="6" t="s">
        <v>8022</v>
      </c>
      <c r="G5301" s="6" t="s">
        <v>8513</v>
      </c>
      <c r="H5301" s="6" t="s">
        <v>55</v>
      </c>
      <c r="I5301" s="6" t="s">
        <v>8397</v>
      </c>
      <c r="J5301" s="6" t="s">
        <v>52</v>
      </c>
      <c r="K5301" s="6" t="s">
        <v>60</v>
      </c>
      <c r="L5301" s="6" t="s">
        <v>62</v>
      </c>
      <c r="M5301" s="6" t="s">
        <v>1421</v>
      </c>
      <c r="N5301" s="6"/>
      <c r="O5301" s="36" t="s">
        <v>7541</v>
      </c>
      <c r="P5301" s="36" t="s">
        <v>7542</v>
      </c>
      <c r="Q5301" s="38"/>
    </row>
    <row r="5302">
      <c r="A5302" s="6" t="s">
        <v>1421</v>
      </c>
      <c r="B5302" s="6" t="s">
        <v>8395</v>
      </c>
      <c r="C5302" s="6">
        <v>284.0</v>
      </c>
      <c r="D5302" s="9" t="str">
        <f>HYPERLINK("https://www.linkedin.com/ad-library/detail/1236302324","Open Ad")</f>
        <v>Open Ad</v>
      </c>
      <c r="E5302" s="6" t="s">
        <v>52</v>
      </c>
      <c r="F5302" s="6" t="s">
        <v>8022</v>
      </c>
      <c r="G5302" s="6" t="s">
        <v>8514</v>
      </c>
      <c r="H5302" s="6" t="s">
        <v>55</v>
      </c>
      <c r="I5302" s="6" t="s">
        <v>8397</v>
      </c>
      <c r="J5302" s="6" t="s">
        <v>52</v>
      </c>
      <c r="K5302" s="6" t="s">
        <v>60</v>
      </c>
      <c r="L5302" s="6" t="s">
        <v>62</v>
      </c>
      <c r="M5302" s="6" t="s">
        <v>1421</v>
      </c>
      <c r="N5302" s="6"/>
      <c r="O5302" s="36" t="s">
        <v>7541</v>
      </c>
      <c r="P5302" s="36" t="s">
        <v>7542</v>
      </c>
      <c r="Q5302" s="38"/>
    </row>
    <row r="5303">
      <c r="A5303" s="6" t="s">
        <v>1421</v>
      </c>
      <c r="B5303" s="6" t="s">
        <v>8395</v>
      </c>
      <c r="C5303" s="6">
        <v>285.0</v>
      </c>
      <c r="D5303" s="9" t="str">
        <f t="shared" ref="D5303:D5304" si="1477">HYPERLINK("https://www.linkedin.com/ad-library/detail/1233925554","Open Ad")</f>
        <v>Open Ad</v>
      </c>
      <c r="E5303" s="6" t="s">
        <v>91</v>
      </c>
      <c r="F5303" s="6" t="s">
        <v>8022</v>
      </c>
      <c r="G5303" s="6" t="s">
        <v>8515</v>
      </c>
      <c r="H5303" s="6" t="s">
        <v>55</v>
      </c>
      <c r="I5303" s="6" t="s">
        <v>8397</v>
      </c>
      <c r="J5303" s="6" t="s">
        <v>91</v>
      </c>
      <c r="K5303" s="12" t="str">
        <f t="shared" ref="K5303:K5304" si="1478">HYPERLINK("https://media.licdn.com/dms/image/v2/D5610AQFbTkkfWJdJkA/image-shrink_1280/B56Z0caThZJIAc-/0/1774298151457?e=2147483647&amp;v=beta&amp;t=NYg0LriGH04Lf0bvk1GbLy6qLp2Cj71eDN9bb_vqwoE","View Creative")</f>
        <v>View Creative</v>
      </c>
      <c r="L5303" s="6" t="s">
        <v>62</v>
      </c>
      <c r="M5303" s="6" t="s">
        <v>1421</v>
      </c>
      <c r="N5303" s="6"/>
      <c r="O5303" s="36" t="s">
        <v>7541</v>
      </c>
      <c r="P5303" s="36" t="s">
        <v>7542</v>
      </c>
      <c r="Q5303" s="38"/>
    </row>
    <row r="5304">
      <c r="A5304" s="6" t="s">
        <v>1421</v>
      </c>
      <c r="B5304" s="6" t="s">
        <v>8395</v>
      </c>
      <c r="C5304" s="6">
        <v>286.0</v>
      </c>
      <c r="D5304" s="9" t="str">
        <f t="shared" si="1477"/>
        <v>Open Ad</v>
      </c>
      <c r="E5304" s="6" t="s">
        <v>91</v>
      </c>
      <c r="F5304" s="6" t="s">
        <v>8022</v>
      </c>
      <c r="G5304" s="6" t="s">
        <v>8515</v>
      </c>
      <c r="H5304" s="6" t="s">
        <v>55</v>
      </c>
      <c r="I5304" s="6" t="s">
        <v>8397</v>
      </c>
      <c r="J5304" s="6" t="s">
        <v>91</v>
      </c>
      <c r="K5304" s="12" t="str">
        <f t="shared" si="1478"/>
        <v>View Creative</v>
      </c>
      <c r="L5304" s="6" t="s">
        <v>62</v>
      </c>
      <c r="M5304" s="6" t="s">
        <v>1421</v>
      </c>
      <c r="N5304" s="6"/>
      <c r="O5304" s="36" t="s">
        <v>7541</v>
      </c>
      <c r="P5304" s="36" t="s">
        <v>7542</v>
      </c>
      <c r="Q5304" s="38"/>
    </row>
    <row r="5305">
      <c r="A5305" s="6" t="s">
        <v>1421</v>
      </c>
      <c r="B5305" s="6" t="s">
        <v>8395</v>
      </c>
      <c r="C5305" s="6">
        <v>287.0</v>
      </c>
      <c r="D5305" s="9" t="str">
        <f>HYPERLINK("https://www.linkedin.com/ad-library/detail/1238518584","Open Ad")</f>
        <v>Open Ad</v>
      </c>
      <c r="E5305" s="6" t="s">
        <v>52</v>
      </c>
      <c r="F5305" s="6" t="s">
        <v>8022</v>
      </c>
      <c r="G5305" s="6" t="s">
        <v>8411</v>
      </c>
      <c r="H5305" s="6" t="s">
        <v>55</v>
      </c>
      <c r="I5305" s="6" t="s">
        <v>8397</v>
      </c>
      <c r="J5305" s="6" t="s">
        <v>52</v>
      </c>
      <c r="K5305" s="6" t="s">
        <v>60</v>
      </c>
      <c r="L5305" s="6" t="s">
        <v>62</v>
      </c>
      <c r="M5305" s="6" t="s">
        <v>1421</v>
      </c>
      <c r="N5305" s="6"/>
      <c r="O5305" s="36" t="s">
        <v>7541</v>
      </c>
      <c r="P5305" s="36" t="s">
        <v>7542</v>
      </c>
      <c r="Q5305" s="38"/>
    </row>
    <row r="5306">
      <c r="A5306" s="6" t="s">
        <v>1421</v>
      </c>
      <c r="B5306" s="6" t="s">
        <v>8395</v>
      </c>
      <c r="C5306" s="6">
        <v>288.0</v>
      </c>
      <c r="D5306" s="9" t="str">
        <f>HYPERLINK("https://www.linkedin.com/ad-library/detail/1244369364","Open Ad")</f>
        <v>Open Ad</v>
      </c>
      <c r="E5306" s="6" t="s">
        <v>52</v>
      </c>
      <c r="F5306" s="6" t="s">
        <v>8022</v>
      </c>
      <c r="G5306" s="6" t="s">
        <v>8399</v>
      </c>
      <c r="H5306" s="6" t="s">
        <v>55</v>
      </c>
      <c r="I5306" s="6" t="s">
        <v>8397</v>
      </c>
      <c r="J5306" s="6" t="s">
        <v>52</v>
      </c>
      <c r="K5306" s="6" t="s">
        <v>60</v>
      </c>
      <c r="L5306" s="6" t="s">
        <v>62</v>
      </c>
      <c r="M5306" s="6" t="s">
        <v>1421</v>
      </c>
      <c r="N5306" s="6"/>
      <c r="O5306" s="36" t="s">
        <v>7541</v>
      </c>
      <c r="P5306" s="36" t="s">
        <v>7542</v>
      </c>
      <c r="Q5306" s="38"/>
    </row>
    <row r="5307">
      <c r="A5307" s="6" t="s">
        <v>1421</v>
      </c>
      <c r="B5307" s="6" t="s">
        <v>8395</v>
      </c>
      <c r="C5307" s="6">
        <v>289.0</v>
      </c>
      <c r="D5307" s="9" t="str">
        <f>HYPERLINK("https://www.linkedin.com/ad-library/detail/1241066934","Open Ad")</f>
        <v>Open Ad</v>
      </c>
      <c r="E5307" s="6" t="s">
        <v>52</v>
      </c>
      <c r="F5307" s="6" t="s">
        <v>8022</v>
      </c>
      <c r="G5307" s="6" t="s">
        <v>8516</v>
      </c>
      <c r="H5307" s="6" t="s">
        <v>55</v>
      </c>
      <c r="I5307" s="6" t="s">
        <v>8397</v>
      </c>
      <c r="J5307" s="6" t="s">
        <v>52</v>
      </c>
      <c r="K5307" s="6" t="s">
        <v>60</v>
      </c>
      <c r="L5307" s="6" t="s">
        <v>62</v>
      </c>
      <c r="M5307" s="6" t="s">
        <v>1421</v>
      </c>
      <c r="N5307" s="6"/>
      <c r="O5307" s="36" t="s">
        <v>7541</v>
      </c>
      <c r="P5307" s="36" t="s">
        <v>7542</v>
      </c>
      <c r="Q5307" s="38"/>
    </row>
    <row r="5308">
      <c r="A5308" s="6" t="s">
        <v>1421</v>
      </c>
      <c r="B5308" s="6" t="s">
        <v>8395</v>
      </c>
      <c r="C5308" s="6">
        <v>290.0</v>
      </c>
      <c r="D5308" s="9" t="str">
        <f t="shared" ref="D5308:D5310" si="1479">HYPERLINK("https://www.linkedin.com/ad-library/detail/1244681714","Open Ad")</f>
        <v>Open Ad</v>
      </c>
      <c r="E5308" s="6" t="s">
        <v>52</v>
      </c>
      <c r="F5308" s="6" t="s">
        <v>8022</v>
      </c>
      <c r="G5308" s="6" t="s">
        <v>8517</v>
      </c>
      <c r="H5308" s="6" t="s">
        <v>55</v>
      </c>
      <c r="I5308" s="6" t="s">
        <v>8397</v>
      </c>
      <c r="J5308" s="6" t="s">
        <v>52</v>
      </c>
      <c r="K5308" s="6" t="s">
        <v>60</v>
      </c>
      <c r="L5308" s="6" t="s">
        <v>62</v>
      </c>
      <c r="M5308" s="6" t="s">
        <v>1421</v>
      </c>
      <c r="N5308" s="6"/>
      <c r="O5308" s="36" t="s">
        <v>7541</v>
      </c>
      <c r="P5308" s="36" t="s">
        <v>7542</v>
      </c>
      <c r="Q5308" s="38"/>
    </row>
    <row r="5309">
      <c r="A5309" s="6" t="s">
        <v>1421</v>
      </c>
      <c r="B5309" s="6" t="s">
        <v>8395</v>
      </c>
      <c r="C5309" s="6">
        <v>291.0</v>
      </c>
      <c r="D5309" s="9" t="str">
        <f t="shared" si="1479"/>
        <v>Open Ad</v>
      </c>
      <c r="E5309" s="6" t="s">
        <v>52</v>
      </c>
      <c r="F5309" s="6" t="s">
        <v>8022</v>
      </c>
      <c r="G5309" s="6" t="s">
        <v>8517</v>
      </c>
      <c r="H5309" s="6" t="s">
        <v>55</v>
      </c>
      <c r="I5309" s="6" t="s">
        <v>8397</v>
      </c>
      <c r="J5309" s="6" t="s">
        <v>52</v>
      </c>
      <c r="K5309" s="6" t="s">
        <v>60</v>
      </c>
      <c r="L5309" s="6" t="s">
        <v>62</v>
      </c>
      <c r="M5309" s="6" t="s">
        <v>1421</v>
      </c>
      <c r="N5309" s="6"/>
      <c r="O5309" s="36" t="s">
        <v>7541</v>
      </c>
      <c r="P5309" s="36" t="s">
        <v>7542</v>
      </c>
      <c r="Q5309" s="38"/>
    </row>
    <row r="5310">
      <c r="A5310" s="6" t="s">
        <v>1421</v>
      </c>
      <c r="B5310" s="6" t="s">
        <v>8395</v>
      </c>
      <c r="C5310" s="6">
        <v>292.0</v>
      </c>
      <c r="D5310" s="9" t="str">
        <f t="shared" si="1479"/>
        <v>Open Ad</v>
      </c>
      <c r="E5310" s="6" t="s">
        <v>52</v>
      </c>
      <c r="F5310" s="6" t="s">
        <v>8022</v>
      </c>
      <c r="G5310" s="6" t="s">
        <v>8517</v>
      </c>
      <c r="H5310" s="6" t="s">
        <v>55</v>
      </c>
      <c r="I5310" s="6" t="s">
        <v>8397</v>
      </c>
      <c r="J5310" s="6" t="s">
        <v>52</v>
      </c>
      <c r="K5310" s="6" t="s">
        <v>60</v>
      </c>
      <c r="L5310" s="6" t="s">
        <v>62</v>
      </c>
      <c r="M5310" s="6" t="s">
        <v>1421</v>
      </c>
      <c r="N5310" s="6"/>
      <c r="O5310" s="36" t="s">
        <v>7541</v>
      </c>
      <c r="P5310" s="36" t="s">
        <v>7542</v>
      </c>
      <c r="Q5310" s="38"/>
    </row>
    <row r="5311">
      <c r="A5311" s="6" t="s">
        <v>1421</v>
      </c>
      <c r="B5311" s="6" t="s">
        <v>8395</v>
      </c>
      <c r="C5311" s="6">
        <v>293.0</v>
      </c>
      <c r="D5311" s="9" t="str">
        <f t="shared" ref="D5311:D5313" si="1480">HYPERLINK("https://www.linkedin.com/ad-library/detail/1244781554","Open Ad")</f>
        <v>Open Ad</v>
      </c>
      <c r="E5311" s="6" t="s">
        <v>52</v>
      </c>
      <c r="F5311" s="6" t="s">
        <v>8022</v>
      </c>
      <c r="G5311" s="6" t="s">
        <v>8518</v>
      </c>
      <c r="H5311" s="6" t="s">
        <v>55</v>
      </c>
      <c r="I5311" s="6" t="s">
        <v>8397</v>
      </c>
      <c r="J5311" s="6" t="s">
        <v>52</v>
      </c>
      <c r="K5311" s="6" t="s">
        <v>60</v>
      </c>
      <c r="L5311" s="6" t="s">
        <v>62</v>
      </c>
      <c r="M5311" s="6" t="s">
        <v>1421</v>
      </c>
      <c r="N5311" s="6"/>
      <c r="O5311" s="36" t="s">
        <v>7541</v>
      </c>
      <c r="P5311" s="36" t="s">
        <v>7542</v>
      </c>
      <c r="Q5311" s="38"/>
    </row>
    <row r="5312">
      <c r="A5312" s="6" t="s">
        <v>1421</v>
      </c>
      <c r="B5312" s="6" t="s">
        <v>8395</v>
      </c>
      <c r="C5312" s="6">
        <v>294.0</v>
      </c>
      <c r="D5312" s="9" t="str">
        <f t="shared" si="1480"/>
        <v>Open Ad</v>
      </c>
      <c r="E5312" s="6" t="s">
        <v>52</v>
      </c>
      <c r="F5312" s="6" t="s">
        <v>8022</v>
      </c>
      <c r="G5312" s="6" t="s">
        <v>8518</v>
      </c>
      <c r="H5312" s="6" t="s">
        <v>55</v>
      </c>
      <c r="I5312" s="6" t="s">
        <v>8397</v>
      </c>
      <c r="J5312" s="6" t="s">
        <v>52</v>
      </c>
      <c r="K5312" s="6" t="s">
        <v>60</v>
      </c>
      <c r="L5312" s="6" t="s">
        <v>62</v>
      </c>
      <c r="M5312" s="6" t="s">
        <v>1421</v>
      </c>
      <c r="N5312" s="6"/>
      <c r="O5312" s="36" t="s">
        <v>7541</v>
      </c>
      <c r="P5312" s="36" t="s">
        <v>7542</v>
      </c>
      <c r="Q5312" s="38"/>
    </row>
    <row r="5313">
      <c r="A5313" s="6" t="s">
        <v>1421</v>
      </c>
      <c r="B5313" s="6" t="s">
        <v>8395</v>
      </c>
      <c r="C5313" s="6">
        <v>295.0</v>
      </c>
      <c r="D5313" s="9" t="str">
        <f t="shared" si="1480"/>
        <v>Open Ad</v>
      </c>
      <c r="E5313" s="6" t="s">
        <v>52</v>
      </c>
      <c r="F5313" s="6" t="s">
        <v>8022</v>
      </c>
      <c r="G5313" s="6" t="s">
        <v>8518</v>
      </c>
      <c r="H5313" s="6" t="s">
        <v>55</v>
      </c>
      <c r="I5313" s="6" t="s">
        <v>8397</v>
      </c>
      <c r="J5313" s="6" t="s">
        <v>52</v>
      </c>
      <c r="K5313" s="6" t="s">
        <v>60</v>
      </c>
      <c r="L5313" s="6" t="s">
        <v>62</v>
      </c>
      <c r="M5313" s="6" t="s">
        <v>1421</v>
      </c>
      <c r="N5313" s="6"/>
      <c r="O5313" s="36" t="s">
        <v>7541</v>
      </c>
      <c r="P5313" s="36" t="s">
        <v>7542</v>
      </c>
      <c r="Q5313" s="38"/>
    </row>
    <row r="5314">
      <c r="A5314" s="6" t="s">
        <v>1421</v>
      </c>
      <c r="B5314" s="6" t="s">
        <v>8395</v>
      </c>
      <c r="C5314" s="6">
        <v>296.0</v>
      </c>
      <c r="D5314" s="9" t="str">
        <f>HYPERLINK("https://www.linkedin.com/ad-library/detail/1240968924","Open Ad")</f>
        <v>Open Ad</v>
      </c>
      <c r="E5314" s="6" t="s">
        <v>52</v>
      </c>
      <c r="F5314" s="6" t="s">
        <v>8022</v>
      </c>
      <c r="G5314" s="6" t="s">
        <v>8519</v>
      </c>
      <c r="H5314" s="6" t="s">
        <v>55</v>
      </c>
      <c r="I5314" s="6" t="s">
        <v>8397</v>
      </c>
      <c r="J5314" s="6" t="s">
        <v>52</v>
      </c>
      <c r="K5314" s="6" t="s">
        <v>60</v>
      </c>
      <c r="L5314" s="6" t="s">
        <v>62</v>
      </c>
      <c r="M5314" s="6" t="s">
        <v>1421</v>
      </c>
      <c r="N5314" s="6"/>
      <c r="O5314" s="36" t="s">
        <v>7541</v>
      </c>
      <c r="P5314" s="36" t="s">
        <v>7542</v>
      </c>
      <c r="Q5314" s="38"/>
    </row>
    <row r="5315">
      <c r="A5315" s="6" t="s">
        <v>1421</v>
      </c>
      <c r="B5315" s="6" t="s">
        <v>8395</v>
      </c>
      <c r="C5315" s="6">
        <v>297.0</v>
      </c>
      <c r="D5315" s="9" t="str">
        <f>HYPERLINK("https://www.linkedin.com/ad-library/detail/1244713754","Open Ad")</f>
        <v>Open Ad</v>
      </c>
      <c r="E5315" s="6" t="s">
        <v>52</v>
      </c>
      <c r="F5315" s="6" t="s">
        <v>8022</v>
      </c>
      <c r="G5315" s="6" t="s">
        <v>8520</v>
      </c>
      <c r="H5315" s="6" t="s">
        <v>55</v>
      </c>
      <c r="I5315" s="6" t="s">
        <v>8397</v>
      </c>
      <c r="J5315" s="6" t="s">
        <v>52</v>
      </c>
      <c r="K5315" s="6" t="s">
        <v>60</v>
      </c>
      <c r="L5315" s="6" t="s">
        <v>62</v>
      </c>
      <c r="M5315" s="6" t="s">
        <v>1421</v>
      </c>
      <c r="N5315" s="6"/>
      <c r="O5315" s="36" t="s">
        <v>7541</v>
      </c>
      <c r="P5315" s="36" t="s">
        <v>7542</v>
      </c>
      <c r="Q5315" s="38"/>
    </row>
    <row r="5316">
      <c r="A5316" s="6" t="s">
        <v>1421</v>
      </c>
      <c r="B5316" s="6" t="s">
        <v>8395</v>
      </c>
      <c r="C5316" s="6">
        <v>298.0</v>
      </c>
      <c r="D5316" s="9" t="str">
        <f>HYPERLINK("https://www.linkedin.com/ad-library/detail/1244281474","Open Ad")</f>
        <v>Open Ad</v>
      </c>
      <c r="E5316" s="6" t="s">
        <v>52</v>
      </c>
      <c r="F5316" s="6" t="s">
        <v>8022</v>
      </c>
      <c r="G5316" s="6" t="s">
        <v>8399</v>
      </c>
      <c r="H5316" s="6" t="s">
        <v>55</v>
      </c>
      <c r="I5316" s="6" t="s">
        <v>8397</v>
      </c>
      <c r="J5316" s="6" t="s">
        <v>52</v>
      </c>
      <c r="K5316" s="6" t="s">
        <v>60</v>
      </c>
      <c r="L5316" s="6" t="s">
        <v>62</v>
      </c>
      <c r="M5316" s="6" t="s">
        <v>1421</v>
      </c>
      <c r="N5316" s="6"/>
      <c r="O5316" s="36" t="s">
        <v>7541</v>
      </c>
      <c r="P5316" s="36" t="s">
        <v>7542</v>
      </c>
      <c r="Q5316" s="38"/>
    </row>
    <row r="5317">
      <c r="A5317" s="6" t="s">
        <v>1421</v>
      </c>
      <c r="B5317" s="6" t="s">
        <v>8395</v>
      </c>
      <c r="C5317" s="6">
        <v>299.0</v>
      </c>
      <c r="D5317" s="9" t="str">
        <f t="shared" ref="D5317:D5318" si="1481">HYPERLINK("https://www.linkedin.com/ad-library/detail/1244221194","Open Ad")</f>
        <v>Open Ad</v>
      </c>
      <c r="E5317" s="6" t="s">
        <v>91</v>
      </c>
      <c r="F5317" s="6" t="s">
        <v>8022</v>
      </c>
      <c r="G5317" s="6" t="s">
        <v>8452</v>
      </c>
      <c r="H5317" s="6" t="s">
        <v>55</v>
      </c>
      <c r="I5317" s="6" t="s">
        <v>8397</v>
      </c>
      <c r="J5317" s="6" t="s">
        <v>91</v>
      </c>
      <c r="K5317" s="12" t="str">
        <f t="shared" ref="K5317:K5318" si="1482">HYPERLINK("https://media.licdn.com/dms/image/v2/D4E22AQEe6Kn8FzbO6A/feedshare-image-high-res/B4EZ1oq9ZZJEAU-/0/1775577585791?e=2147483647&amp;v=beta&amp;t=bKCZ4NWsxF52e0yGjdDUpw3Ba3gvRDYiO-A21-3uLr8","View Creative")</f>
        <v>View Creative</v>
      </c>
      <c r="L5317" s="6" t="s">
        <v>62</v>
      </c>
      <c r="M5317" s="6" t="s">
        <v>1421</v>
      </c>
      <c r="N5317" s="6"/>
      <c r="O5317" s="36" t="s">
        <v>7541</v>
      </c>
      <c r="P5317" s="36" t="s">
        <v>7542</v>
      </c>
      <c r="Q5317" s="38"/>
    </row>
    <row r="5318">
      <c r="A5318" s="6" t="s">
        <v>1421</v>
      </c>
      <c r="B5318" s="6" t="s">
        <v>8395</v>
      </c>
      <c r="C5318" s="6">
        <v>300.0</v>
      </c>
      <c r="D5318" s="9" t="str">
        <f t="shared" si="1481"/>
        <v>Open Ad</v>
      </c>
      <c r="E5318" s="6" t="s">
        <v>91</v>
      </c>
      <c r="F5318" s="6" t="s">
        <v>8022</v>
      </c>
      <c r="G5318" s="6" t="s">
        <v>8452</v>
      </c>
      <c r="H5318" s="6" t="s">
        <v>55</v>
      </c>
      <c r="I5318" s="6" t="s">
        <v>8397</v>
      </c>
      <c r="J5318" s="6" t="s">
        <v>91</v>
      </c>
      <c r="K5318" s="12" t="str">
        <f t="shared" si="1482"/>
        <v>View Creative</v>
      </c>
      <c r="L5318" s="6" t="s">
        <v>62</v>
      </c>
      <c r="M5318" s="6" t="s">
        <v>1421</v>
      </c>
      <c r="N5318" s="6"/>
      <c r="O5318" s="36" t="s">
        <v>7541</v>
      </c>
      <c r="P5318" s="36" t="s">
        <v>7542</v>
      </c>
      <c r="Q5318" s="38"/>
    </row>
    <row r="5319">
      <c r="A5319" s="6" t="s">
        <v>1421</v>
      </c>
      <c r="B5319" s="6" t="s">
        <v>8395</v>
      </c>
      <c r="C5319" s="6">
        <v>301.0</v>
      </c>
      <c r="D5319" s="9" t="str">
        <f t="shared" ref="D5319:D5320" si="1483">HYPERLINK("https://www.linkedin.com/ad-library/detail/1244971664","Open Ad")</f>
        <v>Open Ad</v>
      </c>
      <c r="E5319" s="6" t="s">
        <v>91</v>
      </c>
      <c r="F5319" s="6" t="s">
        <v>8022</v>
      </c>
      <c r="G5319" s="6" t="s">
        <v>8521</v>
      </c>
      <c r="H5319" s="6" t="s">
        <v>55</v>
      </c>
      <c r="I5319" s="6" t="s">
        <v>8397</v>
      </c>
      <c r="J5319" s="6" t="s">
        <v>91</v>
      </c>
      <c r="K5319" s="12" t="str">
        <f t="shared" ref="K5319:K5320" si="1484">HYPERLINK("https://media.licdn.com/dms/image/v2/D5610AQE_Y0J7ci6FkQ/image-shrink_1280/B56Z2SalBnGgAc-/0/1776277934671?e=2147483647&amp;v=beta&amp;t=hltrIlgzAmZFwxf3xcj9kyKDe3crjop7vklIl7Ihi1o","View Creative")</f>
        <v>View Creative</v>
      </c>
      <c r="L5319" s="6" t="s">
        <v>62</v>
      </c>
      <c r="M5319" s="6" t="s">
        <v>1421</v>
      </c>
      <c r="N5319" s="6"/>
      <c r="O5319" s="36" t="s">
        <v>7541</v>
      </c>
      <c r="P5319" s="36" t="s">
        <v>7542</v>
      </c>
      <c r="Q5319" s="38"/>
    </row>
    <row r="5320">
      <c r="A5320" s="6" t="s">
        <v>1421</v>
      </c>
      <c r="B5320" s="6" t="s">
        <v>8395</v>
      </c>
      <c r="C5320" s="6">
        <v>302.0</v>
      </c>
      <c r="D5320" s="9" t="str">
        <f t="shared" si="1483"/>
        <v>Open Ad</v>
      </c>
      <c r="E5320" s="6" t="s">
        <v>91</v>
      </c>
      <c r="F5320" s="6" t="s">
        <v>8022</v>
      </c>
      <c r="G5320" s="6" t="s">
        <v>8521</v>
      </c>
      <c r="H5320" s="6" t="s">
        <v>55</v>
      </c>
      <c r="I5320" s="6" t="s">
        <v>8397</v>
      </c>
      <c r="J5320" s="6" t="s">
        <v>91</v>
      </c>
      <c r="K5320" s="12" t="str">
        <f t="shared" si="1484"/>
        <v>View Creative</v>
      </c>
      <c r="L5320" s="6" t="s">
        <v>62</v>
      </c>
      <c r="M5320" s="6" t="s">
        <v>1421</v>
      </c>
      <c r="N5320" s="6"/>
      <c r="O5320" s="36" t="s">
        <v>7541</v>
      </c>
      <c r="P5320" s="36" t="s">
        <v>7542</v>
      </c>
      <c r="Q5320" s="38"/>
    </row>
    <row r="5321">
      <c r="A5321" s="6" t="s">
        <v>1421</v>
      </c>
      <c r="B5321" s="6" t="s">
        <v>8395</v>
      </c>
      <c r="C5321" s="6">
        <v>303.0</v>
      </c>
      <c r="D5321" s="9" t="str">
        <f>HYPERLINK("https://www.linkedin.com/ad-library/detail/1244713744","Open Ad")</f>
        <v>Open Ad</v>
      </c>
      <c r="E5321" s="6" t="s">
        <v>52</v>
      </c>
      <c r="F5321" s="6" t="s">
        <v>8022</v>
      </c>
      <c r="G5321" s="6" t="s">
        <v>8522</v>
      </c>
      <c r="H5321" s="6" t="s">
        <v>55</v>
      </c>
      <c r="I5321" s="6" t="s">
        <v>8397</v>
      </c>
      <c r="J5321" s="6" t="s">
        <v>52</v>
      </c>
      <c r="K5321" s="6" t="s">
        <v>60</v>
      </c>
      <c r="L5321" s="6" t="s">
        <v>62</v>
      </c>
      <c r="M5321" s="6" t="s">
        <v>1421</v>
      </c>
      <c r="N5321" s="6"/>
      <c r="O5321" s="36" t="s">
        <v>7541</v>
      </c>
      <c r="P5321" s="36" t="s">
        <v>7542</v>
      </c>
      <c r="Q5321" s="38"/>
    </row>
    <row r="5322">
      <c r="A5322" s="6" t="s">
        <v>1421</v>
      </c>
      <c r="B5322" s="6" t="s">
        <v>8395</v>
      </c>
      <c r="C5322" s="6">
        <v>304.0</v>
      </c>
      <c r="D5322" s="9" t="str">
        <f t="shared" ref="D5322:D5323" si="1485">HYPERLINK("https://www.linkedin.com/ad-library/detail/1234913594","Open Ad")</f>
        <v>Open Ad</v>
      </c>
      <c r="E5322" s="6" t="s">
        <v>91</v>
      </c>
      <c r="F5322" s="6" t="s">
        <v>8022</v>
      </c>
      <c r="G5322" s="6" t="s">
        <v>8515</v>
      </c>
      <c r="H5322" s="6" t="s">
        <v>55</v>
      </c>
      <c r="I5322" s="6" t="s">
        <v>8397</v>
      </c>
      <c r="J5322" s="6" t="s">
        <v>91</v>
      </c>
      <c r="K5322" s="12" t="str">
        <f t="shared" ref="K5322:K5323" si="1486">HYPERLINK("https://media.licdn.com/dms/image/v2/D5610AQECFo_-CdHjuw/image-shrink_1280/B56Z0caaZCG8Ac-/0/1774298179414?e=2147483647&amp;v=beta&amp;t=PiPadwjWqyrJcgWEgDIgSkm4vQON6N72zcL76WhJPmQ","View Creative")</f>
        <v>View Creative</v>
      </c>
      <c r="L5322" s="6" t="s">
        <v>62</v>
      </c>
      <c r="M5322" s="6" t="s">
        <v>1421</v>
      </c>
      <c r="N5322" s="6"/>
      <c r="O5322" s="36" t="s">
        <v>7541</v>
      </c>
      <c r="P5322" s="36" t="s">
        <v>7542</v>
      </c>
      <c r="Q5322" s="38"/>
    </row>
    <row r="5323">
      <c r="A5323" s="6" t="s">
        <v>1421</v>
      </c>
      <c r="B5323" s="6" t="s">
        <v>8395</v>
      </c>
      <c r="C5323" s="6">
        <v>305.0</v>
      </c>
      <c r="D5323" s="9" t="str">
        <f t="shared" si="1485"/>
        <v>Open Ad</v>
      </c>
      <c r="E5323" s="6" t="s">
        <v>91</v>
      </c>
      <c r="F5323" s="6" t="s">
        <v>8022</v>
      </c>
      <c r="G5323" s="6" t="s">
        <v>8515</v>
      </c>
      <c r="H5323" s="6" t="s">
        <v>55</v>
      </c>
      <c r="I5323" s="6" t="s">
        <v>8397</v>
      </c>
      <c r="J5323" s="6" t="s">
        <v>91</v>
      </c>
      <c r="K5323" s="12" t="str">
        <f t="shared" si="1486"/>
        <v>View Creative</v>
      </c>
      <c r="L5323" s="6" t="s">
        <v>62</v>
      </c>
      <c r="M5323" s="6" t="s">
        <v>1421</v>
      </c>
      <c r="N5323" s="6"/>
      <c r="O5323" s="36" t="s">
        <v>7541</v>
      </c>
      <c r="P5323" s="36" t="s">
        <v>7542</v>
      </c>
      <c r="Q5323" s="38"/>
    </row>
    <row r="5324">
      <c r="A5324" s="6" t="s">
        <v>1421</v>
      </c>
      <c r="B5324" s="6" t="s">
        <v>8395</v>
      </c>
      <c r="C5324" s="6">
        <v>306.0</v>
      </c>
      <c r="D5324" s="9" t="str">
        <f t="shared" ref="D5324:D5325" si="1487">HYPERLINK("https://www.linkedin.com/ad-library/detail/1235202364","Open Ad")</f>
        <v>Open Ad</v>
      </c>
      <c r="E5324" s="6" t="s">
        <v>154</v>
      </c>
      <c r="F5324" s="6" t="s">
        <v>8022</v>
      </c>
      <c r="G5324" s="6" t="s">
        <v>8523</v>
      </c>
      <c r="H5324" s="6" t="s">
        <v>55</v>
      </c>
      <c r="I5324" s="6" t="s">
        <v>8397</v>
      </c>
      <c r="J5324" s="6" t="s">
        <v>154</v>
      </c>
      <c r="K5324" s="12" t="str">
        <f t="shared" ref="K5324:K5325" si="1488">HYPERLINK("https://dms.licdn.com/playlist/vid/v2/D5605AQHSz_vo9FwHQQ/mp4-640p-30fp-crf28/B56Z0BQ5nbKIBw-/0/1773842709421?e=2147483647&amp;v=beta&amp;t=I39tz-aKM_nrvS7atKZ_KcsWKszByaxzAJpIM1P1gD8","View Creative")</f>
        <v>View Creative</v>
      </c>
      <c r="L5324" s="6" t="s">
        <v>62</v>
      </c>
      <c r="M5324" s="6" t="s">
        <v>1421</v>
      </c>
      <c r="N5324" s="6"/>
      <c r="O5324" s="36" t="s">
        <v>7541</v>
      </c>
      <c r="P5324" s="36" t="s">
        <v>7542</v>
      </c>
      <c r="Q5324" s="38"/>
    </row>
    <row r="5325">
      <c r="A5325" s="6" t="s">
        <v>1421</v>
      </c>
      <c r="B5325" s="6" t="s">
        <v>8395</v>
      </c>
      <c r="C5325" s="6">
        <v>307.0</v>
      </c>
      <c r="D5325" s="9" t="str">
        <f t="shared" si="1487"/>
        <v>Open Ad</v>
      </c>
      <c r="E5325" s="6" t="s">
        <v>154</v>
      </c>
      <c r="F5325" s="6" t="s">
        <v>8022</v>
      </c>
      <c r="G5325" s="6" t="s">
        <v>8523</v>
      </c>
      <c r="H5325" s="6" t="s">
        <v>55</v>
      </c>
      <c r="I5325" s="6" t="s">
        <v>8397</v>
      </c>
      <c r="J5325" s="6" t="s">
        <v>154</v>
      </c>
      <c r="K5325" s="12" t="str">
        <f t="shared" si="1488"/>
        <v>View Creative</v>
      </c>
      <c r="L5325" s="6" t="s">
        <v>62</v>
      </c>
      <c r="M5325" s="6" t="s">
        <v>1421</v>
      </c>
      <c r="N5325" s="6"/>
      <c r="O5325" s="36" t="s">
        <v>7541</v>
      </c>
      <c r="P5325" s="36" t="s">
        <v>7542</v>
      </c>
      <c r="Q5325" s="38"/>
    </row>
    <row r="5326">
      <c r="A5326" s="6" t="s">
        <v>1421</v>
      </c>
      <c r="B5326" s="6" t="s">
        <v>8395</v>
      </c>
      <c r="C5326" s="6">
        <v>308.0</v>
      </c>
      <c r="D5326" s="9" t="str">
        <f t="shared" ref="D5326:D5327" si="1489">HYPERLINK("https://www.linkedin.com/ad-library/detail/1229432744","Open Ad")</f>
        <v>Open Ad</v>
      </c>
      <c r="E5326" s="6" t="s">
        <v>154</v>
      </c>
      <c r="F5326" s="6" t="s">
        <v>8022</v>
      </c>
      <c r="G5326" s="6" t="s">
        <v>8437</v>
      </c>
      <c r="H5326" s="6" t="s">
        <v>55</v>
      </c>
      <c r="I5326" s="6" t="s">
        <v>8397</v>
      </c>
      <c r="J5326" s="6" t="s">
        <v>154</v>
      </c>
      <c r="K5326" s="12" t="str">
        <f t="shared" ref="K5326:K5329" si="1490">HYPERLINK("https://dms.licdn.com/playlist/vid/v2/D5605AQEmxVlPHBLZkQ/mp4-720p-30fp-crf28/B56ZzYQFWqGQCI-/0/1773154630789?e=2147483647&amp;v=beta&amp;t=_JAszrfLzQkAhoCf8voYsNUfx6oL6Y1ScMDAiqjrXCI","View Creative")</f>
        <v>View Creative</v>
      </c>
      <c r="L5326" s="6" t="s">
        <v>62</v>
      </c>
      <c r="M5326" s="6" t="s">
        <v>1421</v>
      </c>
      <c r="N5326" s="6"/>
      <c r="O5326" s="36" t="s">
        <v>7541</v>
      </c>
      <c r="P5326" s="36" t="s">
        <v>7542</v>
      </c>
      <c r="Q5326" s="38"/>
    </row>
    <row r="5327">
      <c r="A5327" s="6" t="s">
        <v>1421</v>
      </c>
      <c r="B5327" s="6" t="s">
        <v>8395</v>
      </c>
      <c r="C5327" s="6">
        <v>309.0</v>
      </c>
      <c r="D5327" s="9" t="str">
        <f t="shared" si="1489"/>
        <v>Open Ad</v>
      </c>
      <c r="E5327" s="6" t="s">
        <v>154</v>
      </c>
      <c r="F5327" s="6" t="s">
        <v>8022</v>
      </c>
      <c r="G5327" s="6" t="s">
        <v>8437</v>
      </c>
      <c r="H5327" s="6" t="s">
        <v>55</v>
      </c>
      <c r="I5327" s="6" t="s">
        <v>8397</v>
      </c>
      <c r="J5327" s="6" t="s">
        <v>154</v>
      </c>
      <c r="K5327" s="12" t="str">
        <f t="shared" si="1490"/>
        <v>View Creative</v>
      </c>
      <c r="L5327" s="6" t="s">
        <v>62</v>
      </c>
      <c r="M5327" s="6" t="s">
        <v>1421</v>
      </c>
      <c r="N5327" s="6"/>
      <c r="O5327" s="36" t="s">
        <v>7541</v>
      </c>
      <c r="P5327" s="36" t="s">
        <v>7542</v>
      </c>
      <c r="Q5327" s="38"/>
    </row>
    <row r="5328">
      <c r="A5328" s="6" t="s">
        <v>1421</v>
      </c>
      <c r="B5328" s="6" t="s">
        <v>8395</v>
      </c>
      <c r="C5328" s="6">
        <v>310.0</v>
      </c>
      <c r="D5328" s="9" t="str">
        <f t="shared" ref="D5328:D5329" si="1491">HYPERLINK("https://www.linkedin.com/ad-library/detail/1230412484","Open Ad")</f>
        <v>Open Ad</v>
      </c>
      <c r="E5328" s="6" t="s">
        <v>154</v>
      </c>
      <c r="F5328" s="6" t="s">
        <v>8022</v>
      </c>
      <c r="G5328" s="6" t="s">
        <v>8437</v>
      </c>
      <c r="H5328" s="6" t="s">
        <v>55</v>
      </c>
      <c r="I5328" s="6" t="s">
        <v>8397</v>
      </c>
      <c r="J5328" s="6" t="s">
        <v>154</v>
      </c>
      <c r="K5328" s="12" t="str">
        <f t="shared" si="1490"/>
        <v>View Creative</v>
      </c>
      <c r="L5328" s="6" t="s">
        <v>62</v>
      </c>
      <c r="M5328" s="6" t="s">
        <v>1421</v>
      </c>
      <c r="N5328" s="6"/>
      <c r="O5328" s="36" t="s">
        <v>7541</v>
      </c>
      <c r="P5328" s="36" t="s">
        <v>7542</v>
      </c>
      <c r="Q5328" s="38"/>
    </row>
    <row r="5329">
      <c r="A5329" s="6" t="s">
        <v>1421</v>
      </c>
      <c r="B5329" s="6" t="s">
        <v>8395</v>
      </c>
      <c r="C5329" s="6">
        <v>311.0</v>
      </c>
      <c r="D5329" s="9" t="str">
        <f t="shared" si="1491"/>
        <v>Open Ad</v>
      </c>
      <c r="E5329" s="6" t="s">
        <v>154</v>
      </c>
      <c r="F5329" s="6" t="s">
        <v>8022</v>
      </c>
      <c r="G5329" s="6" t="s">
        <v>8437</v>
      </c>
      <c r="H5329" s="6" t="s">
        <v>55</v>
      </c>
      <c r="I5329" s="6" t="s">
        <v>8397</v>
      </c>
      <c r="J5329" s="6" t="s">
        <v>154</v>
      </c>
      <c r="K5329" s="12" t="str">
        <f t="shared" si="1490"/>
        <v>View Creative</v>
      </c>
      <c r="L5329" s="6" t="s">
        <v>62</v>
      </c>
      <c r="M5329" s="6" t="s">
        <v>1421</v>
      </c>
      <c r="N5329" s="6"/>
      <c r="O5329" s="36" t="s">
        <v>7541</v>
      </c>
      <c r="P5329" s="36" t="s">
        <v>7542</v>
      </c>
      <c r="Q5329" s="38"/>
    </row>
    <row r="5330">
      <c r="A5330" s="6" t="s">
        <v>1421</v>
      </c>
      <c r="B5330" s="6" t="s">
        <v>8395</v>
      </c>
      <c r="C5330" s="6">
        <v>312.0</v>
      </c>
      <c r="D5330" s="9" t="str">
        <f t="shared" ref="D5330:D5331" si="1492">HYPERLINK("https://www.linkedin.com/ad-library/detail/1229995834","Open Ad")</f>
        <v>Open Ad</v>
      </c>
      <c r="E5330" s="6" t="s">
        <v>154</v>
      </c>
      <c r="F5330" s="6" t="s">
        <v>8022</v>
      </c>
      <c r="G5330" s="6" t="s">
        <v>8524</v>
      </c>
      <c r="H5330" s="6" t="s">
        <v>55</v>
      </c>
      <c r="I5330" s="6" t="s">
        <v>8397</v>
      </c>
      <c r="J5330" s="6" t="s">
        <v>154</v>
      </c>
      <c r="K5330" s="12" t="str">
        <f t="shared" ref="K5330:K5331" si="1493">HYPERLINK("https://dms.licdn.com/playlist/vid/v2/D5605AQF-WXlH9UN8XA/mp4-720p-30fp-crf28/B56ZwkM5jrI4CI-/0/1770133910390?e=2147483647&amp;v=beta&amp;t=2--W0YV2wqt-_hylX_H8XgQLMhzmAN25ocXhbdzk4p8","View Creative")</f>
        <v>View Creative</v>
      </c>
      <c r="L5330" s="6" t="s">
        <v>62</v>
      </c>
      <c r="M5330" s="6" t="s">
        <v>1421</v>
      </c>
      <c r="N5330" s="6"/>
      <c r="O5330" s="36" t="s">
        <v>7541</v>
      </c>
      <c r="P5330" s="36" t="s">
        <v>7542</v>
      </c>
      <c r="Q5330" s="38"/>
    </row>
    <row r="5331">
      <c r="A5331" s="6" t="s">
        <v>1421</v>
      </c>
      <c r="B5331" s="6" t="s">
        <v>8395</v>
      </c>
      <c r="C5331" s="6">
        <v>313.0</v>
      </c>
      <c r="D5331" s="9" t="str">
        <f t="shared" si="1492"/>
        <v>Open Ad</v>
      </c>
      <c r="E5331" s="6" t="s">
        <v>154</v>
      </c>
      <c r="F5331" s="6" t="s">
        <v>8022</v>
      </c>
      <c r="G5331" s="6" t="s">
        <v>8524</v>
      </c>
      <c r="H5331" s="6" t="s">
        <v>55</v>
      </c>
      <c r="I5331" s="6" t="s">
        <v>8397</v>
      </c>
      <c r="J5331" s="6" t="s">
        <v>154</v>
      </c>
      <c r="K5331" s="12" t="str">
        <f t="shared" si="1493"/>
        <v>View Creative</v>
      </c>
      <c r="L5331" s="6" t="s">
        <v>62</v>
      </c>
      <c r="M5331" s="6" t="s">
        <v>1421</v>
      </c>
      <c r="N5331" s="6"/>
      <c r="O5331" s="36" t="s">
        <v>7541</v>
      </c>
      <c r="P5331" s="36" t="s">
        <v>7542</v>
      </c>
      <c r="Q5331" s="38"/>
    </row>
    <row r="5332">
      <c r="A5332" s="6" t="s">
        <v>1421</v>
      </c>
      <c r="B5332" s="6" t="s">
        <v>8395</v>
      </c>
      <c r="C5332" s="6">
        <v>314.0</v>
      </c>
      <c r="D5332" s="9" t="str">
        <f t="shared" ref="D5332:D5333" si="1494">HYPERLINK("https://www.linkedin.com/ad-library/detail/1235310884","Open Ad")</f>
        <v>Open Ad</v>
      </c>
      <c r="E5332" s="6" t="s">
        <v>91</v>
      </c>
      <c r="F5332" s="6" t="s">
        <v>8022</v>
      </c>
      <c r="G5332" s="6" t="s">
        <v>8525</v>
      </c>
      <c r="H5332" s="6" t="s">
        <v>55</v>
      </c>
      <c r="I5332" s="6" t="s">
        <v>8397</v>
      </c>
      <c r="J5332" s="6" t="s">
        <v>91</v>
      </c>
      <c r="K5332" s="12" t="str">
        <f t="shared" ref="K5332:K5333" si="1495">HYPERLINK("https://media.licdn.com/dms/image/v2/D5610AQE6n1cdPoSW_A/image-shrink_1280/B56Z0caFScHoAc-/0/1774298093307?e=2147483647&amp;v=beta&amp;t=ka-X0TnZQOeWIcNeqJK_6_kptExsPW9NjpJ8jubG-NI","View Creative")</f>
        <v>View Creative</v>
      </c>
      <c r="L5332" s="6" t="s">
        <v>62</v>
      </c>
      <c r="M5332" s="6" t="s">
        <v>1421</v>
      </c>
      <c r="N5332" s="6"/>
      <c r="O5332" s="36" t="s">
        <v>7541</v>
      </c>
      <c r="P5332" s="36" t="s">
        <v>7542</v>
      </c>
      <c r="Q5332" s="38"/>
    </row>
    <row r="5333">
      <c r="A5333" s="6" t="s">
        <v>1421</v>
      </c>
      <c r="B5333" s="6" t="s">
        <v>8395</v>
      </c>
      <c r="C5333" s="6">
        <v>315.0</v>
      </c>
      <c r="D5333" s="9" t="str">
        <f t="shared" si="1494"/>
        <v>Open Ad</v>
      </c>
      <c r="E5333" s="6" t="s">
        <v>91</v>
      </c>
      <c r="F5333" s="6" t="s">
        <v>8022</v>
      </c>
      <c r="G5333" s="6" t="s">
        <v>8525</v>
      </c>
      <c r="H5333" s="6" t="s">
        <v>55</v>
      </c>
      <c r="I5333" s="6" t="s">
        <v>8397</v>
      </c>
      <c r="J5333" s="6" t="s">
        <v>91</v>
      </c>
      <c r="K5333" s="12" t="str">
        <f t="shared" si="1495"/>
        <v>View Creative</v>
      </c>
      <c r="L5333" s="6" t="s">
        <v>62</v>
      </c>
      <c r="M5333" s="6" t="s">
        <v>1421</v>
      </c>
      <c r="N5333" s="6"/>
      <c r="O5333" s="36" t="s">
        <v>7541</v>
      </c>
      <c r="P5333" s="36" t="s">
        <v>7542</v>
      </c>
      <c r="Q5333" s="38"/>
    </row>
    <row r="5334">
      <c r="A5334" s="6" t="s">
        <v>1421</v>
      </c>
      <c r="B5334" s="6" t="s">
        <v>8395</v>
      </c>
      <c r="C5334" s="6">
        <v>316.0</v>
      </c>
      <c r="D5334" s="9" t="str">
        <f t="shared" ref="D5334:D5335" si="1496">HYPERLINK("https://www.linkedin.com/ad-library/detail/1234125284","Open Ad")</f>
        <v>Open Ad</v>
      </c>
      <c r="E5334" s="6" t="s">
        <v>91</v>
      </c>
      <c r="F5334" s="6" t="s">
        <v>8022</v>
      </c>
      <c r="G5334" s="6" t="s">
        <v>8515</v>
      </c>
      <c r="H5334" s="6" t="s">
        <v>55</v>
      </c>
      <c r="I5334" s="6" t="s">
        <v>8397</v>
      </c>
      <c r="J5334" s="6" t="s">
        <v>91</v>
      </c>
      <c r="K5334" s="12" t="str">
        <f t="shared" ref="K5334:K5335" si="1497">HYPERLINK("https://media.licdn.com/dms/image/v2/D5610AQHQSqI8PdVPvA/image-shrink_1280/B56Z0caMYgJgAc-/0/1774298122459?e=2147483647&amp;v=beta&amp;t=mOW8K2nYfYa3tb-1LMWS3teYRydKlDzYj0ob0NGa9eI","View Creative")</f>
        <v>View Creative</v>
      </c>
      <c r="L5334" s="6" t="s">
        <v>62</v>
      </c>
      <c r="M5334" s="6" t="s">
        <v>1421</v>
      </c>
      <c r="N5334" s="6"/>
      <c r="O5334" s="36" t="s">
        <v>7541</v>
      </c>
      <c r="P5334" s="36" t="s">
        <v>7542</v>
      </c>
      <c r="Q5334" s="38"/>
    </row>
    <row r="5335">
      <c r="A5335" s="6" t="s">
        <v>1421</v>
      </c>
      <c r="B5335" s="6" t="s">
        <v>8395</v>
      </c>
      <c r="C5335" s="6">
        <v>317.0</v>
      </c>
      <c r="D5335" s="9" t="str">
        <f t="shared" si="1496"/>
        <v>Open Ad</v>
      </c>
      <c r="E5335" s="6" t="s">
        <v>91</v>
      </c>
      <c r="F5335" s="6" t="s">
        <v>8022</v>
      </c>
      <c r="G5335" s="6" t="s">
        <v>8515</v>
      </c>
      <c r="H5335" s="6" t="s">
        <v>55</v>
      </c>
      <c r="I5335" s="6" t="s">
        <v>8397</v>
      </c>
      <c r="J5335" s="6" t="s">
        <v>91</v>
      </c>
      <c r="K5335" s="12" t="str">
        <f t="shared" si="1497"/>
        <v>View Creative</v>
      </c>
      <c r="L5335" s="6" t="s">
        <v>62</v>
      </c>
      <c r="M5335" s="6" t="s">
        <v>1421</v>
      </c>
      <c r="N5335" s="6"/>
      <c r="O5335" s="36" t="s">
        <v>7541</v>
      </c>
      <c r="P5335" s="36" t="s">
        <v>7542</v>
      </c>
      <c r="Q5335" s="38"/>
    </row>
    <row r="5336">
      <c r="A5336" s="6" t="s">
        <v>1421</v>
      </c>
      <c r="B5336" s="6" t="s">
        <v>8395</v>
      </c>
      <c r="C5336" s="6">
        <v>318.0</v>
      </c>
      <c r="D5336" s="9" t="str">
        <f>HYPERLINK("https://www.linkedin.com/ad-library/detail/1229507524","Open Ad")</f>
        <v>Open Ad</v>
      </c>
      <c r="E5336" s="6" t="s">
        <v>52</v>
      </c>
      <c r="F5336" s="6" t="s">
        <v>8022</v>
      </c>
      <c r="G5336" s="6" t="s">
        <v>8462</v>
      </c>
      <c r="H5336" s="6" t="s">
        <v>55</v>
      </c>
      <c r="I5336" s="6" t="s">
        <v>8397</v>
      </c>
      <c r="J5336" s="6" t="s">
        <v>52</v>
      </c>
      <c r="K5336" s="6" t="s">
        <v>60</v>
      </c>
      <c r="L5336" s="6" t="s">
        <v>62</v>
      </c>
      <c r="M5336" s="6" t="s">
        <v>1421</v>
      </c>
      <c r="N5336" s="6"/>
      <c r="O5336" s="36" t="s">
        <v>7541</v>
      </c>
      <c r="P5336" s="36" t="s">
        <v>7542</v>
      </c>
      <c r="Q5336" s="38"/>
    </row>
    <row r="5337">
      <c r="A5337" s="6" t="s">
        <v>1421</v>
      </c>
      <c r="B5337" s="6" t="s">
        <v>8395</v>
      </c>
      <c r="C5337" s="6">
        <v>319.0</v>
      </c>
      <c r="D5337" s="9" t="str">
        <f>HYPERLINK("https://www.linkedin.com/ad-library/detail/1235009504","Open Ad")</f>
        <v>Open Ad</v>
      </c>
      <c r="E5337" s="6" t="s">
        <v>52</v>
      </c>
      <c r="F5337" s="6" t="s">
        <v>8022</v>
      </c>
      <c r="G5337" s="6" t="s">
        <v>8526</v>
      </c>
      <c r="H5337" s="6" t="s">
        <v>55</v>
      </c>
      <c r="I5337" s="6" t="s">
        <v>8397</v>
      </c>
      <c r="J5337" s="6" t="s">
        <v>52</v>
      </c>
      <c r="K5337" s="6" t="s">
        <v>60</v>
      </c>
      <c r="L5337" s="6" t="s">
        <v>62</v>
      </c>
      <c r="M5337" s="6" t="s">
        <v>1421</v>
      </c>
      <c r="N5337" s="6"/>
      <c r="O5337" s="36" t="s">
        <v>7541</v>
      </c>
      <c r="P5337" s="36" t="s">
        <v>7542</v>
      </c>
      <c r="Q5337" s="38"/>
    </row>
    <row r="5338">
      <c r="A5338" s="6" t="s">
        <v>1421</v>
      </c>
      <c r="B5338" s="6" t="s">
        <v>8395</v>
      </c>
      <c r="C5338" s="6">
        <v>320.0</v>
      </c>
      <c r="D5338" s="9" t="str">
        <f t="shared" ref="D5338:D5339" si="1498">HYPERLINK("https://www.linkedin.com/ad-library/detail/1234125274","Open Ad")</f>
        <v>Open Ad</v>
      </c>
      <c r="E5338" s="6" t="s">
        <v>91</v>
      </c>
      <c r="F5338" s="6" t="s">
        <v>8022</v>
      </c>
      <c r="G5338" s="6" t="s">
        <v>8527</v>
      </c>
      <c r="H5338" s="6" t="s">
        <v>55</v>
      </c>
      <c r="I5338" s="6" t="s">
        <v>8397</v>
      </c>
      <c r="J5338" s="6" t="s">
        <v>91</v>
      </c>
      <c r="K5338" s="12" t="str">
        <f t="shared" ref="K5338:K5339" si="1499">HYPERLINK("https://media.licdn.com/dms/image/v2/D5610AQFBIT4fFKpHhA/image-shrink_1280/B56Z0caFZUKYAc-/0/1774298093913?e=2147483647&amp;v=beta&amp;t=o8KXdV7MIrsahg62wPxeMdeXy4fbuVoxqF9B2u2-Y4k","View Creative")</f>
        <v>View Creative</v>
      </c>
      <c r="L5338" s="6" t="s">
        <v>62</v>
      </c>
      <c r="M5338" s="6" t="s">
        <v>1421</v>
      </c>
      <c r="N5338" s="6"/>
      <c r="O5338" s="36" t="s">
        <v>7541</v>
      </c>
      <c r="P5338" s="36" t="s">
        <v>7542</v>
      </c>
      <c r="Q5338" s="38"/>
    </row>
    <row r="5339">
      <c r="A5339" s="6" t="s">
        <v>1421</v>
      </c>
      <c r="B5339" s="6" t="s">
        <v>8395</v>
      </c>
      <c r="C5339" s="6">
        <v>321.0</v>
      </c>
      <c r="D5339" s="9" t="str">
        <f t="shared" si="1498"/>
        <v>Open Ad</v>
      </c>
      <c r="E5339" s="6" t="s">
        <v>91</v>
      </c>
      <c r="F5339" s="6" t="s">
        <v>8022</v>
      </c>
      <c r="G5339" s="6" t="s">
        <v>8527</v>
      </c>
      <c r="H5339" s="6" t="s">
        <v>55</v>
      </c>
      <c r="I5339" s="6" t="s">
        <v>8397</v>
      </c>
      <c r="J5339" s="6" t="s">
        <v>91</v>
      </c>
      <c r="K5339" s="12" t="str">
        <f t="shared" si="1499"/>
        <v>View Creative</v>
      </c>
      <c r="L5339" s="6" t="s">
        <v>62</v>
      </c>
      <c r="M5339" s="6" t="s">
        <v>1421</v>
      </c>
      <c r="N5339" s="6"/>
      <c r="O5339" s="36" t="s">
        <v>7541</v>
      </c>
      <c r="P5339" s="36" t="s">
        <v>7542</v>
      </c>
      <c r="Q5339" s="38"/>
    </row>
    <row r="5340">
      <c r="A5340" s="6" t="s">
        <v>1421</v>
      </c>
      <c r="B5340" s="6" t="s">
        <v>8395</v>
      </c>
      <c r="C5340" s="6">
        <v>322.0</v>
      </c>
      <c r="D5340" s="9" t="str">
        <f t="shared" ref="D5340:D5341" si="1500">HYPERLINK("https://www.linkedin.com/ad-library/detail/1234422444","Open Ad")</f>
        <v>Open Ad</v>
      </c>
      <c r="E5340" s="6" t="s">
        <v>91</v>
      </c>
      <c r="F5340" s="6" t="s">
        <v>8022</v>
      </c>
      <c r="G5340" s="6" t="s">
        <v>8527</v>
      </c>
      <c r="H5340" s="6" t="s">
        <v>55</v>
      </c>
      <c r="I5340" s="6" t="s">
        <v>8397</v>
      </c>
      <c r="J5340" s="6" t="s">
        <v>91</v>
      </c>
      <c r="K5340" s="12" t="str">
        <f t="shared" ref="K5340:K5341" si="1501">HYPERLINK("https://media.licdn.com/dms/image/v2/D5610AQFne4p45AC0BQ/image-shrink_1280/B56Z0cZ3PXKkAc-/0/1774298035887?e=2147483647&amp;v=beta&amp;t=GFPj3XuHIPsBHlQaJT6nfKNMMEpmrAvducJsjVAKftc","View Creative")</f>
        <v>View Creative</v>
      </c>
      <c r="L5340" s="6" t="s">
        <v>62</v>
      </c>
      <c r="M5340" s="6" t="s">
        <v>1421</v>
      </c>
      <c r="N5340" s="6"/>
      <c r="O5340" s="36" t="s">
        <v>7541</v>
      </c>
      <c r="P5340" s="36" t="s">
        <v>7542</v>
      </c>
      <c r="Q5340" s="38"/>
    </row>
    <row r="5341">
      <c r="A5341" s="6" t="s">
        <v>1421</v>
      </c>
      <c r="B5341" s="6" t="s">
        <v>8395</v>
      </c>
      <c r="C5341" s="6">
        <v>323.0</v>
      </c>
      <c r="D5341" s="9" t="str">
        <f t="shared" si="1500"/>
        <v>Open Ad</v>
      </c>
      <c r="E5341" s="6" t="s">
        <v>91</v>
      </c>
      <c r="F5341" s="6" t="s">
        <v>8022</v>
      </c>
      <c r="G5341" s="6" t="s">
        <v>8527</v>
      </c>
      <c r="H5341" s="6" t="s">
        <v>55</v>
      </c>
      <c r="I5341" s="6" t="s">
        <v>8397</v>
      </c>
      <c r="J5341" s="6" t="s">
        <v>91</v>
      </c>
      <c r="K5341" s="12" t="str">
        <f t="shared" si="1501"/>
        <v>View Creative</v>
      </c>
      <c r="L5341" s="6" t="s">
        <v>62</v>
      </c>
      <c r="M5341" s="6" t="s">
        <v>1421</v>
      </c>
      <c r="N5341" s="6"/>
      <c r="O5341" s="36" t="s">
        <v>7541</v>
      </c>
      <c r="P5341" s="36" t="s">
        <v>7542</v>
      </c>
      <c r="Q5341" s="38"/>
    </row>
    <row r="5342">
      <c r="A5342" s="6" t="s">
        <v>1421</v>
      </c>
      <c r="B5342" s="6" t="s">
        <v>8395</v>
      </c>
      <c r="C5342" s="6">
        <v>324.0</v>
      </c>
      <c r="D5342" s="9" t="str">
        <f>HYPERLINK("https://www.linkedin.com/ad-library/detail/1231418804","Open Ad")</f>
        <v>Open Ad</v>
      </c>
      <c r="E5342" s="6" t="s">
        <v>52</v>
      </c>
      <c r="F5342" s="6" t="s">
        <v>8022</v>
      </c>
      <c r="G5342" s="6" t="s">
        <v>8528</v>
      </c>
      <c r="H5342" s="6" t="s">
        <v>55</v>
      </c>
      <c r="I5342" s="6" t="s">
        <v>8397</v>
      </c>
      <c r="J5342" s="6" t="s">
        <v>52</v>
      </c>
      <c r="K5342" s="6" t="s">
        <v>60</v>
      </c>
      <c r="L5342" s="6" t="s">
        <v>62</v>
      </c>
      <c r="M5342" s="6" t="s">
        <v>1421</v>
      </c>
      <c r="N5342" s="6"/>
      <c r="O5342" s="36" t="s">
        <v>7541</v>
      </c>
      <c r="P5342" s="36" t="s">
        <v>7542</v>
      </c>
      <c r="Q5342" s="38"/>
    </row>
    <row r="5343">
      <c r="A5343" s="6" t="s">
        <v>1421</v>
      </c>
      <c r="B5343" s="6" t="s">
        <v>8395</v>
      </c>
      <c r="C5343" s="6">
        <v>325.0</v>
      </c>
      <c r="D5343" s="9" t="str">
        <f>HYPERLINK("https://www.linkedin.com/ad-library/detail/1228510594","Open Ad")</f>
        <v>Open Ad</v>
      </c>
      <c r="E5343" s="6" t="s">
        <v>52</v>
      </c>
      <c r="F5343" s="6" t="s">
        <v>8022</v>
      </c>
      <c r="G5343" s="6" t="s">
        <v>8462</v>
      </c>
      <c r="H5343" s="6" t="s">
        <v>55</v>
      </c>
      <c r="I5343" s="6" t="s">
        <v>8397</v>
      </c>
      <c r="J5343" s="6" t="s">
        <v>52</v>
      </c>
      <c r="K5343" s="6" t="s">
        <v>60</v>
      </c>
      <c r="L5343" s="6" t="s">
        <v>62</v>
      </c>
      <c r="M5343" s="6" t="s">
        <v>1421</v>
      </c>
      <c r="N5343" s="6"/>
      <c r="O5343" s="36" t="s">
        <v>7541</v>
      </c>
      <c r="P5343" s="36" t="s">
        <v>7542</v>
      </c>
      <c r="Q5343" s="38"/>
    </row>
    <row r="5344">
      <c r="A5344" s="6" t="s">
        <v>1421</v>
      </c>
      <c r="B5344" s="6" t="s">
        <v>8395</v>
      </c>
      <c r="C5344" s="6">
        <v>326.0</v>
      </c>
      <c r="D5344" s="9" t="str">
        <f t="shared" ref="D5344:D5345" si="1502">HYPERLINK("https://www.linkedin.com/ad-library/detail/1228510584","Open Ad")</f>
        <v>Open Ad</v>
      </c>
      <c r="E5344" s="6" t="s">
        <v>154</v>
      </c>
      <c r="F5344" s="6" t="s">
        <v>8022</v>
      </c>
      <c r="G5344" s="6" t="s">
        <v>8524</v>
      </c>
      <c r="H5344" s="6" t="s">
        <v>55</v>
      </c>
      <c r="I5344" s="6" t="s">
        <v>8397</v>
      </c>
      <c r="J5344" s="6" t="s">
        <v>154</v>
      </c>
      <c r="K5344" s="12" t="str">
        <f t="shared" ref="K5344:K5345" si="1503">HYPERLINK("https://dms.licdn.com/playlist/vid/v2/D5605AQF-WXlH9UN8XA/mp4-720p-30fp-crf28/B56ZwkM5jrI4CI-/0/1770133910390?e=2147483647&amp;v=beta&amp;t=2--W0YV2wqt-_hylX_H8XgQLMhzmAN25ocXhbdzk4p8","View Creative")</f>
        <v>View Creative</v>
      </c>
      <c r="L5344" s="6" t="s">
        <v>62</v>
      </c>
      <c r="M5344" s="6" t="s">
        <v>1421</v>
      </c>
      <c r="N5344" s="6"/>
      <c r="O5344" s="36" t="s">
        <v>7541</v>
      </c>
      <c r="P5344" s="36" t="s">
        <v>7542</v>
      </c>
      <c r="Q5344" s="38"/>
    </row>
    <row r="5345">
      <c r="A5345" s="6" t="s">
        <v>1421</v>
      </c>
      <c r="B5345" s="6" t="s">
        <v>8395</v>
      </c>
      <c r="C5345" s="6">
        <v>327.0</v>
      </c>
      <c r="D5345" s="9" t="str">
        <f t="shared" si="1502"/>
        <v>Open Ad</v>
      </c>
      <c r="E5345" s="6" t="s">
        <v>154</v>
      </c>
      <c r="F5345" s="6" t="s">
        <v>8022</v>
      </c>
      <c r="G5345" s="6" t="s">
        <v>8524</v>
      </c>
      <c r="H5345" s="6" t="s">
        <v>55</v>
      </c>
      <c r="I5345" s="6" t="s">
        <v>8397</v>
      </c>
      <c r="J5345" s="6" t="s">
        <v>154</v>
      </c>
      <c r="K5345" s="12" t="str">
        <f t="shared" si="1503"/>
        <v>View Creative</v>
      </c>
      <c r="L5345" s="6" t="s">
        <v>62</v>
      </c>
      <c r="M5345" s="6" t="s">
        <v>1421</v>
      </c>
      <c r="N5345" s="6"/>
      <c r="O5345" s="36" t="s">
        <v>7541</v>
      </c>
      <c r="P5345" s="36" t="s">
        <v>7542</v>
      </c>
      <c r="Q5345" s="38"/>
    </row>
    <row r="5346">
      <c r="A5346" s="6" t="s">
        <v>1421</v>
      </c>
      <c r="B5346" s="6" t="s">
        <v>8395</v>
      </c>
      <c r="C5346" s="6">
        <v>328.0</v>
      </c>
      <c r="D5346" s="9" t="str">
        <f>HYPERLINK("https://www.linkedin.com/ad-library/detail/1234417914","Open Ad")</f>
        <v>Open Ad</v>
      </c>
      <c r="E5346" s="6" t="s">
        <v>52</v>
      </c>
      <c r="F5346" s="6" t="s">
        <v>8022</v>
      </c>
      <c r="G5346" s="6" t="s">
        <v>8529</v>
      </c>
      <c r="H5346" s="6" t="s">
        <v>55</v>
      </c>
      <c r="I5346" s="6" t="s">
        <v>8397</v>
      </c>
      <c r="J5346" s="6" t="s">
        <v>52</v>
      </c>
      <c r="K5346" s="6" t="s">
        <v>60</v>
      </c>
      <c r="L5346" s="6" t="s">
        <v>62</v>
      </c>
      <c r="M5346" s="6" t="s">
        <v>1421</v>
      </c>
      <c r="N5346" s="6"/>
      <c r="O5346" s="36" t="s">
        <v>7541</v>
      </c>
      <c r="P5346" s="36" t="s">
        <v>7542</v>
      </c>
      <c r="Q5346" s="38"/>
    </row>
    <row r="5347">
      <c r="A5347" s="6" t="s">
        <v>1421</v>
      </c>
      <c r="B5347" s="6" t="s">
        <v>8395</v>
      </c>
      <c r="C5347" s="6">
        <v>329.0</v>
      </c>
      <c r="D5347" s="9" t="str">
        <f>HYPERLINK("https://www.linkedin.com/ad-library/detail/1234417924","Open Ad")</f>
        <v>Open Ad</v>
      </c>
      <c r="E5347" s="6" t="s">
        <v>52</v>
      </c>
      <c r="F5347" s="6" t="s">
        <v>8022</v>
      </c>
      <c r="G5347" s="6" t="s">
        <v>8530</v>
      </c>
      <c r="H5347" s="6" t="s">
        <v>55</v>
      </c>
      <c r="I5347" s="6" t="s">
        <v>8397</v>
      </c>
      <c r="J5347" s="6" t="s">
        <v>52</v>
      </c>
      <c r="K5347" s="6" t="s">
        <v>60</v>
      </c>
      <c r="L5347" s="6" t="s">
        <v>62</v>
      </c>
      <c r="M5347" s="6" t="s">
        <v>1421</v>
      </c>
      <c r="N5347" s="6"/>
      <c r="O5347" s="36" t="s">
        <v>7541</v>
      </c>
      <c r="P5347" s="36" t="s">
        <v>7542</v>
      </c>
      <c r="Q5347" s="38"/>
    </row>
    <row r="5348">
      <c r="A5348" s="6" t="s">
        <v>1421</v>
      </c>
      <c r="B5348" s="6" t="s">
        <v>8395</v>
      </c>
      <c r="C5348" s="6">
        <v>330.0</v>
      </c>
      <c r="D5348" s="9" t="str">
        <f t="shared" ref="D5348:D5349" si="1504">HYPERLINK("https://www.linkedin.com/ad-library/detail/1233827614","Open Ad")</f>
        <v>Open Ad</v>
      </c>
      <c r="E5348" s="6" t="s">
        <v>91</v>
      </c>
      <c r="F5348" s="6" t="s">
        <v>8022</v>
      </c>
      <c r="G5348" s="6" t="s">
        <v>8527</v>
      </c>
      <c r="H5348" s="6" t="s">
        <v>55</v>
      </c>
      <c r="I5348" s="6" t="s">
        <v>8397</v>
      </c>
      <c r="J5348" s="6" t="s">
        <v>91</v>
      </c>
      <c r="K5348" s="12" t="str">
        <f t="shared" ref="K5348:K5349" si="1505">HYPERLINK("https://media.licdn.com/dms/image/v2/D5610AQGz40mMuY6eTA/image-shrink_1280/B56Z0cZ.flHwAc-/0/1774298065195?e=2147483647&amp;v=beta&amp;t=07LYvBWI6Twj32ux04eAuSKmRTr7vR2_jW41BUsyl8c","View Creative")</f>
        <v>View Creative</v>
      </c>
      <c r="L5348" s="6" t="s">
        <v>62</v>
      </c>
      <c r="M5348" s="6" t="s">
        <v>1421</v>
      </c>
      <c r="N5348" s="6"/>
      <c r="O5348" s="36" t="s">
        <v>7541</v>
      </c>
      <c r="P5348" s="36" t="s">
        <v>7542</v>
      </c>
      <c r="Q5348" s="38"/>
    </row>
    <row r="5349">
      <c r="A5349" s="6" t="s">
        <v>1421</v>
      </c>
      <c r="B5349" s="6" t="s">
        <v>8395</v>
      </c>
      <c r="C5349" s="6">
        <v>331.0</v>
      </c>
      <c r="D5349" s="9" t="str">
        <f t="shared" si="1504"/>
        <v>Open Ad</v>
      </c>
      <c r="E5349" s="6" t="s">
        <v>91</v>
      </c>
      <c r="F5349" s="6" t="s">
        <v>8022</v>
      </c>
      <c r="G5349" s="6" t="s">
        <v>8527</v>
      </c>
      <c r="H5349" s="6" t="s">
        <v>55</v>
      </c>
      <c r="I5349" s="6" t="s">
        <v>8397</v>
      </c>
      <c r="J5349" s="6" t="s">
        <v>91</v>
      </c>
      <c r="K5349" s="12" t="str">
        <f t="shared" si="1505"/>
        <v>View Creative</v>
      </c>
      <c r="L5349" s="6" t="s">
        <v>62</v>
      </c>
      <c r="M5349" s="6" t="s">
        <v>1421</v>
      </c>
      <c r="N5349" s="6"/>
      <c r="O5349" s="36" t="s">
        <v>7541</v>
      </c>
      <c r="P5349" s="36" t="s">
        <v>7542</v>
      </c>
      <c r="Q5349" s="38"/>
    </row>
    <row r="5350">
      <c r="A5350" s="6" t="s">
        <v>1421</v>
      </c>
      <c r="B5350" s="6" t="s">
        <v>8395</v>
      </c>
      <c r="C5350" s="6">
        <v>332.0</v>
      </c>
      <c r="D5350" s="9" t="str">
        <f t="shared" ref="D5350:D5351" si="1506">HYPERLINK("https://www.linkedin.com/ad-library/detail/1235406104","Open Ad")</f>
        <v>Open Ad</v>
      </c>
      <c r="E5350" s="6" t="s">
        <v>91</v>
      </c>
      <c r="F5350" s="6" t="s">
        <v>8022</v>
      </c>
      <c r="G5350" s="6" t="s">
        <v>8527</v>
      </c>
      <c r="H5350" s="6" t="s">
        <v>55</v>
      </c>
      <c r="I5350" s="6" t="s">
        <v>8397</v>
      </c>
      <c r="J5350" s="6" t="s">
        <v>91</v>
      </c>
      <c r="K5350" s="12" t="str">
        <f t="shared" ref="K5350:K5351" si="1507">HYPERLINK("https://media.licdn.com/dms/image/v2/D5610AQEYeznC98DMNw/image-shrink_1280/B56Z0cZwQLJ8Ac-/0/1774298006768?e=2147483647&amp;v=beta&amp;t=VB9sKccoGhMo6UOkbnFu6CsX5pL7gk5vIStoW3PFxJ0","View Creative")</f>
        <v>View Creative</v>
      </c>
      <c r="L5350" s="6" t="s">
        <v>62</v>
      </c>
      <c r="M5350" s="6" t="s">
        <v>1421</v>
      </c>
      <c r="N5350" s="6"/>
      <c r="O5350" s="36" t="s">
        <v>7541</v>
      </c>
      <c r="P5350" s="36" t="s">
        <v>7542</v>
      </c>
      <c r="Q5350" s="38"/>
    </row>
    <row r="5351">
      <c r="A5351" s="6" t="s">
        <v>1421</v>
      </c>
      <c r="B5351" s="6" t="s">
        <v>8395</v>
      </c>
      <c r="C5351" s="6">
        <v>333.0</v>
      </c>
      <c r="D5351" s="9" t="str">
        <f t="shared" si="1506"/>
        <v>Open Ad</v>
      </c>
      <c r="E5351" s="6" t="s">
        <v>91</v>
      </c>
      <c r="F5351" s="6" t="s">
        <v>8022</v>
      </c>
      <c r="G5351" s="6" t="s">
        <v>8527</v>
      </c>
      <c r="H5351" s="6" t="s">
        <v>55</v>
      </c>
      <c r="I5351" s="6" t="s">
        <v>8397</v>
      </c>
      <c r="J5351" s="6" t="s">
        <v>91</v>
      </c>
      <c r="K5351" s="12" t="str">
        <f t="shared" si="1507"/>
        <v>View Creative</v>
      </c>
      <c r="L5351" s="6" t="s">
        <v>62</v>
      </c>
      <c r="M5351" s="6" t="s">
        <v>1421</v>
      </c>
      <c r="N5351" s="6"/>
      <c r="O5351" s="36" t="s">
        <v>7541</v>
      </c>
      <c r="P5351" s="36" t="s">
        <v>7542</v>
      </c>
      <c r="Q5351" s="38"/>
    </row>
    <row r="5352">
      <c r="A5352" s="6" t="s">
        <v>1421</v>
      </c>
      <c r="B5352" s="6" t="s">
        <v>8395</v>
      </c>
      <c r="C5352" s="6">
        <v>334.0</v>
      </c>
      <c r="D5352" s="9" t="str">
        <f>HYPERLINK("https://www.linkedin.com/ad-library/detail/1235305964","Open Ad")</f>
        <v>Open Ad</v>
      </c>
      <c r="E5352" s="6" t="s">
        <v>52</v>
      </c>
      <c r="F5352" s="6" t="s">
        <v>8022</v>
      </c>
      <c r="G5352" s="6" t="s">
        <v>8531</v>
      </c>
      <c r="H5352" s="6" t="s">
        <v>55</v>
      </c>
      <c r="I5352" s="6" t="s">
        <v>8397</v>
      </c>
      <c r="J5352" s="6" t="s">
        <v>52</v>
      </c>
      <c r="K5352" s="6" t="s">
        <v>60</v>
      </c>
      <c r="L5352" s="6" t="s">
        <v>62</v>
      </c>
      <c r="M5352" s="6" t="s">
        <v>1421</v>
      </c>
      <c r="N5352" s="6"/>
      <c r="O5352" s="36" t="s">
        <v>7541</v>
      </c>
      <c r="P5352" s="36" t="s">
        <v>7542</v>
      </c>
      <c r="Q5352" s="38"/>
    </row>
    <row r="5353">
      <c r="A5353" s="6" t="s">
        <v>1421</v>
      </c>
      <c r="B5353" s="6" t="s">
        <v>8395</v>
      </c>
      <c r="C5353" s="6">
        <v>335.0</v>
      </c>
      <c r="D5353" s="9" t="str">
        <f t="shared" ref="D5353:D5354" si="1508">HYPERLINK("https://www.linkedin.com/ad-library/detail/1234608434","Open Ad")</f>
        <v>Open Ad</v>
      </c>
      <c r="E5353" s="6" t="s">
        <v>154</v>
      </c>
      <c r="F5353" s="6" t="s">
        <v>8022</v>
      </c>
      <c r="G5353" s="6" t="s">
        <v>8523</v>
      </c>
      <c r="H5353" s="6" t="s">
        <v>55</v>
      </c>
      <c r="I5353" s="6" t="s">
        <v>8397</v>
      </c>
      <c r="J5353" s="6" t="s">
        <v>154</v>
      </c>
      <c r="K5353" s="12" t="str">
        <f t="shared" ref="K5353:K5354" si="1509">HYPERLINK("https://dms.licdn.com/playlist/vid/v2/D5605AQHSz_vo9FwHQQ/mp4-640p-30fp-crf28/B56Z0BQ5nbKIBw-/0/1773842709421?e=2147483647&amp;v=beta&amp;t=I39tz-aKM_nrvS7atKZ_KcsWKszByaxzAJpIM1P1gD8","View Creative")</f>
        <v>View Creative</v>
      </c>
      <c r="L5353" s="6" t="s">
        <v>62</v>
      </c>
      <c r="M5353" s="6" t="s">
        <v>1421</v>
      </c>
      <c r="N5353" s="6"/>
      <c r="O5353" s="36" t="s">
        <v>7541</v>
      </c>
      <c r="P5353" s="36" t="s">
        <v>7542</v>
      </c>
      <c r="Q5353" s="38"/>
    </row>
    <row r="5354">
      <c r="A5354" s="6" t="s">
        <v>1421</v>
      </c>
      <c r="B5354" s="6" t="s">
        <v>8395</v>
      </c>
      <c r="C5354" s="6">
        <v>336.0</v>
      </c>
      <c r="D5354" s="9" t="str">
        <f t="shared" si="1508"/>
        <v>Open Ad</v>
      </c>
      <c r="E5354" s="6" t="s">
        <v>154</v>
      </c>
      <c r="F5354" s="6" t="s">
        <v>8022</v>
      </c>
      <c r="G5354" s="6" t="s">
        <v>8523</v>
      </c>
      <c r="H5354" s="6" t="s">
        <v>55</v>
      </c>
      <c r="I5354" s="6" t="s">
        <v>8397</v>
      </c>
      <c r="J5354" s="6" t="s">
        <v>154</v>
      </c>
      <c r="K5354" s="12" t="str">
        <f t="shared" si="1509"/>
        <v>View Creative</v>
      </c>
      <c r="L5354" s="6" t="s">
        <v>62</v>
      </c>
      <c r="M5354" s="6" t="s">
        <v>1421</v>
      </c>
      <c r="N5354" s="6"/>
      <c r="O5354" s="36" t="s">
        <v>7541</v>
      </c>
      <c r="P5354" s="36" t="s">
        <v>7542</v>
      </c>
      <c r="Q5354" s="38"/>
    </row>
    <row r="5355">
      <c r="A5355" s="6" t="s">
        <v>1421</v>
      </c>
      <c r="B5355" s="6" t="s">
        <v>8395</v>
      </c>
      <c r="C5355" s="6">
        <v>337.0</v>
      </c>
      <c r="D5355" s="9" t="str">
        <f>HYPERLINK("https://www.linkedin.com/ad-library/detail/1230828194","Open Ad")</f>
        <v>Open Ad</v>
      </c>
      <c r="E5355" s="6" t="s">
        <v>52</v>
      </c>
      <c r="F5355" s="6" t="s">
        <v>8022</v>
      </c>
      <c r="G5355" s="6" t="s">
        <v>8532</v>
      </c>
      <c r="H5355" s="6" t="s">
        <v>55</v>
      </c>
      <c r="I5355" s="6" t="s">
        <v>8397</v>
      </c>
      <c r="J5355" s="6" t="s">
        <v>52</v>
      </c>
      <c r="K5355" s="6" t="s">
        <v>60</v>
      </c>
      <c r="L5355" s="6" t="s">
        <v>62</v>
      </c>
      <c r="M5355" s="6" t="s">
        <v>1421</v>
      </c>
      <c r="N5355" s="6"/>
      <c r="O5355" s="36" t="s">
        <v>7541</v>
      </c>
      <c r="P5355" s="36" t="s">
        <v>7542</v>
      </c>
      <c r="Q5355" s="38"/>
    </row>
    <row r="5356">
      <c r="A5356" s="6" t="s">
        <v>1421</v>
      </c>
      <c r="B5356" s="6" t="s">
        <v>8395</v>
      </c>
      <c r="C5356" s="6">
        <v>338.0</v>
      </c>
      <c r="D5356" s="9" t="str">
        <f>HYPERLINK("https://www.linkedin.com/ad-library/detail/1230828214","Open Ad")</f>
        <v>Open Ad</v>
      </c>
      <c r="E5356" s="6" t="s">
        <v>52</v>
      </c>
      <c r="F5356" s="6" t="s">
        <v>8022</v>
      </c>
      <c r="G5356" s="6" t="s">
        <v>8533</v>
      </c>
      <c r="H5356" s="6" t="s">
        <v>55</v>
      </c>
      <c r="I5356" s="6" t="s">
        <v>8397</v>
      </c>
      <c r="J5356" s="6" t="s">
        <v>52</v>
      </c>
      <c r="K5356" s="6" t="s">
        <v>60</v>
      </c>
      <c r="L5356" s="6" t="s">
        <v>62</v>
      </c>
      <c r="M5356" s="6" t="s">
        <v>1421</v>
      </c>
      <c r="N5356" s="6"/>
      <c r="O5356" s="36" t="s">
        <v>7541</v>
      </c>
      <c r="P5356" s="36" t="s">
        <v>7542</v>
      </c>
      <c r="Q5356" s="38"/>
    </row>
    <row r="5357">
      <c r="A5357" s="6" t="s">
        <v>1421</v>
      </c>
      <c r="B5357" s="6" t="s">
        <v>8395</v>
      </c>
      <c r="C5357" s="6">
        <v>339.0</v>
      </c>
      <c r="D5357" s="9" t="str">
        <f t="shared" ref="D5357:D5358" si="1510">HYPERLINK("https://www.linkedin.com/ad-library/detail/1235301154","Open Ad")</f>
        <v>Open Ad</v>
      </c>
      <c r="E5357" s="6" t="s">
        <v>154</v>
      </c>
      <c r="F5357" s="6" t="s">
        <v>8022</v>
      </c>
      <c r="G5357" s="6" t="s">
        <v>8442</v>
      </c>
      <c r="H5357" s="6" t="s">
        <v>55</v>
      </c>
      <c r="I5357" s="6" t="s">
        <v>8397</v>
      </c>
      <c r="J5357" s="6" t="s">
        <v>154</v>
      </c>
      <c r="K5357" s="12" t="str">
        <f t="shared" ref="K5357:K5360" si="1511">HYPERLINK("https://dms.licdn.com/playlist/vid/v2/D5605AQEs6LQnnTNLog/mp4-640p-30fp-crf28/B56Z0BOKwvHkB4-/0/1773841991778?e=2147483647&amp;v=beta&amp;t=qT_i7Elj41v8cqTDj0Pm1MBIWZ5u7xwONWxM16xoyU8","View Creative")</f>
        <v>View Creative</v>
      </c>
      <c r="L5357" s="6" t="s">
        <v>62</v>
      </c>
      <c r="M5357" s="6" t="s">
        <v>1421</v>
      </c>
      <c r="N5357" s="6"/>
      <c r="O5357" s="36" t="s">
        <v>7541</v>
      </c>
      <c r="P5357" s="36" t="s">
        <v>7542</v>
      </c>
      <c r="Q5357" s="38"/>
    </row>
    <row r="5358">
      <c r="A5358" s="6" t="s">
        <v>1421</v>
      </c>
      <c r="B5358" s="6" t="s">
        <v>8395</v>
      </c>
      <c r="C5358" s="6">
        <v>340.0</v>
      </c>
      <c r="D5358" s="9" t="str">
        <f t="shared" si="1510"/>
        <v>Open Ad</v>
      </c>
      <c r="E5358" s="6" t="s">
        <v>154</v>
      </c>
      <c r="F5358" s="6" t="s">
        <v>8022</v>
      </c>
      <c r="G5358" s="6" t="s">
        <v>8442</v>
      </c>
      <c r="H5358" s="6" t="s">
        <v>55</v>
      </c>
      <c r="I5358" s="6" t="s">
        <v>8397</v>
      </c>
      <c r="J5358" s="6" t="s">
        <v>154</v>
      </c>
      <c r="K5358" s="12" t="str">
        <f t="shared" si="1511"/>
        <v>View Creative</v>
      </c>
      <c r="L5358" s="6" t="s">
        <v>62</v>
      </c>
      <c r="M5358" s="6" t="s">
        <v>1421</v>
      </c>
      <c r="N5358" s="6"/>
      <c r="O5358" s="36" t="s">
        <v>7541</v>
      </c>
      <c r="P5358" s="36" t="s">
        <v>7542</v>
      </c>
      <c r="Q5358" s="38"/>
    </row>
    <row r="5359">
      <c r="A5359" s="6" t="s">
        <v>1421</v>
      </c>
      <c r="B5359" s="6" t="s">
        <v>8395</v>
      </c>
      <c r="C5359" s="6">
        <v>341.0</v>
      </c>
      <c r="D5359" s="9" t="str">
        <f t="shared" ref="D5359:D5360" si="1512">HYPERLINK("https://www.linkedin.com/ad-library/detail/1233916314","Open Ad")</f>
        <v>Open Ad</v>
      </c>
      <c r="E5359" s="6" t="s">
        <v>154</v>
      </c>
      <c r="F5359" s="6" t="s">
        <v>8022</v>
      </c>
      <c r="G5359" s="6" t="s">
        <v>8442</v>
      </c>
      <c r="H5359" s="6" t="s">
        <v>55</v>
      </c>
      <c r="I5359" s="6" t="s">
        <v>8397</v>
      </c>
      <c r="J5359" s="6" t="s">
        <v>154</v>
      </c>
      <c r="K5359" s="12" t="str">
        <f t="shared" si="1511"/>
        <v>View Creative</v>
      </c>
      <c r="L5359" s="6" t="s">
        <v>62</v>
      </c>
      <c r="M5359" s="6" t="s">
        <v>1421</v>
      </c>
      <c r="N5359" s="6"/>
      <c r="O5359" s="36" t="s">
        <v>7541</v>
      </c>
      <c r="P5359" s="36" t="s">
        <v>7542</v>
      </c>
      <c r="Q5359" s="38"/>
    </row>
    <row r="5360">
      <c r="A5360" s="6" t="s">
        <v>1421</v>
      </c>
      <c r="B5360" s="6" t="s">
        <v>8395</v>
      </c>
      <c r="C5360" s="6">
        <v>342.0</v>
      </c>
      <c r="D5360" s="9" t="str">
        <f t="shared" si="1512"/>
        <v>Open Ad</v>
      </c>
      <c r="E5360" s="6" t="s">
        <v>154</v>
      </c>
      <c r="F5360" s="6" t="s">
        <v>8022</v>
      </c>
      <c r="G5360" s="6" t="s">
        <v>8442</v>
      </c>
      <c r="H5360" s="6" t="s">
        <v>55</v>
      </c>
      <c r="I5360" s="6" t="s">
        <v>8397</v>
      </c>
      <c r="J5360" s="6" t="s">
        <v>154</v>
      </c>
      <c r="K5360" s="12" t="str">
        <f t="shared" si="1511"/>
        <v>View Creative</v>
      </c>
      <c r="L5360" s="6" t="s">
        <v>62</v>
      </c>
      <c r="M5360" s="6" t="s">
        <v>1421</v>
      </c>
      <c r="N5360" s="6"/>
      <c r="O5360" s="36" t="s">
        <v>7541</v>
      </c>
      <c r="P5360" s="36" t="s">
        <v>7542</v>
      </c>
      <c r="Q5360" s="38"/>
    </row>
    <row r="5361">
      <c r="A5361" s="6" t="s">
        <v>1421</v>
      </c>
      <c r="B5361" s="6" t="s">
        <v>8395</v>
      </c>
      <c r="C5361" s="6">
        <v>343.0</v>
      </c>
      <c r="D5361" s="9" t="str">
        <f>HYPERLINK("https://www.linkedin.com/ad-library/detail/1148891254","Open Ad")</f>
        <v>Open Ad</v>
      </c>
      <c r="E5361" s="6" t="s">
        <v>52</v>
      </c>
      <c r="F5361" s="6" t="s">
        <v>8022</v>
      </c>
      <c r="G5361" s="6" t="s">
        <v>8534</v>
      </c>
      <c r="H5361" s="6" t="s">
        <v>55</v>
      </c>
      <c r="I5361" s="6" t="s">
        <v>8397</v>
      </c>
      <c r="J5361" s="6" t="s">
        <v>52</v>
      </c>
      <c r="K5361" s="6" t="s">
        <v>60</v>
      </c>
      <c r="L5361" s="6" t="s">
        <v>62</v>
      </c>
      <c r="M5361" s="6" t="s">
        <v>1421</v>
      </c>
      <c r="N5361" s="6"/>
      <c r="O5361" s="36" t="s">
        <v>7541</v>
      </c>
      <c r="P5361" s="36" t="s">
        <v>7542</v>
      </c>
      <c r="Q5361" s="38"/>
    </row>
    <row r="5362">
      <c r="A5362" s="6" t="s">
        <v>1421</v>
      </c>
      <c r="B5362" s="6" t="s">
        <v>8395</v>
      </c>
      <c r="C5362" s="6">
        <v>344.0</v>
      </c>
      <c r="D5362" s="9" t="str">
        <f t="shared" ref="D5362:D5363" si="1513">HYPERLINK("https://www.linkedin.com/ad-library/detail/1090890674","Open Ad")</f>
        <v>Open Ad</v>
      </c>
      <c r="E5362" s="6" t="s">
        <v>91</v>
      </c>
      <c r="F5362" s="6" t="s">
        <v>8022</v>
      </c>
      <c r="G5362" s="6" t="s">
        <v>8535</v>
      </c>
      <c r="H5362" s="6" t="s">
        <v>55</v>
      </c>
      <c r="I5362" s="6" t="s">
        <v>8397</v>
      </c>
      <c r="J5362" s="6" t="s">
        <v>91</v>
      </c>
      <c r="K5362" s="12" t="str">
        <f t="shared" ref="K5362:K5363" si="1514">HYPERLINK("https://media.licdn.com/dms/image/v2/D4E22AQEbP7o5_3rpwQ/image_627_1200/B56Zu8TZZKIUAY-/0/1768390760385?e=2147483647&amp;v=beta&amp;t=Nz2NjmwCOv94LPNIQAgFRmj71fEWR6D0v57dtbGcyuY","View Creative")</f>
        <v>View Creative</v>
      </c>
      <c r="L5362" s="6" t="s">
        <v>62</v>
      </c>
      <c r="M5362" s="6" t="s">
        <v>1421</v>
      </c>
      <c r="N5362" s="6"/>
      <c r="O5362" s="36" t="s">
        <v>7541</v>
      </c>
      <c r="P5362" s="36" t="s">
        <v>7542</v>
      </c>
      <c r="Q5362" s="38"/>
    </row>
    <row r="5363">
      <c r="A5363" s="6" t="s">
        <v>1421</v>
      </c>
      <c r="B5363" s="6" t="s">
        <v>8395</v>
      </c>
      <c r="C5363" s="6">
        <v>345.0</v>
      </c>
      <c r="D5363" s="9" t="str">
        <f t="shared" si="1513"/>
        <v>Open Ad</v>
      </c>
      <c r="E5363" s="6" t="s">
        <v>91</v>
      </c>
      <c r="F5363" s="6" t="s">
        <v>8022</v>
      </c>
      <c r="G5363" s="6" t="s">
        <v>8535</v>
      </c>
      <c r="H5363" s="6" t="s">
        <v>55</v>
      </c>
      <c r="I5363" s="6" t="s">
        <v>8397</v>
      </c>
      <c r="J5363" s="6" t="s">
        <v>91</v>
      </c>
      <c r="K5363" s="12" t="str">
        <f t="shared" si="1514"/>
        <v>View Creative</v>
      </c>
      <c r="L5363" s="6" t="s">
        <v>62</v>
      </c>
      <c r="M5363" s="6" t="s">
        <v>1421</v>
      </c>
      <c r="N5363" s="6"/>
      <c r="O5363" s="36" t="s">
        <v>7541</v>
      </c>
      <c r="P5363" s="36" t="s">
        <v>7542</v>
      </c>
      <c r="Q5363" s="38"/>
    </row>
    <row r="5364">
      <c r="A5364" s="6" t="s">
        <v>1421</v>
      </c>
      <c r="B5364" s="6" t="s">
        <v>8395</v>
      </c>
      <c r="C5364" s="6">
        <v>346.0</v>
      </c>
      <c r="D5364" s="9" t="str">
        <f>HYPERLINK("https://www.linkedin.com/ad-library/detail/1150791134","Open Ad")</f>
        <v>Open Ad</v>
      </c>
      <c r="E5364" s="6" t="s">
        <v>52</v>
      </c>
      <c r="F5364" s="6" t="s">
        <v>8022</v>
      </c>
      <c r="G5364" s="6" t="s">
        <v>8536</v>
      </c>
      <c r="H5364" s="6" t="s">
        <v>55</v>
      </c>
      <c r="I5364" s="6" t="s">
        <v>8397</v>
      </c>
      <c r="J5364" s="6" t="s">
        <v>52</v>
      </c>
      <c r="K5364" s="6" t="s">
        <v>60</v>
      </c>
      <c r="L5364" s="6" t="s">
        <v>62</v>
      </c>
      <c r="M5364" s="6" t="s">
        <v>1421</v>
      </c>
      <c r="N5364" s="6"/>
      <c r="O5364" s="36" t="s">
        <v>7541</v>
      </c>
      <c r="P5364" s="36" t="s">
        <v>7542</v>
      </c>
      <c r="Q5364" s="38"/>
    </row>
    <row r="5365">
      <c r="A5365" s="6" t="s">
        <v>1421</v>
      </c>
      <c r="B5365" s="6" t="s">
        <v>8395</v>
      </c>
      <c r="C5365" s="6">
        <v>347.0</v>
      </c>
      <c r="D5365" s="9" t="str">
        <f>HYPERLINK("https://www.linkedin.com/ad-library/detail/1150090854","Open Ad")</f>
        <v>Open Ad</v>
      </c>
      <c r="E5365" s="6" t="s">
        <v>52</v>
      </c>
      <c r="F5365" s="6" t="s">
        <v>8022</v>
      </c>
      <c r="G5365" s="6" t="s">
        <v>8533</v>
      </c>
      <c r="H5365" s="6" t="s">
        <v>55</v>
      </c>
      <c r="I5365" s="6" t="s">
        <v>8397</v>
      </c>
      <c r="J5365" s="6" t="s">
        <v>52</v>
      </c>
      <c r="K5365" s="6" t="s">
        <v>60</v>
      </c>
      <c r="L5365" s="6" t="s">
        <v>62</v>
      </c>
      <c r="M5365" s="6" t="s">
        <v>1421</v>
      </c>
      <c r="N5365" s="6"/>
      <c r="O5365" s="36" t="s">
        <v>7541</v>
      </c>
      <c r="P5365" s="36" t="s">
        <v>7542</v>
      </c>
      <c r="Q5365" s="38"/>
    </row>
    <row r="5366">
      <c r="A5366" s="6" t="s">
        <v>1421</v>
      </c>
      <c r="B5366" s="6" t="s">
        <v>8395</v>
      </c>
      <c r="C5366" s="6">
        <v>348.0</v>
      </c>
      <c r="D5366" s="9" t="str">
        <f t="shared" ref="D5366:D5367" si="1515">HYPERLINK("https://www.linkedin.com/ad-library/detail/1133804134","Open Ad")</f>
        <v>Open Ad</v>
      </c>
      <c r="E5366" s="6" t="s">
        <v>91</v>
      </c>
      <c r="F5366" s="6" t="s">
        <v>8022</v>
      </c>
      <c r="G5366" s="6" t="s">
        <v>8537</v>
      </c>
      <c r="H5366" s="6" t="s">
        <v>55</v>
      </c>
      <c r="I5366" s="6" t="s">
        <v>8397</v>
      </c>
      <c r="J5366" s="6" t="s">
        <v>91</v>
      </c>
      <c r="K5366" s="12" t="str">
        <f t="shared" ref="K5366:K5367" si="1516">HYPERLINK("https://media.licdn.com/dms/image/sync/v2/D5627AQHobEloU-YqGQ/articleshare-shrink_1280_800/B56ZsnpaBoJsBc-/0/1765896730838?e=2147483647&amp;v=beta&amp;t=05xV6mZ4TeowepE5wUfyR7iZR2ONyX8FOR_xKcs6KJ4","View Creative")</f>
        <v>View Creative</v>
      </c>
      <c r="L5366" s="6" t="s">
        <v>62</v>
      </c>
      <c r="M5366" s="6" t="s">
        <v>1421</v>
      </c>
      <c r="N5366" s="6"/>
      <c r="O5366" s="36" t="s">
        <v>7541</v>
      </c>
      <c r="P5366" s="36" t="s">
        <v>7542</v>
      </c>
      <c r="Q5366" s="38"/>
    </row>
    <row r="5367">
      <c r="A5367" s="6" t="s">
        <v>1421</v>
      </c>
      <c r="B5367" s="6" t="s">
        <v>8395</v>
      </c>
      <c r="C5367" s="6">
        <v>349.0</v>
      </c>
      <c r="D5367" s="9" t="str">
        <f t="shared" si="1515"/>
        <v>Open Ad</v>
      </c>
      <c r="E5367" s="6" t="s">
        <v>91</v>
      </c>
      <c r="F5367" s="6" t="s">
        <v>8022</v>
      </c>
      <c r="G5367" s="6" t="s">
        <v>8537</v>
      </c>
      <c r="H5367" s="6" t="s">
        <v>55</v>
      </c>
      <c r="I5367" s="6" t="s">
        <v>8397</v>
      </c>
      <c r="J5367" s="6" t="s">
        <v>91</v>
      </c>
      <c r="K5367" s="12" t="str">
        <f t="shared" si="1516"/>
        <v>View Creative</v>
      </c>
      <c r="L5367" s="6" t="s">
        <v>62</v>
      </c>
      <c r="M5367" s="6" t="s">
        <v>1421</v>
      </c>
      <c r="N5367" s="6"/>
      <c r="O5367" s="36" t="s">
        <v>7541</v>
      </c>
      <c r="P5367" s="36" t="s">
        <v>7542</v>
      </c>
      <c r="Q5367" s="38"/>
    </row>
    <row r="5368">
      <c r="A5368" s="6" t="s">
        <v>1421</v>
      </c>
      <c r="B5368" s="6" t="s">
        <v>8395</v>
      </c>
      <c r="C5368" s="6">
        <v>350.0</v>
      </c>
      <c r="D5368" s="9" t="str">
        <f>HYPERLINK("https://www.linkedin.com/ad-library/detail/1150791014","Open Ad")</f>
        <v>Open Ad</v>
      </c>
      <c r="E5368" s="6" t="s">
        <v>52</v>
      </c>
      <c r="F5368" s="6" t="s">
        <v>8022</v>
      </c>
      <c r="G5368" s="6" t="s">
        <v>8528</v>
      </c>
      <c r="H5368" s="6" t="s">
        <v>55</v>
      </c>
      <c r="I5368" s="6" t="s">
        <v>8397</v>
      </c>
      <c r="J5368" s="6" t="s">
        <v>52</v>
      </c>
      <c r="K5368" s="6" t="s">
        <v>60</v>
      </c>
      <c r="L5368" s="6" t="s">
        <v>62</v>
      </c>
      <c r="M5368" s="6" t="s">
        <v>1421</v>
      </c>
      <c r="N5368" s="6"/>
      <c r="O5368" s="36" t="s">
        <v>7541</v>
      </c>
      <c r="P5368" s="36" t="s">
        <v>7542</v>
      </c>
      <c r="Q5368" s="38"/>
    </row>
    <row r="5369">
      <c r="A5369" s="6" t="s">
        <v>1421</v>
      </c>
      <c r="B5369" s="6" t="s">
        <v>8395</v>
      </c>
      <c r="C5369" s="6">
        <v>351.0</v>
      </c>
      <c r="D5369" s="9" t="str">
        <f>HYPERLINK("https://www.linkedin.com/ad-library/detail/1150390804","Open Ad")</f>
        <v>Open Ad</v>
      </c>
      <c r="E5369" s="6" t="s">
        <v>52</v>
      </c>
      <c r="F5369" s="6" t="s">
        <v>8022</v>
      </c>
      <c r="G5369" s="6" t="s">
        <v>8538</v>
      </c>
      <c r="H5369" s="6" t="s">
        <v>55</v>
      </c>
      <c r="I5369" s="6" t="s">
        <v>8397</v>
      </c>
      <c r="J5369" s="6" t="s">
        <v>52</v>
      </c>
      <c r="K5369" s="6" t="s">
        <v>60</v>
      </c>
      <c r="L5369" s="6" t="s">
        <v>62</v>
      </c>
      <c r="M5369" s="6" t="s">
        <v>1421</v>
      </c>
      <c r="N5369" s="6"/>
      <c r="O5369" s="36" t="s">
        <v>7541</v>
      </c>
      <c r="P5369" s="36" t="s">
        <v>7542</v>
      </c>
      <c r="Q5369" s="38"/>
    </row>
    <row r="5370">
      <c r="A5370" s="6" t="s">
        <v>1421</v>
      </c>
      <c r="B5370" s="6" t="s">
        <v>8395</v>
      </c>
      <c r="C5370" s="6">
        <v>352.0</v>
      </c>
      <c r="D5370" s="9" t="str">
        <f>HYPERLINK("https://www.linkedin.com/ad-library/detail/1148791224","Open Ad")</f>
        <v>Open Ad</v>
      </c>
      <c r="E5370" s="6" t="s">
        <v>52</v>
      </c>
      <c r="F5370" s="6" t="s">
        <v>8022</v>
      </c>
      <c r="G5370" s="6" t="s">
        <v>8532</v>
      </c>
      <c r="H5370" s="6" t="s">
        <v>55</v>
      </c>
      <c r="I5370" s="6" t="s">
        <v>8397</v>
      </c>
      <c r="J5370" s="6" t="s">
        <v>52</v>
      </c>
      <c r="K5370" s="6" t="s">
        <v>60</v>
      </c>
      <c r="L5370" s="6" t="s">
        <v>62</v>
      </c>
      <c r="M5370" s="6" t="s">
        <v>1421</v>
      </c>
      <c r="N5370" s="6"/>
      <c r="O5370" s="36" t="s">
        <v>7541</v>
      </c>
      <c r="P5370" s="36" t="s">
        <v>7542</v>
      </c>
      <c r="Q5370" s="38"/>
    </row>
    <row r="5371">
      <c r="A5371" s="6" t="s">
        <v>1421</v>
      </c>
      <c r="B5371" s="6" t="s">
        <v>8395</v>
      </c>
      <c r="C5371" s="6">
        <v>353.0</v>
      </c>
      <c r="D5371" s="9" t="str">
        <f>HYPERLINK("https://www.linkedin.com/ad-library/detail/1088199204","Open Ad")</f>
        <v>Open Ad</v>
      </c>
      <c r="E5371" s="6" t="s">
        <v>52</v>
      </c>
      <c r="F5371" s="6" t="s">
        <v>8022</v>
      </c>
      <c r="G5371" s="6" t="s">
        <v>8467</v>
      </c>
      <c r="H5371" s="6" t="s">
        <v>55</v>
      </c>
      <c r="I5371" s="6" t="s">
        <v>8397</v>
      </c>
      <c r="J5371" s="6" t="s">
        <v>52</v>
      </c>
      <c r="K5371" s="6" t="s">
        <v>60</v>
      </c>
      <c r="L5371" s="6" t="s">
        <v>62</v>
      </c>
      <c r="M5371" s="6" t="s">
        <v>1421</v>
      </c>
      <c r="N5371" s="6"/>
      <c r="O5371" s="36" t="s">
        <v>7541</v>
      </c>
      <c r="P5371" s="36" t="s">
        <v>7542</v>
      </c>
      <c r="Q5371" s="38"/>
    </row>
    <row r="5372">
      <c r="A5372" s="6" t="s">
        <v>1421</v>
      </c>
      <c r="B5372" s="6" t="s">
        <v>8395</v>
      </c>
      <c r="C5372" s="6">
        <v>354.0</v>
      </c>
      <c r="D5372" s="9" t="str">
        <f>HYPERLINK("https://www.linkedin.com/ad-library/detail/1145096494","Open Ad")</f>
        <v>Open Ad</v>
      </c>
      <c r="E5372" s="6" t="s">
        <v>52</v>
      </c>
      <c r="F5372" s="6" t="s">
        <v>8022</v>
      </c>
      <c r="G5372" s="6" t="s">
        <v>8539</v>
      </c>
      <c r="H5372" s="6" t="s">
        <v>55</v>
      </c>
      <c r="I5372" s="6" t="s">
        <v>8397</v>
      </c>
      <c r="J5372" s="6" t="s">
        <v>52</v>
      </c>
      <c r="K5372" s="6" t="s">
        <v>60</v>
      </c>
      <c r="L5372" s="6" t="s">
        <v>62</v>
      </c>
      <c r="M5372" s="6" t="s">
        <v>1421</v>
      </c>
      <c r="N5372" s="6"/>
      <c r="O5372" s="36" t="s">
        <v>7541</v>
      </c>
      <c r="P5372" s="36" t="s">
        <v>7542</v>
      </c>
      <c r="Q5372" s="38"/>
    </row>
    <row r="5373">
      <c r="A5373" s="6" t="s">
        <v>1421</v>
      </c>
      <c r="B5373" s="6" t="s">
        <v>8395</v>
      </c>
      <c r="C5373" s="6">
        <v>355.0</v>
      </c>
      <c r="D5373" s="9" t="str">
        <f>HYPERLINK("https://www.linkedin.com/ad-library/detail/1149491644","Open Ad")</f>
        <v>Open Ad</v>
      </c>
      <c r="E5373" s="6" t="s">
        <v>52</v>
      </c>
      <c r="F5373" s="6" t="s">
        <v>8022</v>
      </c>
      <c r="G5373" s="6" t="s">
        <v>8540</v>
      </c>
      <c r="H5373" s="6" t="s">
        <v>55</v>
      </c>
      <c r="I5373" s="6" t="s">
        <v>8397</v>
      </c>
      <c r="J5373" s="6" t="s">
        <v>52</v>
      </c>
      <c r="K5373" s="6" t="s">
        <v>60</v>
      </c>
      <c r="L5373" s="6" t="s">
        <v>62</v>
      </c>
      <c r="M5373" s="6" t="s">
        <v>1421</v>
      </c>
      <c r="N5373" s="6"/>
      <c r="O5373" s="36" t="s">
        <v>7541</v>
      </c>
      <c r="P5373" s="36" t="s">
        <v>7542</v>
      </c>
      <c r="Q5373" s="38"/>
    </row>
    <row r="5374">
      <c r="A5374" s="6" t="s">
        <v>1421</v>
      </c>
      <c r="B5374" s="6" t="s">
        <v>8395</v>
      </c>
      <c r="C5374" s="6">
        <v>356.0</v>
      </c>
      <c r="D5374" s="9" t="str">
        <f>HYPERLINK("https://www.linkedin.com/ad-library/detail/1144997434","Open Ad")</f>
        <v>Open Ad</v>
      </c>
      <c r="E5374" s="6" t="s">
        <v>52</v>
      </c>
      <c r="F5374" s="6" t="s">
        <v>8022</v>
      </c>
      <c r="G5374" s="6" t="s">
        <v>8539</v>
      </c>
      <c r="H5374" s="6" t="s">
        <v>55</v>
      </c>
      <c r="I5374" s="6" t="s">
        <v>8397</v>
      </c>
      <c r="J5374" s="6" t="s">
        <v>52</v>
      </c>
      <c r="K5374" s="6" t="s">
        <v>60</v>
      </c>
      <c r="L5374" s="6" t="s">
        <v>62</v>
      </c>
      <c r="M5374" s="6" t="s">
        <v>1421</v>
      </c>
      <c r="N5374" s="6"/>
      <c r="O5374" s="36" t="s">
        <v>7541</v>
      </c>
      <c r="P5374" s="36" t="s">
        <v>7542</v>
      </c>
      <c r="Q5374" s="38"/>
    </row>
    <row r="5375">
      <c r="A5375" s="6" t="s">
        <v>1421</v>
      </c>
      <c r="B5375" s="6" t="s">
        <v>8395</v>
      </c>
      <c r="C5375" s="6">
        <v>357.0</v>
      </c>
      <c r="D5375" s="9" t="str">
        <f>HYPERLINK("https://www.linkedin.com/ad-library/detail/1141918424","Open Ad")</f>
        <v>Open Ad</v>
      </c>
      <c r="E5375" s="6" t="s">
        <v>52</v>
      </c>
      <c r="F5375" s="6" t="s">
        <v>8022</v>
      </c>
      <c r="G5375" s="6" t="s">
        <v>8541</v>
      </c>
      <c r="H5375" s="6" t="s">
        <v>55</v>
      </c>
      <c r="I5375" s="6" t="s">
        <v>8397</v>
      </c>
      <c r="J5375" s="6" t="s">
        <v>52</v>
      </c>
      <c r="K5375" s="6" t="s">
        <v>60</v>
      </c>
      <c r="L5375" s="6" t="s">
        <v>62</v>
      </c>
      <c r="M5375" s="6" t="s">
        <v>1421</v>
      </c>
      <c r="N5375" s="6"/>
      <c r="O5375" s="36" t="s">
        <v>7541</v>
      </c>
      <c r="P5375" s="36" t="s">
        <v>7542</v>
      </c>
      <c r="Q5375" s="38"/>
    </row>
    <row r="5376">
      <c r="A5376" s="6" t="s">
        <v>1421</v>
      </c>
      <c r="B5376" s="6" t="s">
        <v>8395</v>
      </c>
      <c r="C5376" s="6">
        <v>358.0</v>
      </c>
      <c r="D5376" s="9" t="str">
        <f t="shared" ref="D5376:D5377" si="1517">HYPERLINK("https://www.linkedin.com/ad-library/detail/1132205324","Open Ad")</f>
        <v>Open Ad</v>
      </c>
      <c r="E5376" s="6" t="s">
        <v>91</v>
      </c>
      <c r="F5376" s="6" t="s">
        <v>8022</v>
      </c>
      <c r="G5376" s="6" t="s">
        <v>8542</v>
      </c>
      <c r="H5376" s="6" t="s">
        <v>55</v>
      </c>
      <c r="I5376" s="6" t="s">
        <v>8397</v>
      </c>
      <c r="J5376" s="6" t="s">
        <v>91</v>
      </c>
      <c r="K5376" s="12" t="str">
        <f t="shared" ref="K5376:K5377" si="1518">HYPERLINK("https://media.licdn.com/dms/image/v2/D5622AQGuQ9ff2JIP5g/feedshare-shrink_1280/B56ZwAc6.IHAAc-/0/1769534129653?e=2147483647&amp;v=beta&amp;t=dLCuAduYaYwaMGwLp4oAhMNDgrxTX8U0lxn8ETLE-ns","View Creative")</f>
        <v>View Creative</v>
      </c>
      <c r="L5376" s="6" t="s">
        <v>62</v>
      </c>
      <c r="M5376" s="6" t="s">
        <v>1421</v>
      </c>
      <c r="N5376" s="6"/>
      <c r="O5376" s="36" t="s">
        <v>7541</v>
      </c>
      <c r="P5376" s="36" t="s">
        <v>7542</v>
      </c>
      <c r="Q5376" s="38"/>
    </row>
    <row r="5377">
      <c r="A5377" s="6" t="s">
        <v>1421</v>
      </c>
      <c r="B5377" s="6" t="s">
        <v>8395</v>
      </c>
      <c r="C5377" s="6">
        <v>359.0</v>
      </c>
      <c r="D5377" s="9" t="str">
        <f t="shared" si="1517"/>
        <v>Open Ad</v>
      </c>
      <c r="E5377" s="6" t="s">
        <v>91</v>
      </c>
      <c r="F5377" s="6" t="s">
        <v>8022</v>
      </c>
      <c r="G5377" s="6" t="s">
        <v>8542</v>
      </c>
      <c r="H5377" s="6" t="s">
        <v>55</v>
      </c>
      <c r="I5377" s="6" t="s">
        <v>8397</v>
      </c>
      <c r="J5377" s="6" t="s">
        <v>91</v>
      </c>
      <c r="K5377" s="12" t="str">
        <f t="shared" si="1518"/>
        <v>View Creative</v>
      </c>
      <c r="L5377" s="6" t="s">
        <v>62</v>
      </c>
      <c r="M5377" s="6" t="s">
        <v>1421</v>
      </c>
      <c r="N5377" s="6"/>
      <c r="O5377" s="36" t="s">
        <v>7541</v>
      </c>
      <c r="P5377" s="36" t="s">
        <v>7542</v>
      </c>
      <c r="Q5377" s="38"/>
    </row>
    <row r="5378">
      <c r="A5378" s="6" t="s">
        <v>1421</v>
      </c>
      <c r="B5378" s="6" t="s">
        <v>8395</v>
      </c>
      <c r="C5378" s="6">
        <v>360.0</v>
      </c>
      <c r="D5378" s="9" t="str">
        <f>HYPERLINK("https://www.linkedin.com/ad-library/detail/1150690194","Open Ad")</f>
        <v>Open Ad</v>
      </c>
      <c r="E5378" s="6" t="s">
        <v>52</v>
      </c>
      <c r="F5378" s="6" t="s">
        <v>8022</v>
      </c>
      <c r="G5378" s="6" t="s">
        <v>8543</v>
      </c>
      <c r="H5378" s="6" t="s">
        <v>55</v>
      </c>
      <c r="I5378" s="6" t="s">
        <v>8397</v>
      </c>
      <c r="J5378" s="6" t="s">
        <v>52</v>
      </c>
      <c r="K5378" s="6" t="s">
        <v>60</v>
      </c>
      <c r="L5378" s="6" t="s">
        <v>62</v>
      </c>
      <c r="M5378" s="6" t="s">
        <v>1421</v>
      </c>
      <c r="N5378" s="6"/>
      <c r="O5378" s="36" t="s">
        <v>7541</v>
      </c>
      <c r="P5378" s="36" t="s">
        <v>7542</v>
      </c>
      <c r="Q5378" s="38"/>
    </row>
    <row r="5379">
      <c r="A5379" s="6" t="s">
        <v>1421</v>
      </c>
      <c r="B5379" s="6" t="s">
        <v>8395</v>
      </c>
      <c r="C5379" s="6">
        <v>361.0</v>
      </c>
      <c r="D5379" s="9" t="str">
        <f t="shared" ref="D5379:D5380" si="1519">HYPERLINK("https://www.linkedin.com/ad-library/detail/1083888104","Open Ad")</f>
        <v>Open Ad</v>
      </c>
      <c r="E5379" s="6" t="s">
        <v>154</v>
      </c>
      <c r="F5379" s="6" t="s">
        <v>8022</v>
      </c>
      <c r="G5379" s="6" t="s">
        <v>8544</v>
      </c>
      <c r="H5379" s="6" t="s">
        <v>55</v>
      </c>
      <c r="I5379" s="6" t="s">
        <v>8397</v>
      </c>
      <c r="J5379" s="6" t="s">
        <v>154</v>
      </c>
      <c r="K5379" s="12" t="str">
        <f t="shared" ref="K5379:K5380" si="1520">HYPERLINK("https://dms.licdn.com/playlist/vid/v2/D5605AQEQ-S2pZ9cm8w/mp4-640p-30fp-crf28/B56ZuZpEVdGwB0-/0/1767809248781?e=2147483647&amp;v=beta&amp;t=6ClzzLn6lcYBiqAg-uuhO-HXbPLjHA51E1eithG7oxo","View Creative")</f>
        <v>View Creative</v>
      </c>
      <c r="L5379" s="6" t="s">
        <v>62</v>
      </c>
      <c r="M5379" s="6" t="s">
        <v>1421</v>
      </c>
      <c r="N5379" s="6"/>
      <c r="O5379" s="36" t="s">
        <v>7541</v>
      </c>
      <c r="P5379" s="36" t="s">
        <v>7542</v>
      </c>
      <c r="Q5379" s="38"/>
    </row>
    <row r="5380">
      <c r="A5380" s="6" t="s">
        <v>1421</v>
      </c>
      <c r="B5380" s="6" t="s">
        <v>8395</v>
      </c>
      <c r="C5380" s="6">
        <v>362.0</v>
      </c>
      <c r="D5380" s="9" t="str">
        <f t="shared" si="1519"/>
        <v>Open Ad</v>
      </c>
      <c r="E5380" s="6" t="s">
        <v>154</v>
      </c>
      <c r="F5380" s="6" t="s">
        <v>8022</v>
      </c>
      <c r="G5380" s="6" t="s">
        <v>8544</v>
      </c>
      <c r="H5380" s="6" t="s">
        <v>55</v>
      </c>
      <c r="I5380" s="6" t="s">
        <v>8397</v>
      </c>
      <c r="J5380" s="6" t="s">
        <v>154</v>
      </c>
      <c r="K5380" s="12" t="str">
        <f t="shared" si="1520"/>
        <v>View Creative</v>
      </c>
      <c r="L5380" s="6" t="s">
        <v>62</v>
      </c>
      <c r="M5380" s="6" t="s">
        <v>1421</v>
      </c>
      <c r="N5380" s="6"/>
      <c r="O5380" s="36" t="s">
        <v>7541</v>
      </c>
      <c r="P5380" s="36" t="s">
        <v>7542</v>
      </c>
      <c r="Q5380" s="38"/>
    </row>
    <row r="5381">
      <c r="A5381" s="6" t="s">
        <v>1421</v>
      </c>
      <c r="B5381" s="6" t="s">
        <v>8395</v>
      </c>
      <c r="C5381" s="6">
        <v>363.0</v>
      </c>
      <c r="D5381" s="9" t="str">
        <f>HYPERLINK("https://www.linkedin.com/ad-library/detail/1145394774","Open Ad")</f>
        <v>Open Ad</v>
      </c>
      <c r="E5381" s="6" t="s">
        <v>52</v>
      </c>
      <c r="F5381" s="6" t="s">
        <v>8022</v>
      </c>
      <c r="G5381" s="6" t="s">
        <v>8545</v>
      </c>
      <c r="H5381" s="6" t="s">
        <v>55</v>
      </c>
      <c r="I5381" s="6" t="s">
        <v>8397</v>
      </c>
      <c r="J5381" s="6" t="s">
        <v>52</v>
      </c>
      <c r="K5381" s="6" t="s">
        <v>60</v>
      </c>
      <c r="L5381" s="6" t="s">
        <v>62</v>
      </c>
      <c r="M5381" s="6" t="s">
        <v>1421</v>
      </c>
      <c r="N5381" s="6"/>
      <c r="O5381" s="36" t="s">
        <v>7541</v>
      </c>
      <c r="P5381" s="36" t="s">
        <v>7542</v>
      </c>
      <c r="Q5381" s="38"/>
    </row>
    <row r="5382">
      <c r="A5382" s="6" t="s">
        <v>1421</v>
      </c>
      <c r="B5382" s="6" t="s">
        <v>8395</v>
      </c>
      <c r="C5382" s="6">
        <v>364.0</v>
      </c>
      <c r="D5382" s="9" t="str">
        <f>HYPERLINK("https://www.linkedin.com/ad-library/detail/1088299714","Open Ad")</f>
        <v>Open Ad</v>
      </c>
      <c r="E5382" s="6" t="s">
        <v>52</v>
      </c>
      <c r="F5382" s="6" t="s">
        <v>8022</v>
      </c>
      <c r="G5382" s="6" t="s">
        <v>8467</v>
      </c>
      <c r="H5382" s="6" t="s">
        <v>55</v>
      </c>
      <c r="I5382" s="6" t="s">
        <v>8397</v>
      </c>
      <c r="J5382" s="6" t="s">
        <v>52</v>
      </c>
      <c r="K5382" s="6" t="s">
        <v>60</v>
      </c>
      <c r="L5382" s="6" t="s">
        <v>62</v>
      </c>
      <c r="M5382" s="6" t="s">
        <v>1421</v>
      </c>
      <c r="N5382" s="6"/>
      <c r="O5382" s="36" t="s">
        <v>7541</v>
      </c>
      <c r="P5382" s="36" t="s">
        <v>7542</v>
      </c>
      <c r="Q5382" s="38"/>
    </row>
    <row r="5383">
      <c r="A5383" s="6" t="s">
        <v>1421</v>
      </c>
      <c r="B5383" s="6" t="s">
        <v>8395</v>
      </c>
      <c r="C5383" s="6">
        <v>365.0</v>
      </c>
      <c r="D5383" s="9" t="str">
        <f>HYPERLINK("https://www.linkedin.com/ad-library/detail/1145196064","Open Ad")</f>
        <v>Open Ad</v>
      </c>
      <c r="E5383" s="6" t="s">
        <v>52</v>
      </c>
      <c r="F5383" s="6" t="s">
        <v>8022</v>
      </c>
      <c r="G5383" s="6" t="s">
        <v>8541</v>
      </c>
      <c r="H5383" s="6" t="s">
        <v>55</v>
      </c>
      <c r="I5383" s="6" t="s">
        <v>8397</v>
      </c>
      <c r="J5383" s="6" t="s">
        <v>52</v>
      </c>
      <c r="K5383" s="6" t="s">
        <v>60</v>
      </c>
      <c r="L5383" s="6" t="s">
        <v>62</v>
      </c>
      <c r="M5383" s="6" t="s">
        <v>1421</v>
      </c>
      <c r="N5383" s="6"/>
      <c r="O5383" s="36" t="s">
        <v>7541</v>
      </c>
      <c r="P5383" s="36" t="s">
        <v>7542</v>
      </c>
      <c r="Q5383" s="38"/>
    </row>
    <row r="5384">
      <c r="A5384" s="6" t="s">
        <v>1421</v>
      </c>
      <c r="B5384" s="6" t="s">
        <v>8546</v>
      </c>
      <c r="C5384" s="6">
        <v>366.0</v>
      </c>
      <c r="D5384" s="9" t="str">
        <f>HYPERLINK("https://www.linkedin.com/ad-library/detail/1176683443","Open Ad")</f>
        <v>Open Ad</v>
      </c>
      <c r="E5384" s="6" t="s">
        <v>52</v>
      </c>
      <c r="F5384" s="6" t="s">
        <v>8022</v>
      </c>
      <c r="G5384" s="6" t="s">
        <v>8547</v>
      </c>
      <c r="H5384" s="6" t="s">
        <v>55</v>
      </c>
      <c r="I5384" s="6" t="s">
        <v>8397</v>
      </c>
      <c r="J5384" s="6" t="s">
        <v>52</v>
      </c>
      <c r="K5384" s="6" t="s">
        <v>60</v>
      </c>
      <c r="L5384" s="6" t="s">
        <v>62</v>
      </c>
      <c r="M5384" s="6" t="s">
        <v>1421</v>
      </c>
      <c r="N5384" s="6"/>
      <c r="O5384" s="36" t="s">
        <v>7541</v>
      </c>
      <c r="P5384" s="36" t="s">
        <v>7542</v>
      </c>
      <c r="Q5384" s="38"/>
    </row>
    <row r="5385">
      <c r="A5385" s="6" t="s">
        <v>1421</v>
      </c>
      <c r="B5385" s="6" t="s">
        <v>8395</v>
      </c>
      <c r="C5385" s="6">
        <v>367.0</v>
      </c>
      <c r="D5385" s="9" t="str">
        <f>HYPERLINK("https://www.linkedin.com/ad-library/detail/1148891174","Open Ad")</f>
        <v>Open Ad</v>
      </c>
      <c r="E5385" s="6" t="s">
        <v>52</v>
      </c>
      <c r="F5385" s="6" t="s">
        <v>8022</v>
      </c>
      <c r="G5385" s="6" t="s">
        <v>8548</v>
      </c>
      <c r="H5385" s="6" t="s">
        <v>55</v>
      </c>
      <c r="I5385" s="6" t="s">
        <v>8397</v>
      </c>
      <c r="J5385" s="6" t="s">
        <v>52</v>
      </c>
      <c r="K5385" s="6" t="s">
        <v>60</v>
      </c>
      <c r="L5385" s="6" t="s">
        <v>62</v>
      </c>
      <c r="M5385" s="6" t="s">
        <v>1421</v>
      </c>
      <c r="N5385" s="6"/>
      <c r="O5385" s="36" t="s">
        <v>7541</v>
      </c>
      <c r="P5385" s="36" t="s">
        <v>7542</v>
      </c>
      <c r="Q5385" s="38"/>
    </row>
    <row r="5386">
      <c r="A5386" s="6" t="s">
        <v>1421</v>
      </c>
      <c r="B5386" s="6" t="s">
        <v>8395</v>
      </c>
      <c r="C5386" s="6">
        <v>368.0</v>
      </c>
      <c r="D5386" s="9" t="str">
        <f t="shared" ref="D5386:D5387" si="1521">HYPERLINK("https://www.linkedin.com/ad-library/detail/1132404794","Open Ad")</f>
        <v>Open Ad</v>
      </c>
      <c r="E5386" s="6" t="s">
        <v>154</v>
      </c>
      <c r="F5386" s="6" t="s">
        <v>8022</v>
      </c>
      <c r="G5386" s="6" t="s">
        <v>8549</v>
      </c>
      <c r="H5386" s="6" t="s">
        <v>55</v>
      </c>
      <c r="I5386" s="6" t="s">
        <v>8397</v>
      </c>
      <c r="J5386" s="6" t="s">
        <v>154</v>
      </c>
      <c r="K5386" s="12" t="str">
        <f t="shared" ref="K5386:K5387" si="1522">HYPERLINK("https://dms.licdn.com/playlist/vid/v2/D4E05AQHGm900zKDHIQ/mp4-720p-30fp-crf28/B4EZv7Sb_uKYCE-/0/1769447486892?e=2147483647&amp;v=beta&amp;t=-DU6jD65cGERcHmPhrWzJ1fgoicZnV4-7tHoEEAQsyY","View Creative")</f>
        <v>View Creative</v>
      </c>
      <c r="L5386" s="6" t="s">
        <v>62</v>
      </c>
      <c r="M5386" s="6" t="s">
        <v>1421</v>
      </c>
      <c r="N5386" s="6"/>
      <c r="O5386" s="36" t="s">
        <v>7541</v>
      </c>
      <c r="P5386" s="36" t="s">
        <v>7542</v>
      </c>
      <c r="Q5386" s="38"/>
    </row>
    <row r="5387">
      <c r="A5387" s="6" t="s">
        <v>1421</v>
      </c>
      <c r="B5387" s="6" t="s">
        <v>8395</v>
      </c>
      <c r="C5387" s="6">
        <v>369.0</v>
      </c>
      <c r="D5387" s="9" t="str">
        <f t="shared" si="1521"/>
        <v>Open Ad</v>
      </c>
      <c r="E5387" s="6" t="s">
        <v>154</v>
      </c>
      <c r="F5387" s="6" t="s">
        <v>8022</v>
      </c>
      <c r="G5387" s="6" t="s">
        <v>8549</v>
      </c>
      <c r="H5387" s="6" t="s">
        <v>55</v>
      </c>
      <c r="I5387" s="6" t="s">
        <v>8397</v>
      </c>
      <c r="J5387" s="6" t="s">
        <v>154</v>
      </c>
      <c r="K5387" s="12" t="str">
        <f t="shared" si="1522"/>
        <v>View Creative</v>
      </c>
      <c r="L5387" s="6" t="s">
        <v>62</v>
      </c>
      <c r="M5387" s="6" t="s">
        <v>1421</v>
      </c>
      <c r="N5387" s="6"/>
      <c r="O5387" s="36" t="s">
        <v>7541</v>
      </c>
      <c r="P5387" s="36" t="s">
        <v>7542</v>
      </c>
      <c r="Q5387" s="38"/>
    </row>
    <row r="5388">
      <c r="A5388" s="6" t="s">
        <v>1421</v>
      </c>
      <c r="B5388" s="6" t="s">
        <v>8395</v>
      </c>
      <c r="C5388" s="6">
        <v>370.0</v>
      </c>
      <c r="D5388" s="9" t="str">
        <f>HYPERLINK("https://www.linkedin.com/ad-library/detail/1144898454","Open Ad")</f>
        <v>Open Ad</v>
      </c>
      <c r="E5388" s="6" t="s">
        <v>52</v>
      </c>
      <c r="F5388" s="6" t="s">
        <v>8022</v>
      </c>
      <c r="G5388" s="6" t="s">
        <v>8545</v>
      </c>
      <c r="H5388" s="6" t="s">
        <v>55</v>
      </c>
      <c r="I5388" s="6" t="s">
        <v>8397</v>
      </c>
      <c r="J5388" s="6" t="s">
        <v>52</v>
      </c>
      <c r="K5388" s="6" t="s">
        <v>60</v>
      </c>
      <c r="L5388" s="6" t="s">
        <v>62</v>
      </c>
      <c r="M5388" s="6" t="s">
        <v>1421</v>
      </c>
      <c r="N5388" s="6"/>
      <c r="O5388" s="36" t="s">
        <v>7541</v>
      </c>
      <c r="P5388" s="36" t="s">
        <v>7542</v>
      </c>
      <c r="Q5388" s="38"/>
    </row>
    <row r="5389">
      <c r="A5389" s="6" t="s">
        <v>1421</v>
      </c>
      <c r="B5389" s="6" t="s">
        <v>8395</v>
      </c>
      <c r="C5389" s="6">
        <v>371.0</v>
      </c>
      <c r="D5389" s="9" t="str">
        <f t="shared" ref="D5389:D5390" si="1523">HYPERLINK("https://www.linkedin.com/ad-library/detail/1134697714","Open Ad")</f>
        <v>Open Ad</v>
      </c>
      <c r="E5389" s="6" t="s">
        <v>154</v>
      </c>
      <c r="F5389" s="6" t="s">
        <v>8022</v>
      </c>
      <c r="G5389" s="6" t="s">
        <v>8549</v>
      </c>
      <c r="H5389" s="6" t="s">
        <v>55</v>
      </c>
      <c r="I5389" s="6" t="s">
        <v>8397</v>
      </c>
      <c r="J5389" s="6" t="s">
        <v>154</v>
      </c>
      <c r="K5389" s="12" t="str">
        <f t="shared" ref="K5389:K5390" si="1524">HYPERLINK("https://dms.licdn.com/playlist/vid/v2/D4E05AQHGm900zKDHIQ/mp4-720p-30fp-crf28/B4EZv7Sb_uKYCE-/0/1769447486892?e=2147483647&amp;v=beta&amp;t=-DU6jD65cGERcHmPhrWzJ1fgoicZnV4-7tHoEEAQsyY","View Creative")</f>
        <v>View Creative</v>
      </c>
      <c r="L5389" s="6" t="s">
        <v>62</v>
      </c>
      <c r="M5389" s="6" t="s">
        <v>1421</v>
      </c>
      <c r="N5389" s="6"/>
      <c r="O5389" s="36" t="s">
        <v>7541</v>
      </c>
      <c r="P5389" s="36" t="s">
        <v>7542</v>
      </c>
      <c r="Q5389" s="38"/>
    </row>
    <row r="5390">
      <c r="A5390" s="6" t="s">
        <v>1421</v>
      </c>
      <c r="B5390" s="6" t="s">
        <v>8395</v>
      </c>
      <c r="C5390" s="6">
        <v>372.0</v>
      </c>
      <c r="D5390" s="9" t="str">
        <f t="shared" si="1523"/>
        <v>Open Ad</v>
      </c>
      <c r="E5390" s="6" t="s">
        <v>154</v>
      </c>
      <c r="F5390" s="6" t="s">
        <v>8022</v>
      </c>
      <c r="G5390" s="6" t="s">
        <v>8549</v>
      </c>
      <c r="H5390" s="6" t="s">
        <v>55</v>
      </c>
      <c r="I5390" s="6" t="s">
        <v>8397</v>
      </c>
      <c r="J5390" s="6" t="s">
        <v>154</v>
      </c>
      <c r="K5390" s="12" t="str">
        <f t="shared" si="1524"/>
        <v>View Creative</v>
      </c>
      <c r="L5390" s="6" t="s">
        <v>62</v>
      </c>
      <c r="M5390" s="6" t="s">
        <v>1421</v>
      </c>
      <c r="N5390" s="6"/>
      <c r="O5390" s="36" t="s">
        <v>7541</v>
      </c>
      <c r="P5390" s="36" t="s">
        <v>7542</v>
      </c>
      <c r="Q5390" s="38"/>
    </row>
    <row r="5391">
      <c r="A5391" s="6" t="s">
        <v>1421</v>
      </c>
      <c r="B5391" s="6" t="s">
        <v>8395</v>
      </c>
      <c r="C5391" s="6">
        <v>373.0</v>
      </c>
      <c r="D5391" s="9" t="str">
        <f t="shared" ref="D5391:D5392" si="1525">HYPERLINK("https://www.linkedin.com/ad-library/detail/1090692844","Open Ad")</f>
        <v>Open Ad</v>
      </c>
      <c r="E5391" s="6" t="s">
        <v>91</v>
      </c>
      <c r="F5391" s="6" t="s">
        <v>8022</v>
      </c>
      <c r="G5391" s="6" t="s">
        <v>8535</v>
      </c>
      <c r="H5391" s="6" t="s">
        <v>55</v>
      </c>
      <c r="I5391" s="6" t="s">
        <v>8397</v>
      </c>
      <c r="J5391" s="6" t="s">
        <v>91</v>
      </c>
      <c r="K5391" s="12" t="str">
        <f t="shared" ref="K5391:K5392" si="1526">HYPERLINK("https://media.licdn.com/dms/image/v2/D4E22AQEbP7o5_3rpwQ/image_627_1200/B56Zu8TZZKIUAY-/0/1768390760385?e=2147483647&amp;v=beta&amp;t=Nz2NjmwCOv94LPNIQAgFRmj71fEWR6D0v57dtbGcyuY","View Creative")</f>
        <v>View Creative</v>
      </c>
      <c r="L5391" s="6" t="s">
        <v>62</v>
      </c>
      <c r="M5391" s="6" t="s">
        <v>1421</v>
      </c>
      <c r="N5391" s="6"/>
      <c r="O5391" s="36" t="s">
        <v>7541</v>
      </c>
      <c r="P5391" s="36" t="s">
        <v>7542</v>
      </c>
      <c r="Q5391" s="38"/>
    </row>
    <row r="5392">
      <c r="A5392" s="6" t="s">
        <v>1421</v>
      </c>
      <c r="B5392" s="6" t="s">
        <v>8395</v>
      </c>
      <c r="C5392" s="6">
        <v>374.0</v>
      </c>
      <c r="D5392" s="9" t="str">
        <f t="shared" si="1525"/>
        <v>Open Ad</v>
      </c>
      <c r="E5392" s="6" t="s">
        <v>91</v>
      </c>
      <c r="F5392" s="6" t="s">
        <v>8022</v>
      </c>
      <c r="G5392" s="6" t="s">
        <v>8535</v>
      </c>
      <c r="H5392" s="6" t="s">
        <v>55</v>
      </c>
      <c r="I5392" s="6" t="s">
        <v>8397</v>
      </c>
      <c r="J5392" s="6" t="s">
        <v>91</v>
      </c>
      <c r="K5392" s="12" t="str">
        <f t="shared" si="1526"/>
        <v>View Creative</v>
      </c>
      <c r="L5392" s="6" t="s">
        <v>62</v>
      </c>
      <c r="M5392" s="6" t="s">
        <v>1421</v>
      </c>
      <c r="N5392" s="6"/>
      <c r="O5392" s="36" t="s">
        <v>7541</v>
      </c>
      <c r="P5392" s="36" t="s">
        <v>7542</v>
      </c>
      <c r="Q5392" s="38"/>
    </row>
    <row r="5393">
      <c r="A5393" s="6" t="s">
        <v>1421</v>
      </c>
      <c r="B5393" s="6" t="s">
        <v>8395</v>
      </c>
      <c r="C5393" s="6">
        <v>375.0</v>
      </c>
      <c r="D5393" s="9" t="str">
        <f t="shared" ref="D5393:D5394" si="1527">HYPERLINK("https://www.linkedin.com/ad-library/detail/910667514","Open Ad")</f>
        <v>Open Ad</v>
      </c>
      <c r="E5393" s="6" t="s">
        <v>154</v>
      </c>
      <c r="F5393" s="6" t="s">
        <v>8022</v>
      </c>
      <c r="G5393" s="6" t="s">
        <v>8550</v>
      </c>
      <c r="H5393" s="6" t="s">
        <v>55</v>
      </c>
      <c r="I5393" s="6" t="s">
        <v>8397</v>
      </c>
      <c r="J5393" s="6" t="s">
        <v>154</v>
      </c>
      <c r="K5393" s="12" t="str">
        <f t="shared" ref="K5393:K5394" si="1528">HYPERLINK("https://dms.licdn.com/playlist/vid/v2/D5605AQHZth89m6ru_w/mp4-640p-30fp-crf28/B56Zp.gmhlHkBs-/0/1763059105931?e=2147483647&amp;v=beta&amp;t=gnsk2YGBYFTeuWE0Lwx2dwzoNb2-raV1xXrPDh2_lUQ","View Creative")</f>
        <v>View Creative</v>
      </c>
      <c r="L5393" s="6" t="s">
        <v>62</v>
      </c>
      <c r="M5393" s="6" t="s">
        <v>1421</v>
      </c>
      <c r="N5393" s="6"/>
      <c r="O5393" s="36" t="s">
        <v>7541</v>
      </c>
      <c r="P5393" s="36" t="s">
        <v>7542</v>
      </c>
      <c r="Q5393" s="38"/>
    </row>
    <row r="5394">
      <c r="A5394" s="6" t="s">
        <v>1421</v>
      </c>
      <c r="B5394" s="6" t="s">
        <v>8395</v>
      </c>
      <c r="C5394" s="6">
        <v>376.0</v>
      </c>
      <c r="D5394" s="9" t="str">
        <f t="shared" si="1527"/>
        <v>Open Ad</v>
      </c>
      <c r="E5394" s="6" t="s">
        <v>154</v>
      </c>
      <c r="F5394" s="6" t="s">
        <v>8022</v>
      </c>
      <c r="G5394" s="6" t="s">
        <v>8550</v>
      </c>
      <c r="H5394" s="6" t="s">
        <v>55</v>
      </c>
      <c r="I5394" s="6" t="s">
        <v>8397</v>
      </c>
      <c r="J5394" s="6" t="s">
        <v>154</v>
      </c>
      <c r="K5394" s="12" t="str">
        <f t="shared" si="1528"/>
        <v>View Creative</v>
      </c>
      <c r="L5394" s="6" t="s">
        <v>62</v>
      </c>
      <c r="M5394" s="6" t="s">
        <v>1421</v>
      </c>
      <c r="N5394" s="6"/>
      <c r="O5394" s="36" t="s">
        <v>7541</v>
      </c>
      <c r="P5394" s="36" t="s">
        <v>7542</v>
      </c>
      <c r="Q5394" s="38"/>
    </row>
    <row r="5395">
      <c r="A5395" s="6" t="s">
        <v>1421</v>
      </c>
      <c r="B5395" s="6" t="s">
        <v>8551</v>
      </c>
      <c r="C5395" s="6">
        <v>377.0</v>
      </c>
      <c r="D5395" s="9" t="str">
        <f t="shared" ref="D5395:D5396" si="1529">HYPERLINK("https://www.linkedin.com/ad-library/detail/986954336","Open Ad")</f>
        <v>Open Ad</v>
      </c>
      <c r="E5395" s="6" t="s">
        <v>154</v>
      </c>
      <c r="F5395" s="6" t="s">
        <v>8022</v>
      </c>
      <c r="G5395" s="6" t="s">
        <v>8552</v>
      </c>
      <c r="H5395" s="6" t="s">
        <v>8553</v>
      </c>
      <c r="I5395" s="6" t="s">
        <v>8397</v>
      </c>
      <c r="J5395" s="6" t="s">
        <v>154</v>
      </c>
      <c r="K5395" s="12" t="str">
        <f t="shared" ref="K5395:K5396" si="1530">HYPERLINK("https://dms.licdn.com/playlist/vid/v2/D5605AQEsoZSk6klxNw/mp4-720p-30fp-crf28/B56Zr_rsEGMICI-/0/1765226333367?e=2147483647&amp;v=beta&amp;t=4ExoCJr51mbkZjPMp6WLjBFfGLBpimSZP_ngKQ4cjZc","View Creative")</f>
        <v>View Creative</v>
      </c>
      <c r="L5395" s="6" t="s">
        <v>62</v>
      </c>
      <c r="M5395" s="6" t="s">
        <v>1421</v>
      </c>
      <c r="N5395" s="6"/>
      <c r="O5395" s="36" t="s">
        <v>7541</v>
      </c>
      <c r="P5395" s="36" t="s">
        <v>7542</v>
      </c>
      <c r="Q5395" s="38"/>
    </row>
    <row r="5396">
      <c r="A5396" s="6" t="s">
        <v>1421</v>
      </c>
      <c r="B5396" s="6" t="s">
        <v>8551</v>
      </c>
      <c r="C5396" s="6">
        <v>378.0</v>
      </c>
      <c r="D5396" s="9" t="str">
        <f t="shared" si="1529"/>
        <v>Open Ad</v>
      </c>
      <c r="E5396" s="6" t="s">
        <v>154</v>
      </c>
      <c r="F5396" s="6" t="s">
        <v>8022</v>
      </c>
      <c r="G5396" s="6" t="s">
        <v>8552</v>
      </c>
      <c r="H5396" s="6" t="s">
        <v>8553</v>
      </c>
      <c r="I5396" s="6" t="s">
        <v>8397</v>
      </c>
      <c r="J5396" s="6" t="s">
        <v>154</v>
      </c>
      <c r="K5396" s="12" t="str">
        <f t="shared" si="1530"/>
        <v>View Creative</v>
      </c>
      <c r="L5396" s="6" t="s">
        <v>62</v>
      </c>
      <c r="M5396" s="6" t="s">
        <v>1421</v>
      </c>
      <c r="N5396" s="6"/>
      <c r="O5396" s="36" t="s">
        <v>7541</v>
      </c>
      <c r="P5396" s="36" t="s">
        <v>7542</v>
      </c>
      <c r="Q5396" s="38"/>
    </row>
    <row r="5397">
      <c r="A5397" s="6" t="s">
        <v>1421</v>
      </c>
      <c r="B5397" s="6" t="s">
        <v>8395</v>
      </c>
      <c r="C5397" s="6">
        <v>379.0</v>
      </c>
      <c r="D5397" s="9" t="str">
        <f t="shared" ref="D5397:D5398" si="1531">HYPERLINK("https://www.linkedin.com/ad-library/detail/1074877354","Open Ad")</f>
        <v>Open Ad</v>
      </c>
      <c r="E5397" s="6" t="s">
        <v>91</v>
      </c>
      <c r="F5397" s="6" t="s">
        <v>8022</v>
      </c>
      <c r="G5397" s="6" t="s">
        <v>8460</v>
      </c>
      <c r="H5397" s="6" t="s">
        <v>55</v>
      </c>
      <c r="I5397" s="6" t="s">
        <v>8397</v>
      </c>
      <c r="J5397" s="6" t="s">
        <v>91</v>
      </c>
      <c r="K5397" s="12" t="str">
        <f t="shared" ref="K5397:K5398" si="1532">HYPERLINK("https://media.licdn.com/dms/image/v2/D4E22AQFt-dFjadE7eA/feedshare-shrink_1280/B4EZssv3KoKgAs-/0/1765982305047?e=2147483647&amp;v=beta&amp;t=KNpTRDqCPAIvuxG8CzOoY0lQSVaw7ZCK_imSxQf1V6M","View Creative")</f>
        <v>View Creative</v>
      </c>
      <c r="L5397" s="6" t="s">
        <v>62</v>
      </c>
      <c r="M5397" s="6" t="s">
        <v>1421</v>
      </c>
      <c r="N5397" s="6"/>
      <c r="O5397" s="36" t="s">
        <v>7541</v>
      </c>
      <c r="P5397" s="36" t="s">
        <v>7542</v>
      </c>
      <c r="Q5397" s="38"/>
    </row>
    <row r="5398">
      <c r="A5398" s="6" t="s">
        <v>1421</v>
      </c>
      <c r="B5398" s="6" t="s">
        <v>8395</v>
      </c>
      <c r="C5398" s="6">
        <v>380.0</v>
      </c>
      <c r="D5398" s="9" t="str">
        <f t="shared" si="1531"/>
        <v>Open Ad</v>
      </c>
      <c r="E5398" s="6" t="s">
        <v>91</v>
      </c>
      <c r="F5398" s="6" t="s">
        <v>8022</v>
      </c>
      <c r="G5398" s="6" t="s">
        <v>8460</v>
      </c>
      <c r="H5398" s="6" t="s">
        <v>55</v>
      </c>
      <c r="I5398" s="6" t="s">
        <v>8397</v>
      </c>
      <c r="J5398" s="6" t="s">
        <v>91</v>
      </c>
      <c r="K5398" s="12" t="str">
        <f t="shared" si="1532"/>
        <v>View Creative</v>
      </c>
      <c r="L5398" s="6" t="s">
        <v>62</v>
      </c>
      <c r="M5398" s="6" t="s">
        <v>1421</v>
      </c>
      <c r="N5398" s="6"/>
      <c r="O5398" s="36" t="s">
        <v>7541</v>
      </c>
      <c r="P5398" s="36" t="s">
        <v>7542</v>
      </c>
      <c r="Q5398" s="38"/>
    </row>
    <row r="5399">
      <c r="A5399" s="6" t="s">
        <v>1421</v>
      </c>
      <c r="B5399" s="6" t="s">
        <v>8395</v>
      </c>
      <c r="C5399" s="6">
        <v>381.0</v>
      </c>
      <c r="D5399" s="9" t="str">
        <f t="shared" ref="D5399:D5400" si="1533">HYPERLINK("https://www.linkedin.com/ad-library/detail/935097834","Open Ad")</f>
        <v>Open Ad</v>
      </c>
      <c r="E5399" s="6" t="s">
        <v>154</v>
      </c>
      <c r="F5399" s="6" t="s">
        <v>8022</v>
      </c>
      <c r="G5399" s="6" t="s">
        <v>8554</v>
      </c>
      <c r="H5399" s="6" t="s">
        <v>55</v>
      </c>
      <c r="I5399" s="6" t="s">
        <v>8397</v>
      </c>
      <c r="J5399" s="6" t="s">
        <v>154</v>
      </c>
      <c r="K5399" s="12" t="str">
        <f t="shared" ref="K5399:K5400" si="1534">HYPERLINK("https://dms.licdn.com/playlist/vid/v2/D5605AQFv6_u0MEmRcA/mp4-720p-30fp-crf28/B56ZrqaHtiL4CI-/0/1764869322973?e=2147483647&amp;v=beta&amp;t=O2VGO3kPJBvNH8_Zc_Py-EHZD7g42eZKxY6rB3WDJGY","View Creative")</f>
        <v>View Creative</v>
      </c>
      <c r="L5399" s="6" t="s">
        <v>62</v>
      </c>
      <c r="M5399" s="6" t="s">
        <v>1421</v>
      </c>
      <c r="N5399" s="6"/>
      <c r="O5399" s="36" t="s">
        <v>7541</v>
      </c>
      <c r="P5399" s="36" t="s">
        <v>7542</v>
      </c>
      <c r="Q5399" s="38"/>
    </row>
    <row r="5400">
      <c r="A5400" s="6" t="s">
        <v>1421</v>
      </c>
      <c r="B5400" s="6" t="s">
        <v>8395</v>
      </c>
      <c r="C5400" s="6">
        <v>382.0</v>
      </c>
      <c r="D5400" s="9" t="str">
        <f t="shared" si="1533"/>
        <v>Open Ad</v>
      </c>
      <c r="E5400" s="6" t="s">
        <v>154</v>
      </c>
      <c r="F5400" s="6" t="s">
        <v>8022</v>
      </c>
      <c r="G5400" s="6" t="s">
        <v>8554</v>
      </c>
      <c r="H5400" s="6" t="s">
        <v>55</v>
      </c>
      <c r="I5400" s="6" t="s">
        <v>8397</v>
      </c>
      <c r="J5400" s="6" t="s">
        <v>154</v>
      </c>
      <c r="K5400" s="12" t="str">
        <f t="shared" si="1534"/>
        <v>View Creative</v>
      </c>
      <c r="L5400" s="6" t="s">
        <v>62</v>
      </c>
      <c r="M5400" s="6" t="s">
        <v>1421</v>
      </c>
      <c r="N5400" s="6"/>
      <c r="O5400" s="36" t="s">
        <v>7541</v>
      </c>
      <c r="P5400" s="36" t="s">
        <v>7542</v>
      </c>
      <c r="Q5400" s="38"/>
    </row>
    <row r="5401">
      <c r="A5401" s="6" t="s">
        <v>1421</v>
      </c>
      <c r="B5401" s="6" t="s">
        <v>8395</v>
      </c>
      <c r="C5401" s="6">
        <v>383.0</v>
      </c>
      <c r="D5401" s="9" t="str">
        <f t="shared" ref="D5401:D5402" si="1535">HYPERLINK("https://www.linkedin.com/ad-library/detail/927102924","Open Ad")</f>
        <v>Open Ad</v>
      </c>
      <c r="E5401" s="6" t="s">
        <v>91</v>
      </c>
      <c r="F5401" s="6" t="s">
        <v>8022</v>
      </c>
      <c r="G5401" s="6" t="s">
        <v>8555</v>
      </c>
      <c r="H5401" s="6" t="s">
        <v>55</v>
      </c>
      <c r="I5401" s="6" t="s">
        <v>8397</v>
      </c>
      <c r="J5401" s="6" t="s">
        <v>91</v>
      </c>
      <c r="K5401" s="12" t="str">
        <f t="shared" ref="K5401:K5402" si="1536">HYPERLINK("https://media.licdn.com/dms/image/v2/D5622AQEUYexUd7K3tA/feedshare-image-high-res/B56Zq9AIn8KsAo-/0/1764107521933?e=2147483647&amp;v=beta&amp;t=GAsNcHfug-1vRBpTpjtDlLLJLoxRWILFrjCn19XuBwU","View Creative")</f>
        <v>View Creative</v>
      </c>
      <c r="L5401" s="6" t="s">
        <v>62</v>
      </c>
      <c r="M5401" s="6" t="s">
        <v>1421</v>
      </c>
      <c r="N5401" s="6"/>
      <c r="O5401" s="36" t="s">
        <v>7541</v>
      </c>
      <c r="P5401" s="36" t="s">
        <v>7542</v>
      </c>
      <c r="Q5401" s="38"/>
    </row>
    <row r="5402">
      <c r="A5402" s="6" t="s">
        <v>1421</v>
      </c>
      <c r="B5402" s="6" t="s">
        <v>8395</v>
      </c>
      <c r="C5402" s="6">
        <v>384.0</v>
      </c>
      <c r="D5402" s="9" t="str">
        <f t="shared" si="1535"/>
        <v>Open Ad</v>
      </c>
      <c r="E5402" s="6" t="s">
        <v>91</v>
      </c>
      <c r="F5402" s="6" t="s">
        <v>8022</v>
      </c>
      <c r="G5402" s="6" t="s">
        <v>8555</v>
      </c>
      <c r="H5402" s="6" t="s">
        <v>55</v>
      </c>
      <c r="I5402" s="6" t="s">
        <v>8397</v>
      </c>
      <c r="J5402" s="6" t="s">
        <v>91</v>
      </c>
      <c r="K5402" s="12" t="str">
        <f t="shared" si="1536"/>
        <v>View Creative</v>
      </c>
      <c r="L5402" s="6" t="s">
        <v>62</v>
      </c>
      <c r="M5402" s="6" t="s">
        <v>1421</v>
      </c>
      <c r="N5402" s="6"/>
      <c r="O5402" s="36" t="s">
        <v>7541</v>
      </c>
      <c r="P5402" s="36" t="s">
        <v>7542</v>
      </c>
      <c r="Q5402" s="38"/>
    </row>
    <row r="5403">
      <c r="A5403" s="6" t="s">
        <v>1421</v>
      </c>
      <c r="B5403" s="6" t="s">
        <v>8395</v>
      </c>
      <c r="C5403" s="6">
        <v>385.0</v>
      </c>
      <c r="D5403" s="9" t="str">
        <f t="shared" ref="D5403:D5404" si="1537">HYPERLINK("https://www.linkedin.com/ad-library/detail/910775964","Open Ad")</f>
        <v>Open Ad</v>
      </c>
      <c r="E5403" s="6" t="s">
        <v>154</v>
      </c>
      <c r="F5403" s="6" t="s">
        <v>8022</v>
      </c>
      <c r="G5403" s="6" t="s">
        <v>8556</v>
      </c>
      <c r="H5403" s="6" t="s">
        <v>55</v>
      </c>
      <c r="I5403" s="6" t="s">
        <v>8397</v>
      </c>
      <c r="J5403" s="6" t="s">
        <v>154</v>
      </c>
      <c r="K5403" s="12" t="str">
        <f t="shared" ref="K5403:K5406" si="1538">HYPERLINK("https://dms.licdn.com/playlist/vid/v2/D5605AQEEfUnTMJkLoA/mp4-720p-30fp-crf28/B56Zp4y2JjKABw-/0/1762963295228?e=2147483647&amp;v=beta&amp;t=0IIv_OLrWg6jbEwbsyfSTC653uIZpHCWE2o8Er6ObcA","View Creative")</f>
        <v>View Creative</v>
      </c>
      <c r="L5403" s="6" t="s">
        <v>62</v>
      </c>
      <c r="M5403" s="6" t="s">
        <v>1421</v>
      </c>
      <c r="N5403" s="6"/>
      <c r="O5403" s="36" t="s">
        <v>7541</v>
      </c>
      <c r="P5403" s="36" t="s">
        <v>7542</v>
      </c>
      <c r="Q5403" s="38"/>
    </row>
    <row r="5404">
      <c r="A5404" s="6" t="s">
        <v>1421</v>
      </c>
      <c r="B5404" s="6" t="s">
        <v>8395</v>
      </c>
      <c r="C5404" s="6">
        <v>386.0</v>
      </c>
      <c r="D5404" s="9" t="str">
        <f t="shared" si="1537"/>
        <v>Open Ad</v>
      </c>
      <c r="E5404" s="6" t="s">
        <v>154</v>
      </c>
      <c r="F5404" s="6" t="s">
        <v>8022</v>
      </c>
      <c r="G5404" s="6" t="s">
        <v>8556</v>
      </c>
      <c r="H5404" s="6" t="s">
        <v>55</v>
      </c>
      <c r="I5404" s="6" t="s">
        <v>8397</v>
      </c>
      <c r="J5404" s="6" t="s">
        <v>154</v>
      </c>
      <c r="K5404" s="12" t="str">
        <f t="shared" si="1538"/>
        <v>View Creative</v>
      </c>
      <c r="L5404" s="6" t="s">
        <v>62</v>
      </c>
      <c r="M5404" s="6" t="s">
        <v>1421</v>
      </c>
      <c r="N5404" s="6"/>
      <c r="O5404" s="36" t="s">
        <v>7541</v>
      </c>
      <c r="P5404" s="36" t="s">
        <v>7542</v>
      </c>
      <c r="Q5404" s="38"/>
    </row>
    <row r="5405">
      <c r="A5405" s="6" t="s">
        <v>1421</v>
      </c>
      <c r="B5405" s="6" t="s">
        <v>8395</v>
      </c>
      <c r="C5405" s="6">
        <v>387.0</v>
      </c>
      <c r="D5405" s="9" t="str">
        <f t="shared" ref="D5405:D5406" si="1539">HYPERLINK("https://www.linkedin.com/ad-library/detail/910598584","Open Ad")</f>
        <v>Open Ad</v>
      </c>
      <c r="E5405" s="6" t="s">
        <v>154</v>
      </c>
      <c r="F5405" s="6" t="s">
        <v>8022</v>
      </c>
      <c r="G5405" s="6" t="s">
        <v>8556</v>
      </c>
      <c r="H5405" s="6" t="s">
        <v>55</v>
      </c>
      <c r="I5405" s="6" t="s">
        <v>8397</v>
      </c>
      <c r="J5405" s="6" t="s">
        <v>154</v>
      </c>
      <c r="K5405" s="12" t="str">
        <f t="shared" si="1538"/>
        <v>View Creative</v>
      </c>
      <c r="L5405" s="6" t="s">
        <v>62</v>
      </c>
      <c r="M5405" s="6" t="s">
        <v>1421</v>
      </c>
      <c r="N5405" s="6"/>
      <c r="O5405" s="36" t="s">
        <v>7541</v>
      </c>
      <c r="P5405" s="36" t="s">
        <v>7542</v>
      </c>
      <c r="Q5405" s="38"/>
    </row>
    <row r="5406">
      <c r="A5406" s="6" t="s">
        <v>1421</v>
      </c>
      <c r="B5406" s="6" t="s">
        <v>8395</v>
      </c>
      <c r="C5406" s="6">
        <v>388.0</v>
      </c>
      <c r="D5406" s="9" t="str">
        <f t="shared" si="1539"/>
        <v>Open Ad</v>
      </c>
      <c r="E5406" s="6" t="s">
        <v>154</v>
      </c>
      <c r="F5406" s="6" t="s">
        <v>8022</v>
      </c>
      <c r="G5406" s="6" t="s">
        <v>8556</v>
      </c>
      <c r="H5406" s="6" t="s">
        <v>55</v>
      </c>
      <c r="I5406" s="6" t="s">
        <v>8397</v>
      </c>
      <c r="J5406" s="6" t="s">
        <v>154</v>
      </c>
      <c r="K5406" s="12" t="str">
        <f t="shared" si="1538"/>
        <v>View Creative</v>
      </c>
      <c r="L5406" s="6" t="s">
        <v>62</v>
      </c>
      <c r="M5406" s="6" t="s">
        <v>1421</v>
      </c>
      <c r="N5406" s="6"/>
      <c r="O5406" s="36" t="s">
        <v>7541</v>
      </c>
      <c r="P5406" s="36" t="s">
        <v>7542</v>
      </c>
      <c r="Q5406" s="38"/>
    </row>
    <row r="5407">
      <c r="A5407" s="6" t="s">
        <v>1421</v>
      </c>
      <c r="B5407" s="6" t="s">
        <v>8395</v>
      </c>
      <c r="C5407" s="6">
        <v>389.0</v>
      </c>
      <c r="D5407" s="9" t="str">
        <f t="shared" ref="D5407:D5408" si="1540">HYPERLINK("https://www.linkedin.com/ad-library/detail/943186694","Open Ad")</f>
        <v>Open Ad</v>
      </c>
      <c r="E5407" s="6" t="s">
        <v>154</v>
      </c>
      <c r="F5407" s="6" t="s">
        <v>8022</v>
      </c>
      <c r="G5407" s="6" t="s">
        <v>8554</v>
      </c>
      <c r="H5407" s="6" t="s">
        <v>55</v>
      </c>
      <c r="I5407" s="6" t="s">
        <v>8397</v>
      </c>
      <c r="J5407" s="6" t="s">
        <v>154</v>
      </c>
      <c r="K5407" s="12" t="str">
        <f t="shared" ref="K5407:K5408" si="1541">HYPERLINK("https://dms.licdn.com/playlist/vid/v2/D5605AQFv6_u0MEmRcA/mp4-720p-30fp-crf28/B56ZrqaHtiL4CI-/0/1764869322973?e=2147483647&amp;v=beta&amp;t=O2VGO3kPJBvNH8_Zc_Py-EHZD7g42eZKxY6rB3WDJGY","View Creative")</f>
        <v>View Creative</v>
      </c>
      <c r="L5407" s="6" t="s">
        <v>62</v>
      </c>
      <c r="M5407" s="6" t="s">
        <v>1421</v>
      </c>
      <c r="N5407" s="6"/>
      <c r="O5407" s="36" t="s">
        <v>7541</v>
      </c>
      <c r="P5407" s="36" t="s">
        <v>7542</v>
      </c>
      <c r="Q5407" s="38"/>
    </row>
    <row r="5408">
      <c r="A5408" s="6" t="s">
        <v>1421</v>
      </c>
      <c r="B5408" s="6" t="s">
        <v>8395</v>
      </c>
      <c r="C5408" s="6">
        <v>390.0</v>
      </c>
      <c r="D5408" s="9" t="str">
        <f t="shared" si="1540"/>
        <v>Open Ad</v>
      </c>
      <c r="E5408" s="6" t="s">
        <v>154</v>
      </c>
      <c r="F5408" s="6" t="s">
        <v>8022</v>
      </c>
      <c r="G5408" s="6" t="s">
        <v>8554</v>
      </c>
      <c r="H5408" s="6" t="s">
        <v>55</v>
      </c>
      <c r="I5408" s="6" t="s">
        <v>8397</v>
      </c>
      <c r="J5408" s="6" t="s">
        <v>154</v>
      </c>
      <c r="K5408" s="12" t="str">
        <f t="shared" si="1541"/>
        <v>View Creative</v>
      </c>
      <c r="L5408" s="6" t="s">
        <v>62</v>
      </c>
      <c r="M5408" s="6" t="s">
        <v>1421</v>
      </c>
      <c r="N5408" s="6"/>
      <c r="O5408" s="36" t="s">
        <v>7541</v>
      </c>
      <c r="P5408" s="36" t="s">
        <v>7542</v>
      </c>
      <c r="Q5408" s="38"/>
    </row>
    <row r="5409">
      <c r="A5409" s="6" t="s">
        <v>1421</v>
      </c>
      <c r="B5409" s="6" t="s">
        <v>8395</v>
      </c>
      <c r="C5409" s="6">
        <v>391.0</v>
      </c>
      <c r="D5409" s="9" t="str">
        <f t="shared" ref="D5409:D5410" si="1542">HYPERLINK("https://www.linkedin.com/ad-library/detail/919557754","Open Ad")</f>
        <v>Open Ad</v>
      </c>
      <c r="E5409" s="6" t="s">
        <v>154</v>
      </c>
      <c r="F5409" s="6" t="s">
        <v>8022</v>
      </c>
      <c r="G5409" s="6" t="s">
        <v>8430</v>
      </c>
      <c r="H5409" s="6" t="s">
        <v>8431</v>
      </c>
      <c r="I5409" s="6" t="s">
        <v>8397</v>
      </c>
      <c r="J5409" s="6" t="s">
        <v>154</v>
      </c>
      <c r="K5409" s="12" t="str">
        <f t="shared" ref="K5409:K5410" si="1543">HYPERLINK("https://dms.licdn.com/playlist/vid/v2/D4D05AQHnmIEEyRX-XQ/mp4-640p-30fp-crf28/B4DZqiqSThJMB4-/0/1763665591076?e=2147483647&amp;v=beta&amp;t=z_-Yle32SHQ35KpshG1IXh2KghCKdx17hxgQTsQb9DM","View Creative")</f>
        <v>View Creative</v>
      </c>
      <c r="L5409" s="6" t="s">
        <v>62</v>
      </c>
      <c r="M5409" s="6" t="s">
        <v>1421</v>
      </c>
      <c r="N5409" s="6"/>
      <c r="O5409" s="36" t="s">
        <v>7541</v>
      </c>
      <c r="P5409" s="36" t="s">
        <v>7542</v>
      </c>
      <c r="Q5409" s="38"/>
    </row>
    <row r="5410">
      <c r="A5410" s="6" t="s">
        <v>1421</v>
      </c>
      <c r="B5410" s="6" t="s">
        <v>8395</v>
      </c>
      <c r="C5410" s="6">
        <v>392.0</v>
      </c>
      <c r="D5410" s="9" t="str">
        <f t="shared" si="1542"/>
        <v>Open Ad</v>
      </c>
      <c r="E5410" s="6" t="s">
        <v>154</v>
      </c>
      <c r="F5410" s="6" t="s">
        <v>8022</v>
      </c>
      <c r="G5410" s="6" t="s">
        <v>8430</v>
      </c>
      <c r="H5410" s="6" t="s">
        <v>8431</v>
      </c>
      <c r="I5410" s="6" t="s">
        <v>8397</v>
      </c>
      <c r="J5410" s="6" t="s">
        <v>154</v>
      </c>
      <c r="K5410" s="12" t="str">
        <f t="shared" si="1543"/>
        <v>View Creative</v>
      </c>
      <c r="L5410" s="6" t="s">
        <v>62</v>
      </c>
      <c r="M5410" s="6" t="s">
        <v>1421</v>
      </c>
      <c r="N5410" s="6"/>
      <c r="O5410" s="36" t="s">
        <v>7541</v>
      </c>
      <c r="P5410" s="36" t="s">
        <v>7542</v>
      </c>
      <c r="Q5410" s="38"/>
    </row>
    <row r="5411">
      <c r="A5411" s="6" t="s">
        <v>1421</v>
      </c>
      <c r="B5411" s="6" t="s">
        <v>8395</v>
      </c>
      <c r="C5411" s="6">
        <v>393.0</v>
      </c>
      <c r="D5411" s="9" t="str">
        <f t="shared" ref="D5411:D5412" si="1544">HYPERLINK("https://www.linkedin.com/ad-library/detail/910756384","Open Ad")</f>
        <v>Open Ad</v>
      </c>
      <c r="E5411" s="6" t="s">
        <v>154</v>
      </c>
      <c r="F5411" s="6" t="s">
        <v>8022</v>
      </c>
      <c r="G5411" s="6" t="s">
        <v>8550</v>
      </c>
      <c r="H5411" s="6" t="s">
        <v>55</v>
      </c>
      <c r="I5411" s="6" t="s">
        <v>8397</v>
      </c>
      <c r="J5411" s="6" t="s">
        <v>154</v>
      </c>
      <c r="K5411" s="12" t="str">
        <f t="shared" ref="K5411:K5412" si="1545">HYPERLINK("https://dms.licdn.com/playlist/vid/v2/D5605AQHZth89m6ru_w/mp4-640p-30fp-crf28/B56Zp.gmhlHkBs-/0/1763059105931?e=2147483647&amp;v=beta&amp;t=gnsk2YGBYFTeuWE0Lwx2dwzoNb2-raV1xXrPDh2_lUQ","View Creative")</f>
        <v>View Creative</v>
      </c>
      <c r="L5411" s="6" t="s">
        <v>62</v>
      </c>
      <c r="M5411" s="6" t="s">
        <v>1421</v>
      </c>
      <c r="N5411" s="6"/>
      <c r="O5411" s="36" t="s">
        <v>7541</v>
      </c>
      <c r="P5411" s="36" t="s">
        <v>7542</v>
      </c>
      <c r="Q5411" s="38"/>
    </row>
    <row r="5412">
      <c r="A5412" s="6" t="s">
        <v>1421</v>
      </c>
      <c r="B5412" s="6" t="s">
        <v>8395</v>
      </c>
      <c r="C5412" s="6">
        <v>394.0</v>
      </c>
      <c r="D5412" s="9" t="str">
        <f t="shared" si="1544"/>
        <v>Open Ad</v>
      </c>
      <c r="E5412" s="6" t="s">
        <v>154</v>
      </c>
      <c r="F5412" s="6" t="s">
        <v>8022</v>
      </c>
      <c r="G5412" s="6" t="s">
        <v>8550</v>
      </c>
      <c r="H5412" s="6" t="s">
        <v>55</v>
      </c>
      <c r="I5412" s="6" t="s">
        <v>8397</v>
      </c>
      <c r="J5412" s="6" t="s">
        <v>154</v>
      </c>
      <c r="K5412" s="12" t="str">
        <f t="shared" si="1545"/>
        <v>View Creative</v>
      </c>
      <c r="L5412" s="6" t="s">
        <v>62</v>
      </c>
      <c r="M5412" s="6" t="s">
        <v>1421</v>
      </c>
      <c r="N5412" s="6"/>
      <c r="O5412" s="36" t="s">
        <v>7541</v>
      </c>
      <c r="P5412" s="36" t="s">
        <v>7542</v>
      </c>
      <c r="Q5412" s="38"/>
    </row>
    <row r="5413">
      <c r="A5413" s="6" t="s">
        <v>1421</v>
      </c>
      <c r="B5413" s="6" t="s">
        <v>8395</v>
      </c>
      <c r="C5413" s="6">
        <v>395.0</v>
      </c>
      <c r="D5413" s="9" t="str">
        <f t="shared" ref="D5413:D5414" si="1546">HYPERLINK("https://www.linkedin.com/ad-library/detail/1073679734","Open Ad")</f>
        <v>Open Ad</v>
      </c>
      <c r="E5413" s="6" t="s">
        <v>91</v>
      </c>
      <c r="F5413" s="6" t="s">
        <v>8022</v>
      </c>
      <c r="G5413" s="6" t="s">
        <v>8557</v>
      </c>
      <c r="H5413" s="6" t="s">
        <v>55</v>
      </c>
      <c r="I5413" s="6" t="s">
        <v>8397</v>
      </c>
      <c r="J5413" s="6" t="s">
        <v>91</v>
      </c>
      <c r="K5413" s="12" t="str">
        <f t="shared" ref="K5413:K5414" si="1547">HYPERLINK("https://media.licdn.com/dms/image/v2/D5622AQGjlA26hD2Dyg/feedshare-shrink_1280/B56Zsn9KtvIAAs-/0/1765902049443?e=2147483647&amp;v=beta&amp;t=IuuD7NK4xZBgdXS6-uz39PVwWonbYNUBiSfBjd2BPMw","View Creative")</f>
        <v>View Creative</v>
      </c>
      <c r="L5413" s="6" t="s">
        <v>62</v>
      </c>
      <c r="M5413" s="6" t="s">
        <v>1421</v>
      </c>
      <c r="N5413" s="6"/>
      <c r="O5413" s="36" t="s">
        <v>7541</v>
      </c>
      <c r="P5413" s="36" t="s">
        <v>7542</v>
      </c>
      <c r="Q5413" s="38"/>
    </row>
    <row r="5414">
      <c r="A5414" s="6" t="s">
        <v>1421</v>
      </c>
      <c r="B5414" s="6" t="s">
        <v>8395</v>
      </c>
      <c r="C5414" s="6">
        <v>396.0</v>
      </c>
      <c r="D5414" s="9" t="str">
        <f t="shared" si="1546"/>
        <v>Open Ad</v>
      </c>
      <c r="E5414" s="6" t="s">
        <v>91</v>
      </c>
      <c r="F5414" s="6" t="s">
        <v>8022</v>
      </c>
      <c r="G5414" s="6" t="s">
        <v>8557</v>
      </c>
      <c r="H5414" s="6" t="s">
        <v>55</v>
      </c>
      <c r="I5414" s="6" t="s">
        <v>8397</v>
      </c>
      <c r="J5414" s="6" t="s">
        <v>91</v>
      </c>
      <c r="K5414" s="12" t="str">
        <f t="shared" si="1547"/>
        <v>View Creative</v>
      </c>
      <c r="L5414" s="6" t="s">
        <v>62</v>
      </c>
      <c r="M5414" s="6" t="s">
        <v>1421</v>
      </c>
      <c r="N5414" s="6"/>
      <c r="O5414" s="36" t="s">
        <v>7541</v>
      </c>
      <c r="P5414" s="36" t="s">
        <v>7542</v>
      </c>
      <c r="Q5414" s="38"/>
    </row>
    <row r="5415">
      <c r="A5415" s="6" t="s">
        <v>1421</v>
      </c>
      <c r="B5415" s="6" t="s">
        <v>8395</v>
      </c>
      <c r="C5415" s="6">
        <v>397.0</v>
      </c>
      <c r="D5415" s="9" t="str">
        <f t="shared" ref="D5415:D5416" si="1548">HYPERLINK("https://www.linkedin.com/ad-library/detail/934977464","Open Ad")</f>
        <v>Open Ad</v>
      </c>
      <c r="E5415" s="6" t="s">
        <v>91</v>
      </c>
      <c r="F5415" s="6" t="s">
        <v>8022</v>
      </c>
      <c r="G5415" s="6" t="s">
        <v>8558</v>
      </c>
      <c r="H5415" s="6" t="s">
        <v>55</v>
      </c>
      <c r="I5415" s="6" t="s">
        <v>8397</v>
      </c>
      <c r="J5415" s="6" t="s">
        <v>91</v>
      </c>
      <c r="K5415" s="12" t="str">
        <f t="shared" ref="K5415:K5416" si="1549">HYPERLINK("https://media.licdn.com/dms/image/v2/D4E22AQEINw0FJ9S7Cw/feedshare-image-high-res/B4EZrkpZwHGUAo-/0/1764772651983?e=2147483647&amp;v=beta&amp;t=a62aeASApSnZ7XXyHw2JHVO-oJAH40CZMwk3moJBvuk","View Creative")</f>
        <v>View Creative</v>
      </c>
      <c r="L5415" s="6" t="s">
        <v>62</v>
      </c>
      <c r="M5415" s="6" t="s">
        <v>1421</v>
      </c>
      <c r="N5415" s="6"/>
      <c r="O5415" s="36" t="s">
        <v>7541</v>
      </c>
      <c r="P5415" s="36" t="s">
        <v>7542</v>
      </c>
      <c r="Q5415" s="38"/>
    </row>
    <row r="5416">
      <c r="A5416" s="6" t="s">
        <v>1421</v>
      </c>
      <c r="B5416" s="6" t="s">
        <v>8395</v>
      </c>
      <c r="C5416" s="6">
        <v>398.0</v>
      </c>
      <c r="D5416" s="9" t="str">
        <f t="shared" si="1548"/>
        <v>Open Ad</v>
      </c>
      <c r="E5416" s="6" t="s">
        <v>91</v>
      </c>
      <c r="F5416" s="6" t="s">
        <v>8022</v>
      </c>
      <c r="G5416" s="6" t="s">
        <v>8558</v>
      </c>
      <c r="H5416" s="6" t="s">
        <v>55</v>
      </c>
      <c r="I5416" s="6" t="s">
        <v>8397</v>
      </c>
      <c r="J5416" s="6" t="s">
        <v>91</v>
      </c>
      <c r="K5416" s="12" t="str">
        <f t="shared" si="1549"/>
        <v>View Creative</v>
      </c>
      <c r="L5416" s="6" t="s">
        <v>62</v>
      </c>
      <c r="M5416" s="6" t="s">
        <v>1421</v>
      </c>
      <c r="N5416" s="6"/>
      <c r="O5416" s="36" t="s">
        <v>7541</v>
      </c>
      <c r="P5416" s="36" t="s">
        <v>7542</v>
      </c>
      <c r="Q5416" s="38"/>
    </row>
    <row r="5417">
      <c r="A5417" s="6" t="s">
        <v>1421</v>
      </c>
      <c r="B5417" s="6" t="s">
        <v>8395</v>
      </c>
      <c r="C5417" s="6">
        <v>399.0</v>
      </c>
      <c r="D5417" s="9" t="str">
        <f t="shared" ref="D5417:D5418" si="1550">HYPERLINK("https://www.linkedin.com/ad-library/detail/919497654","Open Ad")</f>
        <v>Open Ad</v>
      </c>
      <c r="E5417" s="6" t="s">
        <v>91</v>
      </c>
      <c r="F5417" s="6" t="s">
        <v>8022</v>
      </c>
      <c r="G5417" s="6" t="s">
        <v>8559</v>
      </c>
      <c r="H5417" s="6" t="s">
        <v>55</v>
      </c>
      <c r="I5417" s="6" t="s">
        <v>8397</v>
      </c>
      <c r="J5417" s="6" t="s">
        <v>91</v>
      </c>
      <c r="K5417" s="12" t="str">
        <f t="shared" ref="K5417:K5418" si="1551">HYPERLINK("https://media.licdn.com/dms/image/v2/D5622AQEycv2coBm5zA/feedshare-image-high-res/B56Zo1vmk2I8Ao-/0/1761838264194?e=2147483647&amp;v=beta&amp;t=AG2kxfMbNu0Oi4KFZT4dZz4TW-_fNad-kLXCXTX4XaA","View Creative")</f>
        <v>View Creative</v>
      </c>
      <c r="L5417" s="6" t="s">
        <v>62</v>
      </c>
      <c r="M5417" s="6" t="s">
        <v>1421</v>
      </c>
      <c r="N5417" s="6"/>
      <c r="O5417" s="36" t="s">
        <v>7541</v>
      </c>
      <c r="P5417" s="36" t="s">
        <v>7542</v>
      </c>
      <c r="Q5417" s="38"/>
    </row>
    <row r="5418">
      <c r="A5418" s="6" t="s">
        <v>1421</v>
      </c>
      <c r="B5418" s="6" t="s">
        <v>8395</v>
      </c>
      <c r="C5418" s="6">
        <v>400.0</v>
      </c>
      <c r="D5418" s="9" t="str">
        <f t="shared" si="1550"/>
        <v>Open Ad</v>
      </c>
      <c r="E5418" s="6" t="s">
        <v>91</v>
      </c>
      <c r="F5418" s="6" t="s">
        <v>8022</v>
      </c>
      <c r="G5418" s="6" t="s">
        <v>8559</v>
      </c>
      <c r="H5418" s="6" t="s">
        <v>55</v>
      </c>
      <c r="I5418" s="6" t="s">
        <v>8397</v>
      </c>
      <c r="J5418" s="6" t="s">
        <v>91</v>
      </c>
      <c r="K5418" s="12" t="str">
        <f t="shared" si="1551"/>
        <v>View Creative</v>
      </c>
      <c r="L5418" s="6" t="s">
        <v>62</v>
      </c>
      <c r="M5418" s="6" t="s">
        <v>1421</v>
      </c>
      <c r="N5418" s="6"/>
      <c r="O5418" s="36" t="s">
        <v>7541</v>
      </c>
      <c r="P5418" s="36" t="s">
        <v>7542</v>
      </c>
      <c r="Q5418" s="38"/>
    </row>
    <row r="5419">
      <c r="A5419" s="6" t="s">
        <v>1421</v>
      </c>
      <c r="B5419" s="6" t="s">
        <v>8395</v>
      </c>
      <c r="C5419" s="6">
        <v>401.0</v>
      </c>
      <c r="D5419" s="9" t="str">
        <f t="shared" ref="D5419:D5420" si="1552">HYPERLINK("https://www.linkedin.com/ad-library/detail/919586844","Open Ad")</f>
        <v>Open Ad</v>
      </c>
      <c r="E5419" s="6" t="s">
        <v>91</v>
      </c>
      <c r="F5419" s="6" t="s">
        <v>8022</v>
      </c>
      <c r="G5419" s="6" t="s">
        <v>8560</v>
      </c>
      <c r="H5419" s="6" t="s">
        <v>55</v>
      </c>
      <c r="I5419" s="6" t="s">
        <v>8397</v>
      </c>
      <c r="J5419" s="6" t="s">
        <v>91</v>
      </c>
      <c r="K5419" s="12" t="str">
        <f t="shared" ref="K5419:K5420" si="1553">HYPERLINK("https://media.licdn.com/dms/image/v2/D5622AQGqEM-fY6IlNg/feedshare-image-high-res/B56ZqdThdiG0Ao-/0/1763575733252?e=2147483647&amp;v=beta&amp;t=Ps3KwYmCoCx1dy6qj9lHV8Ky1LGyDn73ryOtqUKvnX4","View Creative")</f>
        <v>View Creative</v>
      </c>
      <c r="L5419" s="6" t="s">
        <v>62</v>
      </c>
      <c r="M5419" s="6" t="s">
        <v>1421</v>
      </c>
      <c r="N5419" s="6"/>
      <c r="O5419" s="36" t="s">
        <v>7541</v>
      </c>
      <c r="P5419" s="36" t="s">
        <v>7542</v>
      </c>
      <c r="Q5419" s="38"/>
    </row>
    <row r="5420">
      <c r="A5420" s="6" t="s">
        <v>1421</v>
      </c>
      <c r="B5420" s="6" t="s">
        <v>8395</v>
      </c>
      <c r="C5420" s="6">
        <v>402.0</v>
      </c>
      <c r="D5420" s="9" t="str">
        <f t="shared" si="1552"/>
        <v>Open Ad</v>
      </c>
      <c r="E5420" s="6" t="s">
        <v>91</v>
      </c>
      <c r="F5420" s="6" t="s">
        <v>8022</v>
      </c>
      <c r="G5420" s="6" t="s">
        <v>8560</v>
      </c>
      <c r="H5420" s="6" t="s">
        <v>55</v>
      </c>
      <c r="I5420" s="6" t="s">
        <v>8397</v>
      </c>
      <c r="J5420" s="6" t="s">
        <v>91</v>
      </c>
      <c r="K5420" s="12" t="str">
        <f t="shared" si="1553"/>
        <v>View Creative</v>
      </c>
      <c r="L5420" s="6" t="s">
        <v>62</v>
      </c>
      <c r="M5420" s="6" t="s">
        <v>1421</v>
      </c>
      <c r="N5420" s="6"/>
      <c r="O5420" s="36" t="s">
        <v>7541</v>
      </c>
      <c r="P5420" s="36" t="s">
        <v>7542</v>
      </c>
      <c r="Q5420" s="38"/>
    </row>
    <row r="5421">
      <c r="A5421" s="6" t="s">
        <v>1421</v>
      </c>
      <c r="B5421" s="6" t="s">
        <v>8395</v>
      </c>
      <c r="C5421" s="6">
        <v>403.0</v>
      </c>
      <c r="D5421" s="9" t="str">
        <f t="shared" ref="D5421:D5422" si="1554">HYPERLINK("https://www.linkedin.com/ad-library/detail/919507594","Open Ad")</f>
        <v>Open Ad</v>
      </c>
      <c r="E5421" s="6" t="s">
        <v>91</v>
      </c>
      <c r="F5421" s="6" t="s">
        <v>8022</v>
      </c>
      <c r="G5421" s="6" t="s">
        <v>8561</v>
      </c>
      <c r="H5421" s="6" t="s">
        <v>55</v>
      </c>
      <c r="I5421" s="6" t="s">
        <v>8397</v>
      </c>
      <c r="J5421" s="6" t="s">
        <v>91</v>
      </c>
      <c r="K5421" s="12" t="str">
        <f t="shared" ref="K5421:K5422" si="1555">HYPERLINK("https://media.licdn.com/dms/image/v2/D5622AQG6g6xCSX16pQ/feedshare-image-high-res/B56Zo1iYXMHYAo-/0/1761834797865?e=2147483647&amp;v=beta&amp;t=w1l-m1TyswJIoxWYdtc2vT9l-_kcB5cOD_Eknt72Y5M","View Creative")</f>
        <v>View Creative</v>
      </c>
      <c r="L5421" s="6" t="s">
        <v>62</v>
      </c>
      <c r="M5421" s="6" t="s">
        <v>1421</v>
      </c>
      <c r="N5421" s="6"/>
      <c r="O5421" s="36" t="s">
        <v>7541</v>
      </c>
      <c r="P5421" s="36" t="s">
        <v>7542</v>
      </c>
      <c r="Q5421" s="38"/>
    </row>
    <row r="5422">
      <c r="A5422" s="6" t="s">
        <v>1421</v>
      </c>
      <c r="B5422" s="6" t="s">
        <v>8395</v>
      </c>
      <c r="C5422" s="6">
        <v>404.0</v>
      </c>
      <c r="D5422" s="9" t="str">
        <f t="shared" si="1554"/>
        <v>Open Ad</v>
      </c>
      <c r="E5422" s="6" t="s">
        <v>91</v>
      </c>
      <c r="F5422" s="6" t="s">
        <v>8022</v>
      </c>
      <c r="G5422" s="6" t="s">
        <v>8561</v>
      </c>
      <c r="H5422" s="6" t="s">
        <v>55</v>
      </c>
      <c r="I5422" s="6" t="s">
        <v>8397</v>
      </c>
      <c r="J5422" s="6" t="s">
        <v>91</v>
      </c>
      <c r="K5422" s="12" t="str">
        <f t="shared" si="1555"/>
        <v>View Creative</v>
      </c>
      <c r="L5422" s="6" t="s">
        <v>62</v>
      </c>
      <c r="M5422" s="6" t="s">
        <v>1421</v>
      </c>
      <c r="N5422" s="6"/>
      <c r="O5422" s="36" t="s">
        <v>7541</v>
      </c>
      <c r="P5422" s="36" t="s">
        <v>7542</v>
      </c>
      <c r="Q5422" s="38"/>
    </row>
    <row r="5423">
      <c r="A5423" s="6" t="s">
        <v>1421</v>
      </c>
      <c r="B5423" s="6" t="s">
        <v>8395</v>
      </c>
      <c r="C5423" s="6">
        <v>405.0</v>
      </c>
      <c r="D5423" s="9" t="str">
        <f t="shared" ref="D5423:D5424" si="1556">HYPERLINK("https://www.linkedin.com/ad-library/detail/1075781884","Open Ad")</f>
        <v>Open Ad</v>
      </c>
      <c r="E5423" s="6" t="s">
        <v>91</v>
      </c>
      <c r="F5423" s="6" t="s">
        <v>8022</v>
      </c>
      <c r="G5423" s="6" t="s">
        <v>8460</v>
      </c>
      <c r="H5423" s="6" t="s">
        <v>55</v>
      </c>
      <c r="I5423" s="6" t="s">
        <v>8397</v>
      </c>
      <c r="J5423" s="6" t="s">
        <v>91</v>
      </c>
      <c r="K5423" s="12" t="str">
        <f t="shared" ref="K5423:K5424" si="1557">HYPERLINK("https://media.licdn.com/dms/image/v2/D4E22AQFt-dFjadE7eA/feedshare-shrink_1280/B4EZssv3KoKgAs-/0/1765982305047?e=2147483647&amp;v=beta&amp;t=KNpTRDqCPAIvuxG8CzOoY0lQSVaw7ZCK_imSxQf1V6M","View Creative")</f>
        <v>View Creative</v>
      </c>
      <c r="L5423" s="6" t="s">
        <v>62</v>
      </c>
      <c r="M5423" s="6" t="s">
        <v>1421</v>
      </c>
      <c r="N5423" s="6"/>
      <c r="O5423" s="36" t="s">
        <v>7541</v>
      </c>
      <c r="P5423" s="36" t="s">
        <v>7542</v>
      </c>
      <c r="Q5423" s="38"/>
    </row>
    <row r="5424">
      <c r="A5424" s="6" t="s">
        <v>1421</v>
      </c>
      <c r="B5424" s="6" t="s">
        <v>8395</v>
      </c>
      <c r="C5424" s="6">
        <v>406.0</v>
      </c>
      <c r="D5424" s="9" t="str">
        <f t="shared" si="1556"/>
        <v>Open Ad</v>
      </c>
      <c r="E5424" s="6" t="s">
        <v>91</v>
      </c>
      <c r="F5424" s="6" t="s">
        <v>8022</v>
      </c>
      <c r="G5424" s="6" t="s">
        <v>8460</v>
      </c>
      <c r="H5424" s="6" t="s">
        <v>55</v>
      </c>
      <c r="I5424" s="6" t="s">
        <v>8397</v>
      </c>
      <c r="J5424" s="6" t="s">
        <v>91</v>
      </c>
      <c r="K5424" s="12" t="str">
        <f t="shared" si="1557"/>
        <v>View Creative</v>
      </c>
      <c r="L5424" s="6" t="s">
        <v>62</v>
      </c>
      <c r="M5424" s="6" t="s">
        <v>1421</v>
      </c>
      <c r="N5424" s="6"/>
      <c r="O5424" s="36" t="s">
        <v>7541</v>
      </c>
      <c r="P5424" s="36" t="s">
        <v>7542</v>
      </c>
      <c r="Q5424" s="38"/>
    </row>
    <row r="5425">
      <c r="A5425" s="6" t="s">
        <v>1421</v>
      </c>
      <c r="B5425" s="6" t="s">
        <v>8395</v>
      </c>
      <c r="C5425" s="6">
        <v>407.0</v>
      </c>
      <c r="D5425" s="9" t="str">
        <f t="shared" ref="D5425:D5426" si="1558">HYPERLINK("https://www.linkedin.com/ad-library/detail/935056244","Open Ad")</f>
        <v>Open Ad</v>
      </c>
      <c r="E5425" s="6" t="s">
        <v>91</v>
      </c>
      <c r="F5425" s="6" t="s">
        <v>8022</v>
      </c>
      <c r="G5425" s="6" t="s">
        <v>8558</v>
      </c>
      <c r="H5425" s="6" t="s">
        <v>55</v>
      </c>
      <c r="I5425" s="6" t="s">
        <v>8397</v>
      </c>
      <c r="J5425" s="6" t="s">
        <v>91</v>
      </c>
      <c r="K5425" s="12" t="str">
        <f t="shared" ref="K5425:K5426" si="1559">HYPERLINK("https://media.licdn.com/dms/image/v2/D4E22AQEINw0FJ9S7Cw/feedshare-image-high-res/B4EZrkpZwHGUAo-/0/1764772651983?e=2147483647&amp;v=beta&amp;t=a62aeASApSnZ7XXyHw2JHVO-oJAH40CZMwk3moJBvuk","View Creative")</f>
        <v>View Creative</v>
      </c>
      <c r="L5425" s="6" t="s">
        <v>62</v>
      </c>
      <c r="M5425" s="6" t="s">
        <v>1421</v>
      </c>
      <c r="N5425" s="6"/>
      <c r="O5425" s="36" t="s">
        <v>7541</v>
      </c>
      <c r="P5425" s="36" t="s">
        <v>7542</v>
      </c>
      <c r="Q5425" s="38"/>
    </row>
    <row r="5426">
      <c r="A5426" s="6" t="s">
        <v>1421</v>
      </c>
      <c r="B5426" s="6" t="s">
        <v>8395</v>
      </c>
      <c r="C5426" s="6">
        <v>408.0</v>
      </c>
      <c r="D5426" s="9" t="str">
        <f t="shared" si="1558"/>
        <v>Open Ad</v>
      </c>
      <c r="E5426" s="6" t="s">
        <v>91</v>
      </c>
      <c r="F5426" s="6" t="s">
        <v>8022</v>
      </c>
      <c r="G5426" s="6" t="s">
        <v>8558</v>
      </c>
      <c r="H5426" s="6" t="s">
        <v>55</v>
      </c>
      <c r="I5426" s="6" t="s">
        <v>8397</v>
      </c>
      <c r="J5426" s="6" t="s">
        <v>91</v>
      </c>
      <c r="K5426" s="12" t="str">
        <f t="shared" si="1559"/>
        <v>View Creative</v>
      </c>
      <c r="L5426" s="6" t="s">
        <v>62</v>
      </c>
      <c r="M5426" s="6" t="s">
        <v>1421</v>
      </c>
      <c r="N5426" s="6"/>
      <c r="O5426" s="36" t="s">
        <v>7541</v>
      </c>
      <c r="P5426" s="36" t="s">
        <v>7542</v>
      </c>
      <c r="Q5426" s="38"/>
    </row>
    <row r="5427">
      <c r="A5427" s="6" t="s">
        <v>1421</v>
      </c>
      <c r="B5427" s="6" t="s">
        <v>8395</v>
      </c>
      <c r="C5427" s="6">
        <v>409.0</v>
      </c>
      <c r="D5427" s="9" t="str">
        <f>HYPERLINK("https://www.linkedin.com/ad-library/detail/934960444","Open Ad")</f>
        <v>Open Ad</v>
      </c>
      <c r="E5427" s="6" t="s">
        <v>52</v>
      </c>
      <c r="F5427" s="6" t="s">
        <v>8022</v>
      </c>
      <c r="G5427" s="6" t="s">
        <v>8457</v>
      </c>
      <c r="H5427" s="6" t="s">
        <v>55</v>
      </c>
      <c r="I5427" s="6" t="s">
        <v>8397</v>
      </c>
      <c r="J5427" s="6" t="s">
        <v>52</v>
      </c>
      <c r="K5427" s="6" t="s">
        <v>60</v>
      </c>
      <c r="L5427" s="6" t="s">
        <v>62</v>
      </c>
      <c r="M5427" s="6" t="s">
        <v>1421</v>
      </c>
      <c r="N5427" s="6"/>
      <c r="O5427" s="36" t="s">
        <v>7541</v>
      </c>
      <c r="P5427" s="36" t="s">
        <v>7542</v>
      </c>
      <c r="Q5427" s="38"/>
    </row>
    <row r="5428">
      <c r="A5428" s="6" t="s">
        <v>1421</v>
      </c>
      <c r="B5428" s="6" t="s">
        <v>8395</v>
      </c>
      <c r="C5428" s="6">
        <v>410.0</v>
      </c>
      <c r="D5428" s="9" t="str">
        <f t="shared" ref="D5428:D5429" si="1560">HYPERLINK("https://www.linkedin.com/ad-library/detail/926954334","Open Ad")</f>
        <v>Open Ad</v>
      </c>
      <c r="E5428" s="6" t="s">
        <v>91</v>
      </c>
      <c r="F5428" s="6" t="s">
        <v>8022</v>
      </c>
      <c r="G5428" s="6" t="s">
        <v>8555</v>
      </c>
      <c r="H5428" s="6" t="s">
        <v>55</v>
      </c>
      <c r="I5428" s="6" t="s">
        <v>8397</v>
      </c>
      <c r="J5428" s="6" t="s">
        <v>91</v>
      </c>
      <c r="K5428" s="12" t="str">
        <f t="shared" ref="K5428:K5429" si="1561">HYPERLINK("https://media.licdn.com/dms/image/v2/D5622AQEUYexUd7K3tA/feedshare-image-high-res/B56Zq9AIn8KsAo-/0/1764107521933?e=2147483647&amp;v=beta&amp;t=GAsNcHfug-1vRBpTpjtDlLLJLoxRWILFrjCn19XuBwU","View Creative")</f>
        <v>View Creative</v>
      </c>
      <c r="L5428" s="6" t="s">
        <v>62</v>
      </c>
      <c r="M5428" s="6" t="s">
        <v>1421</v>
      </c>
      <c r="N5428" s="6"/>
      <c r="O5428" s="36" t="s">
        <v>7541</v>
      </c>
      <c r="P5428" s="36" t="s">
        <v>7542</v>
      </c>
      <c r="Q5428" s="38"/>
    </row>
    <row r="5429">
      <c r="A5429" s="6" t="s">
        <v>1421</v>
      </c>
      <c r="B5429" s="6" t="s">
        <v>8395</v>
      </c>
      <c r="C5429" s="6">
        <v>411.0</v>
      </c>
      <c r="D5429" s="9" t="str">
        <f t="shared" si="1560"/>
        <v>Open Ad</v>
      </c>
      <c r="E5429" s="6" t="s">
        <v>91</v>
      </c>
      <c r="F5429" s="6" t="s">
        <v>8022</v>
      </c>
      <c r="G5429" s="6" t="s">
        <v>8555</v>
      </c>
      <c r="H5429" s="6" t="s">
        <v>55</v>
      </c>
      <c r="I5429" s="6" t="s">
        <v>8397</v>
      </c>
      <c r="J5429" s="6" t="s">
        <v>91</v>
      </c>
      <c r="K5429" s="12" t="str">
        <f t="shared" si="1561"/>
        <v>View Creative</v>
      </c>
      <c r="L5429" s="6" t="s">
        <v>62</v>
      </c>
      <c r="M5429" s="6" t="s">
        <v>1421</v>
      </c>
      <c r="N5429" s="6"/>
      <c r="O5429" s="36" t="s">
        <v>7541</v>
      </c>
      <c r="P5429" s="36" t="s">
        <v>7542</v>
      </c>
      <c r="Q5429" s="38"/>
    </row>
    <row r="5430">
      <c r="A5430" s="6" t="s">
        <v>1421</v>
      </c>
      <c r="B5430" s="6" t="s">
        <v>8395</v>
      </c>
      <c r="C5430" s="6">
        <v>412.0</v>
      </c>
      <c r="D5430" s="9" t="str">
        <f t="shared" ref="D5430:D5431" si="1562">HYPERLINK("https://www.linkedin.com/ad-library/detail/1074379024","Open Ad")</f>
        <v>Open Ad</v>
      </c>
      <c r="E5430" s="6" t="s">
        <v>91</v>
      </c>
      <c r="F5430" s="6" t="s">
        <v>8022</v>
      </c>
      <c r="G5430" s="6" t="s">
        <v>8557</v>
      </c>
      <c r="H5430" s="6" t="s">
        <v>55</v>
      </c>
      <c r="I5430" s="6" t="s">
        <v>8397</v>
      </c>
      <c r="J5430" s="6" t="s">
        <v>91</v>
      </c>
      <c r="K5430" s="12" t="str">
        <f t="shared" ref="K5430:K5431" si="1563">HYPERLINK("https://media.licdn.com/dms/image/v2/D5622AQGjlA26hD2Dyg/feedshare-shrink_1280/B56Zsn9KtvIAAs-/0/1765902049443?e=2147483647&amp;v=beta&amp;t=IuuD7NK4xZBgdXS6-uz39PVwWonbYNUBiSfBjd2BPMw","View Creative")</f>
        <v>View Creative</v>
      </c>
      <c r="L5430" s="6" t="s">
        <v>62</v>
      </c>
      <c r="M5430" s="6" t="s">
        <v>1421</v>
      </c>
      <c r="N5430" s="6"/>
      <c r="O5430" s="36" t="s">
        <v>7541</v>
      </c>
      <c r="P5430" s="36" t="s">
        <v>7542</v>
      </c>
      <c r="Q5430" s="38"/>
    </row>
    <row r="5431">
      <c r="A5431" s="6" t="s">
        <v>1421</v>
      </c>
      <c r="B5431" s="6" t="s">
        <v>8395</v>
      </c>
      <c r="C5431" s="6">
        <v>413.0</v>
      </c>
      <c r="D5431" s="9" t="str">
        <f t="shared" si="1562"/>
        <v>Open Ad</v>
      </c>
      <c r="E5431" s="6" t="s">
        <v>91</v>
      </c>
      <c r="F5431" s="6" t="s">
        <v>8022</v>
      </c>
      <c r="G5431" s="6" t="s">
        <v>8557</v>
      </c>
      <c r="H5431" s="6" t="s">
        <v>55</v>
      </c>
      <c r="I5431" s="6" t="s">
        <v>8397</v>
      </c>
      <c r="J5431" s="6" t="s">
        <v>91</v>
      </c>
      <c r="K5431" s="12" t="str">
        <f t="shared" si="1563"/>
        <v>View Creative</v>
      </c>
      <c r="L5431" s="6" t="s">
        <v>62</v>
      </c>
      <c r="M5431" s="6" t="s">
        <v>1421</v>
      </c>
      <c r="N5431" s="6"/>
      <c r="O5431" s="36" t="s">
        <v>7541</v>
      </c>
      <c r="P5431" s="36" t="s">
        <v>7542</v>
      </c>
      <c r="Q5431" s="38"/>
    </row>
    <row r="5432">
      <c r="A5432" s="6" t="s">
        <v>1421</v>
      </c>
      <c r="B5432" s="6" t="s">
        <v>8395</v>
      </c>
      <c r="C5432" s="6">
        <v>414.0</v>
      </c>
      <c r="D5432" s="9" t="str">
        <f>HYPERLINK("https://www.linkedin.com/ad-library/detail/934901294","Open Ad")</f>
        <v>Open Ad</v>
      </c>
      <c r="E5432" s="6" t="s">
        <v>52</v>
      </c>
      <c r="F5432" s="6" t="s">
        <v>8022</v>
      </c>
      <c r="G5432" s="6" t="s">
        <v>8457</v>
      </c>
      <c r="H5432" s="6" t="s">
        <v>55</v>
      </c>
      <c r="I5432" s="6" t="s">
        <v>8397</v>
      </c>
      <c r="J5432" s="6" t="s">
        <v>52</v>
      </c>
      <c r="K5432" s="6" t="s">
        <v>60</v>
      </c>
      <c r="L5432" s="6" t="s">
        <v>62</v>
      </c>
      <c r="M5432" s="6" t="s">
        <v>1421</v>
      </c>
      <c r="N5432" s="6"/>
      <c r="O5432" s="36" t="s">
        <v>7541</v>
      </c>
      <c r="P5432" s="36" t="s">
        <v>7542</v>
      </c>
      <c r="Q5432" s="38"/>
    </row>
    <row r="5433">
      <c r="A5433" s="6" t="s">
        <v>1421</v>
      </c>
      <c r="B5433" s="6" t="s">
        <v>8395</v>
      </c>
      <c r="C5433" s="6">
        <v>415.0</v>
      </c>
      <c r="D5433" s="9" t="str">
        <f t="shared" ref="D5433:D5434" si="1564">HYPERLINK("https://www.linkedin.com/ad-library/detail/910569174","Open Ad")</f>
        <v>Open Ad</v>
      </c>
      <c r="E5433" s="6" t="s">
        <v>154</v>
      </c>
      <c r="F5433" s="6" t="s">
        <v>8022</v>
      </c>
      <c r="G5433" s="6" t="s">
        <v>8438</v>
      </c>
      <c r="H5433" s="6" t="s">
        <v>55</v>
      </c>
      <c r="I5433" s="6" t="s">
        <v>8397</v>
      </c>
      <c r="J5433" s="6" t="s">
        <v>154</v>
      </c>
      <c r="K5433" s="12" t="str">
        <f t="shared" ref="K5433:K5434" si="1565">HYPERLINK("https://dms.licdn.com/playlist/vid/v2/D5605AQFA8KADDGioVA/mp4-720p-30fp-crf28/B56Zp.NliIJQB0-/0/1763054106947?e=2147483647&amp;v=beta&amp;t=BbTucYSz0d9s4kJlyDnJayCgM6O0_TVjoKXC0Cpk8Qw","View Creative")</f>
        <v>View Creative</v>
      </c>
      <c r="L5433" s="6" t="s">
        <v>62</v>
      </c>
      <c r="M5433" s="6" t="s">
        <v>1421</v>
      </c>
      <c r="N5433" s="6"/>
      <c r="O5433" s="36" t="s">
        <v>7541</v>
      </c>
      <c r="P5433" s="36" t="s">
        <v>7542</v>
      </c>
      <c r="Q5433" s="38"/>
    </row>
    <row r="5434">
      <c r="A5434" s="6" t="s">
        <v>1421</v>
      </c>
      <c r="B5434" s="6" t="s">
        <v>8395</v>
      </c>
      <c r="C5434" s="6">
        <v>416.0</v>
      </c>
      <c r="D5434" s="9" t="str">
        <f t="shared" si="1564"/>
        <v>Open Ad</v>
      </c>
      <c r="E5434" s="6" t="s">
        <v>154</v>
      </c>
      <c r="F5434" s="6" t="s">
        <v>8022</v>
      </c>
      <c r="G5434" s="6" t="s">
        <v>8438</v>
      </c>
      <c r="H5434" s="6" t="s">
        <v>55</v>
      </c>
      <c r="I5434" s="6" t="s">
        <v>8397</v>
      </c>
      <c r="J5434" s="6" t="s">
        <v>154</v>
      </c>
      <c r="K5434" s="12" t="str">
        <f t="shared" si="1565"/>
        <v>View Creative</v>
      </c>
      <c r="L5434" s="6" t="s">
        <v>62</v>
      </c>
      <c r="M5434" s="6" t="s">
        <v>1421</v>
      </c>
      <c r="N5434" s="6"/>
      <c r="O5434" s="36" t="s">
        <v>7541</v>
      </c>
      <c r="P5434" s="36" t="s">
        <v>7542</v>
      </c>
      <c r="Q5434" s="38"/>
    </row>
    <row r="5435">
      <c r="A5435" s="6" t="s">
        <v>1421</v>
      </c>
      <c r="B5435" s="6" t="s">
        <v>8395</v>
      </c>
      <c r="C5435" s="6">
        <v>417.0</v>
      </c>
      <c r="D5435" s="9" t="str">
        <f t="shared" ref="D5435:D5436" si="1566">HYPERLINK("https://www.linkedin.com/ad-library/detail/919517344","Open Ad")</f>
        <v>Open Ad</v>
      </c>
      <c r="E5435" s="6" t="s">
        <v>91</v>
      </c>
      <c r="F5435" s="6" t="s">
        <v>8022</v>
      </c>
      <c r="G5435" s="6" t="s">
        <v>8560</v>
      </c>
      <c r="H5435" s="6" t="s">
        <v>55</v>
      </c>
      <c r="I5435" s="6" t="s">
        <v>8397</v>
      </c>
      <c r="J5435" s="6" t="s">
        <v>91</v>
      </c>
      <c r="K5435" s="12" t="str">
        <f t="shared" ref="K5435:K5436" si="1567">HYPERLINK("https://media.licdn.com/dms/image/v2/D5622AQGqEM-fY6IlNg/feedshare-image-high-res/B56ZqdThdiG0Ao-/0/1763575733252?e=2147483647&amp;v=beta&amp;t=Ps3KwYmCoCx1dy6qj9lHV8Ky1LGyDn73ryOtqUKvnX4","View Creative")</f>
        <v>View Creative</v>
      </c>
      <c r="L5435" s="6" t="s">
        <v>62</v>
      </c>
      <c r="M5435" s="6" t="s">
        <v>1421</v>
      </c>
      <c r="N5435" s="6"/>
      <c r="O5435" s="36" t="s">
        <v>7541</v>
      </c>
      <c r="P5435" s="36" t="s">
        <v>7542</v>
      </c>
      <c r="Q5435" s="38"/>
    </row>
    <row r="5436">
      <c r="A5436" s="6" t="s">
        <v>1421</v>
      </c>
      <c r="B5436" s="6" t="s">
        <v>8395</v>
      </c>
      <c r="C5436" s="6">
        <v>418.0</v>
      </c>
      <c r="D5436" s="9" t="str">
        <f t="shared" si="1566"/>
        <v>Open Ad</v>
      </c>
      <c r="E5436" s="6" t="s">
        <v>91</v>
      </c>
      <c r="F5436" s="6" t="s">
        <v>8022</v>
      </c>
      <c r="G5436" s="6" t="s">
        <v>8560</v>
      </c>
      <c r="H5436" s="6" t="s">
        <v>55</v>
      </c>
      <c r="I5436" s="6" t="s">
        <v>8397</v>
      </c>
      <c r="J5436" s="6" t="s">
        <v>91</v>
      </c>
      <c r="K5436" s="12" t="str">
        <f t="shared" si="1567"/>
        <v>View Creative</v>
      </c>
      <c r="L5436" s="6" t="s">
        <v>62</v>
      </c>
      <c r="M5436" s="6" t="s">
        <v>1421</v>
      </c>
      <c r="N5436" s="6"/>
      <c r="O5436" s="36" t="s">
        <v>7541</v>
      </c>
      <c r="P5436" s="36" t="s">
        <v>7542</v>
      </c>
      <c r="Q5436" s="38"/>
    </row>
    <row r="5437">
      <c r="A5437" s="6" t="s">
        <v>1421</v>
      </c>
      <c r="B5437" s="6" t="s">
        <v>8395</v>
      </c>
      <c r="C5437" s="6">
        <v>419.0</v>
      </c>
      <c r="D5437" s="9" t="str">
        <f t="shared" ref="D5437:D5438" si="1568">HYPERLINK("https://www.linkedin.com/ad-library/detail/919647134","Open Ad")</f>
        <v>Open Ad</v>
      </c>
      <c r="E5437" s="6" t="s">
        <v>91</v>
      </c>
      <c r="F5437" s="6" t="s">
        <v>8022</v>
      </c>
      <c r="G5437" s="6" t="s">
        <v>8561</v>
      </c>
      <c r="H5437" s="6" t="s">
        <v>55</v>
      </c>
      <c r="I5437" s="6" t="s">
        <v>8397</v>
      </c>
      <c r="J5437" s="6" t="s">
        <v>91</v>
      </c>
      <c r="K5437" s="12" t="str">
        <f t="shared" ref="K5437:K5438" si="1569">HYPERLINK("https://media.licdn.com/dms/image/v2/D5622AQG6g6xCSX16pQ/feedshare-image-high-res/B56Zo1iYXMHYAo-/0/1761834797865?e=2147483647&amp;v=beta&amp;t=w1l-m1TyswJIoxWYdtc2vT9l-_kcB5cOD_Eknt72Y5M","View Creative")</f>
        <v>View Creative</v>
      </c>
      <c r="L5437" s="6" t="s">
        <v>62</v>
      </c>
      <c r="M5437" s="6" t="s">
        <v>1421</v>
      </c>
      <c r="N5437" s="6"/>
      <c r="O5437" s="36" t="s">
        <v>7541</v>
      </c>
      <c r="P5437" s="36" t="s">
        <v>7542</v>
      </c>
      <c r="Q5437" s="38"/>
    </row>
    <row r="5438">
      <c r="A5438" s="6" t="s">
        <v>1421</v>
      </c>
      <c r="B5438" s="6" t="s">
        <v>8395</v>
      </c>
      <c r="C5438" s="6">
        <v>420.0</v>
      </c>
      <c r="D5438" s="9" t="str">
        <f t="shared" si="1568"/>
        <v>Open Ad</v>
      </c>
      <c r="E5438" s="6" t="s">
        <v>91</v>
      </c>
      <c r="F5438" s="6" t="s">
        <v>8022</v>
      </c>
      <c r="G5438" s="6" t="s">
        <v>8561</v>
      </c>
      <c r="H5438" s="6" t="s">
        <v>55</v>
      </c>
      <c r="I5438" s="6" t="s">
        <v>8397</v>
      </c>
      <c r="J5438" s="6" t="s">
        <v>91</v>
      </c>
      <c r="K5438" s="12" t="str">
        <f t="shared" si="1569"/>
        <v>View Creative</v>
      </c>
      <c r="L5438" s="6" t="s">
        <v>62</v>
      </c>
      <c r="M5438" s="6" t="s">
        <v>1421</v>
      </c>
      <c r="N5438" s="6"/>
      <c r="O5438" s="36" t="s">
        <v>7541</v>
      </c>
      <c r="P5438" s="36" t="s">
        <v>7542</v>
      </c>
      <c r="Q5438" s="38"/>
    </row>
    <row r="5439">
      <c r="A5439" s="6" t="s">
        <v>1421</v>
      </c>
      <c r="B5439" s="6" t="s">
        <v>8395</v>
      </c>
      <c r="C5439" s="6">
        <v>421.0</v>
      </c>
      <c r="D5439" s="9" t="str">
        <f t="shared" ref="D5439:D5440" si="1570">HYPERLINK("https://www.linkedin.com/ad-library/detail/855584514","Open Ad")</f>
        <v>Open Ad</v>
      </c>
      <c r="E5439" s="6" t="s">
        <v>154</v>
      </c>
      <c r="F5439" s="6" t="s">
        <v>8022</v>
      </c>
      <c r="G5439" s="6" t="s">
        <v>8562</v>
      </c>
      <c r="H5439" s="6" t="s">
        <v>55</v>
      </c>
      <c r="I5439" s="6" t="s">
        <v>8397</v>
      </c>
      <c r="J5439" s="6" t="s">
        <v>154</v>
      </c>
      <c r="K5439" s="12" t="str">
        <f t="shared" ref="K5439:K5440" si="1571">HYPERLINK("https://dms.licdn.com/playlist/vid/v2/D4D05AQEXzuEN8JKKtw/mp4-640p-30fp-crf28/B4DZkvBut2JUB0-/0/1757430655070?e=2147483647&amp;v=beta&amp;t=x3vqNPp8mELYBYANSh9yldmLJI3sUngwKi6B3xNXxvw","View Creative")</f>
        <v>View Creative</v>
      </c>
      <c r="L5439" s="6" t="s">
        <v>62</v>
      </c>
      <c r="M5439" s="6" t="s">
        <v>1421</v>
      </c>
      <c r="N5439" s="6"/>
      <c r="O5439" s="36" t="s">
        <v>7541</v>
      </c>
      <c r="P5439" s="36" t="s">
        <v>7542</v>
      </c>
      <c r="Q5439" s="38"/>
    </row>
    <row r="5440">
      <c r="A5440" s="6" t="s">
        <v>1421</v>
      </c>
      <c r="B5440" s="6" t="s">
        <v>8395</v>
      </c>
      <c r="C5440" s="6">
        <v>422.0</v>
      </c>
      <c r="D5440" s="9" t="str">
        <f t="shared" si="1570"/>
        <v>Open Ad</v>
      </c>
      <c r="E5440" s="6" t="s">
        <v>154</v>
      </c>
      <c r="F5440" s="6" t="s">
        <v>8022</v>
      </c>
      <c r="G5440" s="6" t="s">
        <v>8562</v>
      </c>
      <c r="H5440" s="6" t="s">
        <v>55</v>
      </c>
      <c r="I5440" s="6" t="s">
        <v>8397</v>
      </c>
      <c r="J5440" s="6" t="s">
        <v>154</v>
      </c>
      <c r="K5440" s="12" t="str">
        <f t="shared" si="1571"/>
        <v>View Creative</v>
      </c>
      <c r="L5440" s="6" t="s">
        <v>62</v>
      </c>
      <c r="M5440" s="6" t="s">
        <v>1421</v>
      </c>
      <c r="N5440" s="6"/>
      <c r="O5440" s="36" t="s">
        <v>7541</v>
      </c>
      <c r="P5440" s="36" t="s">
        <v>7542</v>
      </c>
      <c r="Q5440" s="38"/>
    </row>
    <row r="5441">
      <c r="A5441" s="6" t="s">
        <v>1421</v>
      </c>
      <c r="B5441" s="6" t="s">
        <v>8395</v>
      </c>
      <c r="C5441" s="6">
        <v>423.0</v>
      </c>
      <c r="D5441" s="9" t="str">
        <f t="shared" ref="D5441:D5442" si="1572">HYPERLINK("https://www.linkedin.com/ad-library/detail/855534654","Open Ad")</f>
        <v>Open Ad</v>
      </c>
      <c r="E5441" s="6" t="s">
        <v>154</v>
      </c>
      <c r="F5441" s="6" t="s">
        <v>8022</v>
      </c>
      <c r="G5441" s="6" t="s">
        <v>8563</v>
      </c>
      <c r="H5441" s="6" t="s">
        <v>55</v>
      </c>
      <c r="I5441" s="6" t="s">
        <v>8397</v>
      </c>
      <c r="J5441" s="6" t="s">
        <v>154</v>
      </c>
      <c r="K5441" s="12" t="str">
        <f t="shared" ref="K5441:K5442" si="1573">HYPERLINK("https://dms.licdn.com/playlist/vid/v2/D5605AQFndflU8FCH2w/mp4-720p-30fp-crf28/B56ZnOnbijIABk-/0/1760108071696?e=2147483647&amp;v=beta&amp;t=WyPQBbJN-firaB52FdgczDyTZWfE6D_U8hzEUW9SVvA","View Creative")</f>
        <v>View Creative</v>
      </c>
      <c r="L5441" s="6" t="s">
        <v>62</v>
      </c>
      <c r="M5441" s="6" t="s">
        <v>1421</v>
      </c>
      <c r="N5441" s="6"/>
      <c r="O5441" s="36" t="s">
        <v>7541</v>
      </c>
      <c r="P5441" s="36" t="s">
        <v>7542</v>
      </c>
      <c r="Q5441" s="38"/>
    </row>
    <row r="5442">
      <c r="A5442" s="6" t="s">
        <v>1421</v>
      </c>
      <c r="B5442" s="6" t="s">
        <v>8395</v>
      </c>
      <c r="C5442" s="6">
        <v>424.0</v>
      </c>
      <c r="D5442" s="9" t="str">
        <f t="shared" si="1572"/>
        <v>Open Ad</v>
      </c>
      <c r="E5442" s="6" t="s">
        <v>154</v>
      </c>
      <c r="F5442" s="6" t="s">
        <v>8022</v>
      </c>
      <c r="G5442" s="6" t="s">
        <v>8563</v>
      </c>
      <c r="H5442" s="6" t="s">
        <v>55</v>
      </c>
      <c r="I5442" s="6" t="s">
        <v>8397</v>
      </c>
      <c r="J5442" s="6" t="s">
        <v>154</v>
      </c>
      <c r="K5442" s="12" t="str">
        <f t="shared" si="1573"/>
        <v>View Creative</v>
      </c>
      <c r="L5442" s="6" t="s">
        <v>62</v>
      </c>
      <c r="M5442" s="6" t="s">
        <v>1421</v>
      </c>
      <c r="N5442" s="6"/>
      <c r="O5442" s="36" t="s">
        <v>7541</v>
      </c>
      <c r="P5442" s="36" t="s">
        <v>7542</v>
      </c>
      <c r="Q5442" s="38"/>
    </row>
    <row r="5443">
      <c r="A5443" s="6" t="s">
        <v>1421</v>
      </c>
      <c r="B5443" s="6" t="s">
        <v>8395</v>
      </c>
      <c r="C5443" s="6">
        <v>425.0</v>
      </c>
      <c r="D5443" s="9" t="str">
        <f>HYPERLINK("https://www.linkedin.com/ad-library/detail/855614664","Open Ad")</f>
        <v>Open Ad</v>
      </c>
      <c r="E5443" s="6" t="s">
        <v>52</v>
      </c>
      <c r="F5443" s="6" t="s">
        <v>8022</v>
      </c>
      <c r="G5443" s="6" t="s">
        <v>8461</v>
      </c>
      <c r="H5443" s="6" t="s">
        <v>55</v>
      </c>
      <c r="I5443" s="6" t="s">
        <v>8397</v>
      </c>
      <c r="J5443" s="6" t="s">
        <v>52</v>
      </c>
      <c r="K5443" s="6" t="s">
        <v>60</v>
      </c>
      <c r="L5443" s="6" t="s">
        <v>62</v>
      </c>
      <c r="M5443" s="6" t="s">
        <v>1421</v>
      </c>
      <c r="N5443" s="6"/>
      <c r="O5443" s="36" t="s">
        <v>7541</v>
      </c>
      <c r="P5443" s="36" t="s">
        <v>7542</v>
      </c>
      <c r="Q5443" s="38"/>
    </row>
    <row r="5444">
      <c r="A5444" s="6" t="s">
        <v>1421</v>
      </c>
      <c r="B5444" s="6" t="s">
        <v>8395</v>
      </c>
      <c r="C5444" s="6">
        <v>426.0</v>
      </c>
      <c r="D5444" s="9" t="str">
        <f t="shared" ref="D5444:D5445" si="1574">HYPERLINK("https://www.linkedin.com/ad-library/detail/855584534","Open Ad")</f>
        <v>Open Ad</v>
      </c>
      <c r="E5444" s="6" t="s">
        <v>91</v>
      </c>
      <c r="F5444" s="6" t="s">
        <v>8022</v>
      </c>
      <c r="G5444" s="6" t="s">
        <v>8564</v>
      </c>
      <c r="H5444" s="6" t="s">
        <v>55</v>
      </c>
      <c r="I5444" s="6" t="s">
        <v>8397</v>
      </c>
      <c r="J5444" s="6" t="s">
        <v>91</v>
      </c>
      <c r="K5444" s="12" t="str">
        <f t="shared" ref="K5444:K5445" si="1575">HYPERLINK("https://media.licdn.com/dms/image/sync/v2/D4D27AQH_JGINraWyBA/articleshare-shrink_1280_800/B4DZgyzpmQGsAQ-/0/1776365108072?e=2147483647&amp;v=beta&amp;t=KxkNB9_bX4DraQLG8on_7GuisRNE3Z477OYaNHFfkDQ","View Creative")</f>
        <v>View Creative</v>
      </c>
      <c r="L5444" s="6" t="s">
        <v>62</v>
      </c>
      <c r="M5444" s="6" t="s">
        <v>1421</v>
      </c>
      <c r="N5444" s="6"/>
      <c r="O5444" s="36" t="s">
        <v>7541</v>
      </c>
      <c r="P5444" s="36" t="s">
        <v>7542</v>
      </c>
      <c r="Q5444" s="38"/>
    </row>
    <row r="5445">
      <c r="A5445" s="6" t="s">
        <v>1421</v>
      </c>
      <c r="B5445" s="6" t="s">
        <v>8395</v>
      </c>
      <c r="C5445" s="6">
        <v>427.0</v>
      </c>
      <c r="D5445" s="9" t="str">
        <f t="shared" si="1574"/>
        <v>Open Ad</v>
      </c>
      <c r="E5445" s="6" t="s">
        <v>91</v>
      </c>
      <c r="F5445" s="6" t="s">
        <v>8022</v>
      </c>
      <c r="G5445" s="6" t="s">
        <v>8564</v>
      </c>
      <c r="H5445" s="6" t="s">
        <v>55</v>
      </c>
      <c r="I5445" s="6" t="s">
        <v>8397</v>
      </c>
      <c r="J5445" s="6" t="s">
        <v>91</v>
      </c>
      <c r="K5445" s="12" t="str">
        <f t="shared" si="1575"/>
        <v>View Creative</v>
      </c>
      <c r="L5445" s="6" t="s">
        <v>62</v>
      </c>
      <c r="M5445" s="6" t="s">
        <v>1421</v>
      </c>
      <c r="N5445" s="6"/>
      <c r="O5445" s="36" t="s">
        <v>7541</v>
      </c>
      <c r="P5445" s="36" t="s">
        <v>7542</v>
      </c>
      <c r="Q5445" s="38"/>
    </row>
    <row r="5446">
      <c r="A5446" s="6" t="s">
        <v>1421</v>
      </c>
      <c r="B5446" s="6" t="s">
        <v>8395</v>
      </c>
      <c r="C5446" s="6">
        <v>428.0</v>
      </c>
      <c r="D5446" s="9" t="str">
        <f t="shared" ref="D5446:D5447" si="1576">HYPERLINK("https://www.linkedin.com/ad-library/detail/849439804","Open Ad")</f>
        <v>Open Ad</v>
      </c>
      <c r="E5446" s="6" t="s">
        <v>154</v>
      </c>
      <c r="F5446" s="6" t="s">
        <v>8022</v>
      </c>
      <c r="G5446" s="6" t="s">
        <v>8449</v>
      </c>
      <c r="H5446" s="6" t="s">
        <v>55</v>
      </c>
      <c r="I5446" s="6" t="s">
        <v>8397</v>
      </c>
      <c r="J5446" s="6" t="s">
        <v>154</v>
      </c>
      <c r="K5446" s="12" t="str">
        <f t="shared" ref="K5446:K5447" si="1577">HYPERLINK("https://dms.licdn.com/playlist/vid/v2/D5605AQEnXGujPLuU1g/mp4-640p-30fp-crf28/B56Zm_Qi.4J8Bg-/0/1759850427541?e=2147483647&amp;v=beta&amp;t=i5gJ3O9wOhnvkbquCdoiQzAjFKD2adxbMo_ajH9a5dI","View Creative")</f>
        <v>View Creative</v>
      </c>
      <c r="L5446" s="6" t="s">
        <v>62</v>
      </c>
      <c r="M5446" s="6" t="s">
        <v>1421</v>
      </c>
      <c r="N5446" s="6"/>
      <c r="O5446" s="36" t="s">
        <v>7541</v>
      </c>
      <c r="P5446" s="36" t="s">
        <v>7542</v>
      </c>
      <c r="Q5446" s="38"/>
    </row>
    <row r="5447">
      <c r="A5447" s="6" t="s">
        <v>1421</v>
      </c>
      <c r="B5447" s="6" t="s">
        <v>8395</v>
      </c>
      <c r="C5447" s="6">
        <v>429.0</v>
      </c>
      <c r="D5447" s="9" t="str">
        <f t="shared" si="1576"/>
        <v>Open Ad</v>
      </c>
      <c r="E5447" s="6" t="s">
        <v>154</v>
      </c>
      <c r="F5447" s="6" t="s">
        <v>8022</v>
      </c>
      <c r="G5447" s="6" t="s">
        <v>8449</v>
      </c>
      <c r="H5447" s="6" t="s">
        <v>55</v>
      </c>
      <c r="I5447" s="6" t="s">
        <v>8397</v>
      </c>
      <c r="J5447" s="6" t="s">
        <v>154</v>
      </c>
      <c r="K5447" s="12" t="str">
        <f t="shared" si="1577"/>
        <v>View Creative</v>
      </c>
      <c r="L5447" s="6" t="s">
        <v>62</v>
      </c>
      <c r="M5447" s="6" t="s">
        <v>1421</v>
      </c>
      <c r="N5447" s="6"/>
      <c r="O5447" s="36" t="s">
        <v>7541</v>
      </c>
      <c r="P5447" s="36" t="s">
        <v>7542</v>
      </c>
      <c r="Q5447" s="38"/>
    </row>
    <row r="5448">
      <c r="A5448" s="6" t="s">
        <v>1421</v>
      </c>
      <c r="B5448" s="6" t="s">
        <v>8395</v>
      </c>
      <c r="C5448" s="6">
        <v>430.0</v>
      </c>
      <c r="D5448" s="9" t="str">
        <f t="shared" ref="D5448:D5449" si="1578">HYPERLINK("https://www.linkedin.com/ad-library/detail/894967514","Open Ad")</f>
        <v>Open Ad</v>
      </c>
      <c r="E5448" s="6" t="s">
        <v>154</v>
      </c>
      <c r="F5448" s="6" t="s">
        <v>8022</v>
      </c>
      <c r="G5448" s="6" t="s">
        <v>8435</v>
      </c>
      <c r="H5448" s="6" t="s">
        <v>55</v>
      </c>
      <c r="I5448" s="6" t="s">
        <v>8397</v>
      </c>
      <c r="J5448" s="6" t="s">
        <v>154</v>
      </c>
      <c r="K5448" s="12" t="str">
        <f t="shared" ref="K5448:K5449" si="1579">HYPERLINK("https://dms.licdn.com/playlist/vid/v2/D5605AQE6Z0zqfcpW3g/mp4-640p-30fp-crf28/B56Zorq7IeJoBg-/0/1761669283314?e=2147483647&amp;v=beta&amp;t=KST58Ce3LTVWDWkFRWzAAmLwhm80S6p0s59Ezqw-4tM","View Creative")</f>
        <v>View Creative</v>
      </c>
      <c r="L5448" s="6" t="s">
        <v>62</v>
      </c>
      <c r="M5448" s="6" t="s">
        <v>1421</v>
      </c>
      <c r="N5448" s="6"/>
      <c r="O5448" s="36" t="s">
        <v>7541</v>
      </c>
      <c r="P5448" s="36" t="s">
        <v>7542</v>
      </c>
      <c r="Q5448" s="38"/>
    </row>
    <row r="5449">
      <c r="A5449" s="6" t="s">
        <v>1421</v>
      </c>
      <c r="B5449" s="6" t="s">
        <v>8395</v>
      </c>
      <c r="C5449" s="6">
        <v>431.0</v>
      </c>
      <c r="D5449" s="9" t="str">
        <f t="shared" si="1578"/>
        <v>Open Ad</v>
      </c>
      <c r="E5449" s="6" t="s">
        <v>154</v>
      </c>
      <c r="F5449" s="6" t="s">
        <v>8022</v>
      </c>
      <c r="G5449" s="6" t="s">
        <v>8435</v>
      </c>
      <c r="H5449" s="6" t="s">
        <v>55</v>
      </c>
      <c r="I5449" s="6" t="s">
        <v>8397</v>
      </c>
      <c r="J5449" s="6" t="s">
        <v>154</v>
      </c>
      <c r="K5449" s="12" t="str">
        <f t="shared" si="1579"/>
        <v>View Creative</v>
      </c>
      <c r="L5449" s="6" t="s">
        <v>62</v>
      </c>
      <c r="M5449" s="6" t="s">
        <v>1421</v>
      </c>
      <c r="N5449" s="6"/>
      <c r="O5449" s="36" t="s">
        <v>7541</v>
      </c>
      <c r="P5449" s="36" t="s">
        <v>7542</v>
      </c>
      <c r="Q5449" s="38"/>
    </row>
    <row r="5450">
      <c r="A5450" s="6" t="s">
        <v>1421</v>
      </c>
      <c r="B5450" s="6" t="s">
        <v>8395</v>
      </c>
      <c r="C5450" s="6">
        <v>432.0</v>
      </c>
      <c r="D5450" s="9" t="str">
        <f t="shared" ref="D5450:D5451" si="1580">HYPERLINK("https://www.linkedin.com/ad-library/detail/856126874","Open Ad")</f>
        <v>Open Ad</v>
      </c>
      <c r="E5450" s="6" t="s">
        <v>91</v>
      </c>
      <c r="F5450" s="6" t="s">
        <v>8022</v>
      </c>
      <c r="G5450" s="6" t="s">
        <v>8451</v>
      </c>
      <c r="H5450" s="6" t="s">
        <v>55</v>
      </c>
      <c r="I5450" s="6" t="s">
        <v>8397</v>
      </c>
      <c r="J5450" s="6" t="s">
        <v>91</v>
      </c>
      <c r="K5450" s="12" t="str">
        <f t="shared" ref="K5450:K5451" si="1581">HYPERLINK("https://media.licdn.com/dms/image/v2/D4D22AQFwO3o6RjQUBg/feedshare-image-high-res/B4DZnhv0kaGgAo-/0/1760429034955?e=2147483647&amp;v=beta&amp;t=WGHfi72vlu9jHhP6cp_qXehBo9lLbGkE9-C--BfL7EA","View Creative")</f>
        <v>View Creative</v>
      </c>
      <c r="L5450" s="6" t="s">
        <v>62</v>
      </c>
      <c r="M5450" s="6" t="s">
        <v>1421</v>
      </c>
      <c r="N5450" s="6"/>
      <c r="O5450" s="36" t="s">
        <v>7541</v>
      </c>
      <c r="P5450" s="36" t="s">
        <v>7542</v>
      </c>
      <c r="Q5450" s="38"/>
    </row>
    <row r="5451">
      <c r="A5451" s="6" t="s">
        <v>1421</v>
      </c>
      <c r="B5451" s="6" t="s">
        <v>8395</v>
      </c>
      <c r="C5451" s="6">
        <v>433.0</v>
      </c>
      <c r="D5451" s="9" t="str">
        <f t="shared" si="1580"/>
        <v>Open Ad</v>
      </c>
      <c r="E5451" s="6" t="s">
        <v>91</v>
      </c>
      <c r="F5451" s="6" t="s">
        <v>8022</v>
      </c>
      <c r="G5451" s="6" t="s">
        <v>8451</v>
      </c>
      <c r="H5451" s="6" t="s">
        <v>55</v>
      </c>
      <c r="I5451" s="6" t="s">
        <v>8397</v>
      </c>
      <c r="J5451" s="6" t="s">
        <v>91</v>
      </c>
      <c r="K5451" s="12" t="str">
        <f t="shared" si="1581"/>
        <v>View Creative</v>
      </c>
      <c r="L5451" s="6" t="s">
        <v>62</v>
      </c>
      <c r="M5451" s="6" t="s">
        <v>1421</v>
      </c>
      <c r="N5451" s="6"/>
      <c r="O5451" s="36" t="s">
        <v>7541</v>
      </c>
      <c r="P5451" s="36" t="s">
        <v>7542</v>
      </c>
      <c r="Q5451" s="38"/>
    </row>
    <row r="5452">
      <c r="A5452" s="6" t="s">
        <v>1421</v>
      </c>
      <c r="B5452" s="6" t="s">
        <v>8395</v>
      </c>
      <c r="C5452" s="6">
        <v>434.0</v>
      </c>
      <c r="D5452" s="9" t="str">
        <f t="shared" ref="D5452:D5453" si="1582">HYPERLINK("https://www.linkedin.com/ad-library/detail/894839704","Open Ad")</f>
        <v>Open Ad</v>
      </c>
      <c r="E5452" s="6" t="s">
        <v>154</v>
      </c>
      <c r="F5452" s="6" t="s">
        <v>8022</v>
      </c>
      <c r="G5452" s="6" t="s">
        <v>8435</v>
      </c>
      <c r="H5452" s="6" t="s">
        <v>55</v>
      </c>
      <c r="I5452" s="6" t="s">
        <v>8397</v>
      </c>
      <c r="J5452" s="6" t="s">
        <v>154</v>
      </c>
      <c r="K5452" s="12" t="str">
        <f t="shared" ref="K5452:K5453" si="1583">HYPERLINK("https://dms.licdn.com/playlist/vid/v2/D5605AQE6Z0zqfcpW3g/mp4-640p-30fp-crf28/B56Zorq7IeJoBg-/0/1761669283314?e=2147483647&amp;v=beta&amp;t=KST58Ce3LTVWDWkFRWzAAmLwhm80S6p0s59Ezqw-4tM","View Creative")</f>
        <v>View Creative</v>
      </c>
      <c r="L5452" s="6" t="s">
        <v>62</v>
      </c>
      <c r="M5452" s="6" t="s">
        <v>1421</v>
      </c>
      <c r="N5452" s="6"/>
      <c r="O5452" s="36" t="s">
        <v>7541</v>
      </c>
      <c r="P5452" s="36" t="s">
        <v>7542</v>
      </c>
      <c r="Q5452" s="38"/>
    </row>
    <row r="5453">
      <c r="A5453" s="6" t="s">
        <v>1421</v>
      </c>
      <c r="B5453" s="6" t="s">
        <v>8395</v>
      </c>
      <c r="C5453" s="6">
        <v>435.0</v>
      </c>
      <c r="D5453" s="9" t="str">
        <f t="shared" si="1582"/>
        <v>Open Ad</v>
      </c>
      <c r="E5453" s="6" t="s">
        <v>154</v>
      </c>
      <c r="F5453" s="6" t="s">
        <v>8022</v>
      </c>
      <c r="G5453" s="6" t="s">
        <v>8435</v>
      </c>
      <c r="H5453" s="6" t="s">
        <v>55</v>
      </c>
      <c r="I5453" s="6" t="s">
        <v>8397</v>
      </c>
      <c r="J5453" s="6" t="s">
        <v>154</v>
      </c>
      <c r="K5453" s="12" t="str">
        <f t="shared" si="1583"/>
        <v>View Creative</v>
      </c>
      <c r="L5453" s="6" t="s">
        <v>62</v>
      </c>
      <c r="M5453" s="6" t="s">
        <v>1421</v>
      </c>
      <c r="N5453" s="6"/>
      <c r="O5453" s="36" t="s">
        <v>7541</v>
      </c>
      <c r="P5453" s="36" t="s">
        <v>7542</v>
      </c>
      <c r="Q5453" s="38"/>
    </row>
    <row r="5454">
      <c r="A5454" s="6" t="s">
        <v>1421</v>
      </c>
      <c r="B5454" s="6" t="s">
        <v>8395</v>
      </c>
      <c r="C5454" s="6">
        <v>436.0</v>
      </c>
      <c r="D5454" s="9" t="str">
        <f>HYPERLINK("https://www.linkedin.com/ad-library/detail/862733724","Open Ad")</f>
        <v>Open Ad</v>
      </c>
      <c r="E5454" s="6" t="s">
        <v>52</v>
      </c>
      <c r="F5454" s="6" t="s">
        <v>8022</v>
      </c>
      <c r="G5454" s="6" t="s">
        <v>8466</v>
      </c>
      <c r="H5454" s="6" t="s">
        <v>55</v>
      </c>
      <c r="I5454" s="6" t="s">
        <v>8397</v>
      </c>
      <c r="J5454" s="6" t="s">
        <v>52</v>
      </c>
      <c r="K5454" s="6" t="s">
        <v>60</v>
      </c>
      <c r="L5454" s="6" t="s">
        <v>62</v>
      </c>
      <c r="M5454" s="6" t="s">
        <v>1421</v>
      </c>
      <c r="N5454" s="6"/>
      <c r="O5454" s="36" t="s">
        <v>7541</v>
      </c>
      <c r="P5454" s="36" t="s">
        <v>7542</v>
      </c>
      <c r="Q5454" s="38"/>
    </row>
    <row r="5455">
      <c r="A5455" s="6" t="s">
        <v>1421</v>
      </c>
      <c r="B5455" s="6" t="s">
        <v>8395</v>
      </c>
      <c r="C5455" s="6">
        <v>437.0</v>
      </c>
      <c r="D5455" s="9" t="str">
        <f t="shared" ref="D5455:D5456" si="1584">HYPERLINK("https://www.linkedin.com/ad-library/detail/855997604","Open Ad")</f>
        <v>Open Ad</v>
      </c>
      <c r="E5455" s="6" t="s">
        <v>91</v>
      </c>
      <c r="F5455" s="6" t="s">
        <v>8022</v>
      </c>
      <c r="G5455" s="6" t="s">
        <v>8451</v>
      </c>
      <c r="H5455" s="6" t="s">
        <v>55</v>
      </c>
      <c r="I5455" s="6" t="s">
        <v>8397</v>
      </c>
      <c r="J5455" s="6" t="s">
        <v>91</v>
      </c>
      <c r="K5455" s="12" t="str">
        <f t="shared" ref="K5455:K5456" si="1585">HYPERLINK("https://media.licdn.com/dms/image/v2/D4D22AQFwO3o6RjQUBg/feedshare-image-high-res/B4DZnhv0kaGgAo-/0/1760429034955?e=2147483647&amp;v=beta&amp;t=WGHfi72vlu9jHhP6cp_qXehBo9lLbGkE9-C--BfL7EA","View Creative")</f>
        <v>View Creative</v>
      </c>
      <c r="L5455" s="6" t="s">
        <v>62</v>
      </c>
      <c r="M5455" s="6" t="s">
        <v>1421</v>
      </c>
      <c r="N5455" s="6"/>
      <c r="O5455" s="36" t="s">
        <v>7541</v>
      </c>
      <c r="P5455" s="36" t="s">
        <v>7542</v>
      </c>
      <c r="Q5455" s="38"/>
    </row>
    <row r="5456">
      <c r="A5456" s="6" t="s">
        <v>1421</v>
      </c>
      <c r="B5456" s="6" t="s">
        <v>8395</v>
      </c>
      <c r="C5456" s="6">
        <v>438.0</v>
      </c>
      <c r="D5456" s="9" t="str">
        <f t="shared" si="1584"/>
        <v>Open Ad</v>
      </c>
      <c r="E5456" s="6" t="s">
        <v>91</v>
      </c>
      <c r="F5456" s="6" t="s">
        <v>8022</v>
      </c>
      <c r="G5456" s="6" t="s">
        <v>8451</v>
      </c>
      <c r="H5456" s="6" t="s">
        <v>55</v>
      </c>
      <c r="I5456" s="6" t="s">
        <v>8397</v>
      </c>
      <c r="J5456" s="6" t="s">
        <v>91</v>
      </c>
      <c r="K5456" s="12" t="str">
        <f t="shared" si="1585"/>
        <v>View Creative</v>
      </c>
      <c r="L5456" s="6" t="s">
        <v>62</v>
      </c>
      <c r="M5456" s="6" t="s">
        <v>1421</v>
      </c>
      <c r="N5456" s="6"/>
      <c r="O5456" s="36" t="s">
        <v>7541</v>
      </c>
      <c r="P5456" s="36" t="s">
        <v>7542</v>
      </c>
      <c r="Q5456" s="38"/>
    </row>
    <row r="5457">
      <c r="A5457" s="6" t="s">
        <v>1421</v>
      </c>
      <c r="B5457" s="6" t="s">
        <v>8395</v>
      </c>
      <c r="C5457" s="6">
        <v>439.0</v>
      </c>
      <c r="D5457" s="9" t="str">
        <f t="shared" ref="D5457:D5458" si="1586">HYPERLINK("https://www.linkedin.com/ad-library/detail/894878504","Open Ad")</f>
        <v>Open Ad</v>
      </c>
      <c r="E5457" s="6" t="s">
        <v>91</v>
      </c>
      <c r="F5457" s="6" t="s">
        <v>8022</v>
      </c>
      <c r="G5457" s="6" t="s">
        <v>8565</v>
      </c>
      <c r="H5457" s="6" t="s">
        <v>55</v>
      </c>
      <c r="I5457" s="6" t="s">
        <v>8397</v>
      </c>
      <c r="J5457" s="6" t="s">
        <v>91</v>
      </c>
      <c r="K5457" s="12" t="str">
        <f t="shared" ref="K5457:K5458" si="1587">HYPERLINK("https://media.licdn.com/dms/image/v2/D5622AQHLyeQZVkRL_w/feedshare-image-high-res/B56ZpQMBtFHQAo-/0/1762281922579?e=2147483647&amp;v=beta&amp;t=ipzrWoW1HLCYvoZUZVtB3fUZMYCgPqKjeRYCPioXzdY","View Creative")</f>
        <v>View Creative</v>
      </c>
      <c r="L5457" s="6" t="s">
        <v>62</v>
      </c>
      <c r="M5457" s="6" t="s">
        <v>1421</v>
      </c>
      <c r="N5457" s="6"/>
      <c r="O5457" s="36" t="s">
        <v>7541</v>
      </c>
      <c r="P5457" s="36" t="s">
        <v>7542</v>
      </c>
      <c r="Q5457" s="38"/>
    </row>
    <row r="5458">
      <c r="A5458" s="6" t="s">
        <v>1421</v>
      </c>
      <c r="B5458" s="6" t="s">
        <v>8395</v>
      </c>
      <c r="C5458" s="6">
        <v>440.0</v>
      </c>
      <c r="D5458" s="9" t="str">
        <f t="shared" si="1586"/>
        <v>Open Ad</v>
      </c>
      <c r="E5458" s="6" t="s">
        <v>91</v>
      </c>
      <c r="F5458" s="6" t="s">
        <v>8022</v>
      </c>
      <c r="G5458" s="6" t="s">
        <v>8565</v>
      </c>
      <c r="H5458" s="6" t="s">
        <v>55</v>
      </c>
      <c r="I5458" s="6" t="s">
        <v>8397</v>
      </c>
      <c r="J5458" s="6" t="s">
        <v>91</v>
      </c>
      <c r="K5458" s="12" t="str">
        <f t="shared" si="1587"/>
        <v>View Creative</v>
      </c>
      <c r="L5458" s="6" t="s">
        <v>62</v>
      </c>
      <c r="M5458" s="6" t="s">
        <v>1421</v>
      </c>
      <c r="N5458" s="6"/>
      <c r="O5458" s="36" t="s">
        <v>7541</v>
      </c>
      <c r="P5458" s="36" t="s">
        <v>7542</v>
      </c>
      <c r="Q5458" s="38"/>
    </row>
    <row r="5459">
      <c r="A5459" s="6" t="s">
        <v>1421</v>
      </c>
      <c r="B5459" s="6" t="s">
        <v>8395</v>
      </c>
      <c r="C5459" s="6">
        <v>441.0</v>
      </c>
      <c r="D5459" s="9" t="str">
        <f t="shared" ref="D5459:D5460" si="1588">HYPERLINK("https://www.linkedin.com/ad-library/detail/855634484","Open Ad")</f>
        <v>Open Ad</v>
      </c>
      <c r="E5459" s="6" t="s">
        <v>154</v>
      </c>
      <c r="F5459" s="6" t="s">
        <v>8022</v>
      </c>
      <c r="G5459" s="6" t="s">
        <v>8441</v>
      </c>
      <c r="H5459" s="6" t="s">
        <v>55</v>
      </c>
      <c r="I5459" s="6" t="s">
        <v>8397</v>
      </c>
      <c r="J5459" s="6" t="s">
        <v>154</v>
      </c>
      <c r="K5459" s="12" t="str">
        <f t="shared" ref="K5459:K5460" si="1589">HYPERLINK("https://dms.licdn.com/playlist/vid/v2/D5605AQE0F7ZDIPBBTA/mp4-720p-30fp-crf28/B56Zkv4WpiHMBw-/0/1757445067909?e=2147483647&amp;v=beta&amp;t=SsVsQm34F-kSMWOhLdKS6pPdDhnQyddTlZHda5YEUDQ","View Creative")</f>
        <v>View Creative</v>
      </c>
      <c r="L5459" s="6" t="s">
        <v>62</v>
      </c>
      <c r="M5459" s="6" t="s">
        <v>1421</v>
      </c>
      <c r="N5459" s="6"/>
      <c r="O5459" s="36" t="s">
        <v>7541</v>
      </c>
      <c r="P5459" s="36" t="s">
        <v>7542</v>
      </c>
      <c r="Q5459" s="38"/>
    </row>
    <row r="5460">
      <c r="A5460" s="6" t="s">
        <v>1421</v>
      </c>
      <c r="B5460" s="6" t="s">
        <v>8395</v>
      </c>
      <c r="C5460" s="6">
        <v>442.0</v>
      </c>
      <c r="D5460" s="9" t="str">
        <f t="shared" si="1588"/>
        <v>Open Ad</v>
      </c>
      <c r="E5460" s="6" t="s">
        <v>154</v>
      </c>
      <c r="F5460" s="6" t="s">
        <v>8022</v>
      </c>
      <c r="G5460" s="6" t="s">
        <v>8441</v>
      </c>
      <c r="H5460" s="6" t="s">
        <v>55</v>
      </c>
      <c r="I5460" s="6" t="s">
        <v>8397</v>
      </c>
      <c r="J5460" s="6" t="s">
        <v>154</v>
      </c>
      <c r="K5460" s="12" t="str">
        <f t="shared" si="1589"/>
        <v>View Creative</v>
      </c>
      <c r="L5460" s="6" t="s">
        <v>62</v>
      </c>
      <c r="M5460" s="6" t="s">
        <v>1421</v>
      </c>
      <c r="N5460" s="6"/>
      <c r="O5460" s="36" t="s">
        <v>7541</v>
      </c>
      <c r="P5460" s="36" t="s">
        <v>7542</v>
      </c>
      <c r="Q5460" s="38"/>
    </row>
    <row r="5461">
      <c r="A5461" s="6" t="s">
        <v>1421</v>
      </c>
      <c r="B5461" s="6" t="s">
        <v>8395</v>
      </c>
      <c r="C5461" s="6">
        <v>443.0</v>
      </c>
      <c r="D5461" s="9" t="str">
        <f t="shared" ref="D5461:D5462" si="1590">HYPERLINK("https://www.linkedin.com/ad-library/detail/855485384","Open Ad")</f>
        <v>Open Ad</v>
      </c>
      <c r="E5461" s="6" t="s">
        <v>154</v>
      </c>
      <c r="F5461" s="6" t="s">
        <v>8022</v>
      </c>
      <c r="G5461" s="6" t="s">
        <v>8566</v>
      </c>
      <c r="H5461" s="6" t="s">
        <v>55</v>
      </c>
      <c r="I5461" s="6" t="s">
        <v>8397</v>
      </c>
      <c r="J5461" s="6" t="s">
        <v>154</v>
      </c>
      <c r="K5461" s="12" t="str">
        <f t="shared" ref="K5461:K5462" si="1591">HYPERLINK("https://dms.licdn.com/playlist/vid/v2/D5605AQFI8sTra5Yk1w/mp4-720p-30fp-crf28/B56ZmWWGCsJkBk-/0/1759164212144?e=2147483647&amp;v=beta&amp;t=9sc9XSz0ro19Xhr5ym4lQF5SnjXX4QT4hE3jHkpUQcM","View Creative")</f>
        <v>View Creative</v>
      </c>
      <c r="L5461" s="6" t="s">
        <v>62</v>
      </c>
      <c r="M5461" s="6" t="s">
        <v>1421</v>
      </c>
      <c r="N5461" s="6"/>
      <c r="O5461" s="36" t="s">
        <v>7541</v>
      </c>
      <c r="P5461" s="36" t="s">
        <v>7542</v>
      </c>
      <c r="Q5461" s="38"/>
    </row>
    <row r="5462">
      <c r="A5462" s="6" t="s">
        <v>1421</v>
      </c>
      <c r="B5462" s="6" t="s">
        <v>8395</v>
      </c>
      <c r="C5462" s="6">
        <v>444.0</v>
      </c>
      <c r="D5462" s="9" t="str">
        <f t="shared" si="1590"/>
        <v>Open Ad</v>
      </c>
      <c r="E5462" s="6" t="s">
        <v>154</v>
      </c>
      <c r="F5462" s="6" t="s">
        <v>8022</v>
      </c>
      <c r="G5462" s="6" t="s">
        <v>8566</v>
      </c>
      <c r="H5462" s="6" t="s">
        <v>55</v>
      </c>
      <c r="I5462" s="6" t="s">
        <v>8397</v>
      </c>
      <c r="J5462" s="6" t="s">
        <v>154</v>
      </c>
      <c r="K5462" s="12" t="str">
        <f t="shared" si="1591"/>
        <v>View Creative</v>
      </c>
      <c r="L5462" s="6" t="s">
        <v>62</v>
      </c>
      <c r="M5462" s="6" t="s">
        <v>1421</v>
      </c>
      <c r="N5462" s="6"/>
      <c r="O5462" s="36" t="s">
        <v>7541</v>
      </c>
      <c r="P5462" s="36" t="s">
        <v>7542</v>
      </c>
      <c r="Q5462" s="38"/>
    </row>
    <row r="5463">
      <c r="A5463" s="6" t="s">
        <v>1421</v>
      </c>
      <c r="B5463" s="6" t="s">
        <v>8395</v>
      </c>
      <c r="C5463" s="6">
        <v>445.0</v>
      </c>
      <c r="D5463" s="9" t="str">
        <f>HYPERLINK("https://www.linkedin.com/ad-library/detail/849330254","Open Ad")</f>
        <v>Open Ad</v>
      </c>
      <c r="E5463" s="6" t="s">
        <v>52</v>
      </c>
      <c r="F5463" s="6" t="s">
        <v>8022</v>
      </c>
      <c r="G5463" s="6" t="s">
        <v>8463</v>
      </c>
      <c r="H5463" s="6" t="s">
        <v>55</v>
      </c>
      <c r="I5463" s="6" t="s">
        <v>8397</v>
      </c>
      <c r="J5463" s="6" t="s">
        <v>52</v>
      </c>
      <c r="K5463" s="6" t="s">
        <v>60</v>
      </c>
      <c r="L5463" s="6" t="s">
        <v>62</v>
      </c>
      <c r="M5463" s="6" t="s">
        <v>1421</v>
      </c>
      <c r="N5463" s="6"/>
      <c r="O5463" s="36" t="s">
        <v>7541</v>
      </c>
      <c r="P5463" s="36" t="s">
        <v>7542</v>
      </c>
      <c r="Q5463" s="38"/>
    </row>
    <row r="5464">
      <c r="A5464" s="6" t="s">
        <v>1421</v>
      </c>
      <c r="B5464" s="6" t="s">
        <v>8395</v>
      </c>
      <c r="C5464" s="6">
        <v>446.0</v>
      </c>
      <c r="D5464" s="9" t="str">
        <f t="shared" ref="D5464:D5465" si="1592">HYPERLINK("https://www.linkedin.com/ad-library/detail/855545124","Open Ad")</f>
        <v>Open Ad</v>
      </c>
      <c r="E5464" s="6" t="s">
        <v>154</v>
      </c>
      <c r="F5464" s="6" t="s">
        <v>8022</v>
      </c>
      <c r="G5464" s="6" t="s">
        <v>8434</v>
      </c>
      <c r="H5464" s="6" t="s">
        <v>55</v>
      </c>
      <c r="I5464" s="6" t="s">
        <v>8397</v>
      </c>
      <c r="J5464" s="6" t="s">
        <v>154</v>
      </c>
      <c r="K5464" s="12" t="str">
        <f t="shared" ref="K5464:K5465" si="1593">HYPERLINK("https://dms.licdn.com/playlist/vid/v2/D5605AQEC0dg2UxS9Eg/mp4-640p-30fp-crf28/B56ZlTHaUaHUBg-/0/1758036109121?e=2147483647&amp;v=beta&amp;t=r2TUXg6IriE5bWcka5TTw3bcHXSbabgRxdDfRqQaIQ0","View Creative")</f>
        <v>View Creative</v>
      </c>
      <c r="L5464" s="6" t="s">
        <v>62</v>
      </c>
      <c r="M5464" s="6" t="s">
        <v>1421</v>
      </c>
      <c r="N5464" s="6"/>
      <c r="O5464" s="36" t="s">
        <v>7541</v>
      </c>
      <c r="P5464" s="36" t="s">
        <v>7542</v>
      </c>
      <c r="Q5464" s="38"/>
    </row>
    <row r="5465">
      <c r="A5465" s="6" t="s">
        <v>1421</v>
      </c>
      <c r="B5465" s="6" t="s">
        <v>8395</v>
      </c>
      <c r="C5465" s="6">
        <v>447.0</v>
      </c>
      <c r="D5465" s="9" t="str">
        <f t="shared" si="1592"/>
        <v>Open Ad</v>
      </c>
      <c r="E5465" s="6" t="s">
        <v>154</v>
      </c>
      <c r="F5465" s="6" t="s">
        <v>8022</v>
      </c>
      <c r="G5465" s="6" t="s">
        <v>8434</v>
      </c>
      <c r="H5465" s="6" t="s">
        <v>55</v>
      </c>
      <c r="I5465" s="6" t="s">
        <v>8397</v>
      </c>
      <c r="J5465" s="6" t="s">
        <v>154</v>
      </c>
      <c r="K5465" s="12" t="str">
        <f t="shared" si="1593"/>
        <v>View Creative</v>
      </c>
      <c r="L5465" s="6" t="s">
        <v>62</v>
      </c>
      <c r="M5465" s="6" t="s">
        <v>1421</v>
      </c>
      <c r="N5465" s="6"/>
      <c r="O5465" s="36" t="s">
        <v>7541</v>
      </c>
      <c r="P5465" s="36" t="s">
        <v>7542</v>
      </c>
      <c r="Q5465" s="38"/>
    </row>
    <row r="5466">
      <c r="A5466" s="6" t="s">
        <v>1421</v>
      </c>
      <c r="B5466" s="6" t="s">
        <v>8395</v>
      </c>
      <c r="C5466" s="6">
        <v>448.0</v>
      </c>
      <c r="D5466" s="9" t="str">
        <f t="shared" ref="D5466:D5467" si="1594">HYPERLINK("https://www.linkedin.com/ad-library/detail/855545114","Open Ad")</f>
        <v>Open Ad</v>
      </c>
      <c r="E5466" s="6" t="s">
        <v>154</v>
      </c>
      <c r="F5466" s="6" t="s">
        <v>8022</v>
      </c>
      <c r="G5466" s="6" t="s">
        <v>8449</v>
      </c>
      <c r="H5466" s="6" t="s">
        <v>55</v>
      </c>
      <c r="I5466" s="6" t="s">
        <v>8397</v>
      </c>
      <c r="J5466" s="6" t="s">
        <v>154</v>
      </c>
      <c r="K5466" s="12" t="str">
        <f t="shared" ref="K5466:K5467" si="1595">HYPERLINK("https://dms.licdn.com/playlist/vid/v2/D5605AQEnXGujPLuU1g/mp4-640p-30fp-crf28/B56Zm_Qi.4J8Bg-/0/1759850427541?e=2147483647&amp;v=beta&amp;t=i5gJ3O9wOhnvkbquCdoiQzAjFKD2adxbMo_ajH9a5dI","View Creative")</f>
        <v>View Creative</v>
      </c>
      <c r="L5466" s="6" t="s">
        <v>62</v>
      </c>
      <c r="M5466" s="6" t="s">
        <v>1421</v>
      </c>
      <c r="N5466" s="6"/>
      <c r="O5466" s="36" t="s">
        <v>7541</v>
      </c>
      <c r="P5466" s="36" t="s">
        <v>7542</v>
      </c>
      <c r="Q5466" s="38"/>
    </row>
    <row r="5467">
      <c r="A5467" s="6" t="s">
        <v>1421</v>
      </c>
      <c r="B5467" s="6" t="s">
        <v>8395</v>
      </c>
      <c r="C5467" s="6">
        <v>449.0</v>
      </c>
      <c r="D5467" s="9" t="str">
        <f t="shared" si="1594"/>
        <v>Open Ad</v>
      </c>
      <c r="E5467" s="6" t="s">
        <v>154</v>
      </c>
      <c r="F5467" s="6" t="s">
        <v>8022</v>
      </c>
      <c r="G5467" s="6" t="s">
        <v>8449</v>
      </c>
      <c r="H5467" s="6" t="s">
        <v>55</v>
      </c>
      <c r="I5467" s="6" t="s">
        <v>8397</v>
      </c>
      <c r="J5467" s="6" t="s">
        <v>154</v>
      </c>
      <c r="K5467" s="12" t="str">
        <f t="shared" si="1595"/>
        <v>View Creative</v>
      </c>
      <c r="L5467" s="6" t="s">
        <v>62</v>
      </c>
      <c r="M5467" s="6" t="s">
        <v>1421</v>
      </c>
      <c r="N5467" s="6"/>
      <c r="O5467" s="36" t="s">
        <v>7541</v>
      </c>
      <c r="P5467" s="36" t="s">
        <v>7542</v>
      </c>
      <c r="Q5467" s="38"/>
    </row>
    <row r="5468">
      <c r="A5468" s="6" t="s">
        <v>1421</v>
      </c>
      <c r="B5468" s="6" t="s">
        <v>8395</v>
      </c>
      <c r="C5468" s="6">
        <v>450.0</v>
      </c>
      <c r="D5468" s="9" t="str">
        <f t="shared" ref="D5468:D5469" si="1596">HYPERLINK("https://www.linkedin.com/ad-library/detail/895562274","Open Ad")</f>
        <v>Open Ad</v>
      </c>
      <c r="E5468" s="6" t="s">
        <v>91</v>
      </c>
      <c r="F5468" s="6" t="s">
        <v>8022</v>
      </c>
      <c r="G5468" s="6" t="s">
        <v>8567</v>
      </c>
      <c r="H5468" s="6" t="s">
        <v>55</v>
      </c>
      <c r="I5468" s="6" t="s">
        <v>8397</v>
      </c>
      <c r="J5468" s="6" t="s">
        <v>91</v>
      </c>
      <c r="K5468" s="12" t="str">
        <f t="shared" ref="K5468:K5469" si="1597">HYPERLINK("https://media.licdn.com/dms/image/sync/v2/D5627AQENwE4b0yEeeg/articleshare-shrink_800/B56Zo2adZ7IsAI-/0/1776159456272?e=2147483647&amp;v=beta&amp;t=dO0dHMHxXoMw3cbb5i9dD9M5o5Dpav8ZnFE-Bkb-Ct0","View Creative")</f>
        <v>View Creative</v>
      </c>
      <c r="L5468" s="6" t="s">
        <v>62</v>
      </c>
      <c r="M5468" s="6" t="s">
        <v>1421</v>
      </c>
      <c r="N5468" s="6"/>
      <c r="O5468" s="36" t="s">
        <v>7541</v>
      </c>
      <c r="P5468" s="36" t="s">
        <v>7542</v>
      </c>
      <c r="Q5468" s="38"/>
    </row>
    <row r="5469">
      <c r="A5469" s="6" t="s">
        <v>1421</v>
      </c>
      <c r="B5469" s="6" t="s">
        <v>8395</v>
      </c>
      <c r="C5469" s="6">
        <v>451.0</v>
      </c>
      <c r="D5469" s="9" t="str">
        <f t="shared" si="1596"/>
        <v>Open Ad</v>
      </c>
      <c r="E5469" s="6" t="s">
        <v>91</v>
      </c>
      <c r="F5469" s="6" t="s">
        <v>8022</v>
      </c>
      <c r="G5469" s="6" t="s">
        <v>8567</v>
      </c>
      <c r="H5469" s="6" t="s">
        <v>55</v>
      </c>
      <c r="I5469" s="6" t="s">
        <v>8397</v>
      </c>
      <c r="J5469" s="6" t="s">
        <v>91</v>
      </c>
      <c r="K5469" s="12" t="str">
        <f t="shared" si="1597"/>
        <v>View Creative</v>
      </c>
      <c r="L5469" s="6" t="s">
        <v>62</v>
      </c>
      <c r="M5469" s="6" t="s">
        <v>1421</v>
      </c>
      <c r="N5469" s="6"/>
      <c r="O5469" s="36" t="s">
        <v>7541</v>
      </c>
      <c r="P5469" s="36" t="s">
        <v>7542</v>
      </c>
      <c r="Q5469" s="38"/>
    </row>
    <row r="5470">
      <c r="A5470" s="6" t="s">
        <v>1421</v>
      </c>
      <c r="B5470" s="6" t="s">
        <v>8395</v>
      </c>
      <c r="C5470" s="6">
        <v>452.0</v>
      </c>
      <c r="D5470" s="9" t="str">
        <f t="shared" ref="D5470:D5471" si="1598">HYPERLINK("https://www.linkedin.com/ad-library/detail/910569134","Open Ad")</f>
        <v>Open Ad</v>
      </c>
      <c r="E5470" s="6" t="s">
        <v>154</v>
      </c>
      <c r="F5470" s="6" t="s">
        <v>8022</v>
      </c>
      <c r="G5470" s="6" t="s">
        <v>8438</v>
      </c>
      <c r="H5470" s="6" t="s">
        <v>55</v>
      </c>
      <c r="I5470" s="6" t="s">
        <v>8397</v>
      </c>
      <c r="J5470" s="6" t="s">
        <v>154</v>
      </c>
      <c r="K5470" s="12" t="str">
        <f t="shared" ref="K5470:K5471" si="1599">HYPERLINK("https://dms.licdn.com/playlist/vid/v2/D5605AQFA8KADDGioVA/mp4-720p-30fp-crf28/B56Zp.NliIJQB0-/0/1763054106947?e=2147483647&amp;v=beta&amp;t=BbTucYSz0d9s4kJlyDnJayCgM6O0_TVjoKXC0Cpk8Qw","View Creative")</f>
        <v>View Creative</v>
      </c>
      <c r="L5470" s="6" t="s">
        <v>62</v>
      </c>
      <c r="M5470" s="6" t="s">
        <v>1421</v>
      </c>
      <c r="N5470" s="6"/>
      <c r="O5470" s="36" t="s">
        <v>7541</v>
      </c>
      <c r="P5470" s="36" t="s">
        <v>7542</v>
      </c>
      <c r="Q5470" s="38"/>
    </row>
    <row r="5471">
      <c r="A5471" s="6" t="s">
        <v>1421</v>
      </c>
      <c r="B5471" s="6" t="s">
        <v>8395</v>
      </c>
      <c r="C5471" s="6">
        <v>453.0</v>
      </c>
      <c r="D5471" s="9" t="str">
        <f t="shared" si="1598"/>
        <v>Open Ad</v>
      </c>
      <c r="E5471" s="6" t="s">
        <v>154</v>
      </c>
      <c r="F5471" s="6" t="s">
        <v>8022</v>
      </c>
      <c r="G5471" s="6" t="s">
        <v>8438</v>
      </c>
      <c r="H5471" s="6" t="s">
        <v>55</v>
      </c>
      <c r="I5471" s="6" t="s">
        <v>8397</v>
      </c>
      <c r="J5471" s="6" t="s">
        <v>154</v>
      </c>
      <c r="K5471" s="12" t="str">
        <f t="shared" si="1599"/>
        <v>View Creative</v>
      </c>
      <c r="L5471" s="6" t="s">
        <v>62</v>
      </c>
      <c r="M5471" s="6" t="s">
        <v>1421</v>
      </c>
      <c r="N5471" s="6"/>
      <c r="O5471" s="36" t="s">
        <v>7541</v>
      </c>
      <c r="P5471" s="36" t="s">
        <v>7542</v>
      </c>
      <c r="Q5471" s="38"/>
    </row>
    <row r="5472">
      <c r="A5472" s="6" t="s">
        <v>1421</v>
      </c>
      <c r="B5472" s="6" t="s">
        <v>8395</v>
      </c>
      <c r="C5472" s="6">
        <v>454.0</v>
      </c>
      <c r="D5472" s="9" t="str">
        <f t="shared" ref="D5472:D5473" si="1600">HYPERLINK("https://www.linkedin.com/ad-library/detail/855545134","Open Ad")</f>
        <v>Open Ad</v>
      </c>
      <c r="E5472" s="6" t="s">
        <v>91</v>
      </c>
      <c r="F5472" s="6" t="s">
        <v>8022</v>
      </c>
      <c r="G5472" s="6" t="s">
        <v>8453</v>
      </c>
      <c r="H5472" s="6" t="s">
        <v>55</v>
      </c>
      <c r="I5472" s="6" t="s">
        <v>8397</v>
      </c>
      <c r="J5472" s="6" t="s">
        <v>91</v>
      </c>
      <c r="K5472" s="12" t="str">
        <f t="shared" ref="K5472:K5473" si="1601">HYPERLINK("https://media.licdn.com/dms/image/v2/D5622AQGo9_bFMxOuLA/feedshare-image-high-res/B56Zl3NffVJoAo-/0/1758641650656?e=2147483647&amp;v=beta&amp;t=nc7qQvk9vZoL1vbnj6_lM6slAxYZ8frA_D4qnCfNKmc","View Creative")</f>
        <v>View Creative</v>
      </c>
      <c r="L5472" s="6" t="s">
        <v>62</v>
      </c>
      <c r="M5472" s="6" t="s">
        <v>1421</v>
      </c>
      <c r="N5472" s="6"/>
      <c r="O5472" s="36" t="s">
        <v>7541</v>
      </c>
      <c r="P5472" s="36" t="s">
        <v>7542</v>
      </c>
      <c r="Q5472" s="38"/>
    </row>
    <row r="5473">
      <c r="A5473" s="6" t="s">
        <v>1421</v>
      </c>
      <c r="B5473" s="6" t="s">
        <v>8395</v>
      </c>
      <c r="C5473" s="6">
        <v>455.0</v>
      </c>
      <c r="D5473" s="9" t="str">
        <f t="shared" si="1600"/>
        <v>Open Ad</v>
      </c>
      <c r="E5473" s="6" t="s">
        <v>91</v>
      </c>
      <c r="F5473" s="6" t="s">
        <v>8022</v>
      </c>
      <c r="G5473" s="6" t="s">
        <v>8453</v>
      </c>
      <c r="H5473" s="6" t="s">
        <v>55</v>
      </c>
      <c r="I5473" s="6" t="s">
        <v>8397</v>
      </c>
      <c r="J5473" s="6" t="s">
        <v>91</v>
      </c>
      <c r="K5473" s="12" t="str">
        <f t="shared" si="1601"/>
        <v>View Creative</v>
      </c>
      <c r="L5473" s="6" t="s">
        <v>62</v>
      </c>
      <c r="M5473" s="6" t="s">
        <v>1421</v>
      </c>
      <c r="N5473" s="6"/>
      <c r="O5473" s="36" t="s">
        <v>7541</v>
      </c>
      <c r="P5473" s="36" t="s">
        <v>7542</v>
      </c>
      <c r="Q5473" s="38"/>
    </row>
    <row r="5474">
      <c r="A5474" s="6" t="s">
        <v>1421</v>
      </c>
      <c r="B5474" s="6" t="s">
        <v>8395</v>
      </c>
      <c r="C5474" s="6">
        <v>456.0</v>
      </c>
      <c r="D5474" s="9" t="str">
        <f>HYPERLINK("https://www.linkedin.com/ad-library/detail/862873084","Open Ad")</f>
        <v>Open Ad</v>
      </c>
      <c r="E5474" s="6" t="s">
        <v>52</v>
      </c>
      <c r="F5474" s="6" t="s">
        <v>8022</v>
      </c>
      <c r="G5474" s="6" t="s">
        <v>8466</v>
      </c>
      <c r="H5474" s="6" t="s">
        <v>55</v>
      </c>
      <c r="I5474" s="6" t="s">
        <v>8397</v>
      </c>
      <c r="J5474" s="6" t="s">
        <v>52</v>
      </c>
      <c r="K5474" s="6" t="s">
        <v>60</v>
      </c>
      <c r="L5474" s="6" t="s">
        <v>62</v>
      </c>
      <c r="M5474" s="6" t="s">
        <v>1421</v>
      </c>
      <c r="N5474" s="6"/>
      <c r="O5474" s="36" t="s">
        <v>7541</v>
      </c>
      <c r="P5474" s="36" t="s">
        <v>7542</v>
      </c>
      <c r="Q5474" s="38"/>
    </row>
    <row r="5475">
      <c r="A5475" s="6" t="s">
        <v>1421</v>
      </c>
      <c r="B5475" s="6" t="s">
        <v>8395</v>
      </c>
      <c r="C5475" s="6">
        <v>457.0</v>
      </c>
      <c r="D5475" s="9" t="str">
        <f>HYPERLINK("https://www.linkedin.com/ad-library/detail/855624414","Open Ad")</f>
        <v>Open Ad</v>
      </c>
      <c r="E5475" s="6" t="s">
        <v>52</v>
      </c>
      <c r="F5475" s="6" t="s">
        <v>8022</v>
      </c>
      <c r="G5475" s="6" t="s">
        <v>8465</v>
      </c>
      <c r="H5475" s="6" t="s">
        <v>8431</v>
      </c>
      <c r="I5475" s="6" t="s">
        <v>8397</v>
      </c>
      <c r="J5475" s="6" t="s">
        <v>52</v>
      </c>
      <c r="K5475" s="6" t="s">
        <v>60</v>
      </c>
      <c r="L5475" s="6" t="s">
        <v>62</v>
      </c>
      <c r="M5475" s="6" t="s">
        <v>1421</v>
      </c>
      <c r="N5475" s="6"/>
      <c r="O5475" s="36" t="s">
        <v>7541</v>
      </c>
      <c r="P5475" s="36" t="s">
        <v>7542</v>
      </c>
      <c r="Q5475" s="38"/>
    </row>
    <row r="5476">
      <c r="A5476" s="6" t="s">
        <v>1421</v>
      </c>
      <c r="B5476" s="6" t="s">
        <v>8395</v>
      </c>
      <c r="C5476" s="6">
        <v>458.0</v>
      </c>
      <c r="D5476" s="9" t="str">
        <f t="shared" ref="D5476:D5477" si="1602">HYPERLINK("https://www.linkedin.com/ad-library/detail/894829494","Open Ad")</f>
        <v>Open Ad</v>
      </c>
      <c r="E5476" s="6" t="s">
        <v>91</v>
      </c>
      <c r="F5476" s="6" t="s">
        <v>8022</v>
      </c>
      <c r="G5476" s="6" t="s">
        <v>8565</v>
      </c>
      <c r="H5476" s="6" t="s">
        <v>55</v>
      </c>
      <c r="I5476" s="6" t="s">
        <v>8397</v>
      </c>
      <c r="J5476" s="6" t="s">
        <v>91</v>
      </c>
      <c r="K5476" s="12" t="str">
        <f t="shared" ref="K5476:K5477" si="1603">HYPERLINK("https://media.licdn.com/dms/image/v2/D5622AQHLyeQZVkRL_w/feedshare-image-high-res/B56ZpQMBtFHQAo-/0/1762281922579?e=2147483647&amp;v=beta&amp;t=ipzrWoW1HLCYvoZUZVtB3fUZMYCgPqKjeRYCPioXzdY","View Creative")</f>
        <v>View Creative</v>
      </c>
      <c r="L5476" s="6" t="s">
        <v>62</v>
      </c>
      <c r="M5476" s="6" t="s">
        <v>1421</v>
      </c>
      <c r="N5476" s="6"/>
      <c r="O5476" s="36" t="s">
        <v>7541</v>
      </c>
      <c r="P5476" s="36" t="s">
        <v>7542</v>
      </c>
      <c r="Q5476" s="38"/>
    </row>
    <row r="5477">
      <c r="A5477" s="6" t="s">
        <v>1421</v>
      </c>
      <c r="B5477" s="6" t="s">
        <v>8395</v>
      </c>
      <c r="C5477" s="6">
        <v>459.0</v>
      </c>
      <c r="D5477" s="9" t="str">
        <f t="shared" si="1602"/>
        <v>Open Ad</v>
      </c>
      <c r="E5477" s="6" t="s">
        <v>91</v>
      </c>
      <c r="F5477" s="6" t="s">
        <v>8022</v>
      </c>
      <c r="G5477" s="6" t="s">
        <v>8565</v>
      </c>
      <c r="H5477" s="6" t="s">
        <v>55</v>
      </c>
      <c r="I5477" s="6" t="s">
        <v>8397</v>
      </c>
      <c r="J5477" s="6" t="s">
        <v>91</v>
      </c>
      <c r="K5477" s="12" t="str">
        <f t="shared" si="1603"/>
        <v>View Creative</v>
      </c>
      <c r="L5477" s="6" t="s">
        <v>62</v>
      </c>
      <c r="M5477" s="6" t="s">
        <v>1421</v>
      </c>
      <c r="N5477" s="6"/>
      <c r="O5477" s="36" t="s">
        <v>7541</v>
      </c>
      <c r="P5477" s="36" t="s">
        <v>7542</v>
      </c>
      <c r="Q5477" s="38"/>
    </row>
    <row r="5478">
      <c r="A5478" s="6" t="s">
        <v>1421</v>
      </c>
      <c r="B5478" s="6" t="s">
        <v>8395</v>
      </c>
      <c r="C5478" s="6">
        <v>460.0</v>
      </c>
      <c r="D5478" s="9" t="str">
        <f>HYPERLINK("https://www.linkedin.com/ad-library/detail/855624434","Open Ad")</f>
        <v>Open Ad</v>
      </c>
      <c r="E5478" s="6" t="s">
        <v>52</v>
      </c>
      <c r="F5478" s="6" t="s">
        <v>8022</v>
      </c>
      <c r="G5478" s="6" t="s">
        <v>8454</v>
      </c>
      <c r="H5478" s="6" t="s">
        <v>55</v>
      </c>
      <c r="I5478" s="6" t="s">
        <v>8397</v>
      </c>
      <c r="J5478" s="6" t="s">
        <v>52</v>
      </c>
      <c r="K5478" s="6" t="s">
        <v>60</v>
      </c>
      <c r="L5478" s="6" t="s">
        <v>62</v>
      </c>
      <c r="M5478" s="6" t="s">
        <v>1421</v>
      </c>
      <c r="N5478" s="6"/>
      <c r="O5478" s="36" t="s">
        <v>7541</v>
      </c>
      <c r="P5478" s="36" t="s">
        <v>7542</v>
      </c>
      <c r="Q5478" s="38"/>
    </row>
    <row r="5479">
      <c r="A5479" s="6" t="s">
        <v>1421</v>
      </c>
      <c r="B5479" s="6" t="s">
        <v>8395</v>
      </c>
      <c r="C5479" s="6">
        <v>461.0</v>
      </c>
      <c r="D5479" s="9" t="str">
        <f t="shared" ref="D5479:D5480" si="1604">HYPERLINK("https://www.linkedin.com/ad-library/detail/895454184","Open Ad")</f>
        <v>Open Ad</v>
      </c>
      <c r="E5479" s="6" t="s">
        <v>91</v>
      </c>
      <c r="F5479" s="6" t="s">
        <v>8022</v>
      </c>
      <c r="G5479" s="6" t="s">
        <v>8568</v>
      </c>
      <c r="H5479" s="6" t="s">
        <v>55</v>
      </c>
      <c r="I5479" s="6" t="s">
        <v>8397</v>
      </c>
      <c r="J5479" s="6" t="s">
        <v>91</v>
      </c>
      <c r="K5479" s="12" t="str">
        <f t="shared" ref="K5479:K5480" si="1605">HYPERLINK("https://media.licdn.com/dms/image/v2/D5622AQF_2UXnxaqr_Q/feedshare-shrink_1280/B56ZpZ8Ks2J8A0-/0/1762445536440?e=2147483647&amp;v=beta&amp;t=_2JA5kMKRtJDZGyd7td6pyYrDONCa6xJyjP7VF_4y1Y","View Creative")</f>
        <v>View Creative</v>
      </c>
      <c r="L5479" s="6" t="s">
        <v>62</v>
      </c>
      <c r="M5479" s="6" t="s">
        <v>1421</v>
      </c>
      <c r="N5479" s="6"/>
      <c r="O5479" s="36" t="s">
        <v>7541</v>
      </c>
      <c r="P5479" s="36" t="s">
        <v>7542</v>
      </c>
      <c r="Q5479" s="38"/>
    </row>
    <row r="5480">
      <c r="A5480" s="6" t="s">
        <v>1421</v>
      </c>
      <c r="B5480" s="6" t="s">
        <v>8395</v>
      </c>
      <c r="C5480" s="6">
        <v>462.0</v>
      </c>
      <c r="D5480" s="9" t="str">
        <f t="shared" si="1604"/>
        <v>Open Ad</v>
      </c>
      <c r="E5480" s="6" t="s">
        <v>91</v>
      </c>
      <c r="F5480" s="6" t="s">
        <v>8022</v>
      </c>
      <c r="G5480" s="6" t="s">
        <v>8568</v>
      </c>
      <c r="H5480" s="6" t="s">
        <v>55</v>
      </c>
      <c r="I5480" s="6" t="s">
        <v>8397</v>
      </c>
      <c r="J5480" s="6" t="s">
        <v>91</v>
      </c>
      <c r="K5480" s="12" t="str">
        <f t="shared" si="1605"/>
        <v>View Creative</v>
      </c>
      <c r="L5480" s="6" t="s">
        <v>62</v>
      </c>
      <c r="M5480" s="6" t="s">
        <v>1421</v>
      </c>
      <c r="N5480" s="6"/>
      <c r="O5480" s="36" t="s">
        <v>7541</v>
      </c>
      <c r="P5480" s="36" t="s">
        <v>7542</v>
      </c>
      <c r="Q5480" s="38"/>
    </row>
    <row r="5481">
      <c r="A5481" s="6" t="s">
        <v>1421</v>
      </c>
      <c r="B5481" s="6" t="s">
        <v>8395</v>
      </c>
      <c r="C5481" s="6">
        <v>463.0</v>
      </c>
      <c r="D5481" s="9" t="str">
        <f t="shared" ref="D5481:D5482" si="1606">HYPERLINK("https://www.linkedin.com/ad-library/detail/839185694","Open Ad")</f>
        <v>Open Ad</v>
      </c>
      <c r="E5481" s="6" t="s">
        <v>154</v>
      </c>
      <c r="F5481" s="6" t="s">
        <v>8022</v>
      </c>
      <c r="G5481" s="6" t="s">
        <v>8569</v>
      </c>
      <c r="H5481" s="6" t="s">
        <v>55</v>
      </c>
      <c r="I5481" s="6" t="s">
        <v>8397</v>
      </c>
      <c r="J5481" s="6" t="s">
        <v>154</v>
      </c>
      <c r="K5481" s="12" t="str">
        <f t="shared" ref="K5481:K5482" si="1607">HYPERLINK("https://dms.licdn.com/playlist/vid/v2/D5605AQF3k2Qp0dEH4g/mp4-640p-30fp-crf28/B56ZmCNLfdJkBg-/0/1758826132870?e=2147483647&amp;v=beta&amp;t=xE0-fXSA8EOQ6alwm7tfa511iPU7KrXtAjUWlwyzle8","View Creative")</f>
        <v>View Creative</v>
      </c>
      <c r="L5481" s="6" t="s">
        <v>62</v>
      </c>
      <c r="M5481" s="6" t="s">
        <v>1421</v>
      </c>
      <c r="N5481" s="6"/>
      <c r="O5481" s="36" t="s">
        <v>7541</v>
      </c>
      <c r="P5481" s="36" t="s">
        <v>7542</v>
      </c>
      <c r="Q5481" s="38"/>
    </row>
    <row r="5482">
      <c r="A5482" s="6" t="s">
        <v>1421</v>
      </c>
      <c r="B5482" s="6" t="s">
        <v>8395</v>
      </c>
      <c r="C5482" s="6">
        <v>464.0</v>
      </c>
      <c r="D5482" s="9" t="str">
        <f t="shared" si="1606"/>
        <v>Open Ad</v>
      </c>
      <c r="E5482" s="6" t="s">
        <v>154</v>
      </c>
      <c r="F5482" s="6" t="s">
        <v>8022</v>
      </c>
      <c r="G5482" s="6" t="s">
        <v>8569</v>
      </c>
      <c r="H5482" s="6" t="s">
        <v>55</v>
      </c>
      <c r="I5482" s="6" t="s">
        <v>8397</v>
      </c>
      <c r="J5482" s="6" t="s">
        <v>154</v>
      </c>
      <c r="K5482" s="12" t="str">
        <f t="shared" si="1607"/>
        <v>View Creative</v>
      </c>
      <c r="L5482" s="6" t="s">
        <v>62</v>
      </c>
      <c r="M5482" s="6" t="s">
        <v>1421</v>
      </c>
      <c r="N5482" s="6"/>
      <c r="O5482" s="36" t="s">
        <v>7541</v>
      </c>
      <c r="P5482" s="36" t="s">
        <v>7542</v>
      </c>
      <c r="Q5482" s="38"/>
    </row>
    <row r="5483">
      <c r="A5483" s="6" t="s">
        <v>1421</v>
      </c>
      <c r="B5483" s="6" t="s">
        <v>8395</v>
      </c>
      <c r="C5483" s="6">
        <v>465.0</v>
      </c>
      <c r="D5483" s="9" t="str">
        <f t="shared" ref="D5483:D5484" si="1608">HYPERLINK("https://www.linkedin.com/ad-library/detail/733570574","Open Ad")</f>
        <v>Open Ad</v>
      </c>
      <c r="E5483" s="6" t="s">
        <v>154</v>
      </c>
      <c r="F5483" s="6" t="s">
        <v>8022</v>
      </c>
      <c r="G5483" s="6" t="s">
        <v>8570</v>
      </c>
      <c r="H5483" s="6" t="s">
        <v>55</v>
      </c>
      <c r="I5483" s="6" t="s">
        <v>8397</v>
      </c>
      <c r="J5483" s="6" t="s">
        <v>154</v>
      </c>
      <c r="K5483" s="12" t="str">
        <f t="shared" ref="K5483:K5484" si="1609">HYPERLINK("https://dms.licdn.com/playlist/vid/v2/D4E10AQHyidjsVmhczw/mp4-360p-30fp-crf28/B4EZiuHvbQHECM-/0/1755267923338/2507-Srunch-LinkedInAds-Square-KG-C-03mp4?e=2147483647&amp;v=beta&amp;t=irUbxyjFT5K02x5aQE0xZvmTNyVjx2sPA78owaC4eZs","View Creative")</f>
        <v>View Creative</v>
      </c>
      <c r="L5483" s="6" t="s">
        <v>62</v>
      </c>
      <c r="M5483" s="6" t="s">
        <v>1421</v>
      </c>
      <c r="N5483" s="6"/>
      <c r="O5483" s="36" t="s">
        <v>7541</v>
      </c>
      <c r="P5483" s="36" t="s">
        <v>7542</v>
      </c>
      <c r="Q5483" s="38"/>
    </row>
    <row r="5484">
      <c r="A5484" s="6" t="s">
        <v>1421</v>
      </c>
      <c r="B5484" s="6" t="s">
        <v>8395</v>
      </c>
      <c r="C5484" s="6">
        <v>466.0</v>
      </c>
      <c r="D5484" s="9" t="str">
        <f t="shared" si="1608"/>
        <v>Open Ad</v>
      </c>
      <c r="E5484" s="6" t="s">
        <v>154</v>
      </c>
      <c r="F5484" s="6" t="s">
        <v>8022</v>
      </c>
      <c r="G5484" s="6" t="s">
        <v>8570</v>
      </c>
      <c r="H5484" s="6" t="s">
        <v>55</v>
      </c>
      <c r="I5484" s="6" t="s">
        <v>8397</v>
      </c>
      <c r="J5484" s="6" t="s">
        <v>154</v>
      </c>
      <c r="K5484" s="12" t="str">
        <f t="shared" si="1609"/>
        <v>View Creative</v>
      </c>
      <c r="L5484" s="6" t="s">
        <v>62</v>
      </c>
      <c r="M5484" s="6" t="s">
        <v>1421</v>
      </c>
      <c r="N5484" s="6"/>
      <c r="O5484" s="36" t="s">
        <v>7541</v>
      </c>
      <c r="P5484" s="36" t="s">
        <v>7542</v>
      </c>
      <c r="Q5484" s="38"/>
    </row>
    <row r="5485">
      <c r="A5485" s="6" t="s">
        <v>1421</v>
      </c>
      <c r="B5485" s="6" t="s">
        <v>8395</v>
      </c>
      <c r="C5485" s="6">
        <v>467.0</v>
      </c>
      <c r="D5485" s="9" t="str">
        <f t="shared" ref="D5485:D5486" si="1610">HYPERLINK("https://www.linkedin.com/ad-library/detail/733526844","Open Ad")</f>
        <v>Open Ad</v>
      </c>
      <c r="E5485" s="6" t="s">
        <v>154</v>
      </c>
      <c r="F5485" s="6" t="s">
        <v>8022</v>
      </c>
      <c r="G5485" s="6" t="s">
        <v>8571</v>
      </c>
      <c r="H5485" s="6" t="s">
        <v>55</v>
      </c>
      <c r="I5485" s="6" t="s">
        <v>8397</v>
      </c>
      <c r="J5485" s="6" t="s">
        <v>154</v>
      </c>
      <c r="K5485" s="12" t="str">
        <f t="shared" ref="K5485:K5486" si="1611">HYPERLINK("https://dms.licdn.com/playlist/vid/v2/D4E10AQHnjERs-GR1lA/mp4-640p-30fp-crf28/B4EZiuFyRNHgBc-/0/1755267417581/2507-Srunch-LinkedInAds-Square-KG-A-03mp4?e=2147483647&amp;v=beta&amp;t=cfKXa2XrKkr9NTe3GSyB5QYlnufcBhrrQ6z2CYqsvLo","View Creative")</f>
        <v>View Creative</v>
      </c>
      <c r="L5485" s="6" t="s">
        <v>62</v>
      </c>
      <c r="M5485" s="6" t="s">
        <v>1421</v>
      </c>
      <c r="N5485" s="6"/>
      <c r="O5485" s="36" t="s">
        <v>7541</v>
      </c>
      <c r="P5485" s="36" t="s">
        <v>7542</v>
      </c>
      <c r="Q5485" s="38"/>
    </row>
    <row r="5486">
      <c r="A5486" s="6" t="s">
        <v>1421</v>
      </c>
      <c r="B5486" s="6" t="s">
        <v>8395</v>
      </c>
      <c r="C5486" s="6">
        <v>468.0</v>
      </c>
      <c r="D5486" s="9" t="str">
        <f t="shared" si="1610"/>
        <v>Open Ad</v>
      </c>
      <c r="E5486" s="6" t="s">
        <v>154</v>
      </c>
      <c r="F5486" s="6" t="s">
        <v>8022</v>
      </c>
      <c r="G5486" s="6" t="s">
        <v>8571</v>
      </c>
      <c r="H5486" s="6" t="s">
        <v>55</v>
      </c>
      <c r="I5486" s="6" t="s">
        <v>8397</v>
      </c>
      <c r="J5486" s="6" t="s">
        <v>154</v>
      </c>
      <c r="K5486" s="12" t="str">
        <f t="shared" si="1611"/>
        <v>View Creative</v>
      </c>
      <c r="L5486" s="6" t="s">
        <v>62</v>
      </c>
      <c r="M5486" s="6" t="s">
        <v>1421</v>
      </c>
      <c r="N5486" s="6"/>
      <c r="O5486" s="36" t="s">
        <v>7541</v>
      </c>
      <c r="P5486" s="36" t="s">
        <v>7542</v>
      </c>
      <c r="Q5486" s="38"/>
    </row>
    <row r="5487">
      <c r="A5487" s="6" t="s">
        <v>1421</v>
      </c>
      <c r="B5487" s="6" t="s">
        <v>8395</v>
      </c>
      <c r="C5487" s="6">
        <v>469.0</v>
      </c>
      <c r="D5487" s="9" t="str">
        <f t="shared" ref="D5487:D5488" si="1612">HYPERLINK("https://www.linkedin.com/ad-library/detail/827067914","Open Ad")</f>
        <v>Open Ad</v>
      </c>
      <c r="E5487" s="6" t="s">
        <v>154</v>
      </c>
      <c r="F5487" s="6" t="s">
        <v>8022</v>
      </c>
      <c r="G5487" s="6" t="s">
        <v>8441</v>
      </c>
      <c r="H5487" s="6" t="s">
        <v>55</v>
      </c>
      <c r="I5487" s="6" t="s">
        <v>8397</v>
      </c>
      <c r="J5487" s="6" t="s">
        <v>154</v>
      </c>
      <c r="K5487" s="12" t="str">
        <f t="shared" ref="K5487:K5488" si="1613">HYPERLINK("https://dms.licdn.com/playlist/vid/v2/D5605AQE0F7ZDIPBBTA/mp4-720p-30fp-crf28/B56Zkv4WpiHMBw-/0/1757445067909?e=2147483647&amp;v=beta&amp;t=SsVsQm34F-kSMWOhLdKS6pPdDhnQyddTlZHda5YEUDQ","View Creative")</f>
        <v>View Creative</v>
      </c>
      <c r="L5487" s="6" t="s">
        <v>62</v>
      </c>
      <c r="M5487" s="6" t="s">
        <v>1421</v>
      </c>
      <c r="N5487" s="6"/>
      <c r="O5487" s="36" t="s">
        <v>7541</v>
      </c>
      <c r="P5487" s="36" t="s">
        <v>7542</v>
      </c>
      <c r="Q5487" s="38"/>
    </row>
    <row r="5488">
      <c r="A5488" s="6" t="s">
        <v>1421</v>
      </c>
      <c r="B5488" s="6" t="s">
        <v>8395</v>
      </c>
      <c r="C5488" s="6">
        <v>470.0</v>
      </c>
      <c r="D5488" s="9" t="str">
        <f t="shared" si="1612"/>
        <v>Open Ad</v>
      </c>
      <c r="E5488" s="6" t="s">
        <v>154</v>
      </c>
      <c r="F5488" s="6" t="s">
        <v>8022</v>
      </c>
      <c r="G5488" s="6" t="s">
        <v>8441</v>
      </c>
      <c r="H5488" s="6" t="s">
        <v>55</v>
      </c>
      <c r="I5488" s="6" t="s">
        <v>8397</v>
      </c>
      <c r="J5488" s="6" t="s">
        <v>154</v>
      </c>
      <c r="K5488" s="12" t="str">
        <f t="shared" si="1613"/>
        <v>View Creative</v>
      </c>
      <c r="L5488" s="6" t="s">
        <v>62</v>
      </c>
      <c r="M5488" s="6" t="s">
        <v>1421</v>
      </c>
      <c r="N5488" s="6"/>
      <c r="O5488" s="36" t="s">
        <v>7541</v>
      </c>
      <c r="P5488" s="36" t="s">
        <v>7542</v>
      </c>
      <c r="Q5488" s="38"/>
    </row>
    <row r="5489">
      <c r="A5489" s="6" t="s">
        <v>1421</v>
      </c>
      <c r="B5489" s="6" t="s">
        <v>8395</v>
      </c>
      <c r="C5489" s="6">
        <v>471.0</v>
      </c>
      <c r="D5489" s="9" t="str">
        <f t="shared" ref="D5489:D5490" si="1614">HYPERLINK("https://www.linkedin.com/ad-library/detail/827146264","Open Ad")</f>
        <v>Open Ad</v>
      </c>
      <c r="E5489" s="6" t="s">
        <v>91</v>
      </c>
      <c r="F5489" s="6" t="s">
        <v>8022</v>
      </c>
      <c r="G5489" s="6" t="s">
        <v>8572</v>
      </c>
      <c r="H5489" s="6" t="s">
        <v>55</v>
      </c>
      <c r="I5489" s="6" t="s">
        <v>8397</v>
      </c>
      <c r="J5489" s="6" t="s">
        <v>91</v>
      </c>
      <c r="K5489" s="12" t="str">
        <f t="shared" ref="K5489:K5490" si="1615">HYPERLINK("https://media.licdn.com/dms/image/v2/D5622AQFU5fmQ4he9AQ/feedshare-image-high-res/B56ZhTGJdzHUAs-/0/1753740777712?e=2147483647&amp;v=beta&amp;t=56q5Lo5w-Ayrg9gPrsjPmsOqJeXUxSfqkPPTVhRnVso","View Creative")</f>
        <v>View Creative</v>
      </c>
      <c r="L5489" s="6" t="s">
        <v>62</v>
      </c>
      <c r="M5489" s="6" t="s">
        <v>1421</v>
      </c>
      <c r="N5489" s="6"/>
      <c r="O5489" s="36" t="s">
        <v>7541</v>
      </c>
      <c r="P5489" s="36" t="s">
        <v>7542</v>
      </c>
      <c r="Q5489" s="38"/>
    </row>
    <row r="5490">
      <c r="A5490" s="6" t="s">
        <v>1421</v>
      </c>
      <c r="B5490" s="6" t="s">
        <v>8395</v>
      </c>
      <c r="C5490" s="6">
        <v>472.0</v>
      </c>
      <c r="D5490" s="9" t="str">
        <f t="shared" si="1614"/>
        <v>Open Ad</v>
      </c>
      <c r="E5490" s="6" t="s">
        <v>91</v>
      </c>
      <c r="F5490" s="6" t="s">
        <v>8022</v>
      </c>
      <c r="G5490" s="6" t="s">
        <v>8572</v>
      </c>
      <c r="H5490" s="6" t="s">
        <v>55</v>
      </c>
      <c r="I5490" s="6" t="s">
        <v>8397</v>
      </c>
      <c r="J5490" s="6" t="s">
        <v>91</v>
      </c>
      <c r="K5490" s="12" t="str">
        <f t="shared" si="1615"/>
        <v>View Creative</v>
      </c>
      <c r="L5490" s="6" t="s">
        <v>62</v>
      </c>
      <c r="M5490" s="6" t="s">
        <v>1421</v>
      </c>
      <c r="N5490" s="6"/>
      <c r="O5490" s="36" t="s">
        <v>7541</v>
      </c>
      <c r="P5490" s="36" t="s">
        <v>7542</v>
      </c>
      <c r="Q5490" s="38"/>
    </row>
    <row r="5491">
      <c r="A5491" s="6" t="s">
        <v>1421</v>
      </c>
      <c r="B5491" s="6" t="s">
        <v>8395</v>
      </c>
      <c r="C5491" s="6">
        <v>473.0</v>
      </c>
      <c r="D5491" s="9" t="str">
        <f t="shared" ref="D5491:D5492" si="1616">HYPERLINK("https://www.linkedin.com/ad-library/detail/766335974","Open Ad")</f>
        <v>Open Ad</v>
      </c>
      <c r="E5491" s="6" t="s">
        <v>91</v>
      </c>
      <c r="F5491" s="6" t="s">
        <v>8022</v>
      </c>
      <c r="G5491" s="6" t="s">
        <v>8573</v>
      </c>
      <c r="H5491" s="6" t="s">
        <v>55</v>
      </c>
      <c r="I5491" s="6" t="s">
        <v>8397</v>
      </c>
      <c r="J5491" s="6" t="s">
        <v>91</v>
      </c>
      <c r="K5491" s="12" t="str">
        <f t="shared" ref="K5491:K5492" si="1617">HYPERLINK("https://media.licdn.com/dms/image/v2/D5622AQGen1HBEHd6Hg/feedshare-shrink_1280/B56ZgtXJK.G4Aw-/0/1753107700172?e=2147483647&amp;v=beta&amp;t=S4xIihhrCvYHKnZViCs6_u9xTMf9biMA4xeqzjaVxzo","View Creative")</f>
        <v>View Creative</v>
      </c>
      <c r="L5491" s="6" t="s">
        <v>62</v>
      </c>
      <c r="M5491" s="6" t="s">
        <v>1421</v>
      </c>
      <c r="N5491" s="6"/>
      <c r="O5491" s="36" t="s">
        <v>7541</v>
      </c>
      <c r="P5491" s="36" t="s">
        <v>7542</v>
      </c>
      <c r="Q5491" s="38"/>
    </row>
    <row r="5492">
      <c r="A5492" s="6" t="s">
        <v>1421</v>
      </c>
      <c r="B5492" s="6" t="s">
        <v>8395</v>
      </c>
      <c r="C5492" s="6">
        <v>474.0</v>
      </c>
      <c r="D5492" s="9" t="str">
        <f t="shared" si="1616"/>
        <v>Open Ad</v>
      </c>
      <c r="E5492" s="6" t="s">
        <v>91</v>
      </c>
      <c r="F5492" s="6" t="s">
        <v>8022</v>
      </c>
      <c r="G5492" s="6" t="s">
        <v>8573</v>
      </c>
      <c r="H5492" s="6" t="s">
        <v>55</v>
      </c>
      <c r="I5492" s="6" t="s">
        <v>8397</v>
      </c>
      <c r="J5492" s="6" t="s">
        <v>91</v>
      </c>
      <c r="K5492" s="12" t="str">
        <f t="shared" si="1617"/>
        <v>View Creative</v>
      </c>
      <c r="L5492" s="6" t="s">
        <v>62</v>
      </c>
      <c r="M5492" s="6" t="s">
        <v>1421</v>
      </c>
      <c r="N5492" s="6"/>
      <c r="O5492" s="36" t="s">
        <v>7541</v>
      </c>
      <c r="P5492" s="36" t="s">
        <v>7542</v>
      </c>
      <c r="Q5492" s="38"/>
    </row>
    <row r="5493">
      <c r="A5493" s="6" t="s">
        <v>1421</v>
      </c>
      <c r="B5493" s="6" t="s">
        <v>8395</v>
      </c>
      <c r="C5493" s="6">
        <v>475.0</v>
      </c>
      <c r="D5493" s="9" t="str">
        <f t="shared" ref="D5493:D5494" si="1618">HYPERLINK("https://www.linkedin.com/ad-library/detail/714578744","Open Ad")</f>
        <v>Open Ad</v>
      </c>
      <c r="E5493" s="6" t="s">
        <v>91</v>
      </c>
      <c r="F5493" s="6" t="s">
        <v>8022</v>
      </c>
      <c r="G5493" s="6" t="s">
        <v>8574</v>
      </c>
      <c r="H5493" s="6" t="s">
        <v>55</v>
      </c>
      <c r="I5493" s="6" t="s">
        <v>8397</v>
      </c>
      <c r="J5493" s="6" t="s">
        <v>91</v>
      </c>
      <c r="K5493" s="12" t="str">
        <f t="shared" ref="K5493:K5494" si="1619">HYPERLINK("https://media.licdn.com/dms/image/v2/D5622AQEB6KqkeR-1vw/feedshare-shrink_1280/B56ZfmCGtMHoAo-/0/1751911001401?e=2147483647&amp;v=beta&amp;t=e6wT7R-GCe9onlI383NgdAOIxF3G34nb0Qfyn2gnOLA","View Creative")</f>
        <v>View Creative</v>
      </c>
      <c r="L5493" s="6" t="s">
        <v>62</v>
      </c>
      <c r="M5493" s="6" t="s">
        <v>1421</v>
      </c>
      <c r="N5493" s="6"/>
      <c r="O5493" s="36" t="s">
        <v>7541</v>
      </c>
      <c r="P5493" s="36" t="s">
        <v>7542</v>
      </c>
      <c r="Q5493" s="38"/>
    </row>
    <row r="5494">
      <c r="A5494" s="6" t="s">
        <v>1421</v>
      </c>
      <c r="B5494" s="6" t="s">
        <v>8395</v>
      </c>
      <c r="C5494" s="6">
        <v>476.0</v>
      </c>
      <c r="D5494" s="9" t="str">
        <f t="shared" si="1618"/>
        <v>Open Ad</v>
      </c>
      <c r="E5494" s="6" t="s">
        <v>91</v>
      </c>
      <c r="F5494" s="6" t="s">
        <v>8022</v>
      </c>
      <c r="G5494" s="6" t="s">
        <v>8574</v>
      </c>
      <c r="H5494" s="6" t="s">
        <v>55</v>
      </c>
      <c r="I5494" s="6" t="s">
        <v>8397</v>
      </c>
      <c r="J5494" s="6" t="s">
        <v>91</v>
      </c>
      <c r="K5494" s="12" t="str">
        <f t="shared" si="1619"/>
        <v>View Creative</v>
      </c>
      <c r="L5494" s="6" t="s">
        <v>62</v>
      </c>
      <c r="M5494" s="6" t="s">
        <v>1421</v>
      </c>
      <c r="N5494" s="6"/>
      <c r="O5494" s="36" t="s">
        <v>7541</v>
      </c>
      <c r="P5494" s="36" t="s">
        <v>7542</v>
      </c>
      <c r="Q5494" s="38"/>
    </row>
    <row r="5495">
      <c r="A5495" s="6" t="s">
        <v>1421</v>
      </c>
      <c r="B5495" s="6" t="s">
        <v>8395</v>
      </c>
      <c r="C5495" s="6">
        <v>477.0</v>
      </c>
      <c r="D5495" s="9" t="str">
        <f t="shared" ref="D5495:D5496" si="1620">HYPERLINK("https://www.linkedin.com/ad-library/detail/733509394","Open Ad")</f>
        <v>Open Ad</v>
      </c>
      <c r="E5495" s="6" t="s">
        <v>154</v>
      </c>
      <c r="F5495" s="6" t="s">
        <v>8022</v>
      </c>
      <c r="G5495" s="6" t="s">
        <v>8571</v>
      </c>
      <c r="H5495" s="6" t="s">
        <v>55</v>
      </c>
      <c r="I5495" s="6" t="s">
        <v>8397</v>
      </c>
      <c r="J5495" s="6" t="s">
        <v>154</v>
      </c>
      <c r="K5495" s="12" t="str">
        <f t="shared" ref="K5495:K5496" si="1621">HYPERLINK("https://dms.licdn.com/playlist/vid/v2/D4E10AQFDTuUq8TW_gA/mp4-720p-30fp-crf28/B4EZiuF2J2GYCQ-/0/1755267436005/2507-Srunch-LinkedInAds-Vertical-KG-A-03mp4?e=2147483647&amp;v=beta&amp;t=N_6VtDyHiktflg4dMooWn8kvmOoEqI9I_5snBiKPBDw","View Creative")</f>
        <v>View Creative</v>
      </c>
      <c r="L5495" s="6" t="s">
        <v>62</v>
      </c>
      <c r="M5495" s="6" t="s">
        <v>1421</v>
      </c>
      <c r="N5495" s="6"/>
      <c r="O5495" s="36" t="s">
        <v>7541</v>
      </c>
      <c r="P5495" s="36" t="s">
        <v>7542</v>
      </c>
      <c r="Q5495" s="38"/>
    </row>
    <row r="5496">
      <c r="A5496" s="6" t="s">
        <v>1421</v>
      </c>
      <c r="B5496" s="6" t="s">
        <v>8395</v>
      </c>
      <c r="C5496" s="6">
        <v>478.0</v>
      </c>
      <c r="D5496" s="9" t="str">
        <f t="shared" si="1620"/>
        <v>Open Ad</v>
      </c>
      <c r="E5496" s="6" t="s">
        <v>154</v>
      </c>
      <c r="F5496" s="6" t="s">
        <v>8022</v>
      </c>
      <c r="G5496" s="6" t="s">
        <v>8571</v>
      </c>
      <c r="H5496" s="6" t="s">
        <v>55</v>
      </c>
      <c r="I5496" s="6" t="s">
        <v>8397</v>
      </c>
      <c r="J5496" s="6" t="s">
        <v>154</v>
      </c>
      <c r="K5496" s="12" t="str">
        <f t="shared" si="1621"/>
        <v>View Creative</v>
      </c>
      <c r="L5496" s="6" t="s">
        <v>62</v>
      </c>
      <c r="M5496" s="6" t="s">
        <v>1421</v>
      </c>
      <c r="N5496" s="6"/>
      <c r="O5496" s="36" t="s">
        <v>7541</v>
      </c>
      <c r="P5496" s="36" t="s">
        <v>7542</v>
      </c>
      <c r="Q5496" s="38"/>
    </row>
    <row r="5497">
      <c r="A5497" s="6" t="s">
        <v>1421</v>
      </c>
      <c r="B5497" s="6" t="s">
        <v>8395</v>
      </c>
      <c r="C5497" s="6">
        <v>479.0</v>
      </c>
      <c r="D5497" s="9" t="str">
        <f t="shared" ref="D5497:D5498" si="1622">HYPERLINK("https://www.linkedin.com/ad-library/detail/827047674","Open Ad")</f>
        <v>Open Ad</v>
      </c>
      <c r="E5497" s="6" t="s">
        <v>154</v>
      </c>
      <c r="F5497" s="6" t="s">
        <v>8022</v>
      </c>
      <c r="G5497" s="6" t="s">
        <v>8434</v>
      </c>
      <c r="H5497" s="6" t="s">
        <v>55</v>
      </c>
      <c r="I5497" s="6" t="s">
        <v>8397</v>
      </c>
      <c r="J5497" s="6" t="s">
        <v>154</v>
      </c>
      <c r="K5497" s="12" t="str">
        <f t="shared" ref="K5497:K5498" si="1623">HYPERLINK("https://dms.licdn.com/playlist/vid/v2/D5605AQEC0dg2UxS9Eg/mp4-640p-30fp-crf28/B56ZlTHaUaHUBg-/0/1758036109121?e=2147483647&amp;v=beta&amp;t=r2TUXg6IriE5bWcka5TTw3bcHXSbabgRxdDfRqQaIQ0","View Creative")</f>
        <v>View Creative</v>
      </c>
      <c r="L5497" s="6" t="s">
        <v>62</v>
      </c>
      <c r="M5497" s="6" t="s">
        <v>1421</v>
      </c>
      <c r="N5497" s="6"/>
      <c r="O5497" s="36" t="s">
        <v>7541</v>
      </c>
      <c r="P5497" s="36" t="s">
        <v>7542</v>
      </c>
      <c r="Q5497" s="38"/>
    </row>
    <row r="5498">
      <c r="A5498" s="6" t="s">
        <v>1421</v>
      </c>
      <c r="B5498" s="6" t="s">
        <v>8395</v>
      </c>
      <c r="C5498" s="6">
        <v>480.0</v>
      </c>
      <c r="D5498" s="9" t="str">
        <f t="shared" si="1622"/>
        <v>Open Ad</v>
      </c>
      <c r="E5498" s="6" t="s">
        <v>154</v>
      </c>
      <c r="F5498" s="6" t="s">
        <v>8022</v>
      </c>
      <c r="G5498" s="6" t="s">
        <v>8434</v>
      </c>
      <c r="H5498" s="6" t="s">
        <v>55</v>
      </c>
      <c r="I5498" s="6" t="s">
        <v>8397</v>
      </c>
      <c r="J5498" s="6" t="s">
        <v>154</v>
      </c>
      <c r="K5498" s="12" t="str">
        <f t="shared" si="1623"/>
        <v>View Creative</v>
      </c>
      <c r="L5498" s="6" t="s">
        <v>62</v>
      </c>
      <c r="M5498" s="6" t="s">
        <v>1421</v>
      </c>
      <c r="N5498" s="6"/>
      <c r="O5498" s="36" t="s">
        <v>7541</v>
      </c>
      <c r="P5498" s="36" t="s">
        <v>7542</v>
      </c>
      <c r="Q5498" s="38"/>
    </row>
    <row r="5499">
      <c r="A5499" s="6" t="s">
        <v>1421</v>
      </c>
      <c r="B5499" s="6" t="s">
        <v>8395</v>
      </c>
      <c r="C5499" s="6">
        <v>481.0</v>
      </c>
      <c r="D5499" s="9" t="str">
        <f t="shared" ref="D5499:D5500" si="1624">HYPERLINK("https://www.linkedin.com/ad-library/detail/750896824","Open Ad")</f>
        <v>Open Ad</v>
      </c>
      <c r="E5499" s="6" t="s">
        <v>154</v>
      </c>
      <c r="F5499" s="6" t="s">
        <v>8022</v>
      </c>
      <c r="G5499" s="6" t="s">
        <v>8441</v>
      </c>
      <c r="H5499" s="6" t="s">
        <v>55</v>
      </c>
      <c r="I5499" s="6" t="s">
        <v>8397</v>
      </c>
      <c r="J5499" s="6" t="s">
        <v>154</v>
      </c>
      <c r="K5499" s="12" t="str">
        <f t="shared" ref="K5499:K5500" si="1625">HYPERLINK("https://dms.licdn.com/playlist/vid/v2/D5605AQE0F7ZDIPBBTA/mp4-720p-30fp-crf28/B56Zkv4WpiHMBw-/0/1757445067909?e=2147483647&amp;v=beta&amp;t=SsVsQm34F-kSMWOhLdKS6pPdDhnQyddTlZHda5YEUDQ","View Creative")</f>
        <v>View Creative</v>
      </c>
      <c r="L5499" s="6" t="s">
        <v>62</v>
      </c>
      <c r="M5499" s="6" t="s">
        <v>1421</v>
      </c>
      <c r="N5499" s="6"/>
      <c r="O5499" s="36" t="s">
        <v>7541</v>
      </c>
      <c r="P5499" s="36" t="s">
        <v>7542</v>
      </c>
      <c r="Q5499" s="38"/>
    </row>
    <row r="5500">
      <c r="A5500" s="6" t="s">
        <v>1421</v>
      </c>
      <c r="B5500" s="6" t="s">
        <v>8395</v>
      </c>
      <c r="C5500" s="6">
        <v>482.0</v>
      </c>
      <c r="D5500" s="9" t="str">
        <f t="shared" si="1624"/>
        <v>Open Ad</v>
      </c>
      <c r="E5500" s="6" t="s">
        <v>154</v>
      </c>
      <c r="F5500" s="6" t="s">
        <v>8022</v>
      </c>
      <c r="G5500" s="6" t="s">
        <v>8441</v>
      </c>
      <c r="H5500" s="6" t="s">
        <v>55</v>
      </c>
      <c r="I5500" s="6" t="s">
        <v>8397</v>
      </c>
      <c r="J5500" s="6" t="s">
        <v>154</v>
      </c>
      <c r="K5500" s="12" t="str">
        <f t="shared" si="1625"/>
        <v>View Creative</v>
      </c>
      <c r="L5500" s="6" t="s">
        <v>62</v>
      </c>
      <c r="M5500" s="6" t="s">
        <v>1421</v>
      </c>
      <c r="N5500" s="6"/>
      <c r="O5500" s="36" t="s">
        <v>7541</v>
      </c>
      <c r="P5500" s="36" t="s">
        <v>7542</v>
      </c>
      <c r="Q5500" s="38"/>
    </row>
    <row r="5501">
      <c r="A5501" s="6" t="s">
        <v>1421</v>
      </c>
      <c r="B5501" s="6" t="s">
        <v>8395</v>
      </c>
      <c r="C5501" s="6">
        <v>483.0</v>
      </c>
      <c r="D5501" s="9" t="str">
        <f t="shared" ref="D5501:D5502" si="1626">HYPERLINK("https://www.linkedin.com/ad-library/detail/714422864","Open Ad")</f>
        <v>Open Ad</v>
      </c>
      <c r="E5501" s="6" t="s">
        <v>91</v>
      </c>
      <c r="F5501" s="6" t="s">
        <v>8022</v>
      </c>
      <c r="G5501" s="6" t="s">
        <v>8575</v>
      </c>
      <c r="H5501" s="6" t="s">
        <v>8576</v>
      </c>
      <c r="I5501" s="6" t="s">
        <v>8397</v>
      </c>
      <c r="J5501" s="6" t="s">
        <v>91</v>
      </c>
      <c r="K5501" s="12" t="str">
        <f t="shared" ref="K5501:K5502" si="1627">HYPERLINK("https://media.licdn.com/dms/image/v2/D5622AQG7DnUIM3L6ag/feedshare-shrink_1280/B56Zf1_mtSGUAs-/0/1752178781588?e=2147483647&amp;v=beta&amp;t=1MHf0yvyjUKAJfLPRqZKPZZRK4BFbjDiRsBLs5awPb4","View Creative")</f>
        <v>View Creative</v>
      </c>
      <c r="L5501" s="6" t="s">
        <v>62</v>
      </c>
      <c r="M5501" s="6" t="s">
        <v>1421</v>
      </c>
      <c r="N5501" s="6"/>
      <c r="O5501" s="36" t="s">
        <v>7541</v>
      </c>
      <c r="P5501" s="36" t="s">
        <v>7542</v>
      </c>
      <c r="Q5501" s="38"/>
    </row>
    <row r="5502">
      <c r="A5502" s="6" t="s">
        <v>1421</v>
      </c>
      <c r="B5502" s="6" t="s">
        <v>8395</v>
      </c>
      <c r="C5502" s="6">
        <v>484.0</v>
      </c>
      <c r="D5502" s="9" t="str">
        <f t="shared" si="1626"/>
        <v>Open Ad</v>
      </c>
      <c r="E5502" s="6" t="s">
        <v>91</v>
      </c>
      <c r="F5502" s="6" t="s">
        <v>8022</v>
      </c>
      <c r="G5502" s="6" t="s">
        <v>8575</v>
      </c>
      <c r="H5502" s="6" t="s">
        <v>8576</v>
      </c>
      <c r="I5502" s="6" t="s">
        <v>8397</v>
      </c>
      <c r="J5502" s="6" t="s">
        <v>91</v>
      </c>
      <c r="K5502" s="12" t="str">
        <f t="shared" si="1627"/>
        <v>View Creative</v>
      </c>
      <c r="L5502" s="6" t="s">
        <v>62</v>
      </c>
      <c r="M5502" s="6" t="s">
        <v>1421</v>
      </c>
      <c r="N5502" s="6"/>
      <c r="O5502" s="36" t="s">
        <v>7541</v>
      </c>
      <c r="P5502" s="36" t="s">
        <v>7542</v>
      </c>
      <c r="Q5502" s="38"/>
    </row>
    <row r="5503">
      <c r="A5503" s="6" t="s">
        <v>1421</v>
      </c>
      <c r="B5503" s="6" t="s">
        <v>8395</v>
      </c>
      <c r="C5503" s="6">
        <v>485.0</v>
      </c>
      <c r="D5503" s="9" t="str">
        <f t="shared" ref="D5503:D5504" si="1628">HYPERLINK("https://www.linkedin.com/ad-library/detail/827077604","Open Ad")</f>
        <v>Open Ad</v>
      </c>
      <c r="E5503" s="6" t="s">
        <v>154</v>
      </c>
      <c r="F5503" s="6" t="s">
        <v>8022</v>
      </c>
      <c r="G5503" s="6" t="s">
        <v>8566</v>
      </c>
      <c r="H5503" s="6" t="s">
        <v>55</v>
      </c>
      <c r="I5503" s="6" t="s">
        <v>8397</v>
      </c>
      <c r="J5503" s="6" t="s">
        <v>154</v>
      </c>
      <c r="K5503" s="12" t="str">
        <f t="shared" ref="K5503:K5504" si="1629">HYPERLINK("https://dms.licdn.com/playlist/vid/v2/D5605AQFI8sTra5Yk1w/mp4-720p-30fp-crf28/B56ZmWWGCsJkBk-/0/1759164212144?e=2147483647&amp;v=beta&amp;t=9sc9XSz0ro19Xhr5ym4lQF5SnjXX4QT4hE3jHkpUQcM","View Creative")</f>
        <v>View Creative</v>
      </c>
      <c r="L5503" s="6" t="s">
        <v>62</v>
      </c>
      <c r="M5503" s="6" t="s">
        <v>1421</v>
      </c>
      <c r="N5503" s="6"/>
      <c r="O5503" s="36" t="s">
        <v>7541</v>
      </c>
      <c r="P5503" s="36" t="s">
        <v>7542</v>
      </c>
      <c r="Q5503" s="38"/>
    </row>
    <row r="5504">
      <c r="A5504" s="6" t="s">
        <v>1421</v>
      </c>
      <c r="B5504" s="6" t="s">
        <v>8395</v>
      </c>
      <c r="C5504" s="6">
        <v>486.0</v>
      </c>
      <c r="D5504" s="9" t="str">
        <f t="shared" si="1628"/>
        <v>Open Ad</v>
      </c>
      <c r="E5504" s="6" t="s">
        <v>154</v>
      </c>
      <c r="F5504" s="6" t="s">
        <v>8022</v>
      </c>
      <c r="G5504" s="6" t="s">
        <v>8566</v>
      </c>
      <c r="H5504" s="6" t="s">
        <v>55</v>
      </c>
      <c r="I5504" s="6" t="s">
        <v>8397</v>
      </c>
      <c r="J5504" s="6" t="s">
        <v>154</v>
      </c>
      <c r="K5504" s="12" t="str">
        <f t="shared" si="1629"/>
        <v>View Creative</v>
      </c>
      <c r="L5504" s="6" t="s">
        <v>62</v>
      </c>
      <c r="M5504" s="6" t="s">
        <v>1421</v>
      </c>
      <c r="N5504" s="6"/>
      <c r="O5504" s="36" t="s">
        <v>7541</v>
      </c>
      <c r="P5504" s="36" t="s">
        <v>7542</v>
      </c>
      <c r="Q5504" s="38"/>
    </row>
    <row r="5505">
      <c r="A5505" s="6" t="s">
        <v>1421</v>
      </c>
      <c r="B5505" s="6" t="s">
        <v>8395</v>
      </c>
      <c r="C5505" s="6">
        <v>487.0</v>
      </c>
      <c r="D5505" s="9" t="str">
        <f t="shared" ref="D5505:D5506" si="1630">HYPERLINK("https://www.linkedin.com/ad-library/detail/717268434","Open Ad")</f>
        <v>Open Ad</v>
      </c>
      <c r="E5505" s="6" t="s">
        <v>91</v>
      </c>
      <c r="F5505" s="6" t="s">
        <v>8022</v>
      </c>
      <c r="G5505" s="6" t="s">
        <v>8564</v>
      </c>
      <c r="H5505" s="6" t="s">
        <v>55</v>
      </c>
      <c r="I5505" s="6" t="s">
        <v>8397</v>
      </c>
      <c r="J5505" s="6" t="s">
        <v>91</v>
      </c>
      <c r="K5505" s="12" t="str">
        <f t="shared" ref="K5505:K5506" si="1631">HYPERLINK("https://media.licdn.com/dms/image/sync/v2/D4D27AQH_JGINraWyBA/articleshare-shrink_1280_800/B4DZgyzpmQGsAQ-/0/1776365108072?e=2147483647&amp;v=beta&amp;t=KxkNB9_bX4DraQLG8on_7GuisRNE3Z477OYaNHFfkDQ","View Creative")</f>
        <v>View Creative</v>
      </c>
      <c r="L5505" s="6" t="s">
        <v>62</v>
      </c>
      <c r="M5505" s="6" t="s">
        <v>1421</v>
      </c>
      <c r="N5505" s="6"/>
      <c r="O5505" s="36" t="s">
        <v>7541</v>
      </c>
      <c r="P5505" s="36" t="s">
        <v>7542</v>
      </c>
      <c r="Q5505" s="38"/>
    </row>
    <row r="5506">
      <c r="A5506" s="6" t="s">
        <v>1421</v>
      </c>
      <c r="B5506" s="6" t="s">
        <v>8395</v>
      </c>
      <c r="C5506" s="6">
        <v>488.0</v>
      </c>
      <c r="D5506" s="9" t="str">
        <f t="shared" si="1630"/>
        <v>Open Ad</v>
      </c>
      <c r="E5506" s="6" t="s">
        <v>91</v>
      </c>
      <c r="F5506" s="6" t="s">
        <v>8022</v>
      </c>
      <c r="G5506" s="6" t="s">
        <v>8564</v>
      </c>
      <c r="H5506" s="6" t="s">
        <v>55</v>
      </c>
      <c r="I5506" s="6" t="s">
        <v>8397</v>
      </c>
      <c r="J5506" s="6" t="s">
        <v>91</v>
      </c>
      <c r="K5506" s="12" t="str">
        <f t="shared" si="1631"/>
        <v>View Creative</v>
      </c>
      <c r="L5506" s="6" t="s">
        <v>62</v>
      </c>
      <c r="M5506" s="6" t="s">
        <v>1421</v>
      </c>
      <c r="N5506" s="6"/>
      <c r="O5506" s="36" t="s">
        <v>7541</v>
      </c>
      <c r="P5506" s="36" t="s">
        <v>7542</v>
      </c>
      <c r="Q5506" s="38"/>
    </row>
    <row r="5507">
      <c r="A5507" s="6" t="s">
        <v>1421</v>
      </c>
      <c r="B5507" s="6" t="s">
        <v>8395</v>
      </c>
      <c r="C5507" s="6">
        <v>489.0</v>
      </c>
      <c r="D5507" s="9" t="str">
        <f t="shared" ref="D5507:D5508" si="1632">HYPERLINK("https://www.linkedin.com/ad-library/detail/827127154","Open Ad")</f>
        <v>Open Ad</v>
      </c>
      <c r="E5507" s="6" t="s">
        <v>154</v>
      </c>
      <c r="F5507" s="6" t="s">
        <v>8022</v>
      </c>
      <c r="G5507" s="6" t="s">
        <v>8562</v>
      </c>
      <c r="H5507" s="6" t="s">
        <v>55</v>
      </c>
      <c r="I5507" s="6" t="s">
        <v>8397</v>
      </c>
      <c r="J5507" s="6" t="s">
        <v>154</v>
      </c>
      <c r="K5507" s="12" t="str">
        <f t="shared" ref="K5507:K5508" si="1633">HYPERLINK("https://dms.licdn.com/playlist/vid/v2/D4D05AQEXzuEN8JKKtw/mp4-640p-30fp-crf28/B4DZkvBut2JUB0-/0/1757430655070?e=2147483647&amp;v=beta&amp;t=x3vqNPp8mELYBYANSh9yldmLJI3sUngwKi6B3xNXxvw","View Creative")</f>
        <v>View Creative</v>
      </c>
      <c r="L5507" s="6" t="s">
        <v>62</v>
      </c>
      <c r="M5507" s="6" t="s">
        <v>1421</v>
      </c>
      <c r="N5507" s="6"/>
      <c r="O5507" s="36" t="s">
        <v>7541</v>
      </c>
      <c r="P5507" s="36" t="s">
        <v>7542</v>
      </c>
      <c r="Q5507" s="38"/>
    </row>
    <row r="5508">
      <c r="A5508" s="6" t="s">
        <v>1421</v>
      </c>
      <c r="B5508" s="6" t="s">
        <v>8395</v>
      </c>
      <c r="C5508" s="6">
        <v>490.0</v>
      </c>
      <c r="D5508" s="9" t="str">
        <f t="shared" si="1632"/>
        <v>Open Ad</v>
      </c>
      <c r="E5508" s="6" t="s">
        <v>154</v>
      </c>
      <c r="F5508" s="6" t="s">
        <v>8022</v>
      </c>
      <c r="G5508" s="6" t="s">
        <v>8562</v>
      </c>
      <c r="H5508" s="6" t="s">
        <v>55</v>
      </c>
      <c r="I5508" s="6" t="s">
        <v>8397</v>
      </c>
      <c r="J5508" s="6" t="s">
        <v>154</v>
      </c>
      <c r="K5508" s="12" t="str">
        <f t="shared" si="1633"/>
        <v>View Creative</v>
      </c>
      <c r="L5508" s="6" t="s">
        <v>62</v>
      </c>
      <c r="M5508" s="6" t="s">
        <v>1421</v>
      </c>
      <c r="N5508" s="6"/>
      <c r="O5508" s="36" t="s">
        <v>7541</v>
      </c>
      <c r="P5508" s="36" t="s">
        <v>7542</v>
      </c>
      <c r="Q5508" s="38"/>
    </row>
    <row r="5509">
      <c r="A5509" s="6" t="s">
        <v>1421</v>
      </c>
      <c r="B5509" s="6" t="s">
        <v>8395</v>
      </c>
      <c r="C5509" s="6">
        <v>491.0</v>
      </c>
      <c r="D5509" s="9" t="str">
        <f t="shared" ref="D5509:D5510" si="1634">HYPERLINK("https://www.linkedin.com/ad-library/detail/717268424","Open Ad")</f>
        <v>Open Ad</v>
      </c>
      <c r="E5509" s="6" t="s">
        <v>91</v>
      </c>
      <c r="F5509" s="6" t="s">
        <v>8022</v>
      </c>
      <c r="G5509" s="6" t="s">
        <v>8577</v>
      </c>
      <c r="H5509" s="6" t="s">
        <v>55</v>
      </c>
      <c r="I5509" s="6" t="s">
        <v>8397</v>
      </c>
      <c r="J5509" s="6" t="s">
        <v>91</v>
      </c>
      <c r="K5509" s="12" t="str">
        <f t="shared" ref="K5509:K5510" si="1635">HYPERLINK("https://media.licdn.com/dms/image/v2/D5622AQFlbFo3BD0nxQ/feedshare-image-high-res/B56ZgzI5UAH0Aw-/0/1753204628171?e=2147483647&amp;v=beta&amp;t=CnfW-88fgxbB_dMrac-iwuzMh5t-oE_gZpyB6igmHhg","View Creative")</f>
        <v>View Creative</v>
      </c>
      <c r="L5509" s="6" t="s">
        <v>62</v>
      </c>
      <c r="M5509" s="6" t="s">
        <v>1421</v>
      </c>
      <c r="N5509" s="6"/>
      <c r="O5509" s="36" t="s">
        <v>7541</v>
      </c>
      <c r="P5509" s="36" t="s">
        <v>7542</v>
      </c>
      <c r="Q5509" s="38"/>
    </row>
    <row r="5510">
      <c r="A5510" s="6" t="s">
        <v>1421</v>
      </c>
      <c r="B5510" s="6" t="s">
        <v>8395</v>
      </c>
      <c r="C5510" s="6">
        <v>492.0</v>
      </c>
      <c r="D5510" s="9" t="str">
        <f t="shared" si="1634"/>
        <v>Open Ad</v>
      </c>
      <c r="E5510" s="6" t="s">
        <v>91</v>
      </c>
      <c r="F5510" s="6" t="s">
        <v>8022</v>
      </c>
      <c r="G5510" s="6" t="s">
        <v>8577</v>
      </c>
      <c r="H5510" s="6" t="s">
        <v>55</v>
      </c>
      <c r="I5510" s="6" t="s">
        <v>8397</v>
      </c>
      <c r="J5510" s="6" t="s">
        <v>91</v>
      </c>
      <c r="K5510" s="12" t="str">
        <f t="shared" si="1635"/>
        <v>View Creative</v>
      </c>
      <c r="L5510" s="6" t="s">
        <v>62</v>
      </c>
      <c r="M5510" s="6" t="s">
        <v>1421</v>
      </c>
      <c r="N5510" s="6"/>
      <c r="O5510" s="36" t="s">
        <v>7541</v>
      </c>
      <c r="P5510" s="36" t="s">
        <v>7542</v>
      </c>
      <c r="Q5510" s="38"/>
    </row>
    <row r="5511">
      <c r="A5511" s="6" t="s">
        <v>1421</v>
      </c>
      <c r="B5511" s="6" t="s">
        <v>8395</v>
      </c>
      <c r="C5511" s="6">
        <v>493.0</v>
      </c>
      <c r="D5511" s="9" t="str">
        <f t="shared" ref="D5511:D5512" si="1636">HYPERLINK("https://www.linkedin.com/ad-library/detail/751027434","Open Ad")</f>
        <v>Open Ad</v>
      </c>
      <c r="E5511" s="6" t="s">
        <v>91</v>
      </c>
      <c r="F5511" s="6" t="s">
        <v>8022</v>
      </c>
      <c r="G5511" s="6" t="s">
        <v>8578</v>
      </c>
      <c r="H5511" s="6" t="s">
        <v>55</v>
      </c>
      <c r="I5511" s="6" t="s">
        <v>8397</v>
      </c>
      <c r="J5511" s="6" t="s">
        <v>91</v>
      </c>
      <c r="K5511" s="12" t="str">
        <f t="shared" ref="K5511:K5512" si="1637">HYPERLINK("https://media.licdn.com/dms/image/v2/D4E22AQF5Zr2x_cy2Pg/feedshare-image-high-res/B4EZic3kQrGYAs-/0/1754978473506?e=2147483647&amp;v=beta&amp;t=Ue3pAVpPAZS6OCWs9RVZk0HRGA_CdSk95NYWiBjS7DU","View Creative")</f>
        <v>View Creative</v>
      </c>
      <c r="L5511" s="6" t="s">
        <v>62</v>
      </c>
      <c r="M5511" s="6" t="s">
        <v>1421</v>
      </c>
      <c r="N5511" s="6"/>
      <c r="O5511" s="36" t="s">
        <v>7541</v>
      </c>
      <c r="P5511" s="36" t="s">
        <v>7542</v>
      </c>
      <c r="Q5511" s="38"/>
    </row>
    <row r="5512">
      <c r="A5512" s="6" t="s">
        <v>1421</v>
      </c>
      <c r="B5512" s="6" t="s">
        <v>8395</v>
      </c>
      <c r="C5512" s="6">
        <v>494.0</v>
      </c>
      <c r="D5512" s="9" t="str">
        <f t="shared" si="1636"/>
        <v>Open Ad</v>
      </c>
      <c r="E5512" s="6" t="s">
        <v>91</v>
      </c>
      <c r="F5512" s="6" t="s">
        <v>8022</v>
      </c>
      <c r="G5512" s="6" t="s">
        <v>8578</v>
      </c>
      <c r="H5512" s="6" t="s">
        <v>55</v>
      </c>
      <c r="I5512" s="6" t="s">
        <v>8397</v>
      </c>
      <c r="J5512" s="6" t="s">
        <v>91</v>
      </c>
      <c r="K5512" s="12" t="str">
        <f t="shared" si="1637"/>
        <v>View Creative</v>
      </c>
      <c r="L5512" s="6" t="s">
        <v>62</v>
      </c>
      <c r="M5512" s="6" t="s">
        <v>1421</v>
      </c>
      <c r="N5512" s="6"/>
      <c r="O5512" s="36" t="s">
        <v>7541</v>
      </c>
      <c r="P5512" s="36" t="s">
        <v>7542</v>
      </c>
      <c r="Q5512" s="38"/>
    </row>
    <row r="5513">
      <c r="A5513" s="6" t="s">
        <v>1421</v>
      </c>
      <c r="B5513" s="6" t="s">
        <v>8395</v>
      </c>
      <c r="C5513" s="6">
        <v>495.0</v>
      </c>
      <c r="D5513" s="9" t="str">
        <f t="shared" ref="D5513:D5514" si="1638">HYPERLINK("https://www.linkedin.com/ad-library/detail/839185724","Open Ad")</f>
        <v>Open Ad</v>
      </c>
      <c r="E5513" s="6" t="s">
        <v>91</v>
      </c>
      <c r="F5513" s="6" t="s">
        <v>8022</v>
      </c>
      <c r="G5513" s="6" t="s">
        <v>8453</v>
      </c>
      <c r="H5513" s="6" t="s">
        <v>55</v>
      </c>
      <c r="I5513" s="6" t="s">
        <v>8397</v>
      </c>
      <c r="J5513" s="6" t="s">
        <v>91</v>
      </c>
      <c r="K5513" s="12" t="str">
        <f t="shared" ref="K5513:K5514" si="1639">HYPERLINK("https://media.licdn.com/dms/image/v2/D5622AQGo9_bFMxOuLA/feedshare-image-high-res/B56Zl3NffVJoAo-/0/1758641650656?e=2147483647&amp;v=beta&amp;t=nc7qQvk9vZoL1vbnj6_lM6slAxYZ8frA_D4qnCfNKmc","View Creative")</f>
        <v>View Creative</v>
      </c>
      <c r="L5513" s="6" t="s">
        <v>62</v>
      </c>
      <c r="M5513" s="6" t="s">
        <v>1421</v>
      </c>
      <c r="N5513" s="6"/>
      <c r="O5513" s="36" t="s">
        <v>7541</v>
      </c>
      <c r="P5513" s="36" t="s">
        <v>7542</v>
      </c>
      <c r="Q5513" s="38"/>
    </row>
    <row r="5514">
      <c r="A5514" s="6" t="s">
        <v>1421</v>
      </c>
      <c r="B5514" s="6" t="s">
        <v>8395</v>
      </c>
      <c r="C5514" s="6">
        <v>496.0</v>
      </c>
      <c r="D5514" s="9" t="str">
        <f t="shared" si="1638"/>
        <v>Open Ad</v>
      </c>
      <c r="E5514" s="6" t="s">
        <v>91</v>
      </c>
      <c r="F5514" s="6" t="s">
        <v>8022</v>
      </c>
      <c r="G5514" s="6" t="s">
        <v>8453</v>
      </c>
      <c r="H5514" s="6" t="s">
        <v>55</v>
      </c>
      <c r="I5514" s="6" t="s">
        <v>8397</v>
      </c>
      <c r="J5514" s="6" t="s">
        <v>91</v>
      </c>
      <c r="K5514" s="12" t="str">
        <f t="shared" si="1639"/>
        <v>View Creative</v>
      </c>
      <c r="L5514" s="6" t="s">
        <v>62</v>
      </c>
      <c r="M5514" s="6" t="s">
        <v>1421</v>
      </c>
      <c r="N5514" s="6"/>
      <c r="O5514" s="36" t="s">
        <v>7541</v>
      </c>
      <c r="P5514" s="36" t="s">
        <v>7542</v>
      </c>
      <c r="Q5514" s="38"/>
    </row>
    <row r="5515">
      <c r="A5515" s="6" t="s">
        <v>1421</v>
      </c>
      <c r="B5515" s="6" t="s">
        <v>8395</v>
      </c>
      <c r="C5515" s="6">
        <v>497.0</v>
      </c>
      <c r="D5515" s="9" t="str">
        <f t="shared" ref="D5515:D5516" si="1640">HYPERLINK("https://www.linkedin.com/ad-library/detail/733534074","Open Ad")</f>
        <v>Open Ad</v>
      </c>
      <c r="E5515" s="6" t="s">
        <v>154</v>
      </c>
      <c r="F5515" s="6" t="s">
        <v>8022</v>
      </c>
      <c r="G5515" s="6" t="s">
        <v>8570</v>
      </c>
      <c r="H5515" s="6" t="s">
        <v>55</v>
      </c>
      <c r="I5515" s="6" t="s">
        <v>8397</v>
      </c>
      <c r="J5515" s="6" t="s">
        <v>154</v>
      </c>
      <c r="K5515" s="12" t="str">
        <f t="shared" ref="K5515:K5516" si="1641">HYPERLINK("https://dms.licdn.com/playlist/vid/v2/D4E10AQEC8MzxyGDASQ/mp4-720p-30fp-crf28/B4EZiuHy6WHgCQ-/0/1755267937931/2507-Srunch-LinkedInAds-Vertical-KG-C-03mp4?e=2147483647&amp;v=beta&amp;t=8Vg6MQTRvV8eo0R8jURKQ_dHeY5XbkttAnVm7qX5opQ","View Creative")</f>
        <v>View Creative</v>
      </c>
      <c r="L5515" s="6" t="s">
        <v>62</v>
      </c>
      <c r="M5515" s="6" t="s">
        <v>1421</v>
      </c>
      <c r="N5515" s="6"/>
      <c r="O5515" s="36" t="s">
        <v>7541</v>
      </c>
      <c r="P5515" s="36" t="s">
        <v>7542</v>
      </c>
      <c r="Q5515" s="38"/>
    </row>
    <row r="5516">
      <c r="A5516" s="6" t="s">
        <v>1421</v>
      </c>
      <c r="B5516" s="6" t="s">
        <v>8395</v>
      </c>
      <c r="C5516" s="6">
        <v>498.0</v>
      </c>
      <c r="D5516" s="9" t="str">
        <f t="shared" si="1640"/>
        <v>Open Ad</v>
      </c>
      <c r="E5516" s="6" t="s">
        <v>154</v>
      </c>
      <c r="F5516" s="6" t="s">
        <v>8022</v>
      </c>
      <c r="G5516" s="6" t="s">
        <v>8570</v>
      </c>
      <c r="H5516" s="6" t="s">
        <v>55</v>
      </c>
      <c r="I5516" s="6" t="s">
        <v>8397</v>
      </c>
      <c r="J5516" s="6" t="s">
        <v>154</v>
      </c>
      <c r="K5516" s="12" t="str">
        <f t="shared" si="1641"/>
        <v>View Creative</v>
      </c>
      <c r="L5516" s="6" t="s">
        <v>62</v>
      </c>
      <c r="M5516" s="6" t="s">
        <v>1421</v>
      </c>
      <c r="N5516" s="6"/>
      <c r="O5516" s="36" t="s">
        <v>7541</v>
      </c>
      <c r="P5516" s="36" t="s">
        <v>7542</v>
      </c>
      <c r="Q5516" s="38"/>
    </row>
    <row r="5517">
      <c r="A5517" s="6" t="s">
        <v>1421</v>
      </c>
      <c r="B5517" s="6" t="s">
        <v>8395</v>
      </c>
      <c r="C5517" s="6">
        <v>499.0</v>
      </c>
      <c r="D5517" s="9" t="str">
        <f>HYPERLINK("https://www.linkedin.com/ad-library/detail/827057394","Open Ad")</f>
        <v>Open Ad</v>
      </c>
      <c r="E5517" s="6" t="s">
        <v>52</v>
      </c>
      <c r="F5517" s="6" t="s">
        <v>8022</v>
      </c>
      <c r="G5517" s="6" t="s">
        <v>8465</v>
      </c>
      <c r="H5517" s="6" t="s">
        <v>8431</v>
      </c>
      <c r="I5517" s="6" t="s">
        <v>8397</v>
      </c>
      <c r="J5517" s="6" t="s">
        <v>52</v>
      </c>
      <c r="K5517" s="6" t="s">
        <v>60</v>
      </c>
      <c r="L5517" s="6" t="s">
        <v>62</v>
      </c>
      <c r="M5517" s="6" t="s">
        <v>1421</v>
      </c>
      <c r="N5517" s="6"/>
      <c r="O5517" s="36" t="s">
        <v>7541</v>
      </c>
      <c r="P5517" s="36" t="s">
        <v>7542</v>
      </c>
      <c r="Q5517" s="38"/>
    </row>
    <row r="5518">
      <c r="A5518" s="6" t="s">
        <v>1421</v>
      </c>
      <c r="B5518" s="6" t="s">
        <v>8395</v>
      </c>
      <c r="C5518" s="6">
        <v>500.0</v>
      </c>
      <c r="D5518" s="9" t="str">
        <f t="shared" ref="D5518:D5519" si="1642">HYPERLINK("https://www.linkedin.com/ad-library/detail/714549414","Open Ad")</f>
        <v>Open Ad</v>
      </c>
      <c r="E5518" s="6" t="s">
        <v>91</v>
      </c>
      <c r="F5518" s="6" t="s">
        <v>8022</v>
      </c>
      <c r="G5518" s="6" t="s">
        <v>8579</v>
      </c>
      <c r="H5518" s="6" t="s">
        <v>55</v>
      </c>
      <c r="I5518" s="6" t="s">
        <v>8397</v>
      </c>
      <c r="J5518" s="6" t="s">
        <v>91</v>
      </c>
      <c r="K5518" s="12" t="str">
        <f t="shared" ref="K5518:K5519" si="1643">HYPERLINK("https://media.licdn.com/dms/image/v2/D5622AQEdUYi2Mmt7FA/feedshare-shrink_1280/B56ZfsDWLMHcAk-/0/1752011990078?e=2147483647&amp;v=beta&amp;t=B-3cl1jFTH21GNSXrn8g-byz8Q1KMuwCASCphVW_uxM","View Creative")</f>
        <v>View Creative</v>
      </c>
      <c r="L5518" s="6" t="s">
        <v>62</v>
      </c>
      <c r="M5518" s="6" t="s">
        <v>1421</v>
      </c>
      <c r="N5518" s="6"/>
      <c r="O5518" s="36" t="s">
        <v>7541</v>
      </c>
      <c r="P5518" s="36" t="s">
        <v>7542</v>
      </c>
      <c r="Q5518" s="38"/>
    </row>
    <row r="5519">
      <c r="A5519" s="6" t="s">
        <v>1421</v>
      </c>
      <c r="B5519" s="6" t="s">
        <v>8395</v>
      </c>
      <c r="C5519" s="6">
        <v>501.0</v>
      </c>
      <c r="D5519" s="9" t="str">
        <f t="shared" si="1642"/>
        <v>Open Ad</v>
      </c>
      <c r="E5519" s="6" t="s">
        <v>91</v>
      </c>
      <c r="F5519" s="6" t="s">
        <v>8022</v>
      </c>
      <c r="G5519" s="6" t="s">
        <v>8579</v>
      </c>
      <c r="H5519" s="6" t="s">
        <v>55</v>
      </c>
      <c r="I5519" s="6" t="s">
        <v>8397</v>
      </c>
      <c r="J5519" s="6" t="s">
        <v>91</v>
      </c>
      <c r="K5519" s="12" t="str">
        <f t="shared" si="1643"/>
        <v>View Creative</v>
      </c>
      <c r="L5519" s="6" t="s">
        <v>62</v>
      </c>
      <c r="M5519" s="6" t="s">
        <v>1421</v>
      </c>
      <c r="N5519" s="6"/>
      <c r="O5519" s="36" t="s">
        <v>7541</v>
      </c>
      <c r="P5519" s="36" t="s">
        <v>7542</v>
      </c>
      <c r="Q5519" s="38"/>
    </row>
    <row r="5520">
      <c r="A5520" s="6"/>
      <c r="B5520" s="6"/>
      <c r="C5520" s="6"/>
      <c r="E5520" s="6"/>
      <c r="F5520" s="6"/>
      <c r="G5520" s="6"/>
      <c r="H5520" s="6"/>
      <c r="I5520" s="6"/>
      <c r="J5520" s="6"/>
      <c r="K5520" s="6"/>
      <c r="L5520" s="6"/>
      <c r="M5520" s="6"/>
      <c r="N5520" s="6"/>
      <c r="O5520" s="36"/>
      <c r="P5520" s="36"/>
      <c r="Q5520" s="38"/>
    </row>
    <row r="5521">
      <c r="A5521" s="6" t="s">
        <v>7390</v>
      </c>
      <c r="B5521" s="6" t="s">
        <v>8580</v>
      </c>
      <c r="C5521" s="6">
        <v>1.0</v>
      </c>
      <c r="D5521" s="9" t="str">
        <f t="shared" ref="D5521:D5522" si="1644">HYPERLINK("https://www.linkedin.com/ad-library/detail/1515868463","Open Ad")</f>
        <v>Open Ad</v>
      </c>
      <c r="E5521" s="6" t="s">
        <v>154</v>
      </c>
      <c r="F5521" s="6" t="s">
        <v>8022</v>
      </c>
      <c r="G5521" s="6" t="s">
        <v>8581</v>
      </c>
      <c r="H5521" s="6" t="s">
        <v>769</v>
      </c>
      <c r="I5521" s="6" t="s">
        <v>8582</v>
      </c>
      <c r="J5521" s="6" t="s">
        <v>154</v>
      </c>
      <c r="K5521" s="12" t="str">
        <f t="shared" ref="K5521:K5522" si="1645">HYPERLINK("https://dms.licdn.com/playlist/vid/v2/D4D10AQGPdE3l1cbdwQ/mp4-360p-30fp-crf28/B4DaBhk_8wK4CE-/0/1788343487038?e=2147483647&amp;v=beta&amp;t=O_9_GPEbMg84wA117RFCK4ur1rHqUtKhG-KwhsZlNkQ","View Creative")</f>
        <v>View Creative</v>
      </c>
      <c r="L5521" s="6" t="s">
        <v>62</v>
      </c>
      <c r="M5521" s="6" t="s">
        <v>7390</v>
      </c>
      <c r="N5521" s="6" t="s">
        <v>8583</v>
      </c>
      <c r="O5521" s="36" t="s">
        <v>7541</v>
      </c>
      <c r="P5521" s="36" t="s">
        <v>7542</v>
      </c>
      <c r="Q5521" s="38"/>
    </row>
    <row r="5522">
      <c r="A5522" s="6" t="s">
        <v>7390</v>
      </c>
      <c r="B5522" s="6" t="s">
        <v>8580</v>
      </c>
      <c r="C5522" s="6">
        <v>2.0</v>
      </c>
      <c r="D5522" s="9" t="str">
        <f t="shared" si="1644"/>
        <v>Open Ad</v>
      </c>
      <c r="E5522" s="6" t="s">
        <v>154</v>
      </c>
      <c r="F5522" s="6" t="s">
        <v>8022</v>
      </c>
      <c r="G5522" s="6" t="s">
        <v>8581</v>
      </c>
      <c r="H5522" s="6" t="s">
        <v>769</v>
      </c>
      <c r="I5522" s="6" t="s">
        <v>8582</v>
      </c>
      <c r="J5522" s="6" t="s">
        <v>154</v>
      </c>
      <c r="K5522" s="12" t="str">
        <f t="shared" si="1645"/>
        <v>View Creative</v>
      </c>
      <c r="L5522" s="6" t="s">
        <v>62</v>
      </c>
      <c r="M5522" s="6" t="s">
        <v>7390</v>
      </c>
      <c r="N5522" s="6" t="s">
        <v>8583</v>
      </c>
      <c r="O5522" s="36" t="s">
        <v>7541</v>
      </c>
      <c r="P5522" s="36" t="s">
        <v>7542</v>
      </c>
      <c r="Q5522" s="38"/>
    </row>
    <row r="5523">
      <c r="A5523" s="6" t="s">
        <v>7390</v>
      </c>
      <c r="B5523" s="6" t="s">
        <v>8580</v>
      </c>
      <c r="C5523" s="6">
        <v>3.0</v>
      </c>
      <c r="D5523" s="9" t="str">
        <f t="shared" ref="D5523:D5524" si="1646">HYPERLINK("https://www.linkedin.com/ad-library/detail/1470855033","Open Ad")</f>
        <v>Open Ad</v>
      </c>
      <c r="E5523" s="6" t="s">
        <v>91</v>
      </c>
      <c r="F5523" s="6" t="s">
        <v>8022</v>
      </c>
      <c r="G5523" s="6" t="s">
        <v>8584</v>
      </c>
      <c r="H5523" s="6" t="s">
        <v>55</v>
      </c>
      <c r="I5523" s="6" t="s">
        <v>8582</v>
      </c>
      <c r="J5523" s="6" t="s">
        <v>91</v>
      </c>
      <c r="K5523" s="12" t="str">
        <f t="shared" ref="K5523:K5524" si="1647">HYPERLINK("https://media.licdn.com/dms/image/v2/D4D22AQG1s-QCqO0wdA/feedshare-shrink_1280/B4DZ.xvQc3GkAM-/0/1785393383576?e=2147483647&amp;v=beta&amp;t=F1wz6wwJB6n8BgupM_ytBr8jfPYyU3ney1glc9FdLnU","View Creative")</f>
        <v>View Creative</v>
      </c>
      <c r="L5523" s="6" t="s">
        <v>62</v>
      </c>
      <c r="M5523" s="6" t="s">
        <v>7390</v>
      </c>
      <c r="N5523" s="6" t="s">
        <v>8585</v>
      </c>
      <c r="O5523" s="36" t="s">
        <v>7541</v>
      </c>
      <c r="P5523" s="36" t="s">
        <v>7542</v>
      </c>
      <c r="Q5523" s="38"/>
    </row>
    <row r="5524">
      <c r="A5524" s="6" t="s">
        <v>7390</v>
      </c>
      <c r="B5524" s="6" t="s">
        <v>8580</v>
      </c>
      <c r="C5524" s="6">
        <v>4.0</v>
      </c>
      <c r="D5524" s="9" t="str">
        <f t="shared" si="1646"/>
        <v>Open Ad</v>
      </c>
      <c r="E5524" s="6" t="s">
        <v>91</v>
      </c>
      <c r="F5524" s="6" t="s">
        <v>8022</v>
      </c>
      <c r="G5524" s="6" t="s">
        <v>8584</v>
      </c>
      <c r="H5524" s="6" t="s">
        <v>55</v>
      </c>
      <c r="I5524" s="6" t="s">
        <v>8582</v>
      </c>
      <c r="J5524" s="6" t="s">
        <v>91</v>
      </c>
      <c r="K5524" s="12" t="str">
        <f t="shared" si="1647"/>
        <v>View Creative</v>
      </c>
      <c r="L5524" s="6" t="s">
        <v>62</v>
      </c>
      <c r="M5524" s="6" t="s">
        <v>7390</v>
      </c>
      <c r="N5524" s="6" t="s">
        <v>8585</v>
      </c>
      <c r="O5524" s="36" t="s">
        <v>7541</v>
      </c>
      <c r="P5524" s="36" t="s">
        <v>7542</v>
      </c>
      <c r="Q5524" s="38"/>
    </row>
    <row r="5525">
      <c r="A5525" s="6" t="s">
        <v>7390</v>
      </c>
      <c r="B5525" s="6" t="s">
        <v>8580</v>
      </c>
      <c r="C5525" s="6">
        <v>5.0</v>
      </c>
      <c r="D5525" s="9" t="str">
        <f t="shared" ref="D5525:D5526" si="1648">HYPERLINK("https://www.linkedin.com/ad-library/detail/1478770513","Open Ad")</f>
        <v>Open Ad</v>
      </c>
      <c r="E5525" s="6" t="s">
        <v>91</v>
      </c>
      <c r="F5525" s="6" t="s">
        <v>8022</v>
      </c>
      <c r="G5525" s="6" t="s">
        <v>8586</v>
      </c>
      <c r="H5525" s="6" t="s">
        <v>8587</v>
      </c>
      <c r="I5525" s="6" t="s">
        <v>8582</v>
      </c>
      <c r="J5525" s="6" t="s">
        <v>91</v>
      </c>
      <c r="K5525" s="12" t="str">
        <f t="shared" ref="K5525:K5526" si="1649">HYPERLINK("https://media.licdn.com/dms/image/v2/D4E22AQFxIKvDWa1C-Q/feedshare-image-high-res/B4EZ_57hDtHwAU-/0/1786604556810?e=2147483647&amp;v=beta&amp;t=shbWhPpciIQGLQ3uwpfap1bVvkbPPfGlMF0Af7MK4eQ","View Creative")</f>
        <v>View Creative</v>
      </c>
      <c r="L5525" s="6" t="s">
        <v>62</v>
      </c>
      <c r="M5525" s="6" t="s">
        <v>7390</v>
      </c>
      <c r="N5525" s="6" t="s">
        <v>8588</v>
      </c>
      <c r="O5525" s="36" t="s">
        <v>7541</v>
      </c>
      <c r="P5525" s="36" t="s">
        <v>7542</v>
      </c>
      <c r="Q5525" s="38"/>
    </row>
    <row r="5526">
      <c r="A5526" s="6" t="s">
        <v>7390</v>
      </c>
      <c r="B5526" s="6" t="s">
        <v>8580</v>
      </c>
      <c r="C5526" s="6">
        <v>6.0</v>
      </c>
      <c r="D5526" s="9" t="str">
        <f t="shared" si="1648"/>
        <v>Open Ad</v>
      </c>
      <c r="E5526" s="6" t="s">
        <v>91</v>
      </c>
      <c r="F5526" s="6" t="s">
        <v>8022</v>
      </c>
      <c r="G5526" s="6" t="s">
        <v>8586</v>
      </c>
      <c r="H5526" s="6" t="s">
        <v>8587</v>
      </c>
      <c r="I5526" s="6" t="s">
        <v>8582</v>
      </c>
      <c r="J5526" s="6" t="s">
        <v>91</v>
      </c>
      <c r="K5526" s="12" t="str">
        <f t="shared" si="1649"/>
        <v>View Creative</v>
      </c>
      <c r="L5526" s="6" t="s">
        <v>62</v>
      </c>
      <c r="M5526" s="6" t="s">
        <v>7390</v>
      </c>
      <c r="N5526" s="6" t="s">
        <v>8588</v>
      </c>
      <c r="O5526" s="36" t="s">
        <v>7541</v>
      </c>
      <c r="P5526" s="36" t="s">
        <v>7542</v>
      </c>
      <c r="Q5526" s="38"/>
    </row>
    <row r="5527">
      <c r="A5527" s="6" t="s">
        <v>7390</v>
      </c>
      <c r="B5527" s="6" t="s">
        <v>8580</v>
      </c>
      <c r="C5527" s="6">
        <v>7.0</v>
      </c>
      <c r="D5527" s="9" t="str">
        <f t="shared" ref="D5527:D5528" si="1650">HYPERLINK("https://www.linkedin.com/ad-library/detail/1516081103","Open Ad")</f>
        <v>Open Ad</v>
      </c>
      <c r="E5527" s="6" t="s">
        <v>154</v>
      </c>
      <c r="F5527" s="6" t="s">
        <v>8022</v>
      </c>
      <c r="G5527" s="6" t="s">
        <v>8581</v>
      </c>
      <c r="H5527" s="6" t="s">
        <v>769</v>
      </c>
      <c r="I5527" s="6" t="s">
        <v>8582</v>
      </c>
      <c r="J5527" s="6" t="s">
        <v>154</v>
      </c>
      <c r="K5527" s="12" t="str">
        <f t="shared" ref="K5527:K5528" si="1651">HYPERLINK("https://dms.licdn.com/playlist/vid/v2/D4D10AQGitfdLiipwsQ/mp4-640p-30fp-crf28/B4DaBhlAzyJwBo-/0/1788343491889?e=2147483647&amp;v=beta&amp;t=lmAQT94FCGmRMR5QcJ9TElXKqQYTsLrDyscjtMvhAwc","View Creative")</f>
        <v>View Creative</v>
      </c>
      <c r="L5527" s="6" t="s">
        <v>62</v>
      </c>
      <c r="M5527" s="6" t="s">
        <v>7390</v>
      </c>
      <c r="N5527" s="6" t="s">
        <v>8583</v>
      </c>
      <c r="O5527" s="36" t="s">
        <v>7541</v>
      </c>
      <c r="P5527" s="36" t="s">
        <v>7542</v>
      </c>
      <c r="Q5527" s="38"/>
    </row>
    <row r="5528">
      <c r="A5528" s="6" t="s">
        <v>7390</v>
      </c>
      <c r="B5528" s="6" t="s">
        <v>8580</v>
      </c>
      <c r="C5528" s="6">
        <v>8.0</v>
      </c>
      <c r="D5528" s="9" t="str">
        <f t="shared" si="1650"/>
        <v>Open Ad</v>
      </c>
      <c r="E5528" s="6" t="s">
        <v>154</v>
      </c>
      <c r="F5528" s="6" t="s">
        <v>8022</v>
      </c>
      <c r="G5528" s="6" t="s">
        <v>8581</v>
      </c>
      <c r="H5528" s="6" t="s">
        <v>769</v>
      </c>
      <c r="I5528" s="6" t="s">
        <v>8582</v>
      </c>
      <c r="J5528" s="6" t="s">
        <v>154</v>
      </c>
      <c r="K5528" s="12" t="str">
        <f t="shared" si="1651"/>
        <v>View Creative</v>
      </c>
      <c r="L5528" s="6" t="s">
        <v>62</v>
      </c>
      <c r="M5528" s="6" t="s">
        <v>7390</v>
      </c>
      <c r="N5528" s="6" t="s">
        <v>8583</v>
      </c>
      <c r="O5528" s="36" t="s">
        <v>7541</v>
      </c>
      <c r="P5528" s="36" t="s">
        <v>7542</v>
      </c>
      <c r="Q5528" s="38"/>
    </row>
    <row r="5529">
      <c r="A5529" s="6" t="s">
        <v>7390</v>
      </c>
      <c r="B5529" s="6" t="s">
        <v>8580</v>
      </c>
      <c r="C5529" s="6">
        <v>9.0</v>
      </c>
      <c r="D5529" s="9" t="str">
        <f t="shared" ref="D5529:D5530" si="1652">HYPERLINK("https://www.linkedin.com/ad-library/detail/1470875023","Open Ad")</f>
        <v>Open Ad</v>
      </c>
      <c r="E5529" s="6" t="s">
        <v>91</v>
      </c>
      <c r="F5529" s="6" t="s">
        <v>8022</v>
      </c>
      <c r="G5529" s="6" t="s">
        <v>8589</v>
      </c>
      <c r="H5529" s="6" t="s">
        <v>55</v>
      </c>
      <c r="I5529" s="6" t="s">
        <v>8582</v>
      </c>
      <c r="J5529" s="6" t="s">
        <v>91</v>
      </c>
      <c r="K5529" s="12" t="str">
        <f t="shared" ref="K5529:K5530" si="1653">HYPERLINK("https://media.licdn.com/dms/image/v2/D4D22AQHtFrM-7FX4iQ/feedshare-shrink_1280/B4DZ9_MI29IEAU-/0/1784545316548?e=2147483647&amp;v=beta&amp;t=MgHCpObd6SQtVcqyN4IwFY3bchn5jwwSdUFJhQxAolw","View Creative")</f>
        <v>View Creative</v>
      </c>
      <c r="L5529" s="6" t="s">
        <v>62</v>
      </c>
      <c r="M5529" s="6" t="s">
        <v>7390</v>
      </c>
      <c r="N5529" s="6" t="s">
        <v>8585</v>
      </c>
      <c r="O5529" s="36" t="s">
        <v>7541</v>
      </c>
      <c r="P5529" s="36" t="s">
        <v>7542</v>
      </c>
      <c r="Q5529" s="38"/>
    </row>
    <row r="5530">
      <c r="A5530" s="6" t="s">
        <v>7390</v>
      </c>
      <c r="B5530" s="6" t="s">
        <v>8580</v>
      </c>
      <c r="C5530" s="6">
        <v>10.0</v>
      </c>
      <c r="D5530" s="9" t="str">
        <f t="shared" si="1652"/>
        <v>Open Ad</v>
      </c>
      <c r="E5530" s="6" t="s">
        <v>91</v>
      </c>
      <c r="F5530" s="6" t="s">
        <v>8022</v>
      </c>
      <c r="G5530" s="6" t="s">
        <v>8589</v>
      </c>
      <c r="H5530" s="6" t="s">
        <v>55</v>
      </c>
      <c r="I5530" s="6" t="s">
        <v>8582</v>
      </c>
      <c r="J5530" s="6" t="s">
        <v>91</v>
      </c>
      <c r="K5530" s="12" t="str">
        <f t="shared" si="1653"/>
        <v>View Creative</v>
      </c>
      <c r="L5530" s="6" t="s">
        <v>62</v>
      </c>
      <c r="M5530" s="6" t="s">
        <v>7390</v>
      </c>
      <c r="N5530" s="6" t="s">
        <v>8585</v>
      </c>
      <c r="O5530" s="36" t="s">
        <v>7541</v>
      </c>
      <c r="P5530" s="36" t="s">
        <v>7542</v>
      </c>
      <c r="Q5530" s="38"/>
    </row>
    <row r="5531">
      <c r="A5531" s="6" t="s">
        <v>7390</v>
      </c>
      <c r="B5531" s="6" t="s">
        <v>8580</v>
      </c>
      <c r="C5531" s="6">
        <v>11.0</v>
      </c>
      <c r="D5531" s="9" t="str">
        <f t="shared" ref="D5531:D5532" si="1654">HYPERLINK("https://www.linkedin.com/ad-library/detail/1471084963","Open Ad")</f>
        <v>Open Ad</v>
      </c>
      <c r="E5531" s="6" t="s">
        <v>154</v>
      </c>
      <c r="F5531" s="6" t="s">
        <v>8022</v>
      </c>
      <c r="G5531" s="6" t="s">
        <v>8590</v>
      </c>
      <c r="H5531" s="6" t="s">
        <v>55</v>
      </c>
      <c r="I5531" s="6" t="s">
        <v>8582</v>
      </c>
      <c r="J5531" s="6" t="s">
        <v>154</v>
      </c>
      <c r="K5531" s="12" t="str">
        <f t="shared" ref="K5531:K5532" si="1655">HYPERLINK("https://dms.licdn.com/playlist/vid/v2/D4D05AQHNyhk0J9XE1Q/mp4-720p-30fp-crf28/B4DZ_GaJxrI8B8-/0/1785740176767?e=2147483647&amp;v=beta&amp;t=PafQyKwWs_p5643Ed-YNIf6RZbqHFcRgM2_2l7K5Jhk","View Creative")</f>
        <v>View Creative</v>
      </c>
      <c r="L5531" s="6" t="s">
        <v>62</v>
      </c>
      <c r="M5531" s="6" t="s">
        <v>7390</v>
      </c>
      <c r="N5531" s="6" t="s">
        <v>8585</v>
      </c>
      <c r="O5531" s="36" t="s">
        <v>7541</v>
      </c>
      <c r="P5531" s="36" t="s">
        <v>7542</v>
      </c>
      <c r="Q5531" s="38"/>
    </row>
    <row r="5532">
      <c r="A5532" s="6" t="s">
        <v>7390</v>
      </c>
      <c r="B5532" s="6" t="s">
        <v>8580</v>
      </c>
      <c r="C5532" s="6">
        <v>12.0</v>
      </c>
      <c r="D5532" s="9" t="str">
        <f t="shared" si="1654"/>
        <v>Open Ad</v>
      </c>
      <c r="E5532" s="6" t="s">
        <v>154</v>
      </c>
      <c r="F5532" s="6" t="s">
        <v>8022</v>
      </c>
      <c r="G5532" s="6" t="s">
        <v>8590</v>
      </c>
      <c r="H5532" s="6" t="s">
        <v>55</v>
      </c>
      <c r="I5532" s="6" t="s">
        <v>8582</v>
      </c>
      <c r="J5532" s="6" t="s">
        <v>154</v>
      </c>
      <c r="K5532" s="12" t="str">
        <f t="shared" si="1655"/>
        <v>View Creative</v>
      </c>
      <c r="L5532" s="6" t="s">
        <v>62</v>
      </c>
      <c r="M5532" s="6" t="s">
        <v>7390</v>
      </c>
      <c r="N5532" s="6" t="s">
        <v>8585</v>
      </c>
      <c r="O5532" s="36" t="s">
        <v>7541</v>
      </c>
      <c r="P5532" s="36" t="s">
        <v>7542</v>
      </c>
      <c r="Q5532" s="38"/>
    </row>
    <row r="5533">
      <c r="A5533" s="6" t="s">
        <v>7390</v>
      </c>
      <c r="B5533" s="6" t="s">
        <v>8580</v>
      </c>
      <c r="C5533" s="6">
        <v>13.0</v>
      </c>
      <c r="D5533" s="9" t="str">
        <f t="shared" ref="D5533:D5534" si="1656">HYPERLINK("https://www.linkedin.com/ad-library/detail/1470875033","Open Ad")</f>
        <v>Open Ad</v>
      </c>
      <c r="E5533" s="6" t="s">
        <v>91</v>
      </c>
      <c r="F5533" s="6" t="s">
        <v>8022</v>
      </c>
      <c r="G5533" s="6" t="s">
        <v>8591</v>
      </c>
      <c r="H5533" s="6" t="s">
        <v>55</v>
      </c>
      <c r="I5533" s="6" t="s">
        <v>8582</v>
      </c>
      <c r="J5533" s="6" t="s">
        <v>91</v>
      </c>
      <c r="K5533" s="12" t="str">
        <f t="shared" ref="K5533:K5534" si="1657">HYPERLINK("https://media.licdn.com/dms/image/v2/D4D22AQFvQlz7WSJrLQ/feedshare-shrink_1280/B4DZ9uwG4KJ8AQ-/0/1784269532996?e=2147483647&amp;v=beta&amp;t=PZZUAuN7uXM6VEXErf3KPfrWBVIvawFgx40rwTzpRyg","View Creative")</f>
        <v>View Creative</v>
      </c>
      <c r="L5533" s="6" t="s">
        <v>62</v>
      </c>
      <c r="M5533" s="6" t="s">
        <v>7390</v>
      </c>
      <c r="N5533" s="6" t="s">
        <v>8592</v>
      </c>
      <c r="O5533" s="36" t="s">
        <v>7541</v>
      </c>
      <c r="P5533" s="36" t="s">
        <v>7542</v>
      </c>
      <c r="Q5533" s="38"/>
    </row>
    <row r="5534">
      <c r="A5534" s="6" t="s">
        <v>7390</v>
      </c>
      <c r="B5534" s="6" t="s">
        <v>8580</v>
      </c>
      <c r="C5534" s="6">
        <v>14.0</v>
      </c>
      <c r="D5534" s="9" t="str">
        <f t="shared" si="1656"/>
        <v>Open Ad</v>
      </c>
      <c r="E5534" s="6" t="s">
        <v>91</v>
      </c>
      <c r="F5534" s="6" t="s">
        <v>8022</v>
      </c>
      <c r="G5534" s="6" t="s">
        <v>8591</v>
      </c>
      <c r="H5534" s="6" t="s">
        <v>55</v>
      </c>
      <c r="I5534" s="6" t="s">
        <v>8582</v>
      </c>
      <c r="J5534" s="6" t="s">
        <v>91</v>
      </c>
      <c r="K5534" s="12" t="str">
        <f t="shared" si="1657"/>
        <v>View Creative</v>
      </c>
      <c r="L5534" s="6" t="s">
        <v>62</v>
      </c>
      <c r="M5534" s="6" t="s">
        <v>7390</v>
      </c>
      <c r="N5534" s="6" t="s">
        <v>8592</v>
      </c>
      <c r="O5534" s="36" t="s">
        <v>7541</v>
      </c>
      <c r="P5534" s="36" t="s">
        <v>7542</v>
      </c>
      <c r="Q5534" s="38"/>
    </row>
    <row r="5535">
      <c r="A5535" s="6" t="s">
        <v>7390</v>
      </c>
      <c r="B5535" s="6" t="s">
        <v>8580</v>
      </c>
      <c r="C5535" s="6">
        <v>15.0</v>
      </c>
      <c r="D5535" s="9" t="str">
        <f t="shared" ref="D5535:D5536" si="1658">HYPERLINK("https://www.linkedin.com/ad-library/detail/1471084953","Open Ad")</f>
        <v>Open Ad</v>
      </c>
      <c r="E5535" s="6" t="s">
        <v>154</v>
      </c>
      <c r="F5535" s="6" t="s">
        <v>8022</v>
      </c>
      <c r="G5535" s="6" t="s">
        <v>8593</v>
      </c>
      <c r="H5535" s="6" t="s">
        <v>55</v>
      </c>
      <c r="I5535" s="6" t="s">
        <v>8582</v>
      </c>
      <c r="J5535" s="6" t="s">
        <v>154</v>
      </c>
      <c r="K5535" s="12" t="str">
        <f t="shared" ref="K5535:K5536" si="1659">HYPERLINK("https://dms.licdn.com/playlist/vid/v2/D4D05AQG_BqTWklSuzQ/mp4-720p-30fp-crf28/B4DZ9kksTdHEB8-/0/1784098775755?e=2147483647&amp;v=beta&amp;t=TNSYwHLtGab3zx1_a_FMMZm-vrI3GWWWq7UCBEl3Na0","View Creative")</f>
        <v>View Creative</v>
      </c>
      <c r="L5535" s="6" t="s">
        <v>62</v>
      </c>
      <c r="M5535" s="6" t="s">
        <v>7390</v>
      </c>
      <c r="N5535" s="6" t="s">
        <v>8594</v>
      </c>
      <c r="O5535" s="36" t="s">
        <v>7541</v>
      </c>
      <c r="P5535" s="36" t="s">
        <v>7542</v>
      </c>
      <c r="Q5535" s="38"/>
    </row>
    <row r="5536">
      <c r="A5536" s="6" t="s">
        <v>7390</v>
      </c>
      <c r="B5536" s="6" t="s">
        <v>8580</v>
      </c>
      <c r="C5536" s="6">
        <v>16.0</v>
      </c>
      <c r="D5536" s="9" t="str">
        <f t="shared" si="1658"/>
        <v>Open Ad</v>
      </c>
      <c r="E5536" s="6" t="s">
        <v>154</v>
      </c>
      <c r="F5536" s="6" t="s">
        <v>8022</v>
      </c>
      <c r="G5536" s="6" t="s">
        <v>8593</v>
      </c>
      <c r="H5536" s="6" t="s">
        <v>55</v>
      </c>
      <c r="I5536" s="6" t="s">
        <v>8582</v>
      </c>
      <c r="J5536" s="6" t="s">
        <v>154</v>
      </c>
      <c r="K5536" s="12" t="str">
        <f t="shared" si="1659"/>
        <v>View Creative</v>
      </c>
      <c r="L5536" s="6" t="s">
        <v>62</v>
      </c>
      <c r="M5536" s="6" t="s">
        <v>7390</v>
      </c>
      <c r="N5536" s="6" t="s">
        <v>8594</v>
      </c>
      <c r="O5536" s="36" t="s">
        <v>7541</v>
      </c>
      <c r="P5536" s="36" t="s">
        <v>7542</v>
      </c>
      <c r="Q5536" s="38"/>
    </row>
    <row r="5537">
      <c r="A5537" s="6" t="s">
        <v>7390</v>
      </c>
      <c r="B5537" s="6" t="s">
        <v>8580</v>
      </c>
      <c r="C5537" s="6">
        <v>17.0</v>
      </c>
      <c r="D5537" s="9" t="str">
        <f t="shared" ref="D5537:D5538" si="1660">HYPERLINK("https://www.linkedin.com/ad-library/detail/1470954943","Open Ad")</f>
        <v>Open Ad</v>
      </c>
      <c r="E5537" s="6" t="s">
        <v>91</v>
      </c>
      <c r="F5537" s="6" t="s">
        <v>8022</v>
      </c>
      <c r="G5537" s="6" t="s">
        <v>8595</v>
      </c>
      <c r="H5537" s="6" t="s">
        <v>55</v>
      </c>
      <c r="I5537" s="6" t="s">
        <v>8582</v>
      </c>
      <c r="J5537" s="6" t="s">
        <v>91</v>
      </c>
      <c r="K5537" s="12" t="str">
        <f t="shared" ref="K5537:K5538" si="1661">HYPERLINK("https://media.licdn.com/dms/image/v2/D4D22AQGyl8lnTVoHYg/feedshare-shrink_1280/B4DZ.nZyggI0BY-/0/1785219983667?e=2147483647&amp;v=beta&amp;t=PIz6TopliZW9tLjU34ViBn_H55tNq-vR6bNAJcGzL2A","View Creative")</f>
        <v>View Creative</v>
      </c>
      <c r="L5537" s="6" t="s">
        <v>62</v>
      </c>
      <c r="M5537" s="6" t="s">
        <v>7390</v>
      </c>
      <c r="N5537" s="6" t="s">
        <v>8592</v>
      </c>
      <c r="O5537" s="36" t="s">
        <v>7541</v>
      </c>
      <c r="P5537" s="36" t="s">
        <v>7542</v>
      </c>
      <c r="Q5537" s="38"/>
    </row>
    <row r="5538">
      <c r="A5538" s="6" t="s">
        <v>7390</v>
      </c>
      <c r="B5538" s="6" t="s">
        <v>8580</v>
      </c>
      <c r="C5538" s="6">
        <v>18.0</v>
      </c>
      <c r="D5538" s="9" t="str">
        <f t="shared" si="1660"/>
        <v>Open Ad</v>
      </c>
      <c r="E5538" s="6" t="s">
        <v>91</v>
      </c>
      <c r="F5538" s="6" t="s">
        <v>8022</v>
      </c>
      <c r="G5538" s="6" t="s">
        <v>8595</v>
      </c>
      <c r="H5538" s="6" t="s">
        <v>55</v>
      </c>
      <c r="I5538" s="6" t="s">
        <v>8582</v>
      </c>
      <c r="J5538" s="6" t="s">
        <v>91</v>
      </c>
      <c r="K5538" s="12" t="str">
        <f t="shared" si="1661"/>
        <v>View Creative</v>
      </c>
      <c r="L5538" s="6" t="s">
        <v>62</v>
      </c>
      <c r="M5538" s="6" t="s">
        <v>7390</v>
      </c>
      <c r="N5538" s="6" t="s">
        <v>8592</v>
      </c>
      <c r="O5538" s="36" t="s">
        <v>7541</v>
      </c>
      <c r="P5538" s="36" t="s">
        <v>7542</v>
      </c>
      <c r="Q5538" s="38"/>
    </row>
    <row r="5539">
      <c r="A5539" s="6" t="s">
        <v>7390</v>
      </c>
      <c r="B5539" s="6" t="s">
        <v>8580</v>
      </c>
      <c r="C5539" s="6">
        <v>19.0</v>
      </c>
      <c r="D5539" s="9" t="str">
        <f t="shared" ref="D5539:D5540" si="1662">HYPERLINK("https://www.linkedin.com/ad-library/detail/1470914993","Open Ad")</f>
        <v>Open Ad</v>
      </c>
      <c r="E5539" s="6" t="s">
        <v>154</v>
      </c>
      <c r="F5539" s="6" t="s">
        <v>8022</v>
      </c>
      <c r="G5539" s="6" t="s">
        <v>8590</v>
      </c>
      <c r="H5539" s="6" t="s">
        <v>55</v>
      </c>
      <c r="I5539" s="6" t="s">
        <v>8582</v>
      </c>
      <c r="J5539" s="6" t="s">
        <v>154</v>
      </c>
      <c r="K5539" s="12" t="str">
        <f t="shared" ref="K5539:K5540" si="1663">HYPERLINK("https://dms.licdn.com/playlist/vid/v2/D4D05AQHNyhk0J9XE1Q/mp4-720p-30fp-crf28/B4DZ_GaJxrI8B8-/0/1785740176767?e=2147483647&amp;v=beta&amp;t=PafQyKwWs_p5643Ed-YNIf6RZbqHFcRgM2_2l7K5Jhk","View Creative")</f>
        <v>View Creative</v>
      </c>
      <c r="L5539" s="6" t="s">
        <v>62</v>
      </c>
      <c r="M5539" s="6" t="s">
        <v>7390</v>
      </c>
      <c r="N5539" s="6" t="s">
        <v>8594</v>
      </c>
      <c r="O5539" s="36" t="s">
        <v>7541</v>
      </c>
      <c r="P5539" s="36" t="s">
        <v>7542</v>
      </c>
      <c r="Q5539" s="38"/>
    </row>
    <row r="5540">
      <c r="A5540" s="6" t="s">
        <v>7390</v>
      </c>
      <c r="B5540" s="6" t="s">
        <v>8580</v>
      </c>
      <c r="C5540" s="6">
        <v>20.0</v>
      </c>
      <c r="D5540" s="9" t="str">
        <f t="shared" si="1662"/>
        <v>Open Ad</v>
      </c>
      <c r="E5540" s="6" t="s">
        <v>154</v>
      </c>
      <c r="F5540" s="6" t="s">
        <v>8022</v>
      </c>
      <c r="G5540" s="6" t="s">
        <v>8590</v>
      </c>
      <c r="H5540" s="6" t="s">
        <v>55</v>
      </c>
      <c r="I5540" s="6" t="s">
        <v>8582</v>
      </c>
      <c r="J5540" s="6" t="s">
        <v>154</v>
      </c>
      <c r="K5540" s="12" t="str">
        <f t="shared" si="1663"/>
        <v>View Creative</v>
      </c>
      <c r="L5540" s="6" t="s">
        <v>62</v>
      </c>
      <c r="M5540" s="6" t="s">
        <v>7390</v>
      </c>
      <c r="N5540" s="6" t="s">
        <v>8594</v>
      </c>
      <c r="O5540" s="36" t="s">
        <v>7541</v>
      </c>
      <c r="P5540" s="36" t="s">
        <v>7542</v>
      </c>
      <c r="Q5540" s="38"/>
    </row>
    <row r="5541">
      <c r="A5541" s="6" t="s">
        <v>7390</v>
      </c>
      <c r="B5541" s="6" t="s">
        <v>8580</v>
      </c>
      <c r="C5541" s="6">
        <v>21.0</v>
      </c>
      <c r="D5541" s="9" t="str">
        <f t="shared" ref="D5541:D5542" si="1664">HYPERLINK("https://www.linkedin.com/ad-library/detail/1471005053","Open Ad")</f>
        <v>Open Ad</v>
      </c>
      <c r="E5541" s="6" t="s">
        <v>91</v>
      </c>
      <c r="F5541" s="6" t="s">
        <v>8022</v>
      </c>
      <c r="G5541" s="6" t="s">
        <v>8596</v>
      </c>
      <c r="H5541" s="6" t="s">
        <v>55</v>
      </c>
      <c r="I5541" s="6" t="s">
        <v>8582</v>
      </c>
      <c r="J5541" s="6" t="s">
        <v>91</v>
      </c>
      <c r="K5541" s="12" t="str">
        <f t="shared" ref="K5541:K5542" si="1665">HYPERLINK("https://media.licdn.com/dms/image/v2/D4D22AQEzkSLj9-ZiaQ/feedshare-shrink_1280/B4DZ_LZMvwKAAM-/0/1785823808761?e=2147483647&amp;v=beta&amp;t=7fqYkpd1GAa5oPL8N9OuMWBuN5-iVmBc0waywviIsMM","View Creative")</f>
        <v>View Creative</v>
      </c>
      <c r="L5541" s="6" t="s">
        <v>62</v>
      </c>
      <c r="M5541" s="6" t="s">
        <v>7390</v>
      </c>
      <c r="N5541" s="6" t="s">
        <v>8585</v>
      </c>
      <c r="O5541" s="36" t="s">
        <v>7541</v>
      </c>
      <c r="P5541" s="36" t="s">
        <v>7542</v>
      </c>
      <c r="Q5541" s="38"/>
    </row>
    <row r="5542">
      <c r="A5542" s="6" t="s">
        <v>7390</v>
      </c>
      <c r="B5542" s="6" t="s">
        <v>8580</v>
      </c>
      <c r="C5542" s="6">
        <v>22.0</v>
      </c>
      <c r="D5542" s="9" t="str">
        <f t="shared" si="1664"/>
        <v>Open Ad</v>
      </c>
      <c r="E5542" s="6" t="s">
        <v>91</v>
      </c>
      <c r="F5542" s="6" t="s">
        <v>8022</v>
      </c>
      <c r="G5542" s="6" t="s">
        <v>8596</v>
      </c>
      <c r="H5542" s="6" t="s">
        <v>55</v>
      </c>
      <c r="I5542" s="6" t="s">
        <v>8582</v>
      </c>
      <c r="J5542" s="6" t="s">
        <v>91</v>
      </c>
      <c r="K5542" s="12" t="str">
        <f t="shared" si="1665"/>
        <v>View Creative</v>
      </c>
      <c r="L5542" s="6" t="s">
        <v>62</v>
      </c>
      <c r="M5542" s="6" t="s">
        <v>7390</v>
      </c>
      <c r="N5542" s="6" t="s">
        <v>8585</v>
      </c>
      <c r="O5542" s="36" t="s">
        <v>7541</v>
      </c>
      <c r="P5542" s="36" t="s">
        <v>7542</v>
      </c>
      <c r="Q5542" s="38"/>
    </row>
    <row r="5543">
      <c r="A5543" s="6" t="s">
        <v>7390</v>
      </c>
      <c r="B5543" s="6" t="s">
        <v>8580</v>
      </c>
      <c r="C5543" s="6">
        <v>23.0</v>
      </c>
      <c r="D5543" s="9" t="str">
        <f t="shared" ref="D5543:D5544" si="1666">HYPERLINK("https://www.linkedin.com/ad-library/detail/1470915003","Open Ad")</f>
        <v>Open Ad</v>
      </c>
      <c r="E5543" s="6" t="s">
        <v>154</v>
      </c>
      <c r="F5543" s="6" t="s">
        <v>8022</v>
      </c>
      <c r="G5543" s="6" t="s">
        <v>8597</v>
      </c>
      <c r="H5543" s="6" t="s">
        <v>55</v>
      </c>
      <c r="I5543" s="6" t="s">
        <v>8582</v>
      </c>
      <c r="J5543" s="6" t="s">
        <v>154</v>
      </c>
      <c r="K5543" s="12" t="str">
        <f t="shared" ref="K5543:K5546" si="1667">HYPERLINK("https://dms.licdn.com/playlist/vid/v2/D4D05AQGzSv6Qmm8Gdg/mp4-640p-30fp-crf28/B4DZ.Ds8gDJQBk-/0/1784621029047?e=2147483647&amp;v=beta&amp;t=5qnYuiM3VlRfzVJlT1IcLCgEMay-dChxkzDwHN2ZKSY","View Creative")</f>
        <v>View Creative</v>
      </c>
      <c r="L5543" s="6" t="s">
        <v>62</v>
      </c>
      <c r="M5543" s="6" t="s">
        <v>7390</v>
      </c>
      <c r="N5543" s="6" t="s">
        <v>8585</v>
      </c>
      <c r="O5543" s="36" t="s">
        <v>7541</v>
      </c>
      <c r="P5543" s="36" t="s">
        <v>7542</v>
      </c>
      <c r="Q5543" s="38"/>
    </row>
    <row r="5544">
      <c r="A5544" s="6" t="s">
        <v>7390</v>
      </c>
      <c r="B5544" s="6" t="s">
        <v>8580</v>
      </c>
      <c r="C5544" s="6">
        <v>24.0</v>
      </c>
      <c r="D5544" s="9" t="str">
        <f t="shared" si="1666"/>
        <v>Open Ad</v>
      </c>
      <c r="E5544" s="6" t="s">
        <v>154</v>
      </c>
      <c r="F5544" s="6" t="s">
        <v>8022</v>
      </c>
      <c r="G5544" s="6" t="s">
        <v>8597</v>
      </c>
      <c r="H5544" s="6" t="s">
        <v>55</v>
      </c>
      <c r="I5544" s="6" t="s">
        <v>8582</v>
      </c>
      <c r="J5544" s="6" t="s">
        <v>154</v>
      </c>
      <c r="K5544" s="12" t="str">
        <f t="shared" si="1667"/>
        <v>View Creative</v>
      </c>
      <c r="L5544" s="6" t="s">
        <v>62</v>
      </c>
      <c r="M5544" s="6" t="s">
        <v>7390</v>
      </c>
      <c r="N5544" s="6" t="s">
        <v>8585</v>
      </c>
      <c r="O5544" s="36" t="s">
        <v>7541</v>
      </c>
      <c r="P5544" s="36" t="s">
        <v>7542</v>
      </c>
      <c r="Q5544" s="38"/>
    </row>
    <row r="5545">
      <c r="A5545" s="6" t="s">
        <v>7390</v>
      </c>
      <c r="B5545" s="6" t="s">
        <v>8580</v>
      </c>
      <c r="C5545" s="6">
        <v>25.0</v>
      </c>
      <c r="D5545" s="9" t="str">
        <f t="shared" ref="D5545:D5546" si="1668">HYPERLINK("https://www.linkedin.com/ad-library/detail/1470954963","Open Ad")</f>
        <v>Open Ad</v>
      </c>
      <c r="E5545" s="6" t="s">
        <v>154</v>
      </c>
      <c r="F5545" s="6" t="s">
        <v>8022</v>
      </c>
      <c r="G5545" s="6" t="s">
        <v>8597</v>
      </c>
      <c r="H5545" s="6" t="s">
        <v>55</v>
      </c>
      <c r="I5545" s="6" t="s">
        <v>8582</v>
      </c>
      <c r="J5545" s="6" t="s">
        <v>154</v>
      </c>
      <c r="K5545" s="12" t="str">
        <f t="shared" si="1667"/>
        <v>View Creative</v>
      </c>
      <c r="L5545" s="6" t="s">
        <v>62</v>
      </c>
      <c r="M5545" s="6" t="s">
        <v>7390</v>
      </c>
      <c r="N5545" s="6" t="s">
        <v>8594</v>
      </c>
      <c r="O5545" s="36" t="s">
        <v>7541</v>
      </c>
      <c r="P5545" s="36" t="s">
        <v>7542</v>
      </c>
      <c r="Q5545" s="38"/>
    </row>
    <row r="5546">
      <c r="A5546" s="6" t="s">
        <v>7390</v>
      </c>
      <c r="B5546" s="6" t="s">
        <v>8580</v>
      </c>
      <c r="C5546" s="6">
        <v>26.0</v>
      </c>
      <c r="D5546" s="9" t="str">
        <f t="shared" si="1668"/>
        <v>Open Ad</v>
      </c>
      <c r="E5546" s="6" t="s">
        <v>154</v>
      </c>
      <c r="F5546" s="6" t="s">
        <v>8022</v>
      </c>
      <c r="G5546" s="6" t="s">
        <v>8597</v>
      </c>
      <c r="H5546" s="6" t="s">
        <v>55</v>
      </c>
      <c r="I5546" s="6" t="s">
        <v>8582</v>
      </c>
      <c r="J5546" s="6" t="s">
        <v>154</v>
      </c>
      <c r="K5546" s="12" t="str">
        <f t="shared" si="1667"/>
        <v>View Creative</v>
      </c>
      <c r="L5546" s="6" t="s">
        <v>62</v>
      </c>
      <c r="M5546" s="6" t="s">
        <v>7390</v>
      </c>
      <c r="N5546" s="6" t="s">
        <v>8594</v>
      </c>
      <c r="O5546" s="36" t="s">
        <v>7541</v>
      </c>
      <c r="P5546" s="36" t="s">
        <v>7542</v>
      </c>
      <c r="Q5546" s="38"/>
    </row>
    <row r="5547">
      <c r="A5547" s="6" t="s">
        <v>7390</v>
      </c>
      <c r="B5547" s="6" t="s">
        <v>8580</v>
      </c>
      <c r="C5547" s="6">
        <v>27.0</v>
      </c>
      <c r="D5547" s="9" t="str">
        <f t="shared" ref="D5547:D5548" si="1669">HYPERLINK("https://www.linkedin.com/ad-library/detail/1470915013","Open Ad")</f>
        <v>Open Ad</v>
      </c>
      <c r="E5547" s="6" t="s">
        <v>154</v>
      </c>
      <c r="F5547" s="6" t="s">
        <v>8022</v>
      </c>
      <c r="G5547" s="6" t="s">
        <v>8598</v>
      </c>
      <c r="H5547" s="6" t="s">
        <v>55</v>
      </c>
      <c r="I5547" s="6" t="s">
        <v>8582</v>
      </c>
      <c r="J5547" s="6" t="s">
        <v>154</v>
      </c>
      <c r="K5547" s="12" t="str">
        <f t="shared" ref="K5547:K5548" si="1670">HYPERLINK("https://dms.licdn.com/playlist/vid/v2/D4E05AQHgOCwydDtH7w/mp4-640p-30fp-crf28/B4EZ61WjwaJEBk-/0/1781159117017?e=2147483647&amp;v=beta&amp;t=kgix98g_BsKPq-XmGT8Zhm8fh8HoBS0bAHDbLvn0Yys","View Creative")</f>
        <v>View Creative</v>
      </c>
      <c r="L5547" s="6" t="s">
        <v>62</v>
      </c>
      <c r="M5547" s="6" t="s">
        <v>7390</v>
      </c>
      <c r="N5547" s="6" t="s">
        <v>8585</v>
      </c>
      <c r="O5547" s="36" t="s">
        <v>7541</v>
      </c>
      <c r="P5547" s="36" t="s">
        <v>7542</v>
      </c>
      <c r="Q5547" s="38"/>
    </row>
    <row r="5548">
      <c r="A5548" s="6" t="s">
        <v>7390</v>
      </c>
      <c r="B5548" s="6" t="s">
        <v>8580</v>
      </c>
      <c r="C5548" s="6">
        <v>28.0</v>
      </c>
      <c r="D5548" s="9" t="str">
        <f t="shared" si="1669"/>
        <v>Open Ad</v>
      </c>
      <c r="E5548" s="6" t="s">
        <v>154</v>
      </c>
      <c r="F5548" s="6" t="s">
        <v>8022</v>
      </c>
      <c r="G5548" s="6" t="s">
        <v>8598</v>
      </c>
      <c r="H5548" s="6" t="s">
        <v>55</v>
      </c>
      <c r="I5548" s="6" t="s">
        <v>8582</v>
      </c>
      <c r="J5548" s="6" t="s">
        <v>154</v>
      </c>
      <c r="K5548" s="12" t="str">
        <f t="shared" si="1670"/>
        <v>View Creative</v>
      </c>
      <c r="L5548" s="6" t="s">
        <v>62</v>
      </c>
      <c r="M5548" s="6" t="s">
        <v>7390</v>
      </c>
      <c r="N5548" s="6" t="s">
        <v>8585</v>
      </c>
      <c r="O5548" s="36" t="s">
        <v>7541</v>
      </c>
      <c r="P5548" s="36" t="s">
        <v>7542</v>
      </c>
      <c r="Q5548" s="38"/>
    </row>
    <row r="5549">
      <c r="A5549" s="6" t="s">
        <v>7390</v>
      </c>
      <c r="B5549" s="6" t="s">
        <v>8580</v>
      </c>
      <c r="C5549" s="6">
        <v>29.0</v>
      </c>
      <c r="D5549" s="9" t="str">
        <f t="shared" ref="D5549:D5550" si="1671">HYPERLINK("https://www.linkedin.com/ad-library/detail/1515936383","Open Ad")</f>
        <v>Open Ad</v>
      </c>
      <c r="E5549" s="6" t="s">
        <v>154</v>
      </c>
      <c r="F5549" s="6" t="s">
        <v>8022</v>
      </c>
      <c r="G5549" s="6" t="s">
        <v>8581</v>
      </c>
      <c r="H5549" s="6" t="s">
        <v>769</v>
      </c>
      <c r="I5549" s="6" t="s">
        <v>8582</v>
      </c>
      <c r="J5549" s="6" t="s">
        <v>154</v>
      </c>
      <c r="K5549" s="12" t="str">
        <f t="shared" ref="K5549:K5550" si="1672">HYPERLINK("https://dms.licdn.com/playlist/vid/v2/D4D10AQE37n4HvOXJSg/mp4-640p-30fp-crf28/B4DaBhlA50KcBs-/0/1788343492435?e=2147483647&amp;v=beta&amp;t=LVv5qOG2BUCpEO49gqHO4glLAdMdWRuQtKHCHcaJlvM","View Creative")</f>
        <v>View Creative</v>
      </c>
      <c r="L5549" s="6" t="s">
        <v>62</v>
      </c>
      <c r="M5549" s="6" t="s">
        <v>7390</v>
      </c>
      <c r="N5549" s="6" t="s">
        <v>8583</v>
      </c>
      <c r="O5549" s="36" t="s">
        <v>7541</v>
      </c>
      <c r="P5549" s="36" t="s">
        <v>7542</v>
      </c>
      <c r="Q5549" s="38"/>
    </row>
    <row r="5550">
      <c r="A5550" s="6" t="s">
        <v>7390</v>
      </c>
      <c r="B5550" s="6" t="s">
        <v>8580</v>
      </c>
      <c r="C5550" s="6">
        <v>30.0</v>
      </c>
      <c r="D5550" s="9" t="str">
        <f t="shared" si="1671"/>
        <v>Open Ad</v>
      </c>
      <c r="E5550" s="6" t="s">
        <v>154</v>
      </c>
      <c r="F5550" s="6" t="s">
        <v>8022</v>
      </c>
      <c r="G5550" s="6" t="s">
        <v>8581</v>
      </c>
      <c r="H5550" s="6" t="s">
        <v>769</v>
      </c>
      <c r="I5550" s="6" t="s">
        <v>8582</v>
      </c>
      <c r="J5550" s="6" t="s">
        <v>154</v>
      </c>
      <c r="K5550" s="12" t="str">
        <f t="shared" si="1672"/>
        <v>View Creative</v>
      </c>
      <c r="L5550" s="6" t="s">
        <v>62</v>
      </c>
      <c r="M5550" s="6" t="s">
        <v>7390</v>
      </c>
      <c r="N5550" s="6" t="s">
        <v>8583</v>
      </c>
      <c r="O5550" s="36" t="s">
        <v>7541</v>
      </c>
      <c r="P5550" s="36" t="s">
        <v>7542</v>
      </c>
      <c r="Q5550" s="38"/>
    </row>
    <row r="5551">
      <c r="A5551" s="6" t="s">
        <v>7390</v>
      </c>
      <c r="B5551" s="6" t="s">
        <v>8580</v>
      </c>
      <c r="C5551" s="6">
        <v>31.0</v>
      </c>
      <c r="D5551" s="9" t="str">
        <f t="shared" ref="D5551:D5552" si="1673">HYPERLINK("https://www.linkedin.com/ad-library/detail/1470984703","Open Ad")</f>
        <v>Open Ad</v>
      </c>
      <c r="E5551" s="6" t="s">
        <v>91</v>
      </c>
      <c r="F5551" s="6" t="s">
        <v>8022</v>
      </c>
      <c r="G5551" s="6" t="s">
        <v>8584</v>
      </c>
      <c r="H5551" s="6" t="s">
        <v>55</v>
      </c>
      <c r="I5551" s="6" t="s">
        <v>8582</v>
      </c>
      <c r="J5551" s="6" t="s">
        <v>91</v>
      </c>
      <c r="K5551" s="12" t="str">
        <f t="shared" ref="K5551:K5552" si="1674">HYPERLINK("https://media.licdn.com/dms/image/v2/D4D22AQG1s-QCqO0wdA/feedshare-shrink_1280/B4DZ.xvQc3GkAM-/0/1785393383576?e=2147483647&amp;v=beta&amp;t=F1wz6wwJB6n8BgupM_ytBr8jfPYyU3ney1glc9FdLnU","View Creative")</f>
        <v>View Creative</v>
      </c>
      <c r="L5551" s="6" t="s">
        <v>62</v>
      </c>
      <c r="M5551" s="6" t="s">
        <v>7390</v>
      </c>
      <c r="N5551" s="6" t="s">
        <v>8592</v>
      </c>
      <c r="O5551" s="36" t="s">
        <v>7541</v>
      </c>
      <c r="P5551" s="36" t="s">
        <v>7542</v>
      </c>
      <c r="Q5551" s="38"/>
    </row>
    <row r="5552">
      <c r="A5552" s="6" t="s">
        <v>7390</v>
      </c>
      <c r="B5552" s="6" t="s">
        <v>8580</v>
      </c>
      <c r="C5552" s="6">
        <v>32.0</v>
      </c>
      <c r="D5552" s="9" t="str">
        <f t="shared" si="1673"/>
        <v>Open Ad</v>
      </c>
      <c r="E5552" s="6" t="s">
        <v>91</v>
      </c>
      <c r="F5552" s="6" t="s">
        <v>8022</v>
      </c>
      <c r="G5552" s="6" t="s">
        <v>8584</v>
      </c>
      <c r="H5552" s="6" t="s">
        <v>55</v>
      </c>
      <c r="I5552" s="6" t="s">
        <v>8582</v>
      </c>
      <c r="J5552" s="6" t="s">
        <v>91</v>
      </c>
      <c r="K5552" s="12" t="str">
        <f t="shared" si="1674"/>
        <v>View Creative</v>
      </c>
      <c r="L5552" s="6" t="s">
        <v>62</v>
      </c>
      <c r="M5552" s="6" t="s">
        <v>7390</v>
      </c>
      <c r="N5552" s="6" t="s">
        <v>8592</v>
      </c>
      <c r="O5552" s="36" t="s">
        <v>7541</v>
      </c>
      <c r="P5552" s="36" t="s">
        <v>7542</v>
      </c>
      <c r="Q5552" s="38"/>
    </row>
    <row r="5553">
      <c r="A5553" s="6" t="s">
        <v>7390</v>
      </c>
      <c r="B5553" s="6" t="s">
        <v>8580</v>
      </c>
      <c r="C5553" s="6">
        <v>33.0</v>
      </c>
      <c r="D5553" s="9" t="str">
        <f t="shared" ref="D5553:D5554" si="1675">HYPERLINK("https://www.linkedin.com/ad-library/detail/1515936373","Open Ad")</f>
        <v>Open Ad</v>
      </c>
      <c r="E5553" s="6" t="s">
        <v>154</v>
      </c>
      <c r="F5553" s="6" t="s">
        <v>8022</v>
      </c>
      <c r="G5553" s="6" t="s">
        <v>8581</v>
      </c>
      <c r="H5553" s="6" t="s">
        <v>769</v>
      </c>
      <c r="I5553" s="6" t="s">
        <v>8582</v>
      </c>
      <c r="J5553" s="6" t="s">
        <v>154</v>
      </c>
      <c r="K5553" s="12" t="str">
        <f t="shared" ref="K5553:K5554" si="1676">HYPERLINK("https://dms.licdn.com/playlist/vid/v2/D4D10AQE282dp1eE1BQ/progressive-servable-video/B4DaBhlBEjIYAY-/0/1788343490073?e=2147483647&amp;v=beta&amp;t=lcdq6a2d6c3gaCPJUPmtwKckeRBk0eGTv2KWRWH-460","View Creative")</f>
        <v>View Creative</v>
      </c>
      <c r="L5553" s="6" t="s">
        <v>62</v>
      </c>
      <c r="M5553" s="6" t="s">
        <v>7390</v>
      </c>
      <c r="N5553" s="6" t="s">
        <v>7540</v>
      </c>
      <c r="O5553" s="36" t="s">
        <v>7541</v>
      </c>
      <c r="P5553" s="36" t="s">
        <v>7542</v>
      </c>
      <c r="Q5553" s="38"/>
    </row>
    <row r="5554">
      <c r="A5554" s="6" t="s">
        <v>7390</v>
      </c>
      <c r="B5554" s="6" t="s">
        <v>8580</v>
      </c>
      <c r="C5554" s="6">
        <v>34.0</v>
      </c>
      <c r="D5554" s="9" t="str">
        <f t="shared" si="1675"/>
        <v>Open Ad</v>
      </c>
      <c r="E5554" s="6" t="s">
        <v>154</v>
      </c>
      <c r="F5554" s="6" t="s">
        <v>8022</v>
      </c>
      <c r="G5554" s="6" t="s">
        <v>8581</v>
      </c>
      <c r="H5554" s="6" t="s">
        <v>769</v>
      </c>
      <c r="I5554" s="6" t="s">
        <v>8582</v>
      </c>
      <c r="J5554" s="6" t="s">
        <v>154</v>
      </c>
      <c r="K5554" s="12" t="str">
        <f t="shared" si="1676"/>
        <v>View Creative</v>
      </c>
      <c r="L5554" s="6" t="s">
        <v>62</v>
      </c>
      <c r="M5554" s="6" t="s">
        <v>7390</v>
      </c>
      <c r="N5554" s="6" t="s">
        <v>7540</v>
      </c>
      <c r="O5554" s="36" t="s">
        <v>7541</v>
      </c>
      <c r="P5554" s="36" t="s">
        <v>7542</v>
      </c>
      <c r="Q5554" s="38"/>
    </row>
    <row r="5555">
      <c r="A5555" s="6" t="s">
        <v>7390</v>
      </c>
      <c r="B5555" s="6" t="s">
        <v>8580</v>
      </c>
      <c r="C5555" s="6">
        <v>35.0</v>
      </c>
      <c r="D5555" s="9" t="str">
        <f t="shared" ref="D5555:D5556" si="1677">HYPERLINK("https://www.linkedin.com/ad-library/detail/1470945033","Open Ad")</f>
        <v>Open Ad</v>
      </c>
      <c r="E5555" s="6" t="s">
        <v>154</v>
      </c>
      <c r="F5555" s="6" t="s">
        <v>8022</v>
      </c>
      <c r="G5555" s="6" t="s">
        <v>8599</v>
      </c>
      <c r="H5555" s="6" t="s">
        <v>55</v>
      </c>
      <c r="I5555" s="6" t="s">
        <v>8582</v>
      </c>
      <c r="J5555" s="6" t="s">
        <v>154</v>
      </c>
      <c r="K5555" s="12" t="str">
        <f t="shared" ref="K5555:K5556" si="1678">HYPERLINK("https://dms.licdn.com/playlist/vid/v2/D4E05AQGQJ55ejjP-_A/mp4-720p-30fp-crf28/B4EZ9QZLsNKQB8-/0/1783760210609?e=2147483647&amp;v=beta&amp;t=MZlw8h1_EjukPmHatnQxH5wfgcx5h1j2e8HVH9oNnDU","View Creative")</f>
        <v>View Creative</v>
      </c>
      <c r="L5555" s="6" t="s">
        <v>62</v>
      </c>
      <c r="M5555" s="6" t="s">
        <v>7390</v>
      </c>
      <c r="N5555" s="6" t="s">
        <v>8594</v>
      </c>
      <c r="O5555" s="36" t="s">
        <v>7541</v>
      </c>
      <c r="P5555" s="36" t="s">
        <v>7542</v>
      </c>
      <c r="Q5555" s="38"/>
    </row>
    <row r="5556">
      <c r="A5556" s="6" t="s">
        <v>7390</v>
      </c>
      <c r="B5556" s="6" t="s">
        <v>8580</v>
      </c>
      <c r="C5556" s="6">
        <v>36.0</v>
      </c>
      <c r="D5556" s="9" t="str">
        <f t="shared" si="1677"/>
        <v>Open Ad</v>
      </c>
      <c r="E5556" s="6" t="s">
        <v>154</v>
      </c>
      <c r="F5556" s="6" t="s">
        <v>8022</v>
      </c>
      <c r="G5556" s="6" t="s">
        <v>8599</v>
      </c>
      <c r="H5556" s="6" t="s">
        <v>55</v>
      </c>
      <c r="I5556" s="6" t="s">
        <v>8582</v>
      </c>
      <c r="J5556" s="6" t="s">
        <v>154</v>
      </c>
      <c r="K5556" s="12" t="str">
        <f t="shared" si="1678"/>
        <v>View Creative</v>
      </c>
      <c r="L5556" s="6" t="s">
        <v>62</v>
      </c>
      <c r="M5556" s="6" t="s">
        <v>7390</v>
      </c>
      <c r="N5556" s="6" t="s">
        <v>8594</v>
      </c>
      <c r="O5556" s="36" t="s">
        <v>7541</v>
      </c>
      <c r="P5556" s="36" t="s">
        <v>7542</v>
      </c>
      <c r="Q5556" s="38"/>
    </row>
    <row r="5557">
      <c r="A5557" s="6" t="s">
        <v>7390</v>
      </c>
      <c r="B5557" s="6" t="s">
        <v>8580</v>
      </c>
      <c r="C5557" s="6">
        <v>37.0</v>
      </c>
      <c r="D5557" s="9" t="str">
        <f t="shared" ref="D5557:D5558" si="1679">HYPERLINK("https://www.linkedin.com/ad-library/detail/1470854983","Open Ad")</f>
        <v>Open Ad</v>
      </c>
      <c r="E5557" s="6" t="s">
        <v>154</v>
      </c>
      <c r="F5557" s="6" t="s">
        <v>8022</v>
      </c>
      <c r="G5557" s="6" t="s">
        <v>8600</v>
      </c>
      <c r="H5557" s="6" t="s">
        <v>55</v>
      </c>
      <c r="I5557" s="6" t="s">
        <v>8582</v>
      </c>
      <c r="J5557" s="6" t="s">
        <v>154</v>
      </c>
      <c r="K5557" s="12" t="str">
        <f t="shared" ref="K5557:K5558" si="1680">HYPERLINK("https://dms.licdn.com/playlist/vid/v2/D4D05AQFCggVU8cXjww/mp4-720p-30fp-crf28/B4DZ9kmZHKJwB8-/0/1784099221380?e=2147483647&amp;v=beta&amp;t=tRXLCXhtNmbrnvCM78EVIzCmJy8W3mCdhIPey4OF40E","View Creative")</f>
        <v>View Creative</v>
      </c>
      <c r="L5557" s="6" t="s">
        <v>62</v>
      </c>
      <c r="M5557" s="6" t="s">
        <v>7390</v>
      </c>
      <c r="N5557" s="6" t="s">
        <v>8594</v>
      </c>
      <c r="O5557" s="36" t="s">
        <v>7541</v>
      </c>
      <c r="P5557" s="36" t="s">
        <v>7542</v>
      </c>
      <c r="Q5557" s="38"/>
    </row>
    <row r="5558">
      <c r="A5558" s="6" t="s">
        <v>7390</v>
      </c>
      <c r="B5558" s="6" t="s">
        <v>8580</v>
      </c>
      <c r="C5558" s="6">
        <v>38.0</v>
      </c>
      <c r="D5558" s="9" t="str">
        <f t="shared" si="1679"/>
        <v>Open Ad</v>
      </c>
      <c r="E5558" s="6" t="s">
        <v>154</v>
      </c>
      <c r="F5558" s="6" t="s">
        <v>8022</v>
      </c>
      <c r="G5558" s="6" t="s">
        <v>8600</v>
      </c>
      <c r="H5558" s="6" t="s">
        <v>55</v>
      </c>
      <c r="I5558" s="6" t="s">
        <v>8582</v>
      </c>
      <c r="J5558" s="6" t="s">
        <v>154</v>
      </c>
      <c r="K5558" s="12" t="str">
        <f t="shared" si="1680"/>
        <v>View Creative</v>
      </c>
      <c r="L5558" s="6" t="s">
        <v>62</v>
      </c>
      <c r="M5558" s="6" t="s">
        <v>7390</v>
      </c>
      <c r="N5558" s="6" t="s">
        <v>8594</v>
      </c>
      <c r="O5558" s="36" t="s">
        <v>7541</v>
      </c>
      <c r="P5558" s="36" t="s">
        <v>7542</v>
      </c>
      <c r="Q5558" s="38"/>
    </row>
    <row r="5559">
      <c r="A5559" s="6" t="s">
        <v>7390</v>
      </c>
      <c r="B5559" s="6" t="s">
        <v>8580</v>
      </c>
      <c r="C5559" s="6">
        <v>39.0</v>
      </c>
      <c r="D5559" s="9" t="str">
        <f t="shared" ref="D5559:D5560" si="1681">HYPERLINK("https://www.linkedin.com/ad-library/detail/1478660723","Open Ad")</f>
        <v>Open Ad</v>
      </c>
      <c r="E5559" s="6" t="s">
        <v>91</v>
      </c>
      <c r="F5559" s="6" t="s">
        <v>8022</v>
      </c>
      <c r="G5559" s="6" t="s">
        <v>8601</v>
      </c>
      <c r="H5559" s="6" t="s">
        <v>55</v>
      </c>
      <c r="I5559" s="6" t="s">
        <v>8582</v>
      </c>
      <c r="J5559" s="6" t="s">
        <v>91</v>
      </c>
      <c r="K5559" s="12" t="str">
        <f t="shared" ref="K5559:K5560" si="1682">HYPERLINK("https://media.licdn.com/dms/image/v2/D4E22AQH7Rw2U6nqNkQ/feedshare-shrink_1280/B4EZ_5VERyHoAM-/0/1786594477433?e=2147483647&amp;v=beta&amp;t=_0w_u8lTwN3HTBno6leKe5pi-m-2KWQZ9CYEwP4qZZE","View Creative")</f>
        <v>View Creative</v>
      </c>
      <c r="L5559" s="6" t="s">
        <v>62</v>
      </c>
      <c r="M5559" s="6" t="s">
        <v>7390</v>
      </c>
      <c r="N5559" s="6" t="s">
        <v>8588</v>
      </c>
      <c r="O5559" s="36" t="s">
        <v>7541</v>
      </c>
      <c r="P5559" s="36" t="s">
        <v>7542</v>
      </c>
      <c r="Q5559" s="38"/>
    </row>
    <row r="5560">
      <c r="A5560" s="6" t="s">
        <v>7390</v>
      </c>
      <c r="B5560" s="6" t="s">
        <v>8580</v>
      </c>
      <c r="C5560" s="6">
        <v>40.0</v>
      </c>
      <c r="D5560" s="9" t="str">
        <f t="shared" si="1681"/>
        <v>Open Ad</v>
      </c>
      <c r="E5560" s="6" t="s">
        <v>91</v>
      </c>
      <c r="F5560" s="6" t="s">
        <v>8022</v>
      </c>
      <c r="G5560" s="6" t="s">
        <v>8601</v>
      </c>
      <c r="H5560" s="6" t="s">
        <v>55</v>
      </c>
      <c r="I5560" s="6" t="s">
        <v>8582</v>
      </c>
      <c r="J5560" s="6" t="s">
        <v>91</v>
      </c>
      <c r="K5560" s="12" t="str">
        <f t="shared" si="1682"/>
        <v>View Creative</v>
      </c>
      <c r="L5560" s="6" t="s">
        <v>62</v>
      </c>
      <c r="M5560" s="6" t="s">
        <v>7390</v>
      </c>
      <c r="N5560" s="6" t="s">
        <v>8588</v>
      </c>
      <c r="O5560" s="36" t="s">
        <v>7541</v>
      </c>
      <c r="P5560" s="36" t="s">
        <v>7542</v>
      </c>
      <c r="Q5560" s="38"/>
    </row>
    <row r="5561">
      <c r="A5561" s="6" t="s">
        <v>7390</v>
      </c>
      <c r="B5561" s="6" t="s">
        <v>8580</v>
      </c>
      <c r="C5561" s="6">
        <v>41.0</v>
      </c>
      <c r="D5561" s="9" t="str">
        <f t="shared" ref="D5561:D5562" si="1683">HYPERLINK("https://www.linkedin.com/ad-library/detail/1470904483","Open Ad")</f>
        <v>Open Ad</v>
      </c>
      <c r="E5561" s="6" t="s">
        <v>154</v>
      </c>
      <c r="F5561" s="6" t="s">
        <v>8022</v>
      </c>
      <c r="G5561" s="6" t="s">
        <v>8593</v>
      </c>
      <c r="H5561" s="6" t="s">
        <v>55</v>
      </c>
      <c r="I5561" s="6" t="s">
        <v>8582</v>
      </c>
      <c r="J5561" s="6" t="s">
        <v>154</v>
      </c>
      <c r="K5561" s="12" t="str">
        <f t="shared" ref="K5561:K5562" si="1684">HYPERLINK("https://dms.licdn.com/playlist/vid/v2/D4D05AQG_BqTWklSuzQ/mp4-720p-30fp-crf28/B4DZ9kksTdHEB8-/0/1784098775755?e=2147483647&amp;v=beta&amp;t=TNSYwHLtGab3zx1_a_FMMZm-vrI3GWWWq7UCBEl3Na0","View Creative")</f>
        <v>View Creative</v>
      </c>
      <c r="L5561" s="6" t="s">
        <v>62</v>
      </c>
      <c r="M5561" s="6" t="s">
        <v>7390</v>
      </c>
      <c r="N5561" s="6" t="s">
        <v>8585</v>
      </c>
      <c r="O5561" s="36" t="s">
        <v>7541</v>
      </c>
      <c r="P5561" s="36" t="s">
        <v>7542</v>
      </c>
      <c r="Q5561" s="38"/>
    </row>
    <row r="5562">
      <c r="A5562" s="6" t="s">
        <v>7390</v>
      </c>
      <c r="B5562" s="6" t="s">
        <v>8580</v>
      </c>
      <c r="C5562" s="6">
        <v>42.0</v>
      </c>
      <c r="D5562" s="9" t="str">
        <f t="shared" si="1683"/>
        <v>Open Ad</v>
      </c>
      <c r="E5562" s="6" t="s">
        <v>154</v>
      </c>
      <c r="F5562" s="6" t="s">
        <v>8022</v>
      </c>
      <c r="G5562" s="6" t="s">
        <v>8593</v>
      </c>
      <c r="H5562" s="6" t="s">
        <v>55</v>
      </c>
      <c r="I5562" s="6" t="s">
        <v>8582</v>
      </c>
      <c r="J5562" s="6" t="s">
        <v>154</v>
      </c>
      <c r="K5562" s="12" t="str">
        <f t="shared" si="1684"/>
        <v>View Creative</v>
      </c>
      <c r="L5562" s="6" t="s">
        <v>62</v>
      </c>
      <c r="M5562" s="6" t="s">
        <v>7390</v>
      </c>
      <c r="N5562" s="6" t="s">
        <v>8585</v>
      </c>
      <c r="O5562" s="36" t="s">
        <v>7541</v>
      </c>
      <c r="P5562" s="36" t="s">
        <v>7542</v>
      </c>
      <c r="Q5562" s="38"/>
    </row>
    <row r="5563">
      <c r="A5563" s="6" t="s">
        <v>7390</v>
      </c>
      <c r="B5563" s="6" t="s">
        <v>8580</v>
      </c>
      <c r="C5563" s="6">
        <v>43.0</v>
      </c>
      <c r="D5563" s="9" t="str">
        <f t="shared" ref="D5563:D5564" si="1685">HYPERLINK("https://www.linkedin.com/ad-library/detail/1478790663","Open Ad")</f>
        <v>Open Ad</v>
      </c>
      <c r="E5563" s="6" t="s">
        <v>91</v>
      </c>
      <c r="F5563" s="6" t="s">
        <v>8022</v>
      </c>
      <c r="G5563" s="6" t="s">
        <v>8602</v>
      </c>
      <c r="H5563" s="6" t="s">
        <v>8603</v>
      </c>
      <c r="I5563" s="6" t="s">
        <v>8582</v>
      </c>
      <c r="J5563" s="6" t="s">
        <v>91</v>
      </c>
      <c r="K5563" s="12" t="str">
        <f t="shared" ref="K5563:K5564" si="1686">HYPERLINK("https://media.licdn.com/dms/image/v2/D4E22AQH9KsVZVnC0PA/feedshare-shrink_1280/B4EZ_57hjzK8AM-/0/1786604558901?e=2147483647&amp;v=beta&amp;t=SHV2y0poHkiN5T8LfsFhvuub3UN05wdGIEv4osFtKOM","View Creative")</f>
        <v>View Creative</v>
      </c>
      <c r="L5563" s="6" t="s">
        <v>62</v>
      </c>
      <c r="M5563" s="6" t="s">
        <v>7390</v>
      </c>
      <c r="N5563" s="6" t="s">
        <v>8588</v>
      </c>
      <c r="O5563" s="36" t="s">
        <v>7541</v>
      </c>
      <c r="P5563" s="36" t="s">
        <v>7542</v>
      </c>
      <c r="Q5563" s="38"/>
    </row>
    <row r="5564">
      <c r="A5564" s="6" t="s">
        <v>7390</v>
      </c>
      <c r="B5564" s="6" t="s">
        <v>8580</v>
      </c>
      <c r="C5564" s="6">
        <v>44.0</v>
      </c>
      <c r="D5564" s="9" t="str">
        <f t="shared" si="1685"/>
        <v>Open Ad</v>
      </c>
      <c r="E5564" s="6" t="s">
        <v>91</v>
      </c>
      <c r="F5564" s="6" t="s">
        <v>8022</v>
      </c>
      <c r="G5564" s="6" t="s">
        <v>8602</v>
      </c>
      <c r="H5564" s="6" t="s">
        <v>8603</v>
      </c>
      <c r="I5564" s="6" t="s">
        <v>8582</v>
      </c>
      <c r="J5564" s="6" t="s">
        <v>91</v>
      </c>
      <c r="K5564" s="12" t="str">
        <f t="shared" si="1686"/>
        <v>View Creative</v>
      </c>
      <c r="L5564" s="6" t="s">
        <v>62</v>
      </c>
      <c r="M5564" s="6" t="s">
        <v>7390</v>
      </c>
      <c r="N5564" s="6" t="s">
        <v>8588</v>
      </c>
      <c r="O5564" s="36" t="s">
        <v>7541</v>
      </c>
      <c r="P5564" s="36" t="s">
        <v>7542</v>
      </c>
      <c r="Q5564" s="38"/>
    </row>
    <row r="5565">
      <c r="A5565" s="6" t="s">
        <v>7390</v>
      </c>
      <c r="B5565" s="6" t="s">
        <v>8580</v>
      </c>
      <c r="C5565" s="6">
        <v>45.0</v>
      </c>
      <c r="D5565" s="9" t="str">
        <f t="shared" ref="D5565:D5566" si="1687">HYPERLINK("https://www.linkedin.com/ad-library/detail/1471075343","Open Ad")</f>
        <v>Open Ad</v>
      </c>
      <c r="E5565" s="6" t="s">
        <v>91</v>
      </c>
      <c r="F5565" s="6" t="s">
        <v>8022</v>
      </c>
      <c r="G5565" s="6" t="s">
        <v>8595</v>
      </c>
      <c r="H5565" s="6" t="s">
        <v>55</v>
      </c>
      <c r="I5565" s="6" t="s">
        <v>8582</v>
      </c>
      <c r="J5565" s="6" t="s">
        <v>91</v>
      </c>
      <c r="K5565" s="12" t="str">
        <f t="shared" ref="K5565:K5566" si="1688">HYPERLINK("https://media.licdn.com/dms/image/v2/D4D22AQGyl8lnTVoHYg/feedshare-shrink_1280/B4DZ.nZyggI0BY-/0/1785219983667?e=2147483647&amp;v=beta&amp;t=PIz6TopliZW9tLjU34ViBn_H55tNq-vR6bNAJcGzL2A","View Creative")</f>
        <v>View Creative</v>
      </c>
      <c r="L5565" s="6" t="s">
        <v>62</v>
      </c>
      <c r="M5565" s="6" t="s">
        <v>7390</v>
      </c>
      <c r="N5565" s="6" t="s">
        <v>8585</v>
      </c>
      <c r="O5565" s="36" t="s">
        <v>7541</v>
      </c>
      <c r="P5565" s="36" t="s">
        <v>7542</v>
      </c>
      <c r="Q5565" s="38"/>
    </row>
    <row r="5566">
      <c r="A5566" s="6" t="s">
        <v>7390</v>
      </c>
      <c r="B5566" s="6" t="s">
        <v>8580</v>
      </c>
      <c r="C5566" s="6">
        <v>46.0</v>
      </c>
      <c r="D5566" s="9" t="str">
        <f t="shared" si="1687"/>
        <v>Open Ad</v>
      </c>
      <c r="E5566" s="6" t="s">
        <v>91</v>
      </c>
      <c r="F5566" s="6" t="s">
        <v>8022</v>
      </c>
      <c r="G5566" s="6" t="s">
        <v>8595</v>
      </c>
      <c r="H5566" s="6" t="s">
        <v>55</v>
      </c>
      <c r="I5566" s="6" t="s">
        <v>8582</v>
      </c>
      <c r="J5566" s="6" t="s">
        <v>91</v>
      </c>
      <c r="K5566" s="12" t="str">
        <f t="shared" si="1688"/>
        <v>View Creative</v>
      </c>
      <c r="L5566" s="6" t="s">
        <v>62</v>
      </c>
      <c r="M5566" s="6" t="s">
        <v>7390</v>
      </c>
      <c r="N5566" s="6" t="s">
        <v>8585</v>
      </c>
      <c r="O5566" s="36" t="s">
        <v>7541</v>
      </c>
      <c r="P5566" s="36" t="s">
        <v>7542</v>
      </c>
      <c r="Q5566" s="38"/>
    </row>
    <row r="5567">
      <c r="A5567" s="6" t="s">
        <v>7390</v>
      </c>
      <c r="B5567" s="6" t="s">
        <v>8580</v>
      </c>
      <c r="C5567" s="6">
        <v>47.0</v>
      </c>
      <c r="D5567" s="9" t="str">
        <f t="shared" ref="D5567:D5568" si="1689">HYPERLINK("https://www.linkedin.com/ad-library/detail/1515986033","Open Ad")</f>
        <v>Open Ad</v>
      </c>
      <c r="E5567" s="6" t="s">
        <v>154</v>
      </c>
      <c r="F5567" s="6" t="s">
        <v>8022</v>
      </c>
      <c r="G5567" s="6" t="s">
        <v>8581</v>
      </c>
      <c r="H5567" s="6" t="s">
        <v>769</v>
      </c>
      <c r="I5567" s="6" t="s">
        <v>8582</v>
      </c>
      <c r="J5567" s="6" t="s">
        <v>154</v>
      </c>
      <c r="K5567" s="12" t="str">
        <f t="shared" ref="K5567:K5568" si="1690">HYPERLINK("https://dms.licdn.com/playlist/vid/v2/D4D10AQHn-CILmW_GGQ/progressive-servable-video/B4DaBhlBHiKIAc-/0/1788343490316?e=2147483647&amp;v=beta&amp;t=ssqbV3aTXZPxq-jNA-r7A6Y7utybCkGMqraIpEswKbw","View Creative")</f>
        <v>View Creative</v>
      </c>
      <c r="L5567" s="6" t="s">
        <v>62</v>
      </c>
      <c r="M5567" s="6" t="s">
        <v>7390</v>
      </c>
      <c r="N5567" s="6" t="s">
        <v>8583</v>
      </c>
      <c r="O5567" s="36" t="s">
        <v>7541</v>
      </c>
      <c r="P5567" s="36" t="s">
        <v>7542</v>
      </c>
      <c r="Q5567" s="38"/>
    </row>
    <row r="5568">
      <c r="A5568" s="6" t="s">
        <v>7390</v>
      </c>
      <c r="B5568" s="6" t="s">
        <v>8580</v>
      </c>
      <c r="C5568" s="6">
        <v>48.0</v>
      </c>
      <c r="D5568" s="9" t="str">
        <f t="shared" si="1689"/>
        <v>Open Ad</v>
      </c>
      <c r="E5568" s="6" t="s">
        <v>154</v>
      </c>
      <c r="F5568" s="6" t="s">
        <v>8022</v>
      </c>
      <c r="G5568" s="6" t="s">
        <v>8581</v>
      </c>
      <c r="H5568" s="6" t="s">
        <v>769</v>
      </c>
      <c r="I5568" s="6" t="s">
        <v>8582</v>
      </c>
      <c r="J5568" s="6" t="s">
        <v>154</v>
      </c>
      <c r="K5568" s="12" t="str">
        <f t="shared" si="1690"/>
        <v>View Creative</v>
      </c>
      <c r="L5568" s="6" t="s">
        <v>62</v>
      </c>
      <c r="M5568" s="6" t="s">
        <v>7390</v>
      </c>
      <c r="N5568" s="6" t="s">
        <v>8583</v>
      </c>
      <c r="O5568" s="36" t="s">
        <v>7541</v>
      </c>
      <c r="P5568" s="36" t="s">
        <v>7542</v>
      </c>
      <c r="Q5568" s="38"/>
    </row>
    <row r="5569">
      <c r="A5569" s="6" t="s">
        <v>7390</v>
      </c>
      <c r="B5569" s="6" t="s">
        <v>8580</v>
      </c>
      <c r="C5569" s="6">
        <v>49.0</v>
      </c>
      <c r="D5569" s="9" t="str">
        <f t="shared" ref="D5569:D5570" si="1691">HYPERLINK("https://www.linkedin.com/ad-library/detail/1442879643","Open Ad")</f>
        <v>Open Ad</v>
      </c>
      <c r="E5569" s="6" t="s">
        <v>154</v>
      </c>
      <c r="F5569" s="6" t="s">
        <v>8022</v>
      </c>
      <c r="G5569" s="6" t="s">
        <v>8598</v>
      </c>
      <c r="H5569" s="6" t="s">
        <v>55</v>
      </c>
      <c r="I5569" s="6" t="s">
        <v>8582</v>
      </c>
      <c r="J5569" s="6" t="s">
        <v>154</v>
      </c>
      <c r="K5569" s="12" t="str">
        <f t="shared" ref="K5569:K5570" si="1692">HYPERLINK("https://dms.licdn.com/playlist/vid/v2/D4E05AQHgOCwydDtH7w/mp4-640p-30fp-crf28/B4EZ61WjwaJEBk-/0/1781159117017?e=2147483647&amp;v=beta&amp;t=kgix98g_BsKPq-XmGT8Zhm8fh8HoBS0bAHDbLvn0Yys","View Creative")</f>
        <v>View Creative</v>
      </c>
      <c r="L5569" s="6" t="s">
        <v>62</v>
      </c>
      <c r="M5569" s="6" t="s">
        <v>7390</v>
      </c>
      <c r="N5569" s="6" t="s">
        <v>8604</v>
      </c>
      <c r="O5569" s="36" t="s">
        <v>7541</v>
      </c>
      <c r="P5569" s="36" t="s">
        <v>7542</v>
      </c>
      <c r="Q5569" s="38"/>
    </row>
    <row r="5570">
      <c r="A5570" s="6" t="s">
        <v>7390</v>
      </c>
      <c r="B5570" s="6" t="s">
        <v>8580</v>
      </c>
      <c r="C5570" s="6">
        <v>50.0</v>
      </c>
      <c r="D5570" s="9" t="str">
        <f t="shared" si="1691"/>
        <v>Open Ad</v>
      </c>
      <c r="E5570" s="6" t="s">
        <v>154</v>
      </c>
      <c r="F5570" s="6" t="s">
        <v>8022</v>
      </c>
      <c r="G5570" s="6" t="s">
        <v>8598</v>
      </c>
      <c r="H5570" s="6" t="s">
        <v>55</v>
      </c>
      <c r="I5570" s="6" t="s">
        <v>8582</v>
      </c>
      <c r="J5570" s="6" t="s">
        <v>154</v>
      </c>
      <c r="K5570" s="12" t="str">
        <f t="shared" si="1692"/>
        <v>View Creative</v>
      </c>
      <c r="L5570" s="6" t="s">
        <v>62</v>
      </c>
      <c r="M5570" s="6" t="s">
        <v>7390</v>
      </c>
      <c r="N5570" s="6" t="s">
        <v>8604</v>
      </c>
      <c r="O5570" s="36" t="s">
        <v>7541</v>
      </c>
      <c r="P5570" s="36" t="s">
        <v>7542</v>
      </c>
      <c r="Q5570" s="38"/>
    </row>
    <row r="5571">
      <c r="A5571" s="6" t="s">
        <v>7390</v>
      </c>
      <c r="B5571" s="6" t="s">
        <v>8580</v>
      </c>
      <c r="C5571" s="6">
        <v>51.0</v>
      </c>
      <c r="D5571" s="9" t="str">
        <f t="shared" ref="D5571:D5572" si="1693">HYPERLINK("https://www.linkedin.com/ad-library/detail/1442899093","Open Ad")</f>
        <v>Open Ad</v>
      </c>
      <c r="E5571" s="6" t="s">
        <v>154</v>
      </c>
      <c r="F5571" s="6" t="s">
        <v>8022</v>
      </c>
      <c r="G5571" s="6" t="s">
        <v>8605</v>
      </c>
      <c r="H5571" s="6" t="s">
        <v>55</v>
      </c>
      <c r="I5571" s="6" t="s">
        <v>8582</v>
      </c>
      <c r="J5571" s="6" t="s">
        <v>154</v>
      </c>
      <c r="K5571" s="12" t="str">
        <f t="shared" ref="K5571:K5572" si="1694">HYPERLINK("https://dms.licdn.com/playlist/vid/v2/D4E05AQHd6YleR4fnQQ/mp4-720p-30fp-crf28/B4EZ61YWocGQB8-/0/1781159615632?e=2147483647&amp;v=beta&amp;t=GuHv4qUPCtOc6YzfnTUHwvKp3Zs98VCaFYIJfNR5AFg","View Creative")</f>
        <v>View Creative</v>
      </c>
      <c r="L5571" s="6" t="s">
        <v>62</v>
      </c>
      <c r="M5571" s="6" t="s">
        <v>7390</v>
      </c>
      <c r="N5571" s="6" t="s">
        <v>8604</v>
      </c>
      <c r="O5571" s="36" t="s">
        <v>7541</v>
      </c>
      <c r="P5571" s="36" t="s">
        <v>7542</v>
      </c>
      <c r="Q5571" s="38"/>
    </row>
    <row r="5572">
      <c r="A5572" s="6" t="s">
        <v>7390</v>
      </c>
      <c r="B5572" s="6" t="s">
        <v>8580</v>
      </c>
      <c r="C5572" s="6">
        <v>52.0</v>
      </c>
      <c r="D5572" s="9" t="str">
        <f t="shared" si="1693"/>
        <v>Open Ad</v>
      </c>
      <c r="E5572" s="6" t="s">
        <v>154</v>
      </c>
      <c r="F5572" s="6" t="s">
        <v>8022</v>
      </c>
      <c r="G5572" s="6" t="s">
        <v>8605</v>
      </c>
      <c r="H5572" s="6" t="s">
        <v>55</v>
      </c>
      <c r="I5572" s="6" t="s">
        <v>8582</v>
      </c>
      <c r="J5572" s="6" t="s">
        <v>154</v>
      </c>
      <c r="K5572" s="12" t="str">
        <f t="shared" si="1694"/>
        <v>View Creative</v>
      </c>
      <c r="L5572" s="6" t="s">
        <v>62</v>
      </c>
      <c r="M5572" s="6" t="s">
        <v>7390</v>
      </c>
      <c r="N5572" s="6" t="s">
        <v>8604</v>
      </c>
      <c r="O5572" s="36" t="s">
        <v>7541</v>
      </c>
      <c r="P5572" s="36" t="s">
        <v>7542</v>
      </c>
      <c r="Q5572" s="38"/>
    </row>
    <row r="5573">
      <c r="A5573" s="6" t="s">
        <v>7390</v>
      </c>
      <c r="B5573" s="6" t="s">
        <v>8580</v>
      </c>
      <c r="C5573" s="6">
        <v>53.0</v>
      </c>
      <c r="D5573" s="9" t="str">
        <f t="shared" ref="D5573:D5574" si="1695">HYPERLINK("https://www.linkedin.com/ad-library/detail/1442879613","Open Ad")</f>
        <v>Open Ad</v>
      </c>
      <c r="E5573" s="6" t="s">
        <v>91</v>
      </c>
      <c r="F5573" s="6" t="s">
        <v>8022</v>
      </c>
      <c r="G5573" s="6" t="s">
        <v>8606</v>
      </c>
      <c r="H5573" s="6" t="s">
        <v>55</v>
      </c>
      <c r="I5573" s="6" t="s">
        <v>8582</v>
      </c>
      <c r="J5573" s="6" t="s">
        <v>91</v>
      </c>
      <c r="K5573" s="12" t="str">
        <f t="shared" ref="K5573:K5574" si="1696">HYPERLINK("https://media.licdn.com/dms/image/v2/D4E22AQFd99riRaLcTQ/feedshare-image-high-res/B4EZ82LpSNHMAU-/0/1783320450499?e=2147483647&amp;v=beta&amp;t=DQt5I1zweQunogKTIP0R-KH7WbsR1WL6081Vj7D4gRQ","View Creative")</f>
        <v>View Creative</v>
      </c>
      <c r="L5573" s="6" t="s">
        <v>62</v>
      </c>
      <c r="M5573" s="6" t="s">
        <v>7390</v>
      </c>
      <c r="N5573" s="6" t="s">
        <v>8607</v>
      </c>
      <c r="O5573" s="36" t="s">
        <v>7541</v>
      </c>
      <c r="P5573" s="36" t="s">
        <v>7542</v>
      </c>
      <c r="Q5573" s="38"/>
    </row>
    <row r="5574">
      <c r="A5574" s="6" t="s">
        <v>7390</v>
      </c>
      <c r="B5574" s="6" t="s">
        <v>8580</v>
      </c>
      <c r="C5574" s="6">
        <v>54.0</v>
      </c>
      <c r="D5574" s="9" t="str">
        <f t="shared" si="1695"/>
        <v>Open Ad</v>
      </c>
      <c r="E5574" s="6" t="s">
        <v>91</v>
      </c>
      <c r="F5574" s="6" t="s">
        <v>8022</v>
      </c>
      <c r="G5574" s="6" t="s">
        <v>8606</v>
      </c>
      <c r="H5574" s="6" t="s">
        <v>55</v>
      </c>
      <c r="I5574" s="6" t="s">
        <v>8582</v>
      </c>
      <c r="J5574" s="6" t="s">
        <v>91</v>
      </c>
      <c r="K5574" s="12" t="str">
        <f t="shared" si="1696"/>
        <v>View Creative</v>
      </c>
      <c r="L5574" s="6" t="s">
        <v>62</v>
      </c>
      <c r="M5574" s="6" t="s">
        <v>7390</v>
      </c>
      <c r="N5574" s="6" t="s">
        <v>8607</v>
      </c>
      <c r="O5574" s="36" t="s">
        <v>7541</v>
      </c>
      <c r="P5574" s="36" t="s">
        <v>7542</v>
      </c>
      <c r="Q5574" s="38"/>
    </row>
    <row r="5575">
      <c r="A5575" s="6" t="s">
        <v>7390</v>
      </c>
      <c r="B5575" s="6" t="s">
        <v>8580</v>
      </c>
      <c r="C5575" s="6">
        <v>55.0</v>
      </c>
      <c r="D5575" s="9" t="str">
        <f t="shared" ref="D5575:D5576" si="1697">HYPERLINK("https://www.linkedin.com/ad-library/detail/1442859653","Open Ad")</f>
        <v>Open Ad</v>
      </c>
      <c r="E5575" s="6" t="s">
        <v>154</v>
      </c>
      <c r="F5575" s="6" t="s">
        <v>8022</v>
      </c>
      <c r="G5575" s="6" t="s">
        <v>8598</v>
      </c>
      <c r="H5575" s="6" t="s">
        <v>55</v>
      </c>
      <c r="I5575" s="6" t="s">
        <v>8582</v>
      </c>
      <c r="J5575" s="6" t="s">
        <v>154</v>
      </c>
      <c r="K5575" s="12" t="str">
        <f t="shared" ref="K5575:K5576" si="1698">HYPERLINK("https://dms.licdn.com/playlist/vid/v2/D4E05AQHgOCwydDtH7w/mp4-640p-30fp-crf28/B4EZ61WjwaJEBk-/0/1781159117017?e=2147483647&amp;v=beta&amp;t=kgix98g_BsKPq-XmGT8Zhm8fh8HoBS0bAHDbLvn0Yys","View Creative")</f>
        <v>View Creative</v>
      </c>
      <c r="L5575" s="6" t="s">
        <v>62</v>
      </c>
      <c r="M5575" s="6" t="s">
        <v>7390</v>
      </c>
      <c r="N5575" s="6" t="s">
        <v>8608</v>
      </c>
      <c r="O5575" s="36" t="s">
        <v>7541</v>
      </c>
      <c r="P5575" s="36" t="s">
        <v>7542</v>
      </c>
      <c r="Q5575" s="38"/>
    </row>
    <row r="5576">
      <c r="A5576" s="6" t="s">
        <v>7390</v>
      </c>
      <c r="B5576" s="6" t="s">
        <v>8580</v>
      </c>
      <c r="C5576" s="6">
        <v>56.0</v>
      </c>
      <c r="D5576" s="9" t="str">
        <f t="shared" si="1697"/>
        <v>Open Ad</v>
      </c>
      <c r="E5576" s="6" t="s">
        <v>154</v>
      </c>
      <c r="F5576" s="6" t="s">
        <v>8022</v>
      </c>
      <c r="G5576" s="6" t="s">
        <v>8598</v>
      </c>
      <c r="H5576" s="6" t="s">
        <v>55</v>
      </c>
      <c r="I5576" s="6" t="s">
        <v>8582</v>
      </c>
      <c r="J5576" s="6" t="s">
        <v>154</v>
      </c>
      <c r="K5576" s="12" t="str">
        <f t="shared" si="1698"/>
        <v>View Creative</v>
      </c>
      <c r="L5576" s="6" t="s">
        <v>62</v>
      </c>
      <c r="M5576" s="6" t="s">
        <v>7390</v>
      </c>
      <c r="N5576" s="6" t="s">
        <v>8608</v>
      </c>
      <c r="O5576" s="36" t="s">
        <v>7541</v>
      </c>
      <c r="P5576" s="36" t="s">
        <v>7542</v>
      </c>
      <c r="Q5576" s="38"/>
    </row>
    <row r="5577">
      <c r="A5577" s="6" t="s">
        <v>7390</v>
      </c>
      <c r="B5577" s="6" t="s">
        <v>8580</v>
      </c>
      <c r="C5577" s="6">
        <v>57.0</v>
      </c>
      <c r="D5577" s="9" t="str">
        <f t="shared" ref="D5577:D5578" si="1699">HYPERLINK("https://www.linkedin.com/ad-library/detail/1442899083","Open Ad")</f>
        <v>Open Ad</v>
      </c>
      <c r="E5577" s="6" t="s">
        <v>154</v>
      </c>
      <c r="F5577" s="6" t="s">
        <v>8022</v>
      </c>
      <c r="G5577" s="6" t="s">
        <v>8609</v>
      </c>
      <c r="H5577" s="6" t="s">
        <v>55</v>
      </c>
      <c r="I5577" s="6" t="s">
        <v>8582</v>
      </c>
      <c r="J5577" s="6" t="s">
        <v>154</v>
      </c>
      <c r="K5577" s="12" t="str">
        <f t="shared" ref="K5577:K5578" si="1700">HYPERLINK("https://dms.licdn.com/playlist/vid/v2/D4E05AQFs4GA-CSMrgw/mp4-640p-30fp-crf28/B4EZ8DNcpYK4Bk-/0/1782465303765?e=2147483647&amp;v=beta&amp;t=CXGN2ipbrLzus8O4b9lV3YtQijQ-GLV2wjc7kKhEwzg","View Creative")</f>
        <v>View Creative</v>
      </c>
      <c r="L5577" s="6" t="s">
        <v>62</v>
      </c>
      <c r="M5577" s="6" t="s">
        <v>7390</v>
      </c>
      <c r="N5577" s="6" t="s">
        <v>8604</v>
      </c>
      <c r="O5577" s="36" t="s">
        <v>7541</v>
      </c>
      <c r="P5577" s="36" t="s">
        <v>7542</v>
      </c>
      <c r="Q5577" s="38"/>
    </row>
    <row r="5578">
      <c r="A5578" s="6" t="s">
        <v>7390</v>
      </c>
      <c r="B5578" s="6" t="s">
        <v>8580</v>
      </c>
      <c r="C5578" s="6">
        <v>58.0</v>
      </c>
      <c r="D5578" s="9" t="str">
        <f t="shared" si="1699"/>
        <v>Open Ad</v>
      </c>
      <c r="E5578" s="6" t="s">
        <v>154</v>
      </c>
      <c r="F5578" s="6" t="s">
        <v>8022</v>
      </c>
      <c r="G5578" s="6" t="s">
        <v>8609</v>
      </c>
      <c r="H5578" s="6" t="s">
        <v>55</v>
      </c>
      <c r="I5578" s="6" t="s">
        <v>8582</v>
      </c>
      <c r="J5578" s="6" t="s">
        <v>154</v>
      </c>
      <c r="K5578" s="12" t="str">
        <f t="shared" si="1700"/>
        <v>View Creative</v>
      </c>
      <c r="L5578" s="6" t="s">
        <v>62</v>
      </c>
      <c r="M5578" s="6" t="s">
        <v>7390</v>
      </c>
      <c r="N5578" s="6" t="s">
        <v>8604</v>
      </c>
      <c r="O5578" s="36" t="s">
        <v>7541</v>
      </c>
      <c r="P5578" s="36" t="s">
        <v>7542</v>
      </c>
      <c r="Q5578" s="38"/>
    </row>
    <row r="5579">
      <c r="A5579" s="6" t="s">
        <v>7390</v>
      </c>
      <c r="B5579" s="6" t="s">
        <v>8580</v>
      </c>
      <c r="C5579" s="6">
        <v>59.0</v>
      </c>
      <c r="D5579" s="9" t="str">
        <f t="shared" ref="D5579:D5580" si="1701">HYPERLINK("https://www.linkedin.com/ad-library/detail/1443010323","Open Ad")</f>
        <v>Open Ad</v>
      </c>
      <c r="E5579" s="6" t="s">
        <v>91</v>
      </c>
      <c r="F5579" s="6" t="s">
        <v>8022</v>
      </c>
      <c r="G5579" s="6" t="s">
        <v>8610</v>
      </c>
      <c r="H5579" s="6" t="s">
        <v>55</v>
      </c>
      <c r="I5579" s="6" t="s">
        <v>8582</v>
      </c>
      <c r="J5579" s="6" t="s">
        <v>91</v>
      </c>
      <c r="K5579" s="12" t="str">
        <f t="shared" ref="K5579:K5580" si="1702">HYPERLINK("https://media.licdn.com/dms/image/v2/D4E22AQFFV6_jV3bM2A/feedshare-image-high-res/B4EZ74aXy_KwAU-/0/1782284123580?e=2147483647&amp;v=beta&amp;t=uA4GWUtr0mjVOAJEUJtu_Bb0yG4Ph0KBDl3a0_qG0ug","View Creative")</f>
        <v>View Creative</v>
      </c>
      <c r="L5579" s="6" t="s">
        <v>62</v>
      </c>
      <c r="M5579" s="6" t="s">
        <v>7390</v>
      </c>
      <c r="N5579" s="6" t="s">
        <v>8611</v>
      </c>
      <c r="O5579" s="36" t="s">
        <v>7541</v>
      </c>
      <c r="P5579" s="36" t="s">
        <v>7542</v>
      </c>
      <c r="Q5579" s="38"/>
    </row>
    <row r="5580">
      <c r="A5580" s="6" t="s">
        <v>7390</v>
      </c>
      <c r="B5580" s="6" t="s">
        <v>8580</v>
      </c>
      <c r="C5580" s="6">
        <v>60.0</v>
      </c>
      <c r="D5580" s="9" t="str">
        <f t="shared" si="1701"/>
        <v>Open Ad</v>
      </c>
      <c r="E5580" s="6" t="s">
        <v>91</v>
      </c>
      <c r="F5580" s="6" t="s">
        <v>8022</v>
      </c>
      <c r="G5580" s="6" t="s">
        <v>8610</v>
      </c>
      <c r="H5580" s="6" t="s">
        <v>55</v>
      </c>
      <c r="I5580" s="6" t="s">
        <v>8582</v>
      </c>
      <c r="J5580" s="6" t="s">
        <v>91</v>
      </c>
      <c r="K5580" s="12" t="str">
        <f t="shared" si="1702"/>
        <v>View Creative</v>
      </c>
      <c r="L5580" s="6" t="s">
        <v>62</v>
      </c>
      <c r="M5580" s="6" t="s">
        <v>7390</v>
      </c>
      <c r="N5580" s="6" t="s">
        <v>8611</v>
      </c>
      <c r="O5580" s="36" t="s">
        <v>7541</v>
      </c>
      <c r="P5580" s="36" t="s">
        <v>7542</v>
      </c>
      <c r="Q5580" s="38"/>
    </row>
    <row r="5581">
      <c r="A5581" s="6" t="s">
        <v>7390</v>
      </c>
      <c r="B5581" s="6" t="s">
        <v>8580</v>
      </c>
      <c r="C5581" s="6">
        <v>61.0</v>
      </c>
      <c r="D5581" s="9" t="str">
        <f t="shared" ref="D5581:D5582" si="1703">HYPERLINK("https://www.linkedin.com/ad-library/detail/1443020303","Open Ad")</f>
        <v>Open Ad</v>
      </c>
      <c r="E5581" s="6" t="s">
        <v>154</v>
      </c>
      <c r="F5581" s="6" t="s">
        <v>8022</v>
      </c>
      <c r="G5581" s="6" t="s">
        <v>8612</v>
      </c>
      <c r="H5581" s="6" t="s">
        <v>55</v>
      </c>
      <c r="I5581" s="6" t="s">
        <v>8582</v>
      </c>
      <c r="J5581" s="6" t="s">
        <v>154</v>
      </c>
      <c r="K5581" s="12" t="str">
        <f t="shared" ref="K5581:K5582" si="1704">HYPERLINK("https://dms.licdn.com/playlist/vid/v2/D4E05AQGIF98SyzURBg/mp4-720p-30fp-crf28/B4EZ87RlJtHkB8-/0/1783405896887?e=2147483647&amp;v=beta&amp;t=Q5GjvDX_Oq-mR6TBH0CsixKI4nOFUxfdsDiCWlA9DYI","View Creative")</f>
        <v>View Creative</v>
      </c>
      <c r="L5581" s="6" t="s">
        <v>62</v>
      </c>
      <c r="M5581" s="6" t="s">
        <v>7390</v>
      </c>
      <c r="N5581" s="6" t="s">
        <v>8604</v>
      </c>
      <c r="O5581" s="36" t="s">
        <v>7541</v>
      </c>
      <c r="P5581" s="36" t="s">
        <v>7542</v>
      </c>
      <c r="Q5581" s="38"/>
    </row>
    <row r="5582">
      <c r="A5582" s="6" t="s">
        <v>7390</v>
      </c>
      <c r="B5582" s="6" t="s">
        <v>8580</v>
      </c>
      <c r="C5582" s="6">
        <v>62.0</v>
      </c>
      <c r="D5582" s="9" t="str">
        <f t="shared" si="1703"/>
        <v>Open Ad</v>
      </c>
      <c r="E5582" s="6" t="s">
        <v>154</v>
      </c>
      <c r="F5582" s="6" t="s">
        <v>8022</v>
      </c>
      <c r="G5582" s="6" t="s">
        <v>8612</v>
      </c>
      <c r="H5582" s="6" t="s">
        <v>55</v>
      </c>
      <c r="I5582" s="6" t="s">
        <v>8582</v>
      </c>
      <c r="J5582" s="6" t="s">
        <v>154</v>
      </c>
      <c r="K5582" s="12" t="str">
        <f t="shared" si="1704"/>
        <v>View Creative</v>
      </c>
      <c r="L5582" s="6" t="s">
        <v>62</v>
      </c>
      <c r="M5582" s="6" t="s">
        <v>7390</v>
      </c>
      <c r="N5582" s="6" t="s">
        <v>8604</v>
      </c>
      <c r="O5582" s="36" t="s">
        <v>7541</v>
      </c>
      <c r="P5582" s="36" t="s">
        <v>7542</v>
      </c>
      <c r="Q5582" s="38"/>
    </row>
    <row r="5583">
      <c r="A5583" s="6" t="s">
        <v>7390</v>
      </c>
      <c r="B5583" s="6" t="s">
        <v>8580</v>
      </c>
      <c r="C5583" s="6">
        <v>63.0</v>
      </c>
      <c r="D5583" s="9" t="str">
        <f t="shared" ref="D5583:D5584" si="1705">HYPERLINK("https://www.linkedin.com/ad-library/detail/1440727543","Open Ad")</f>
        <v>Open Ad</v>
      </c>
      <c r="E5583" s="6" t="s">
        <v>91</v>
      </c>
      <c r="F5583" s="6" t="s">
        <v>8022</v>
      </c>
      <c r="G5583" s="6" t="s">
        <v>8613</v>
      </c>
      <c r="H5583" s="6" t="s">
        <v>55</v>
      </c>
      <c r="I5583" s="6" t="s">
        <v>8582</v>
      </c>
      <c r="J5583" s="6" t="s">
        <v>91</v>
      </c>
      <c r="K5583" s="12" t="str">
        <f t="shared" ref="K5583:K5584" si="1706">HYPERLINK("https://media.licdn.com/dms/image/v2/D4D22AQG_pWDLBn11xg/feedshare-image-high-res/B4DZ5Ktvy7KAAY-/0/1779369967058?e=2147483647&amp;v=beta&amp;t=yoyITKReRXEAtjcuwqrsCi1t2CYI0VeP_TZzNmL4tEY","View Creative")</f>
        <v>View Creative</v>
      </c>
      <c r="L5583" s="6" t="s">
        <v>62</v>
      </c>
      <c r="M5583" s="6" t="s">
        <v>7390</v>
      </c>
      <c r="N5583" s="6" t="s">
        <v>8614</v>
      </c>
      <c r="O5583" s="36" t="s">
        <v>7541</v>
      </c>
      <c r="P5583" s="36" t="s">
        <v>7542</v>
      </c>
      <c r="Q5583" s="38"/>
    </row>
    <row r="5584">
      <c r="A5584" s="6" t="s">
        <v>7390</v>
      </c>
      <c r="B5584" s="6" t="s">
        <v>8580</v>
      </c>
      <c r="C5584" s="6">
        <v>64.0</v>
      </c>
      <c r="D5584" s="9" t="str">
        <f t="shared" si="1705"/>
        <v>Open Ad</v>
      </c>
      <c r="E5584" s="6" t="s">
        <v>91</v>
      </c>
      <c r="F5584" s="6" t="s">
        <v>8022</v>
      </c>
      <c r="G5584" s="6" t="s">
        <v>8613</v>
      </c>
      <c r="H5584" s="6" t="s">
        <v>55</v>
      </c>
      <c r="I5584" s="6" t="s">
        <v>8582</v>
      </c>
      <c r="J5584" s="6" t="s">
        <v>91</v>
      </c>
      <c r="K5584" s="12" t="str">
        <f t="shared" si="1706"/>
        <v>View Creative</v>
      </c>
      <c r="L5584" s="6" t="s">
        <v>62</v>
      </c>
      <c r="M5584" s="6" t="s">
        <v>7390</v>
      </c>
      <c r="N5584" s="6" t="s">
        <v>8614</v>
      </c>
      <c r="O5584" s="36" t="s">
        <v>7541</v>
      </c>
      <c r="P5584" s="36" t="s">
        <v>7542</v>
      </c>
      <c r="Q5584" s="38"/>
    </row>
    <row r="5585">
      <c r="A5585" s="6" t="s">
        <v>7390</v>
      </c>
      <c r="B5585" s="6" t="s">
        <v>8580</v>
      </c>
      <c r="C5585" s="6">
        <v>65.0</v>
      </c>
      <c r="D5585" s="9" t="str">
        <f t="shared" ref="D5585:D5586" si="1707">HYPERLINK("https://www.linkedin.com/ad-library/detail/1442921323","Open Ad")</f>
        <v>Open Ad</v>
      </c>
      <c r="E5585" s="6" t="s">
        <v>91</v>
      </c>
      <c r="F5585" s="6" t="s">
        <v>8022</v>
      </c>
      <c r="G5585" s="6" t="s">
        <v>8615</v>
      </c>
      <c r="H5585" s="6" t="s">
        <v>55</v>
      </c>
      <c r="I5585" s="6" t="s">
        <v>8582</v>
      </c>
      <c r="J5585" s="6" t="s">
        <v>91</v>
      </c>
      <c r="K5585" s="12" t="str">
        <f t="shared" ref="K5585:K5586" si="1708">HYPERLINK("https://media.licdn.com/dms/image/v2/D4E22AQGj2T42TESk1w/feedshare-image-high-res/B4EZ74ZGPpHoAc-/0/1782283789605?e=2147483647&amp;v=beta&amp;t=lDvuae9vcjcZegfSk6jb_9i5cCj7CKtWG18C4c3kLjQ","View Creative")</f>
        <v>View Creative</v>
      </c>
      <c r="L5585" s="6" t="s">
        <v>62</v>
      </c>
      <c r="M5585" s="6" t="s">
        <v>7390</v>
      </c>
      <c r="N5585" s="6" t="s">
        <v>8611</v>
      </c>
      <c r="O5585" s="36" t="s">
        <v>7541</v>
      </c>
      <c r="P5585" s="36" t="s">
        <v>7542</v>
      </c>
      <c r="Q5585" s="38"/>
    </row>
    <row r="5586">
      <c r="A5586" s="6" t="s">
        <v>7390</v>
      </c>
      <c r="B5586" s="6" t="s">
        <v>8580</v>
      </c>
      <c r="C5586" s="6">
        <v>66.0</v>
      </c>
      <c r="D5586" s="9" t="str">
        <f t="shared" si="1707"/>
        <v>Open Ad</v>
      </c>
      <c r="E5586" s="6" t="s">
        <v>91</v>
      </c>
      <c r="F5586" s="6" t="s">
        <v>8022</v>
      </c>
      <c r="G5586" s="6" t="s">
        <v>8615</v>
      </c>
      <c r="H5586" s="6" t="s">
        <v>55</v>
      </c>
      <c r="I5586" s="6" t="s">
        <v>8582</v>
      </c>
      <c r="J5586" s="6" t="s">
        <v>91</v>
      </c>
      <c r="K5586" s="12" t="str">
        <f t="shared" si="1708"/>
        <v>View Creative</v>
      </c>
      <c r="L5586" s="6" t="s">
        <v>62</v>
      </c>
      <c r="M5586" s="6" t="s">
        <v>7390</v>
      </c>
      <c r="N5586" s="6" t="s">
        <v>8611</v>
      </c>
      <c r="O5586" s="36" t="s">
        <v>7541</v>
      </c>
      <c r="P5586" s="36" t="s">
        <v>7542</v>
      </c>
      <c r="Q5586" s="38"/>
    </row>
    <row r="5587">
      <c r="A5587" s="6" t="s">
        <v>7390</v>
      </c>
      <c r="B5587" s="6" t="s">
        <v>8580</v>
      </c>
      <c r="C5587" s="6">
        <v>67.0</v>
      </c>
      <c r="D5587" s="9" t="str">
        <f t="shared" ref="D5587:D5588" si="1709">HYPERLINK("https://www.linkedin.com/ad-library/detail/1442980543","Open Ad")</f>
        <v>Open Ad</v>
      </c>
      <c r="E5587" s="6" t="s">
        <v>91</v>
      </c>
      <c r="F5587" s="6" t="s">
        <v>8022</v>
      </c>
      <c r="G5587" s="6" t="s">
        <v>8613</v>
      </c>
      <c r="H5587" s="6" t="s">
        <v>55</v>
      </c>
      <c r="I5587" s="6" t="s">
        <v>8582</v>
      </c>
      <c r="J5587" s="6" t="s">
        <v>91</v>
      </c>
      <c r="K5587" s="12" t="str">
        <f t="shared" ref="K5587:K5588" si="1710">HYPERLINK("https://media.licdn.com/dms/image/v2/D4D22AQG_pWDLBn11xg/feedshare-image-high-res/B4DZ5Ktvy7KAAY-/0/1779369967058?e=2147483647&amp;v=beta&amp;t=yoyITKReRXEAtjcuwqrsCi1t2CYI0VeP_TZzNmL4tEY","View Creative")</f>
        <v>View Creative</v>
      </c>
      <c r="L5587" s="6" t="s">
        <v>62</v>
      </c>
      <c r="M5587" s="6" t="s">
        <v>7390</v>
      </c>
      <c r="N5587" s="6" t="s">
        <v>8607</v>
      </c>
      <c r="O5587" s="36" t="s">
        <v>7541</v>
      </c>
      <c r="P5587" s="36" t="s">
        <v>7542</v>
      </c>
      <c r="Q5587" s="38"/>
    </row>
    <row r="5588">
      <c r="A5588" s="6" t="s">
        <v>7390</v>
      </c>
      <c r="B5588" s="6" t="s">
        <v>8580</v>
      </c>
      <c r="C5588" s="6">
        <v>68.0</v>
      </c>
      <c r="D5588" s="9" t="str">
        <f t="shared" si="1709"/>
        <v>Open Ad</v>
      </c>
      <c r="E5588" s="6" t="s">
        <v>91</v>
      </c>
      <c r="F5588" s="6" t="s">
        <v>8022</v>
      </c>
      <c r="G5588" s="6" t="s">
        <v>8613</v>
      </c>
      <c r="H5588" s="6" t="s">
        <v>55</v>
      </c>
      <c r="I5588" s="6" t="s">
        <v>8582</v>
      </c>
      <c r="J5588" s="6" t="s">
        <v>91</v>
      </c>
      <c r="K5588" s="12" t="str">
        <f t="shared" si="1710"/>
        <v>View Creative</v>
      </c>
      <c r="L5588" s="6" t="s">
        <v>62</v>
      </c>
      <c r="M5588" s="6" t="s">
        <v>7390</v>
      </c>
      <c r="N5588" s="6" t="s">
        <v>8607</v>
      </c>
      <c r="O5588" s="36" t="s">
        <v>7541</v>
      </c>
      <c r="P5588" s="36" t="s">
        <v>7542</v>
      </c>
      <c r="Q5588" s="38"/>
    </row>
    <row r="5589">
      <c r="A5589" s="6" t="s">
        <v>7390</v>
      </c>
      <c r="B5589" s="6" t="s">
        <v>8580</v>
      </c>
      <c r="C5589" s="6">
        <v>69.0</v>
      </c>
      <c r="D5589" s="9" t="str">
        <f t="shared" ref="D5589:D5590" si="1711">HYPERLINK("https://www.linkedin.com/ad-library/detail/1443059933","Open Ad")</f>
        <v>Open Ad</v>
      </c>
      <c r="E5589" s="6" t="s">
        <v>91</v>
      </c>
      <c r="F5589" s="6" t="s">
        <v>8022</v>
      </c>
      <c r="G5589" s="6" t="s">
        <v>8616</v>
      </c>
      <c r="H5589" s="6" t="s">
        <v>55</v>
      </c>
      <c r="I5589" s="6" t="s">
        <v>8582</v>
      </c>
      <c r="J5589" s="6" t="s">
        <v>91</v>
      </c>
      <c r="K5589" s="12" t="str">
        <f t="shared" ref="K5589:K5590" si="1712">HYPERLINK("https://media.licdn.com/dms/image/v2/D4E22AQGk067apuo5qQ/feedshare-image-high-res/B4EZ7zIBmuHwAY-/0/1782195428007?e=2147483647&amp;v=beta&amp;t=HCMTNKg4ludKnwsaiFUYT_NGO-es1knNpH1qJvyvb04","View Creative")</f>
        <v>View Creative</v>
      </c>
      <c r="L5589" s="6" t="s">
        <v>62</v>
      </c>
      <c r="M5589" s="6" t="s">
        <v>7390</v>
      </c>
      <c r="N5589" s="6" t="s">
        <v>8607</v>
      </c>
      <c r="O5589" s="36" t="s">
        <v>7541</v>
      </c>
      <c r="P5589" s="36" t="s">
        <v>7542</v>
      </c>
      <c r="Q5589" s="38"/>
    </row>
    <row r="5590">
      <c r="A5590" s="6" t="s">
        <v>7390</v>
      </c>
      <c r="B5590" s="6" t="s">
        <v>8580</v>
      </c>
      <c r="C5590" s="6">
        <v>70.0</v>
      </c>
      <c r="D5590" s="9" t="str">
        <f t="shared" si="1711"/>
        <v>Open Ad</v>
      </c>
      <c r="E5590" s="6" t="s">
        <v>91</v>
      </c>
      <c r="F5590" s="6" t="s">
        <v>8022</v>
      </c>
      <c r="G5590" s="6" t="s">
        <v>8616</v>
      </c>
      <c r="H5590" s="6" t="s">
        <v>55</v>
      </c>
      <c r="I5590" s="6" t="s">
        <v>8582</v>
      </c>
      <c r="J5590" s="6" t="s">
        <v>91</v>
      </c>
      <c r="K5590" s="12" t="str">
        <f t="shared" si="1712"/>
        <v>View Creative</v>
      </c>
      <c r="L5590" s="6" t="s">
        <v>62</v>
      </c>
      <c r="M5590" s="6" t="s">
        <v>7390</v>
      </c>
      <c r="N5590" s="6" t="s">
        <v>8607</v>
      </c>
      <c r="O5590" s="36" t="s">
        <v>7541</v>
      </c>
      <c r="P5590" s="36" t="s">
        <v>7542</v>
      </c>
      <c r="Q5590" s="38"/>
    </row>
    <row r="5591">
      <c r="A5591" s="6" t="s">
        <v>7390</v>
      </c>
      <c r="B5591" s="6" t="s">
        <v>8580</v>
      </c>
      <c r="C5591" s="6">
        <v>71.0</v>
      </c>
      <c r="D5591" s="9" t="str">
        <f t="shared" ref="D5591:D5592" si="1713">HYPERLINK("https://www.linkedin.com/ad-library/detail/1443030223","Open Ad")</f>
        <v>Open Ad</v>
      </c>
      <c r="E5591" s="6" t="s">
        <v>91</v>
      </c>
      <c r="F5591" s="6" t="s">
        <v>8022</v>
      </c>
      <c r="G5591" s="6" t="s">
        <v>8617</v>
      </c>
      <c r="H5591" s="6" t="s">
        <v>55</v>
      </c>
      <c r="I5591" s="6" t="s">
        <v>8582</v>
      </c>
      <c r="J5591" s="6" t="s">
        <v>91</v>
      </c>
      <c r="K5591" s="12" t="str">
        <f t="shared" ref="K5591:K5592" si="1714">HYPERLINK("https://media.licdn.com/dms/image/v2/D4E22AQGIv40OuuCTKw/feedshare-shrink_1280/B4EZ8XUGdSJEAU-/0/1782802573749?e=2147483647&amp;v=beta&amp;t=4r5kQiNcFOPsFb6XBacyPkZCk1jztWihIYC37K8ZFHo","View Creative")</f>
        <v>View Creative</v>
      </c>
      <c r="L5591" s="6" t="s">
        <v>62</v>
      </c>
      <c r="M5591" s="6" t="s">
        <v>7390</v>
      </c>
      <c r="N5591" s="6" t="s">
        <v>8611</v>
      </c>
      <c r="O5591" s="36" t="s">
        <v>7541</v>
      </c>
      <c r="P5591" s="36" t="s">
        <v>7542</v>
      </c>
      <c r="Q5591" s="38"/>
    </row>
    <row r="5592">
      <c r="A5592" s="6" t="s">
        <v>7390</v>
      </c>
      <c r="B5592" s="6" t="s">
        <v>8580</v>
      </c>
      <c r="C5592" s="6">
        <v>72.0</v>
      </c>
      <c r="D5592" s="9" t="str">
        <f t="shared" si="1713"/>
        <v>Open Ad</v>
      </c>
      <c r="E5592" s="6" t="s">
        <v>91</v>
      </c>
      <c r="F5592" s="6" t="s">
        <v>8022</v>
      </c>
      <c r="G5592" s="6" t="s">
        <v>8617</v>
      </c>
      <c r="H5592" s="6" t="s">
        <v>55</v>
      </c>
      <c r="I5592" s="6" t="s">
        <v>8582</v>
      </c>
      <c r="J5592" s="6" t="s">
        <v>91</v>
      </c>
      <c r="K5592" s="12" t="str">
        <f t="shared" si="1714"/>
        <v>View Creative</v>
      </c>
      <c r="L5592" s="6" t="s">
        <v>62</v>
      </c>
      <c r="M5592" s="6" t="s">
        <v>7390</v>
      </c>
      <c r="N5592" s="6" t="s">
        <v>8611</v>
      </c>
      <c r="O5592" s="36" t="s">
        <v>7541</v>
      </c>
      <c r="P5592" s="36" t="s">
        <v>7542</v>
      </c>
      <c r="Q5592" s="38"/>
    </row>
    <row r="5593">
      <c r="A5593" s="6" t="s">
        <v>7390</v>
      </c>
      <c r="B5593" s="6" t="s">
        <v>8580</v>
      </c>
      <c r="C5593" s="6">
        <v>73.0</v>
      </c>
      <c r="D5593" s="9" t="str">
        <f t="shared" ref="D5593:D5594" si="1715">HYPERLINK("https://www.linkedin.com/ad-library/detail/1443050243","Open Ad")</f>
        <v>Open Ad</v>
      </c>
      <c r="E5593" s="6" t="s">
        <v>91</v>
      </c>
      <c r="F5593" s="6" t="s">
        <v>8022</v>
      </c>
      <c r="G5593" s="6" t="s">
        <v>8610</v>
      </c>
      <c r="H5593" s="6" t="s">
        <v>55</v>
      </c>
      <c r="I5593" s="6" t="s">
        <v>8582</v>
      </c>
      <c r="J5593" s="6" t="s">
        <v>91</v>
      </c>
      <c r="K5593" s="12" t="str">
        <f t="shared" ref="K5593:K5594" si="1716">HYPERLINK("https://media.licdn.com/dms/image/v2/D4E22AQFFV6_jV3bM2A/feedshare-image-high-res/B4EZ74aXy_KwAU-/0/1782284123580?e=2147483647&amp;v=beta&amp;t=uA4GWUtr0mjVOAJEUJtu_Bb0yG4Ph0KBDl3a0_qG0ug","View Creative")</f>
        <v>View Creative</v>
      </c>
      <c r="L5593" s="6" t="s">
        <v>62</v>
      </c>
      <c r="M5593" s="6" t="s">
        <v>7390</v>
      </c>
      <c r="N5593" s="6" t="s">
        <v>8607</v>
      </c>
      <c r="O5593" s="36" t="s">
        <v>7541</v>
      </c>
      <c r="P5593" s="36" t="s">
        <v>7542</v>
      </c>
      <c r="Q5593" s="38"/>
    </row>
    <row r="5594">
      <c r="A5594" s="6" t="s">
        <v>7390</v>
      </c>
      <c r="B5594" s="6" t="s">
        <v>8580</v>
      </c>
      <c r="C5594" s="6">
        <v>74.0</v>
      </c>
      <c r="D5594" s="9" t="str">
        <f t="shared" si="1715"/>
        <v>Open Ad</v>
      </c>
      <c r="E5594" s="6" t="s">
        <v>91</v>
      </c>
      <c r="F5594" s="6" t="s">
        <v>8022</v>
      </c>
      <c r="G5594" s="6" t="s">
        <v>8610</v>
      </c>
      <c r="H5594" s="6" t="s">
        <v>55</v>
      </c>
      <c r="I5594" s="6" t="s">
        <v>8582</v>
      </c>
      <c r="J5594" s="6" t="s">
        <v>91</v>
      </c>
      <c r="K5594" s="12" t="str">
        <f t="shared" si="1716"/>
        <v>View Creative</v>
      </c>
      <c r="L5594" s="6" t="s">
        <v>62</v>
      </c>
      <c r="M5594" s="6" t="s">
        <v>7390</v>
      </c>
      <c r="N5594" s="6" t="s">
        <v>8607</v>
      </c>
      <c r="O5594" s="36" t="s">
        <v>7541</v>
      </c>
      <c r="P5594" s="36" t="s">
        <v>7542</v>
      </c>
      <c r="Q5594" s="38"/>
    </row>
    <row r="5595">
      <c r="A5595" s="6" t="s">
        <v>7390</v>
      </c>
      <c r="B5595" s="6" t="s">
        <v>8580</v>
      </c>
      <c r="C5595" s="6">
        <v>75.0</v>
      </c>
      <c r="D5595" s="9" t="str">
        <f t="shared" ref="D5595:D5596" si="1717">HYPERLINK("https://www.linkedin.com/ad-library/detail/1442921343","Open Ad")</f>
        <v>Open Ad</v>
      </c>
      <c r="E5595" s="6" t="s">
        <v>91</v>
      </c>
      <c r="F5595" s="6" t="s">
        <v>8022</v>
      </c>
      <c r="G5595" s="6" t="s">
        <v>8618</v>
      </c>
      <c r="H5595" s="6" t="s">
        <v>55</v>
      </c>
      <c r="I5595" s="6" t="s">
        <v>8582</v>
      </c>
      <c r="J5595" s="6" t="s">
        <v>91</v>
      </c>
      <c r="K5595" s="12" t="str">
        <f t="shared" ref="K5595:K5596" si="1718">HYPERLINK("https://media.licdn.com/dms/image/v2/D4E22AQEJKzjT8LcjAQ/feedshare-image-high-res/B4EZ8cdXBrIwAU-/0/1782888886663?e=2147483647&amp;v=beta&amp;t=Iv5Cf1pbMw5jumA1lvf6M553so6e41sG5XMSoDLRl1k","View Creative")</f>
        <v>View Creative</v>
      </c>
      <c r="L5595" s="6" t="s">
        <v>62</v>
      </c>
      <c r="M5595" s="6" t="s">
        <v>7390</v>
      </c>
      <c r="N5595" s="6" t="s">
        <v>8611</v>
      </c>
      <c r="O5595" s="36" t="s">
        <v>7541</v>
      </c>
      <c r="P5595" s="36" t="s">
        <v>7542</v>
      </c>
      <c r="Q5595" s="38"/>
    </row>
    <row r="5596">
      <c r="A5596" s="6" t="s">
        <v>7390</v>
      </c>
      <c r="B5596" s="6" t="s">
        <v>8580</v>
      </c>
      <c r="C5596" s="6">
        <v>76.0</v>
      </c>
      <c r="D5596" s="9" t="str">
        <f t="shared" si="1717"/>
        <v>Open Ad</v>
      </c>
      <c r="E5596" s="6" t="s">
        <v>91</v>
      </c>
      <c r="F5596" s="6" t="s">
        <v>8022</v>
      </c>
      <c r="G5596" s="6" t="s">
        <v>8618</v>
      </c>
      <c r="H5596" s="6" t="s">
        <v>55</v>
      </c>
      <c r="I5596" s="6" t="s">
        <v>8582</v>
      </c>
      <c r="J5596" s="6" t="s">
        <v>91</v>
      </c>
      <c r="K5596" s="12" t="str">
        <f t="shared" si="1718"/>
        <v>View Creative</v>
      </c>
      <c r="L5596" s="6" t="s">
        <v>62</v>
      </c>
      <c r="M5596" s="6" t="s">
        <v>7390</v>
      </c>
      <c r="N5596" s="6" t="s">
        <v>8611</v>
      </c>
      <c r="O5596" s="36" t="s">
        <v>7541</v>
      </c>
      <c r="P5596" s="36" t="s">
        <v>7542</v>
      </c>
      <c r="Q5596" s="38"/>
    </row>
    <row r="5597">
      <c r="A5597" s="6" t="s">
        <v>7390</v>
      </c>
      <c r="B5597" s="6" t="s">
        <v>8580</v>
      </c>
      <c r="C5597" s="6">
        <v>77.0</v>
      </c>
      <c r="D5597" s="9" t="str">
        <f t="shared" ref="D5597:D5598" si="1719">HYPERLINK("https://www.linkedin.com/ad-library/detail/1442889033","Open Ad")</f>
        <v>Open Ad</v>
      </c>
      <c r="E5597" s="6" t="s">
        <v>91</v>
      </c>
      <c r="F5597" s="6" t="s">
        <v>8022</v>
      </c>
      <c r="G5597" s="6" t="s">
        <v>8619</v>
      </c>
      <c r="H5597" s="6" t="s">
        <v>55</v>
      </c>
      <c r="I5597" s="6" t="s">
        <v>8582</v>
      </c>
      <c r="J5597" s="6" t="s">
        <v>91</v>
      </c>
      <c r="K5597" s="12" t="str">
        <f t="shared" ref="K5597:K5598" si="1720">HYPERLINK("https://media.licdn.com/dms/image/v2/D4E22AQFDetik_OMtDA/feedshare-image-high-res/B4EZ82pjENHkAY-/0/1783328289310?e=2147483647&amp;v=beta&amp;t=3_ENJaIhqXbj3xDtNrnb-ELd1mD699XIM7ql1ZftTZE","View Creative")</f>
        <v>View Creative</v>
      </c>
      <c r="L5597" s="6" t="s">
        <v>62</v>
      </c>
      <c r="M5597" s="6" t="s">
        <v>7390</v>
      </c>
      <c r="N5597" s="6" t="s">
        <v>8611</v>
      </c>
      <c r="O5597" s="36" t="s">
        <v>7541</v>
      </c>
      <c r="P5597" s="36" t="s">
        <v>7542</v>
      </c>
      <c r="Q5597" s="38"/>
    </row>
    <row r="5598">
      <c r="A5598" s="6" t="s">
        <v>7390</v>
      </c>
      <c r="B5598" s="6" t="s">
        <v>8580</v>
      </c>
      <c r="C5598" s="6">
        <v>78.0</v>
      </c>
      <c r="D5598" s="9" t="str">
        <f t="shared" si="1719"/>
        <v>Open Ad</v>
      </c>
      <c r="E5598" s="6" t="s">
        <v>91</v>
      </c>
      <c r="F5598" s="6" t="s">
        <v>8022</v>
      </c>
      <c r="G5598" s="6" t="s">
        <v>8619</v>
      </c>
      <c r="H5598" s="6" t="s">
        <v>55</v>
      </c>
      <c r="I5598" s="6" t="s">
        <v>8582</v>
      </c>
      <c r="J5598" s="6" t="s">
        <v>91</v>
      </c>
      <c r="K5598" s="12" t="str">
        <f t="shared" si="1720"/>
        <v>View Creative</v>
      </c>
      <c r="L5598" s="6" t="s">
        <v>62</v>
      </c>
      <c r="M5598" s="6" t="s">
        <v>7390</v>
      </c>
      <c r="N5598" s="6" t="s">
        <v>8611</v>
      </c>
      <c r="O5598" s="36" t="s">
        <v>7541</v>
      </c>
      <c r="P5598" s="36" t="s">
        <v>7542</v>
      </c>
      <c r="Q5598" s="38"/>
    </row>
    <row r="5599">
      <c r="A5599" s="6" t="s">
        <v>7390</v>
      </c>
      <c r="B5599" s="6" t="s">
        <v>8580</v>
      </c>
      <c r="C5599" s="6">
        <v>79.0</v>
      </c>
      <c r="D5599" s="9" t="str">
        <f t="shared" ref="D5599:D5600" si="1721">HYPERLINK("https://www.linkedin.com/ad-library/detail/1442901783","Open Ad")</f>
        <v>Open Ad</v>
      </c>
      <c r="E5599" s="6" t="s">
        <v>91</v>
      </c>
      <c r="F5599" s="6" t="s">
        <v>8022</v>
      </c>
      <c r="G5599" s="6" t="s">
        <v>8620</v>
      </c>
      <c r="H5599" s="6" t="s">
        <v>55</v>
      </c>
      <c r="I5599" s="6" t="s">
        <v>8582</v>
      </c>
      <c r="J5599" s="6" t="s">
        <v>91</v>
      </c>
      <c r="K5599" s="12" t="str">
        <f t="shared" ref="K5599:K5600" si="1722">HYPERLINK("https://media.licdn.com/dms/image/v2/D4E22AQEsUoviXxdOLA/feedshare-shrink_1280/B4EZ7zKHegHoAQ-/0/1782195976367?e=2147483647&amp;v=beta&amp;t=DsdQB9VhMN1yFtQi7lAE6MppH6mLuei8eGMn5zXfjIA","View Creative")</f>
        <v>View Creative</v>
      </c>
      <c r="L5599" s="6" t="s">
        <v>62</v>
      </c>
      <c r="M5599" s="6" t="s">
        <v>7390</v>
      </c>
      <c r="N5599" s="6" t="s">
        <v>8611</v>
      </c>
      <c r="O5599" s="36" t="s">
        <v>7541</v>
      </c>
      <c r="P5599" s="36" t="s">
        <v>7542</v>
      </c>
      <c r="Q5599" s="38"/>
    </row>
    <row r="5600">
      <c r="A5600" s="6" t="s">
        <v>7390</v>
      </c>
      <c r="B5600" s="6" t="s">
        <v>8580</v>
      </c>
      <c r="C5600" s="6">
        <v>80.0</v>
      </c>
      <c r="D5600" s="9" t="str">
        <f t="shared" si="1721"/>
        <v>Open Ad</v>
      </c>
      <c r="E5600" s="6" t="s">
        <v>91</v>
      </c>
      <c r="F5600" s="6" t="s">
        <v>8022</v>
      </c>
      <c r="G5600" s="6" t="s">
        <v>8620</v>
      </c>
      <c r="H5600" s="6" t="s">
        <v>55</v>
      </c>
      <c r="I5600" s="6" t="s">
        <v>8582</v>
      </c>
      <c r="J5600" s="6" t="s">
        <v>91</v>
      </c>
      <c r="K5600" s="12" t="str">
        <f t="shared" si="1722"/>
        <v>View Creative</v>
      </c>
      <c r="L5600" s="6" t="s">
        <v>62</v>
      </c>
      <c r="M5600" s="6" t="s">
        <v>7390</v>
      </c>
      <c r="N5600" s="6" t="s">
        <v>8611</v>
      </c>
      <c r="O5600" s="36" t="s">
        <v>7541</v>
      </c>
      <c r="P5600" s="36" t="s">
        <v>7542</v>
      </c>
      <c r="Q5600" s="38"/>
    </row>
    <row r="5601">
      <c r="A5601" s="6" t="s">
        <v>7390</v>
      </c>
      <c r="B5601" s="6" t="s">
        <v>8580</v>
      </c>
      <c r="C5601" s="6">
        <v>81.0</v>
      </c>
      <c r="D5601" s="9" t="str">
        <f t="shared" ref="D5601:D5602" si="1723">HYPERLINK("https://www.linkedin.com/ad-library/detail/1443050233","Open Ad")</f>
        <v>Open Ad</v>
      </c>
      <c r="E5601" s="6" t="s">
        <v>91</v>
      </c>
      <c r="F5601" s="6" t="s">
        <v>8022</v>
      </c>
      <c r="G5601" s="6" t="s">
        <v>8617</v>
      </c>
      <c r="H5601" s="6" t="s">
        <v>55</v>
      </c>
      <c r="I5601" s="6" t="s">
        <v>8582</v>
      </c>
      <c r="J5601" s="6" t="s">
        <v>91</v>
      </c>
      <c r="K5601" s="12" t="str">
        <f t="shared" ref="K5601:K5602" si="1724">HYPERLINK("https://media.licdn.com/dms/image/v2/D4E22AQGIv40OuuCTKw/feedshare-shrink_1280/B4EZ8XUGdSJEAU-/0/1782802573749?e=2147483647&amp;v=beta&amp;t=4r5kQiNcFOPsFb6XBacyPkZCk1jztWihIYC37K8ZFHo","View Creative")</f>
        <v>View Creative</v>
      </c>
      <c r="L5601" s="6" t="s">
        <v>62</v>
      </c>
      <c r="M5601" s="6" t="s">
        <v>7390</v>
      </c>
      <c r="N5601" s="6" t="s">
        <v>8607</v>
      </c>
      <c r="O5601" s="36" t="s">
        <v>7541</v>
      </c>
      <c r="P5601" s="36" t="s">
        <v>7542</v>
      </c>
      <c r="Q5601" s="38"/>
    </row>
    <row r="5602">
      <c r="A5602" s="6" t="s">
        <v>7390</v>
      </c>
      <c r="B5602" s="6" t="s">
        <v>8580</v>
      </c>
      <c r="C5602" s="6">
        <v>82.0</v>
      </c>
      <c r="D5602" s="9" t="str">
        <f t="shared" si="1723"/>
        <v>Open Ad</v>
      </c>
      <c r="E5602" s="6" t="s">
        <v>91</v>
      </c>
      <c r="F5602" s="6" t="s">
        <v>8022</v>
      </c>
      <c r="G5602" s="6" t="s">
        <v>8617</v>
      </c>
      <c r="H5602" s="6" t="s">
        <v>55</v>
      </c>
      <c r="I5602" s="6" t="s">
        <v>8582</v>
      </c>
      <c r="J5602" s="6" t="s">
        <v>91</v>
      </c>
      <c r="K5602" s="12" t="str">
        <f t="shared" si="1724"/>
        <v>View Creative</v>
      </c>
      <c r="L5602" s="6" t="s">
        <v>62</v>
      </c>
      <c r="M5602" s="6" t="s">
        <v>7390</v>
      </c>
      <c r="N5602" s="6" t="s">
        <v>8607</v>
      </c>
      <c r="O5602" s="36" t="s">
        <v>7541</v>
      </c>
      <c r="P5602" s="36" t="s">
        <v>7542</v>
      </c>
      <c r="Q5602" s="38"/>
    </row>
    <row r="5603">
      <c r="A5603" s="6" t="s">
        <v>7390</v>
      </c>
      <c r="B5603" s="6" t="s">
        <v>8580</v>
      </c>
      <c r="C5603" s="6">
        <v>83.0</v>
      </c>
      <c r="D5603" s="9" t="str">
        <f t="shared" ref="D5603:D5604" si="1725">HYPERLINK("https://www.linkedin.com/ad-library/detail/1442901873","Open Ad")</f>
        <v>Open Ad</v>
      </c>
      <c r="E5603" s="6" t="s">
        <v>154</v>
      </c>
      <c r="F5603" s="6" t="s">
        <v>8022</v>
      </c>
      <c r="G5603" s="6" t="s">
        <v>8609</v>
      </c>
      <c r="H5603" s="6" t="s">
        <v>55</v>
      </c>
      <c r="I5603" s="6" t="s">
        <v>8582</v>
      </c>
      <c r="J5603" s="6" t="s">
        <v>154</v>
      </c>
      <c r="K5603" s="12" t="str">
        <f t="shared" ref="K5603:K5604" si="1726">HYPERLINK("https://dms.licdn.com/playlist/vid/v2/D4E05AQFs4GA-CSMrgw/mp4-640p-30fp-crf28/B4EZ8DNcpYK4Bk-/0/1782465303765?e=2147483647&amp;v=beta&amp;t=CXGN2ipbrLzus8O4b9lV3YtQijQ-GLV2wjc7kKhEwzg","View Creative")</f>
        <v>View Creative</v>
      </c>
      <c r="L5603" s="6" t="s">
        <v>62</v>
      </c>
      <c r="M5603" s="6" t="s">
        <v>7390</v>
      </c>
      <c r="N5603" s="6" t="s">
        <v>8608</v>
      </c>
      <c r="O5603" s="36" t="s">
        <v>7541</v>
      </c>
      <c r="P5603" s="36" t="s">
        <v>7542</v>
      </c>
      <c r="Q5603" s="38"/>
    </row>
    <row r="5604">
      <c r="A5604" s="6" t="s">
        <v>7390</v>
      </c>
      <c r="B5604" s="6" t="s">
        <v>8580</v>
      </c>
      <c r="C5604" s="6">
        <v>84.0</v>
      </c>
      <c r="D5604" s="9" t="str">
        <f t="shared" si="1725"/>
        <v>Open Ad</v>
      </c>
      <c r="E5604" s="6" t="s">
        <v>154</v>
      </c>
      <c r="F5604" s="6" t="s">
        <v>8022</v>
      </c>
      <c r="G5604" s="6" t="s">
        <v>8609</v>
      </c>
      <c r="H5604" s="6" t="s">
        <v>55</v>
      </c>
      <c r="I5604" s="6" t="s">
        <v>8582</v>
      </c>
      <c r="J5604" s="6" t="s">
        <v>154</v>
      </c>
      <c r="K5604" s="12" t="str">
        <f t="shared" si="1726"/>
        <v>View Creative</v>
      </c>
      <c r="L5604" s="6" t="s">
        <v>62</v>
      </c>
      <c r="M5604" s="6" t="s">
        <v>7390</v>
      </c>
      <c r="N5604" s="6" t="s">
        <v>8608</v>
      </c>
      <c r="O5604" s="36" t="s">
        <v>7541</v>
      </c>
      <c r="P5604" s="36" t="s">
        <v>7542</v>
      </c>
      <c r="Q5604" s="38"/>
    </row>
    <row r="5605">
      <c r="A5605" s="6" t="s">
        <v>7390</v>
      </c>
      <c r="B5605" s="6" t="s">
        <v>8580</v>
      </c>
      <c r="C5605" s="6">
        <v>85.0</v>
      </c>
      <c r="D5605" s="9" t="str">
        <f t="shared" ref="D5605:D5606" si="1727">HYPERLINK("https://www.linkedin.com/ad-library/detail/1442869323","Open Ad")</f>
        <v>Open Ad</v>
      </c>
      <c r="E5605" s="6" t="s">
        <v>91</v>
      </c>
      <c r="F5605" s="6" t="s">
        <v>8022</v>
      </c>
      <c r="G5605" s="6" t="s">
        <v>8621</v>
      </c>
      <c r="H5605" s="6" t="s">
        <v>55</v>
      </c>
      <c r="I5605" s="6" t="s">
        <v>8582</v>
      </c>
      <c r="J5605" s="6" t="s">
        <v>91</v>
      </c>
      <c r="K5605" s="12" t="str">
        <f t="shared" ref="K5605:K5606" si="1728">HYPERLINK("https://media.licdn.com/dms/image/v2/D4D22AQFpzdPgQ7ryJw/feedshare-image-high-res/B4DZ8T7ALEI4AU-/0/1782745662495?e=2147483647&amp;v=beta&amp;t=JXeLLmjUn3DJzYpTg_fqeKZX0p45s3yqVqPztec_O5M","View Creative")</f>
        <v>View Creative</v>
      </c>
      <c r="L5605" s="6" t="s">
        <v>62</v>
      </c>
      <c r="M5605" s="6" t="s">
        <v>7390</v>
      </c>
      <c r="N5605" s="6" t="s">
        <v>8622</v>
      </c>
      <c r="O5605" s="36" t="s">
        <v>7541</v>
      </c>
      <c r="P5605" s="36" t="s">
        <v>7542</v>
      </c>
      <c r="Q5605" s="38"/>
    </row>
    <row r="5606">
      <c r="A5606" s="6" t="s">
        <v>7390</v>
      </c>
      <c r="B5606" s="6" t="s">
        <v>8580</v>
      </c>
      <c r="C5606" s="6">
        <v>86.0</v>
      </c>
      <c r="D5606" s="9" t="str">
        <f t="shared" si="1727"/>
        <v>Open Ad</v>
      </c>
      <c r="E5606" s="6" t="s">
        <v>91</v>
      </c>
      <c r="F5606" s="6" t="s">
        <v>8022</v>
      </c>
      <c r="G5606" s="6" t="s">
        <v>8621</v>
      </c>
      <c r="H5606" s="6" t="s">
        <v>55</v>
      </c>
      <c r="I5606" s="6" t="s">
        <v>8582</v>
      </c>
      <c r="J5606" s="6" t="s">
        <v>91</v>
      </c>
      <c r="K5606" s="12" t="str">
        <f t="shared" si="1728"/>
        <v>View Creative</v>
      </c>
      <c r="L5606" s="6" t="s">
        <v>62</v>
      </c>
      <c r="M5606" s="6" t="s">
        <v>7390</v>
      </c>
      <c r="N5606" s="6" t="s">
        <v>8622</v>
      </c>
      <c r="O5606" s="36" t="s">
        <v>7541</v>
      </c>
      <c r="P5606" s="36" t="s">
        <v>7542</v>
      </c>
      <c r="Q5606" s="38"/>
    </row>
    <row r="5607">
      <c r="A5607" s="6" t="s">
        <v>7390</v>
      </c>
      <c r="B5607" s="6" t="s">
        <v>8580</v>
      </c>
      <c r="C5607" s="6">
        <v>87.0</v>
      </c>
      <c r="D5607" s="9" t="str">
        <f t="shared" ref="D5607:D5608" si="1729">HYPERLINK("https://www.linkedin.com/ad-library/detail/1440628063","Open Ad")</f>
        <v>Open Ad</v>
      </c>
      <c r="E5607" s="6" t="s">
        <v>91</v>
      </c>
      <c r="F5607" s="6" t="s">
        <v>8022</v>
      </c>
      <c r="G5607" s="6" t="s">
        <v>8615</v>
      </c>
      <c r="H5607" s="6" t="s">
        <v>55</v>
      </c>
      <c r="I5607" s="6" t="s">
        <v>8582</v>
      </c>
      <c r="J5607" s="6" t="s">
        <v>91</v>
      </c>
      <c r="K5607" s="12" t="str">
        <f t="shared" ref="K5607:K5608" si="1730">HYPERLINK("https://media.licdn.com/dms/image/v2/D4E22AQGj2T42TESk1w/feedshare-image-high-res/B4EZ74ZGPpHoAc-/0/1782283789605?e=2147483647&amp;v=beta&amp;t=lDvuae9vcjcZegfSk6jb_9i5cCj7CKtWG18C4c3kLjQ","View Creative")</f>
        <v>View Creative</v>
      </c>
      <c r="L5607" s="6" t="s">
        <v>62</v>
      </c>
      <c r="M5607" s="6" t="s">
        <v>7390</v>
      </c>
      <c r="N5607" s="6" t="s">
        <v>8614</v>
      </c>
      <c r="O5607" s="36" t="s">
        <v>7541</v>
      </c>
      <c r="P5607" s="36" t="s">
        <v>7542</v>
      </c>
      <c r="Q5607" s="38"/>
    </row>
    <row r="5608">
      <c r="A5608" s="6" t="s">
        <v>7390</v>
      </c>
      <c r="B5608" s="6" t="s">
        <v>8580</v>
      </c>
      <c r="C5608" s="6">
        <v>88.0</v>
      </c>
      <c r="D5608" s="9" t="str">
        <f t="shared" si="1729"/>
        <v>Open Ad</v>
      </c>
      <c r="E5608" s="6" t="s">
        <v>91</v>
      </c>
      <c r="F5608" s="6" t="s">
        <v>8022</v>
      </c>
      <c r="G5608" s="6" t="s">
        <v>8615</v>
      </c>
      <c r="H5608" s="6" t="s">
        <v>55</v>
      </c>
      <c r="I5608" s="6" t="s">
        <v>8582</v>
      </c>
      <c r="J5608" s="6" t="s">
        <v>91</v>
      </c>
      <c r="K5608" s="12" t="str">
        <f t="shared" si="1730"/>
        <v>View Creative</v>
      </c>
      <c r="L5608" s="6" t="s">
        <v>62</v>
      </c>
      <c r="M5608" s="6" t="s">
        <v>7390</v>
      </c>
      <c r="N5608" s="6" t="s">
        <v>8614</v>
      </c>
      <c r="O5608" s="36" t="s">
        <v>7541</v>
      </c>
      <c r="P5608" s="36" t="s">
        <v>7542</v>
      </c>
      <c r="Q5608" s="38"/>
    </row>
    <row r="5609">
      <c r="A5609" s="6" t="s">
        <v>7390</v>
      </c>
      <c r="B5609" s="6" t="s">
        <v>8580</v>
      </c>
      <c r="C5609" s="6">
        <v>89.0</v>
      </c>
      <c r="D5609" s="9" t="str">
        <f t="shared" ref="D5609:D5610" si="1731">HYPERLINK("https://www.linkedin.com/ad-library/detail/1443050303","Open Ad")</f>
        <v>Open Ad</v>
      </c>
      <c r="E5609" s="6" t="s">
        <v>154</v>
      </c>
      <c r="F5609" s="6" t="s">
        <v>8022</v>
      </c>
      <c r="G5609" s="6" t="s">
        <v>8623</v>
      </c>
      <c r="H5609" s="6" t="s">
        <v>55</v>
      </c>
      <c r="I5609" s="6" t="s">
        <v>8582</v>
      </c>
      <c r="J5609" s="6" t="s">
        <v>154</v>
      </c>
      <c r="K5609" s="12" t="str">
        <f t="shared" ref="K5609:K5610" si="1732">HYPERLINK("https://dms.licdn.com/playlist/vid/v2/D4E05AQGGKdfa79Myvg/mp4-720p-30fp-crf28/B4EZ87QgwGJgB8-/0/1783405647815?e=2147483647&amp;v=beta&amp;t=g3D3sDnZNzEmIFs4BHnUpdXh_Lc4j_7fDJIBnAbs9V0","View Creative")</f>
        <v>View Creative</v>
      </c>
      <c r="L5609" s="6" t="s">
        <v>62</v>
      </c>
      <c r="M5609" s="6" t="s">
        <v>7390</v>
      </c>
      <c r="N5609" s="6" t="s">
        <v>8604</v>
      </c>
      <c r="O5609" s="36" t="s">
        <v>7541</v>
      </c>
      <c r="P5609" s="36" t="s">
        <v>7542</v>
      </c>
      <c r="Q5609" s="38"/>
    </row>
    <row r="5610">
      <c r="A5610" s="6" t="s">
        <v>7390</v>
      </c>
      <c r="B5610" s="6" t="s">
        <v>8580</v>
      </c>
      <c r="C5610" s="6">
        <v>90.0</v>
      </c>
      <c r="D5610" s="9" t="str">
        <f t="shared" si="1731"/>
        <v>Open Ad</v>
      </c>
      <c r="E5610" s="6" t="s">
        <v>154</v>
      </c>
      <c r="F5610" s="6" t="s">
        <v>8022</v>
      </c>
      <c r="G5610" s="6" t="s">
        <v>8623</v>
      </c>
      <c r="H5610" s="6" t="s">
        <v>55</v>
      </c>
      <c r="I5610" s="6" t="s">
        <v>8582</v>
      </c>
      <c r="J5610" s="6" t="s">
        <v>154</v>
      </c>
      <c r="K5610" s="12" t="str">
        <f t="shared" si="1732"/>
        <v>View Creative</v>
      </c>
      <c r="L5610" s="6" t="s">
        <v>62</v>
      </c>
      <c r="M5610" s="6" t="s">
        <v>7390</v>
      </c>
      <c r="N5610" s="6" t="s">
        <v>8604</v>
      </c>
      <c r="O5610" s="36" t="s">
        <v>7541</v>
      </c>
      <c r="P5610" s="36" t="s">
        <v>7542</v>
      </c>
      <c r="Q5610" s="38"/>
    </row>
    <row r="5611">
      <c r="A5611" s="6" t="s">
        <v>7390</v>
      </c>
      <c r="B5611" s="6" t="s">
        <v>8580</v>
      </c>
      <c r="C5611" s="6">
        <v>91.0</v>
      </c>
      <c r="D5611" s="9" t="str">
        <f t="shared" ref="D5611:D5612" si="1733">HYPERLINK("https://www.linkedin.com/ad-library/detail/1443059913","Open Ad")</f>
        <v>Open Ad</v>
      </c>
      <c r="E5611" s="6" t="s">
        <v>91</v>
      </c>
      <c r="F5611" s="6" t="s">
        <v>8022</v>
      </c>
      <c r="G5611" s="6" t="s">
        <v>8606</v>
      </c>
      <c r="H5611" s="6" t="s">
        <v>55</v>
      </c>
      <c r="I5611" s="6" t="s">
        <v>8582</v>
      </c>
      <c r="J5611" s="6" t="s">
        <v>91</v>
      </c>
      <c r="K5611" s="12" t="str">
        <f t="shared" ref="K5611:K5612" si="1734">HYPERLINK("https://media.licdn.com/dms/image/v2/D4E22AQFd99riRaLcTQ/feedshare-image-high-res/B4EZ82LpSNHMAU-/0/1783320450499?e=2147483647&amp;v=beta&amp;t=DQt5I1zweQunogKTIP0R-KH7WbsR1WL6081Vj7D4gRQ","View Creative")</f>
        <v>View Creative</v>
      </c>
      <c r="L5611" s="6" t="s">
        <v>62</v>
      </c>
      <c r="M5611" s="6" t="s">
        <v>7390</v>
      </c>
      <c r="N5611" s="6" t="s">
        <v>8611</v>
      </c>
      <c r="O5611" s="36" t="s">
        <v>7541</v>
      </c>
      <c r="P5611" s="36" t="s">
        <v>7542</v>
      </c>
      <c r="Q5611" s="38"/>
    </row>
    <row r="5612">
      <c r="A5612" s="6" t="s">
        <v>7390</v>
      </c>
      <c r="B5612" s="6" t="s">
        <v>8580</v>
      </c>
      <c r="C5612" s="6">
        <v>92.0</v>
      </c>
      <c r="D5612" s="9" t="str">
        <f t="shared" si="1733"/>
        <v>Open Ad</v>
      </c>
      <c r="E5612" s="6" t="s">
        <v>91</v>
      </c>
      <c r="F5612" s="6" t="s">
        <v>8022</v>
      </c>
      <c r="G5612" s="6" t="s">
        <v>8606</v>
      </c>
      <c r="H5612" s="6" t="s">
        <v>55</v>
      </c>
      <c r="I5612" s="6" t="s">
        <v>8582</v>
      </c>
      <c r="J5612" s="6" t="s">
        <v>91</v>
      </c>
      <c r="K5612" s="12" t="str">
        <f t="shared" si="1734"/>
        <v>View Creative</v>
      </c>
      <c r="L5612" s="6" t="s">
        <v>62</v>
      </c>
      <c r="M5612" s="6" t="s">
        <v>7390</v>
      </c>
      <c r="N5612" s="6" t="s">
        <v>8611</v>
      </c>
      <c r="O5612" s="36" t="s">
        <v>7541</v>
      </c>
      <c r="P5612" s="36" t="s">
        <v>7542</v>
      </c>
      <c r="Q5612" s="38"/>
    </row>
    <row r="5613">
      <c r="A5613" s="6" t="s">
        <v>7390</v>
      </c>
      <c r="B5613" s="6" t="s">
        <v>8580</v>
      </c>
      <c r="C5613" s="6">
        <v>93.0</v>
      </c>
      <c r="D5613" s="9" t="str">
        <f t="shared" ref="D5613:D5614" si="1735">HYPERLINK("https://www.linkedin.com/ad-library/detail/1440767713","Open Ad")</f>
        <v>Open Ad</v>
      </c>
      <c r="E5613" s="6" t="s">
        <v>91</v>
      </c>
      <c r="F5613" s="6" t="s">
        <v>8022</v>
      </c>
      <c r="G5613" s="6" t="s">
        <v>8610</v>
      </c>
      <c r="H5613" s="6" t="s">
        <v>55</v>
      </c>
      <c r="I5613" s="6" t="s">
        <v>8582</v>
      </c>
      <c r="J5613" s="6" t="s">
        <v>91</v>
      </c>
      <c r="K5613" s="12" t="str">
        <f t="shared" ref="K5613:K5614" si="1736">HYPERLINK("https://media.licdn.com/dms/image/v2/D4E22AQFFV6_jV3bM2A/feedshare-image-high-res/B4EZ74aXy_KwAU-/0/1782284123580?e=2147483647&amp;v=beta&amp;t=uA4GWUtr0mjVOAJEUJtu_Bb0yG4Ph0KBDl3a0_qG0ug","View Creative")</f>
        <v>View Creative</v>
      </c>
      <c r="L5613" s="6" t="s">
        <v>62</v>
      </c>
      <c r="M5613" s="6" t="s">
        <v>7390</v>
      </c>
      <c r="N5613" s="6" t="s">
        <v>8614</v>
      </c>
      <c r="O5613" s="36" t="s">
        <v>7541</v>
      </c>
      <c r="P5613" s="36" t="s">
        <v>7542</v>
      </c>
      <c r="Q5613" s="38"/>
    </row>
    <row r="5614">
      <c r="A5614" s="6" t="s">
        <v>7390</v>
      </c>
      <c r="B5614" s="6" t="s">
        <v>8580</v>
      </c>
      <c r="C5614" s="6">
        <v>94.0</v>
      </c>
      <c r="D5614" s="9" t="str">
        <f t="shared" si="1735"/>
        <v>Open Ad</v>
      </c>
      <c r="E5614" s="6" t="s">
        <v>91</v>
      </c>
      <c r="F5614" s="6" t="s">
        <v>8022</v>
      </c>
      <c r="G5614" s="6" t="s">
        <v>8610</v>
      </c>
      <c r="H5614" s="6" t="s">
        <v>55</v>
      </c>
      <c r="I5614" s="6" t="s">
        <v>8582</v>
      </c>
      <c r="J5614" s="6" t="s">
        <v>91</v>
      </c>
      <c r="K5614" s="12" t="str">
        <f t="shared" si="1736"/>
        <v>View Creative</v>
      </c>
      <c r="L5614" s="6" t="s">
        <v>62</v>
      </c>
      <c r="M5614" s="6" t="s">
        <v>7390</v>
      </c>
      <c r="N5614" s="6" t="s">
        <v>8614</v>
      </c>
      <c r="O5614" s="36" t="s">
        <v>7541</v>
      </c>
      <c r="P5614" s="36" t="s">
        <v>7542</v>
      </c>
      <c r="Q5614" s="38"/>
    </row>
    <row r="5615">
      <c r="A5615" s="6" t="s">
        <v>7390</v>
      </c>
      <c r="B5615" s="6" t="s">
        <v>8580</v>
      </c>
      <c r="C5615" s="6">
        <v>95.0</v>
      </c>
      <c r="D5615" s="9" t="str">
        <f t="shared" ref="D5615:D5616" si="1737">HYPERLINK("https://www.linkedin.com/ad-library/detail/1442899113","Open Ad")</f>
        <v>Open Ad</v>
      </c>
      <c r="E5615" s="6" t="s">
        <v>154</v>
      </c>
      <c r="F5615" s="6" t="s">
        <v>8022</v>
      </c>
      <c r="G5615" s="6" t="s">
        <v>8612</v>
      </c>
      <c r="H5615" s="6" t="s">
        <v>55</v>
      </c>
      <c r="I5615" s="6" t="s">
        <v>8582</v>
      </c>
      <c r="J5615" s="6" t="s">
        <v>154</v>
      </c>
      <c r="K5615" s="12" t="str">
        <f t="shared" ref="K5615:K5616" si="1738">HYPERLINK("https://dms.licdn.com/playlist/vid/v2/D4E05AQGIF98SyzURBg/mp4-720p-30fp-crf28/B4EZ87RlJtHkB8-/0/1783405896887?e=2147483647&amp;v=beta&amp;t=Q5GjvDX_Oq-mR6TBH0CsixKI4nOFUxfdsDiCWlA9DYI","View Creative")</f>
        <v>View Creative</v>
      </c>
      <c r="L5615" s="6" t="s">
        <v>62</v>
      </c>
      <c r="M5615" s="6" t="s">
        <v>7390</v>
      </c>
      <c r="N5615" s="6" t="s">
        <v>8608</v>
      </c>
      <c r="O5615" s="36" t="s">
        <v>7541</v>
      </c>
      <c r="P5615" s="36" t="s">
        <v>7542</v>
      </c>
      <c r="Q5615" s="38"/>
    </row>
    <row r="5616">
      <c r="A5616" s="6" t="s">
        <v>7390</v>
      </c>
      <c r="B5616" s="6" t="s">
        <v>8580</v>
      </c>
      <c r="C5616" s="6">
        <v>96.0</v>
      </c>
      <c r="D5616" s="9" t="str">
        <f t="shared" si="1737"/>
        <v>Open Ad</v>
      </c>
      <c r="E5616" s="6" t="s">
        <v>154</v>
      </c>
      <c r="F5616" s="6" t="s">
        <v>8022</v>
      </c>
      <c r="G5616" s="6" t="s">
        <v>8612</v>
      </c>
      <c r="H5616" s="6" t="s">
        <v>55</v>
      </c>
      <c r="I5616" s="6" t="s">
        <v>8582</v>
      </c>
      <c r="J5616" s="6" t="s">
        <v>154</v>
      </c>
      <c r="K5616" s="12" t="str">
        <f t="shared" si="1738"/>
        <v>View Creative</v>
      </c>
      <c r="L5616" s="6" t="s">
        <v>62</v>
      </c>
      <c r="M5616" s="6" t="s">
        <v>7390</v>
      </c>
      <c r="N5616" s="6" t="s">
        <v>8608</v>
      </c>
      <c r="O5616" s="36" t="s">
        <v>7541</v>
      </c>
      <c r="P5616" s="36" t="s">
        <v>7542</v>
      </c>
      <c r="Q5616" s="38"/>
    </row>
    <row r="5617">
      <c r="A5617" s="6" t="s">
        <v>7390</v>
      </c>
      <c r="B5617" s="6" t="s">
        <v>8580</v>
      </c>
      <c r="C5617" s="6">
        <v>97.0</v>
      </c>
      <c r="D5617" s="9" t="str">
        <f t="shared" ref="D5617:D5618" si="1739">HYPERLINK("https://www.linkedin.com/ad-library/detail/1302380943","Open Ad")</f>
        <v>Open Ad</v>
      </c>
      <c r="E5617" s="6" t="s">
        <v>91</v>
      </c>
      <c r="F5617" s="6" t="s">
        <v>8022</v>
      </c>
      <c r="G5617" s="6" t="s">
        <v>8624</v>
      </c>
      <c r="H5617" s="6" t="s">
        <v>8625</v>
      </c>
      <c r="I5617" s="6" t="s">
        <v>8582</v>
      </c>
      <c r="J5617" s="6" t="s">
        <v>91</v>
      </c>
      <c r="K5617" s="12" t="str">
        <f t="shared" ref="K5617:K5618" si="1740">HYPERLINK("https://media.licdn.com/dms/image/v2/D4E22AQFNPKQnvXcaBQ/feedshare-shrink_1280/B4EZ5JZioyJ0AM-/0/1779347893092?e=2147483647&amp;v=beta&amp;t=elA0GyPfCD0Y2OOhWw70KDrnY3CjHlgBNBY61G4x_Ts","View Creative")</f>
        <v>View Creative</v>
      </c>
      <c r="L5617" s="6" t="s">
        <v>62</v>
      </c>
      <c r="M5617" s="6" t="s">
        <v>7390</v>
      </c>
      <c r="N5617" s="6" t="s">
        <v>8626</v>
      </c>
      <c r="O5617" s="36" t="s">
        <v>7541</v>
      </c>
      <c r="P5617" s="36" t="s">
        <v>7542</v>
      </c>
      <c r="Q5617" s="38"/>
    </row>
    <row r="5618">
      <c r="A5618" s="6" t="s">
        <v>7390</v>
      </c>
      <c r="B5618" s="6" t="s">
        <v>8580</v>
      </c>
      <c r="C5618" s="6">
        <v>98.0</v>
      </c>
      <c r="D5618" s="9" t="str">
        <f t="shared" si="1739"/>
        <v>Open Ad</v>
      </c>
      <c r="E5618" s="6" t="s">
        <v>91</v>
      </c>
      <c r="F5618" s="6" t="s">
        <v>8022</v>
      </c>
      <c r="G5618" s="6" t="s">
        <v>8624</v>
      </c>
      <c r="H5618" s="6" t="s">
        <v>8625</v>
      </c>
      <c r="I5618" s="6" t="s">
        <v>8582</v>
      </c>
      <c r="J5618" s="6" t="s">
        <v>91</v>
      </c>
      <c r="K5618" s="12" t="str">
        <f t="shared" si="1740"/>
        <v>View Creative</v>
      </c>
      <c r="L5618" s="6" t="s">
        <v>62</v>
      </c>
      <c r="M5618" s="6" t="s">
        <v>7390</v>
      </c>
      <c r="N5618" s="6" t="s">
        <v>8626</v>
      </c>
      <c r="O5618" s="36" t="s">
        <v>7541</v>
      </c>
      <c r="P5618" s="36" t="s">
        <v>7542</v>
      </c>
      <c r="Q5618" s="38"/>
    </row>
    <row r="5619">
      <c r="A5619" s="6" t="s">
        <v>7390</v>
      </c>
      <c r="B5619" s="6" t="s">
        <v>8580</v>
      </c>
      <c r="C5619" s="6">
        <v>99.0</v>
      </c>
      <c r="D5619" s="9" t="str">
        <f t="shared" ref="D5619:D5620" si="1741">HYPERLINK("https://www.linkedin.com/ad-library/detail/1274711693","Open Ad")</f>
        <v>Open Ad</v>
      </c>
      <c r="E5619" s="6" t="s">
        <v>91</v>
      </c>
      <c r="F5619" s="6" t="s">
        <v>8022</v>
      </c>
      <c r="G5619" s="6" t="s">
        <v>8627</v>
      </c>
      <c r="H5619" s="6" t="s">
        <v>55</v>
      </c>
      <c r="I5619" s="6" t="s">
        <v>8582</v>
      </c>
      <c r="J5619" s="6" t="s">
        <v>91</v>
      </c>
      <c r="K5619" s="12" t="str">
        <f t="shared" ref="K5619:K5620" si="1742">HYPERLINK("https://media.licdn.com/dms/image/v2/D4D22AQEWgpZLCUPzuA/feedshare-image-high-res/B4DZ5tWq9JHgAU-/0/1779951121037?e=2147483647&amp;v=beta&amp;t=PeSIPhCrwAC1j94-vO2mE5MsAZE80ndHpo_DcNiGuHU","View Creative")</f>
        <v>View Creative</v>
      </c>
      <c r="L5619" s="6" t="s">
        <v>62</v>
      </c>
      <c r="M5619" s="6" t="s">
        <v>7390</v>
      </c>
      <c r="N5619" s="6" t="s">
        <v>8628</v>
      </c>
      <c r="O5619" s="36" t="s">
        <v>7541</v>
      </c>
      <c r="P5619" s="36" t="s">
        <v>7542</v>
      </c>
      <c r="Q5619" s="38"/>
    </row>
    <row r="5620">
      <c r="A5620" s="6" t="s">
        <v>7390</v>
      </c>
      <c r="B5620" s="6" t="s">
        <v>8580</v>
      </c>
      <c r="C5620" s="6">
        <v>100.0</v>
      </c>
      <c r="D5620" s="9" t="str">
        <f t="shared" si="1741"/>
        <v>Open Ad</v>
      </c>
      <c r="E5620" s="6" t="s">
        <v>91</v>
      </c>
      <c r="F5620" s="6" t="s">
        <v>8022</v>
      </c>
      <c r="G5620" s="6" t="s">
        <v>8627</v>
      </c>
      <c r="H5620" s="6" t="s">
        <v>55</v>
      </c>
      <c r="I5620" s="6" t="s">
        <v>8582</v>
      </c>
      <c r="J5620" s="6" t="s">
        <v>91</v>
      </c>
      <c r="K5620" s="12" t="str">
        <f t="shared" si="1742"/>
        <v>View Creative</v>
      </c>
      <c r="L5620" s="6" t="s">
        <v>62</v>
      </c>
      <c r="M5620" s="6" t="s">
        <v>7390</v>
      </c>
      <c r="N5620" s="6" t="s">
        <v>8628</v>
      </c>
      <c r="O5620" s="36" t="s">
        <v>7541</v>
      </c>
      <c r="P5620" s="36" t="s">
        <v>7542</v>
      </c>
      <c r="Q5620" s="38"/>
    </row>
    <row r="5621">
      <c r="A5621" s="6" t="s">
        <v>7390</v>
      </c>
      <c r="B5621" s="6" t="s">
        <v>8580</v>
      </c>
      <c r="C5621" s="6">
        <v>101.0</v>
      </c>
      <c r="D5621" s="9" t="str">
        <f t="shared" ref="D5621:D5622" si="1743">HYPERLINK("https://www.linkedin.com/ad-library/detail/1475843876","Open Ad")</f>
        <v>Open Ad</v>
      </c>
      <c r="E5621" s="6" t="s">
        <v>91</v>
      </c>
      <c r="F5621" s="6" t="s">
        <v>8022</v>
      </c>
      <c r="G5621" s="6" t="s">
        <v>8613</v>
      </c>
      <c r="H5621" s="6" t="s">
        <v>55</v>
      </c>
      <c r="I5621" s="6" t="s">
        <v>8582</v>
      </c>
      <c r="J5621" s="6" t="s">
        <v>91</v>
      </c>
      <c r="K5621" s="12" t="str">
        <f t="shared" ref="K5621:K5622" si="1744">HYPERLINK("https://media.licdn.com/dms/image/v2/D4D22AQG_pWDLBn11xg/feedshare-image-high-res/B4DZ5Ktvy7KAAY-/0/1779369967058?e=2147483647&amp;v=beta&amp;t=yoyITKReRXEAtjcuwqrsCi1t2CYI0VeP_TZzNmL4tEY","View Creative")</f>
        <v>View Creative</v>
      </c>
      <c r="L5621" s="6" t="s">
        <v>62</v>
      </c>
      <c r="M5621" s="6" t="s">
        <v>7390</v>
      </c>
      <c r="N5621" s="6" t="s">
        <v>8629</v>
      </c>
      <c r="O5621" s="36" t="s">
        <v>7541</v>
      </c>
      <c r="P5621" s="36" t="s">
        <v>7542</v>
      </c>
      <c r="Q5621" s="38"/>
    </row>
    <row r="5622">
      <c r="A5622" s="6" t="s">
        <v>7390</v>
      </c>
      <c r="B5622" s="6" t="s">
        <v>8580</v>
      </c>
      <c r="C5622" s="6">
        <v>102.0</v>
      </c>
      <c r="D5622" s="9" t="str">
        <f t="shared" si="1743"/>
        <v>Open Ad</v>
      </c>
      <c r="E5622" s="6" t="s">
        <v>91</v>
      </c>
      <c r="F5622" s="6" t="s">
        <v>8022</v>
      </c>
      <c r="G5622" s="6" t="s">
        <v>8613</v>
      </c>
      <c r="H5622" s="6" t="s">
        <v>55</v>
      </c>
      <c r="I5622" s="6" t="s">
        <v>8582</v>
      </c>
      <c r="J5622" s="6" t="s">
        <v>91</v>
      </c>
      <c r="K5622" s="12" t="str">
        <f t="shared" si="1744"/>
        <v>View Creative</v>
      </c>
      <c r="L5622" s="6" t="s">
        <v>62</v>
      </c>
      <c r="M5622" s="6" t="s">
        <v>7390</v>
      </c>
      <c r="N5622" s="6" t="s">
        <v>8629</v>
      </c>
      <c r="O5622" s="36" t="s">
        <v>7541</v>
      </c>
      <c r="P5622" s="36" t="s">
        <v>7542</v>
      </c>
      <c r="Q5622" s="38"/>
    </row>
    <row r="5623">
      <c r="A5623" s="6" t="s">
        <v>7390</v>
      </c>
      <c r="B5623" s="6" t="s">
        <v>8580</v>
      </c>
      <c r="C5623" s="6">
        <v>103.0</v>
      </c>
      <c r="D5623" s="9" t="str">
        <f t="shared" ref="D5623:D5624" si="1745">HYPERLINK("https://www.linkedin.com/ad-library/detail/1475953746","Open Ad")</f>
        <v>Open Ad</v>
      </c>
      <c r="E5623" s="6" t="s">
        <v>91</v>
      </c>
      <c r="F5623" s="6" t="s">
        <v>8022</v>
      </c>
      <c r="G5623" s="6" t="s">
        <v>8630</v>
      </c>
      <c r="H5623" s="6" t="s">
        <v>55</v>
      </c>
      <c r="I5623" s="6" t="s">
        <v>8582</v>
      </c>
      <c r="J5623" s="6" t="s">
        <v>91</v>
      </c>
      <c r="K5623" s="12" t="str">
        <f t="shared" ref="K5623:K5624" si="1746">HYPERLINK("https://media.licdn.com/dms/image/v2/D4E22AQGd0d-4JlpHKQ/feedshare-shrink_1280/B4EZ7uFXgrJYAM-/0/1782110845355?e=2147483647&amp;v=beta&amp;t=IPs2Bdjj2y1TVD195F9q2Kd8e8jObMZNPNErk1pGlmI","View Creative")</f>
        <v>View Creative</v>
      </c>
      <c r="L5623" s="6" t="s">
        <v>62</v>
      </c>
      <c r="M5623" s="6" t="s">
        <v>7390</v>
      </c>
      <c r="N5623" s="6" t="s">
        <v>8629</v>
      </c>
      <c r="O5623" s="36" t="s">
        <v>7541</v>
      </c>
      <c r="P5623" s="36" t="s">
        <v>7542</v>
      </c>
      <c r="Q5623" s="38"/>
    </row>
    <row r="5624">
      <c r="A5624" s="6" t="s">
        <v>7390</v>
      </c>
      <c r="B5624" s="6" t="s">
        <v>8580</v>
      </c>
      <c r="C5624" s="6">
        <v>104.0</v>
      </c>
      <c r="D5624" s="9" t="str">
        <f t="shared" si="1745"/>
        <v>Open Ad</v>
      </c>
      <c r="E5624" s="6" t="s">
        <v>91</v>
      </c>
      <c r="F5624" s="6" t="s">
        <v>8022</v>
      </c>
      <c r="G5624" s="6" t="s">
        <v>8630</v>
      </c>
      <c r="H5624" s="6" t="s">
        <v>55</v>
      </c>
      <c r="I5624" s="6" t="s">
        <v>8582</v>
      </c>
      <c r="J5624" s="6" t="s">
        <v>91</v>
      </c>
      <c r="K5624" s="12" t="str">
        <f t="shared" si="1746"/>
        <v>View Creative</v>
      </c>
      <c r="L5624" s="6" t="s">
        <v>62</v>
      </c>
      <c r="M5624" s="6" t="s">
        <v>7390</v>
      </c>
      <c r="N5624" s="6" t="s">
        <v>8629</v>
      </c>
      <c r="O5624" s="36" t="s">
        <v>7541</v>
      </c>
      <c r="P5624" s="36" t="s">
        <v>7542</v>
      </c>
      <c r="Q5624" s="38"/>
    </row>
    <row r="5625">
      <c r="A5625" s="6" t="s">
        <v>7390</v>
      </c>
      <c r="B5625" s="6" t="s">
        <v>8580</v>
      </c>
      <c r="C5625" s="6">
        <v>105.0</v>
      </c>
      <c r="D5625" s="9" t="str">
        <f t="shared" ref="D5625:D5626" si="1747">HYPERLINK("https://www.linkedin.com/ad-library/detail/1301691193","Open Ad")</f>
        <v>Open Ad</v>
      </c>
      <c r="E5625" s="6" t="s">
        <v>91</v>
      </c>
      <c r="F5625" s="6" t="s">
        <v>8022</v>
      </c>
      <c r="G5625" s="6" t="s">
        <v>8627</v>
      </c>
      <c r="H5625" s="6" t="s">
        <v>55</v>
      </c>
      <c r="I5625" s="6" t="s">
        <v>8582</v>
      </c>
      <c r="J5625" s="6" t="s">
        <v>91</v>
      </c>
      <c r="K5625" s="12" t="str">
        <f t="shared" ref="K5625:K5626" si="1748">HYPERLINK("https://media.licdn.com/dms/image/v2/D4D22AQEWgpZLCUPzuA/feedshare-image-high-res/B4DZ5tWq9JHgAU-/0/1779951121037?e=2147483647&amp;v=beta&amp;t=PeSIPhCrwAC1j94-vO2mE5MsAZE80ndHpo_DcNiGuHU","View Creative")</f>
        <v>View Creative</v>
      </c>
      <c r="L5625" s="6" t="s">
        <v>62</v>
      </c>
      <c r="M5625" s="6" t="s">
        <v>7390</v>
      </c>
      <c r="N5625" s="6" t="s">
        <v>8631</v>
      </c>
      <c r="O5625" s="36" t="s">
        <v>7541</v>
      </c>
      <c r="P5625" s="36" t="s">
        <v>7542</v>
      </c>
      <c r="Q5625" s="38"/>
    </row>
    <row r="5626">
      <c r="A5626" s="6" t="s">
        <v>7390</v>
      </c>
      <c r="B5626" s="6" t="s">
        <v>8580</v>
      </c>
      <c r="C5626" s="6">
        <v>106.0</v>
      </c>
      <c r="D5626" s="9" t="str">
        <f t="shared" si="1747"/>
        <v>Open Ad</v>
      </c>
      <c r="E5626" s="6" t="s">
        <v>91</v>
      </c>
      <c r="F5626" s="6" t="s">
        <v>8022</v>
      </c>
      <c r="G5626" s="6" t="s">
        <v>8627</v>
      </c>
      <c r="H5626" s="6" t="s">
        <v>55</v>
      </c>
      <c r="I5626" s="6" t="s">
        <v>8582</v>
      </c>
      <c r="J5626" s="6" t="s">
        <v>91</v>
      </c>
      <c r="K5626" s="12" t="str">
        <f t="shared" si="1748"/>
        <v>View Creative</v>
      </c>
      <c r="L5626" s="6" t="s">
        <v>62</v>
      </c>
      <c r="M5626" s="6" t="s">
        <v>7390</v>
      </c>
      <c r="N5626" s="6" t="s">
        <v>8631</v>
      </c>
      <c r="O5626" s="36" t="s">
        <v>7541</v>
      </c>
      <c r="P5626" s="36" t="s">
        <v>7542</v>
      </c>
      <c r="Q5626" s="38"/>
    </row>
    <row r="5627">
      <c r="A5627" s="6" t="s">
        <v>7390</v>
      </c>
      <c r="B5627" s="6" t="s">
        <v>8580</v>
      </c>
      <c r="C5627" s="6">
        <v>107.0</v>
      </c>
      <c r="D5627" s="9" t="str">
        <f t="shared" ref="D5627:D5628" si="1749">HYPERLINK("https://www.linkedin.com/ad-library/detail/1475953756","Open Ad")</f>
        <v>Open Ad</v>
      </c>
      <c r="E5627" s="6" t="s">
        <v>91</v>
      </c>
      <c r="F5627" s="6" t="s">
        <v>8022</v>
      </c>
      <c r="G5627" s="6" t="s">
        <v>8632</v>
      </c>
      <c r="H5627" s="6" t="s">
        <v>55</v>
      </c>
      <c r="I5627" s="6" t="s">
        <v>8582</v>
      </c>
      <c r="J5627" s="6" t="s">
        <v>91</v>
      </c>
      <c r="K5627" s="12" t="str">
        <f t="shared" ref="K5627:K5628" si="1750">HYPERLINK("https://media.licdn.com/dms/image/v2/D4D22AQF8uwcdL40JVQ/feedshare-shrink_1280/B4DZ7Py9dQHQAQ-/0/1781602703618?e=2147483647&amp;v=beta&amp;t=0lA2aJH_Gl7EugFl23JOeQiDQTaTEt6Q7aFaLrjLRB8","View Creative")</f>
        <v>View Creative</v>
      </c>
      <c r="L5627" s="6" t="s">
        <v>62</v>
      </c>
      <c r="M5627" s="6" t="s">
        <v>7390</v>
      </c>
      <c r="N5627" s="6" t="s">
        <v>8633</v>
      </c>
      <c r="O5627" s="36" t="s">
        <v>7541</v>
      </c>
      <c r="P5627" s="36" t="s">
        <v>7542</v>
      </c>
      <c r="Q5627" s="38"/>
    </row>
    <row r="5628">
      <c r="A5628" s="6" t="s">
        <v>7390</v>
      </c>
      <c r="B5628" s="6" t="s">
        <v>8580</v>
      </c>
      <c r="C5628" s="6">
        <v>108.0</v>
      </c>
      <c r="D5628" s="9" t="str">
        <f t="shared" si="1749"/>
        <v>Open Ad</v>
      </c>
      <c r="E5628" s="6" t="s">
        <v>91</v>
      </c>
      <c r="F5628" s="6" t="s">
        <v>8022</v>
      </c>
      <c r="G5628" s="6" t="s">
        <v>8632</v>
      </c>
      <c r="H5628" s="6" t="s">
        <v>55</v>
      </c>
      <c r="I5628" s="6" t="s">
        <v>8582</v>
      </c>
      <c r="J5628" s="6" t="s">
        <v>91</v>
      </c>
      <c r="K5628" s="12" t="str">
        <f t="shared" si="1750"/>
        <v>View Creative</v>
      </c>
      <c r="L5628" s="6" t="s">
        <v>62</v>
      </c>
      <c r="M5628" s="6" t="s">
        <v>7390</v>
      </c>
      <c r="N5628" s="6" t="s">
        <v>8633</v>
      </c>
      <c r="O5628" s="36" t="s">
        <v>7541</v>
      </c>
      <c r="P5628" s="36" t="s">
        <v>7542</v>
      </c>
      <c r="Q5628" s="38"/>
    </row>
    <row r="5629">
      <c r="A5629" s="6" t="s">
        <v>7390</v>
      </c>
      <c r="B5629" s="6" t="s">
        <v>8580</v>
      </c>
      <c r="C5629" s="6">
        <v>109.0</v>
      </c>
      <c r="D5629" s="9" t="str">
        <f t="shared" ref="D5629:D5630" si="1751">HYPERLINK("https://www.linkedin.com/ad-library/detail/1428876013","Open Ad")</f>
        <v>Open Ad</v>
      </c>
      <c r="E5629" s="6" t="s">
        <v>91</v>
      </c>
      <c r="F5629" s="6" t="s">
        <v>8022</v>
      </c>
      <c r="G5629" s="6" t="s">
        <v>8634</v>
      </c>
      <c r="H5629" s="6" t="s">
        <v>55</v>
      </c>
      <c r="I5629" s="6" t="s">
        <v>8582</v>
      </c>
      <c r="J5629" s="6" t="s">
        <v>91</v>
      </c>
      <c r="K5629" s="12" t="str">
        <f t="shared" ref="K5629:K5630" si="1752">HYPERLINK("https://media.licdn.com/dms/image/v2/D4D22AQHT7mMagU9RtQ/feedshare-shrink_1280/B4DZ6CEU_6KUAM-/0/1780298633678?e=2147483647&amp;v=beta&amp;t=3-g7tjNYicValoo1HKOAdaJA0_b_EfpDlwIsl-9QerA","View Creative")</f>
        <v>View Creative</v>
      </c>
      <c r="L5629" s="6" t="s">
        <v>62</v>
      </c>
      <c r="M5629" s="6" t="s">
        <v>7390</v>
      </c>
      <c r="N5629" s="6" t="s">
        <v>8635</v>
      </c>
      <c r="O5629" s="36" t="s">
        <v>7541</v>
      </c>
      <c r="P5629" s="36" t="s">
        <v>7542</v>
      </c>
      <c r="Q5629" s="38"/>
    </row>
    <row r="5630">
      <c r="A5630" s="6" t="s">
        <v>7390</v>
      </c>
      <c r="B5630" s="6" t="s">
        <v>8580</v>
      </c>
      <c r="C5630" s="6">
        <v>110.0</v>
      </c>
      <c r="D5630" s="9" t="str">
        <f t="shared" si="1751"/>
        <v>Open Ad</v>
      </c>
      <c r="E5630" s="6" t="s">
        <v>91</v>
      </c>
      <c r="F5630" s="6" t="s">
        <v>8022</v>
      </c>
      <c r="G5630" s="6" t="s">
        <v>8634</v>
      </c>
      <c r="H5630" s="6" t="s">
        <v>55</v>
      </c>
      <c r="I5630" s="6" t="s">
        <v>8582</v>
      </c>
      <c r="J5630" s="6" t="s">
        <v>91</v>
      </c>
      <c r="K5630" s="12" t="str">
        <f t="shared" si="1752"/>
        <v>View Creative</v>
      </c>
      <c r="L5630" s="6" t="s">
        <v>62</v>
      </c>
      <c r="M5630" s="6" t="s">
        <v>7390</v>
      </c>
      <c r="N5630" s="6" t="s">
        <v>8635</v>
      </c>
      <c r="O5630" s="36" t="s">
        <v>7541</v>
      </c>
      <c r="P5630" s="36" t="s">
        <v>7542</v>
      </c>
      <c r="Q5630" s="38"/>
    </row>
    <row r="5631">
      <c r="A5631" s="6" t="s">
        <v>7390</v>
      </c>
      <c r="B5631" s="6" t="s">
        <v>8580</v>
      </c>
      <c r="C5631" s="6">
        <v>111.0</v>
      </c>
      <c r="D5631" s="9" t="str">
        <f t="shared" ref="D5631:D5632" si="1753">HYPERLINK("https://www.linkedin.com/ad-library/detail/1301397103","Open Ad")</f>
        <v>Open Ad</v>
      </c>
      <c r="E5631" s="6" t="s">
        <v>91</v>
      </c>
      <c r="F5631" s="6" t="s">
        <v>8022</v>
      </c>
      <c r="G5631" s="6" t="s">
        <v>8613</v>
      </c>
      <c r="H5631" s="6" t="s">
        <v>55</v>
      </c>
      <c r="I5631" s="6" t="s">
        <v>8582</v>
      </c>
      <c r="J5631" s="6" t="s">
        <v>91</v>
      </c>
      <c r="K5631" s="12" t="str">
        <f t="shared" ref="K5631:K5632" si="1754">HYPERLINK("https://media.licdn.com/dms/image/v2/D4D22AQG_pWDLBn11xg/feedshare-image-high-res/B4DZ5Ktvy7KAAY-/0/1779369967058?e=2147483647&amp;v=beta&amp;t=yoyITKReRXEAtjcuwqrsCi1t2CYI0VeP_TZzNmL4tEY","View Creative")</f>
        <v>View Creative</v>
      </c>
      <c r="L5631" s="6" t="s">
        <v>62</v>
      </c>
      <c r="M5631" s="6" t="s">
        <v>7390</v>
      </c>
      <c r="N5631" s="6" t="s">
        <v>8636</v>
      </c>
      <c r="O5631" s="36" t="s">
        <v>7541</v>
      </c>
      <c r="P5631" s="36" t="s">
        <v>7542</v>
      </c>
      <c r="Q5631" s="38"/>
    </row>
    <row r="5632">
      <c r="A5632" s="6" t="s">
        <v>7390</v>
      </c>
      <c r="B5632" s="6" t="s">
        <v>8580</v>
      </c>
      <c r="C5632" s="6">
        <v>112.0</v>
      </c>
      <c r="D5632" s="9" t="str">
        <f t="shared" si="1753"/>
        <v>Open Ad</v>
      </c>
      <c r="E5632" s="6" t="s">
        <v>91</v>
      </c>
      <c r="F5632" s="6" t="s">
        <v>8022</v>
      </c>
      <c r="G5632" s="6" t="s">
        <v>8613</v>
      </c>
      <c r="H5632" s="6" t="s">
        <v>55</v>
      </c>
      <c r="I5632" s="6" t="s">
        <v>8582</v>
      </c>
      <c r="J5632" s="6" t="s">
        <v>91</v>
      </c>
      <c r="K5632" s="12" t="str">
        <f t="shared" si="1754"/>
        <v>View Creative</v>
      </c>
      <c r="L5632" s="6" t="s">
        <v>62</v>
      </c>
      <c r="M5632" s="6" t="s">
        <v>7390</v>
      </c>
      <c r="N5632" s="6" t="s">
        <v>8636</v>
      </c>
      <c r="O5632" s="36" t="s">
        <v>7541</v>
      </c>
      <c r="P5632" s="36" t="s">
        <v>7542</v>
      </c>
      <c r="Q5632" s="38"/>
    </row>
    <row r="5633">
      <c r="A5633" s="6" t="s">
        <v>7390</v>
      </c>
      <c r="B5633" s="6" t="s">
        <v>8580</v>
      </c>
      <c r="C5633" s="6">
        <v>113.0</v>
      </c>
      <c r="D5633" s="9" t="str">
        <f t="shared" ref="D5633:D5634" si="1755">HYPERLINK("https://www.linkedin.com/ad-library/detail/1301100503","Open Ad")</f>
        <v>Open Ad</v>
      </c>
      <c r="E5633" s="6" t="s">
        <v>91</v>
      </c>
      <c r="F5633" s="6" t="s">
        <v>8022</v>
      </c>
      <c r="G5633" s="6" t="s">
        <v>8624</v>
      </c>
      <c r="H5633" s="6" t="s">
        <v>8625</v>
      </c>
      <c r="I5633" s="6" t="s">
        <v>8582</v>
      </c>
      <c r="J5633" s="6" t="s">
        <v>91</v>
      </c>
      <c r="K5633" s="12" t="str">
        <f t="shared" ref="K5633:K5634" si="1756">HYPERLINK("https://media.licdn.com/dms/image/v2/D4E22AQFNPKQnvXcaBQ/feedshare-shrink_1280/B4EZ5JZioyJ0AM-/0/1779347893092?e=2147483647&amp;v=beta&amp;t=elA0GyPfCD0Y2OOhWw70KDrnY3CjHlgBNBY61G4x_Ts","View Creative")</f>
        <v>View Creative</v>
      </c>
      <c r="L5633" s="6" t="s">
        <v>62</v>
      </c>
      <c r="M5633" s="6" t="s">
        <v>7390</v>
      </c>
      <c r="N5633" s="6" t="s">
        <v>8637</v>
      </c>
      <c r="O5633" s="36" t="s">
        <v>7541</v>
      </c>
      <c r="P5633" s="36" t="s">
        <v>7542</v>
      </c>
      <c r="Q5633" s="38"/>
    </row>
    <row r="5634">
      <c r="A5634" s="6" t="s">
        <v>7390</v>
      </c>
      <c r="B5634" s="6" t="s">
        <v>8580</v>
      </c>
      <c r="C5634" s="6">
        <v>114.0</v>
      </c>
      <c r="D5634" s="9" t="str">
        <f t="shared" si="1755"/>
        <v>Open Ad</v>
      </c>
      <c r="E5634" s="6" t="s">
        <v>91</v>
      </c>
      <c r="F5634" s="6" t="s">
        <v>8022</v>
      </c>
      <c r="G5634" s="6" t="s">
        <v>8624</v>
      </c>
      <c r="H5634" s="6" t="s">
        <v>8625</v>
      </c>
      <c r="I5634" s="6" t="s">
        <v>8582</v>
      </c>
      <c r="J5634" s="6" t="s">
        <v>91</v>
      </c>
      <c r="K5634" s="12" t="str">
        <f t="shared" si="1756"/>
        <v>View Creative</v>
      </c>
      <c r="L5634" s="6" t="s">
        <v>62</v>
      </c>
      <c r="M5634" s="6" t="s">
        <v>7390</v>
      </c>
      <c r="N5634" s="6" t="s">
        <v>8637</v>
      </c>
      <c r="O5634" s="36" t="s">
        <v>7541</v>
      </c>
      <c r="P5634" s="36" t="s">
        <v>7542</v>
      </c>
      <c r="Q5634" s="38"/>
    </row>
    <row r="5635">
      <c r="A5635" s="6" t="s">
        <v>7390</v>
      </c>
      <c r="B5635" s="6" t="s">
        <v>8580</v>
      </c>
      <c r="C5635" s="6">
        <v>115.0</v>
      </c>
      <c r="D5635" s="9" t="str">
        <f t="shared" ref="D5635:D5636" si="1757">HYPERLINK("https://www.linkedin.com/ad-library/detail/1434581203","Open Ad")</f>
        <v>Open Ad</v>
      </c>
      <c r="E5635" s="6" t="s">
        <v>154</v>
      </c>
      <c r="F5635" s="6" t="s">
        <v>8022</v>
      </c>
      <c r="G5635" s="6" t="s">
        <v>8638</v>
      </c>
      <c r="H5635" s="6" t="s">
        <v>55</v>
      </c>
      <c r="I5635" s="6" t="s">
        <v>8582</v>
      </c>
      <c r="J5635" s="6" t="s">
        <v>154</v>
      </c>
      <c r="K5635" s="12" t="str">
        <f t="shared" ref="K5635:K5636" si="1758">HYPERLINK("https://dms.licdn.com/playlist/vid/v2/D4E05AQHKo-s5HTvrIg/mp4-720p-30fp-crf28/B4EZ6MN42fHoB8-/0/1780468923393?e=2147483647&amp;v=beta&amp;t=kCI8h0Bbp0-pef8_ULg3-anfumXcgeu4gBmUyhUx75I","View Creative")</f>
        <v>View Creative</v>
      </c>
      <c r="L5635" s="6" t="s">
        <v>62</v>
      </c>
      <c r="M5635" s="6" t="s">
        <v>7390</v>
      </c>
      <c r="N5635" s="6" t="s">
        <v>8639</v>
      </c>
      <c r="O5635" s="36" t="s">
        <v>7541</v>
      </c>
      <c r="P5635" s="36" t="s">
        <v>7542</v>
      </c>
      <c r="Q5635" s="38"/>
    </row>
    <row r="5636">
      <c r="A5636" s="6" t="s">
        <v>7390</v>
      </c>
      <c r="B5636" s="6" t="s">
        <v>8580</v>
      </c>
      <c r="C5636" s="6">
        <v>116.0</v>
      </c>
      <c r="D5636" s="9" t="str">
        <f t="shared" si="1757"/>
        <v>Open Ad</v>
      </c>
      <c r="E5636" s="6" t="s">
        <v>154</v>
      </c>
      <c r="F5636" s="6" t="s">
        <v>8022</v>
      </c>
      <c r="G5636" s="6" t="s">
        <v>8638</v>
      </c>
      <c r="H5636" s="6" t="s">
        <v>55</v>
      </c>
      <c r="I5636" s="6" t="s">
        <v>8582</v>
      </c>
      <c r="J5636" s="6" t="s">
        <v>154</v>
      </c>
      <c r="K5636" s="12" t="str">
        <f t="shared" si="1758"/>
        <v>View Creative</v>
      </c>
      <c r="L5636" s="6" t="s">
        <v>62</v>
      </c>
      <c r="M5636" s="6" t="s">
        <v>7390</v>
      </c>
      <c r="N5636" s="6" t="s">
        <v>8639</v>
      </c>
      <c r="O5636" s="36" t="s">
        <v>7541</v>
      </c>
      <c r="P5636" s="36" t="s">
        <v>7542</v>
      </c>
      <c r="Q5636" s="38"/>
    </row>
    <row r="5637">
      <c r="A5637" s="6" t="s">
        <v>7390</v>
      </c>
      <c r="B5637" s="6" t="s">
        <v>8580</v>
      </c>
      <c r="C5637" s="6">
        <v>117.0</v>
      </c>
      <c r="D5637" s="9" t="str">
        <f t="shared" ref="D5637:D5638" si="1759">HYPERLINK("https://www.linkedin.com/ad-library/detail/1300509533","Open Ad")</f>
        <v>Open Ad</v>
      </c>
      <c r="E5637" s="6" t="s">
        <v>91</v>
      </c>
      <c r="F5637" s="6" t="s">
        <v>8022</v>
      </c>
      <c r="G5637" s="6" t="s">
        <v>8640</v>
      </c>
      <c r="H5637" s="6" t="s">
        <v>55</v>
      </c>
      <c r="I5637" s="6" t="s">
        <v>8582</v>
      </c>
      <c r="J5637" s="6" t="s">
        <v>91</v>
      </c>
      <c r="K5637" s="12" t="str">
        <f t="shared" ref="K5637:K5638" si="1760">HYPERLINK("https://media.licdn.com/dms/image/v2/D4D22AQED30_Jpg5OBg/feedshare-image-high-res/B4DZ5Ovc1VK0AY-/0/1779437522747?e=2147483647&amp;v=beta&amp;t=5n6ZMcek9UOrO2QoPGsxWpML3l3VXnVDqjPBe0y6P-U","View Creative")</f>
        <v>View Creative</v>
      </c>
      <c r="L5637" s="6" t="s">
        <v>62</v>
      </c>
      <c r="M5637" s="6" t="s">
        <v>7390</v>
      </c>
      <c r="N5637" s="6" t="s">
        <v>8636</v>
      </c>
      <c r="O5637" s="36" t="s">
        <v>7541</v>
      </c>
      <c r="P5637" s="36" t="s">
        <v>7542</v>
      </c>
      <c r="Q5637" s="38"/>
    </row>
    <row r="5638">
      <c r="A5638" s="6" t="s">
        <v>7390</v>
      </c>
      <c r="B5638" s="6" t="s">
        <v>8580</v>
      </c>
      <c r="C5638" s="6">
        <v>118.0</v>
      </c>
      <c r="D5638" s="9" t="str">
        <f t="shared" si="1759"/>
        <v>Open Ad</v>
      </c>
      <c r="E5638" s="6" t="s">
        <v>91</v>
      </c>
      <c r="F5638" s="6" t="s">
        <v>8022</v>
      </c>
      <c r="G5638" s="6" t="s">
        <v>8640</v>
      </c>
      <c r="H5638" s="6" t="s">
        <v>55</v>
      </c>
      <c r="I5638" s="6" t="s">
        <v>8582</v>
      </c>
      <c r="J5638" s="6" t="s">
        <v>91</v>
      </c>
      <c r="K5638" s="12" t="str">
        <f t="shared" si="1760"/>
        <v>View Creative</v>
      </c>
      <c r="L5638" s="6" t="s">
        <v>62</v>
      </c>
      <c r="M5638" s="6" t="s">
        <v>7390</v>
      </c>
      <c r="N5638" s="6" t="s">
        <v>8636</v>
      </c>
      <c r="O5638" s="36" t="s">
        <v>7541</v>
      </c>
      <c r="P5638" s="36" t="s">
        <v>7542</v>
      </c>
      <c r="Q5638" s="38"/>
    </row>
    <row r="5639">
      <c r="A5639" s="6" t="s">
        <v>7390</v>
      </c>
      <c r="B5639" s="6" t="s">
        <v>8580</v>
      </c>
      <c r="C5639" s="6">
        <v>119.0</v>
      </c>
      <c r="D5639" s="9" t="str">
        <f t="shared" ref="D5639:D5640" si="1761">HYPERLINK("https://www.linkedin.com/ad-library/detail/1268629163","Open Ad")</f>
        <v>Open Ad</v>
      </c>
      <c r="E5639" s="6" t="s">
        <v>91</v>
      </c>
      <c r="F5639" s="6" t="s">
        <v>8022</v>
      </c>
      <c r="G5639" s="6" t="s">
        <v>8641</v>
      </c>
      <c r="H5639" s="6" t="s">
        <v>55</v>
      </c>
      <c r="I5639" s="6" t="s">
        <v>8582</v>
      </c>
      <c r="J5639" s="6" t="s">
        <v>91</v>
      </c>
      <c r="K5639" s="12" t="str">
        <f t="shared" ref="K5639:K5640" si="1762">HYPERLINK("https://media.licdn.com/dms/image/v2/D4D22AQEH-QO0K2BwgA/feedshare-shrink_1280/B4DZ4hT5E5KYAM-/0/1778675323507?e=2147483647&amp;v=beta&amp;t=K5NVjxyhTg8vLf57YKAxpq9fb3eUG-ABIydvr1bSZO0","View Creative")</f>
        <v>View Creative</v>
      </c>
      <c r="L5639" s="6" t="s">
        <v>62</v>
      </c>
      <c r="M5639" s="6" t="s">
        <v>7390</v>
      </c>
      <c r="N5639" s="6" t="s">
        <v>8642</v>
      </c>
      <c r="O5639" s="36" t="s">
        <v>7541</v>
      </c>
      <c r="P5639" s="36" t="s">
        <v>7542</v>
      </c>
      <c r="Q5639" s="38"/>
    </row>
    <row r="5640">
      <c r="A5640" s="6" t="s">
        <v>7390</v>
      </c>
      <c r="B5640" s="6" t="s">
        <v>8580</v>
      </c>
      <c r="C5640" s="6">
        <v>120.0</v>
      </c>
      <c r="D5640" s="9" t="str">
        <f t="shared" si="1761"/>
        <v>Open Ad</v>
      </c>
      <c r="E5640" s="6" t="s">
        <v>91</v>
      </c>
      <c r="F5640" s="6" t="s">
        <v>8022</v>
      </c>
      <c r="G5640" s="6" t="s">
        <v>8641</v>
      </c>
      <c r="H5640" s="6" t="s">
        <v>55</v>
      </c>
      <c r="I5640" s="6" t="s">
        <v>8582</v>
      </c>
      <c r="J5640" s="6" t="s">
        <v>91</v>
      </c>
      <c r="K5640" s="12" t="str">
        <f t="shared" si="1762"/>
        <v>View Creative</v>
      </c>
      <c r="L5640" s="6" t="s">
        <v>62</v>
      </c>
      <c r="M5640" s="6" t="s">
        <v>7390</v>
      </c>
      <c r="N5640" s="6" t="s">
        <v>8642</v>
      </c>
      <c r="O5640" s="36" t="s">
        <v>7541</v>
      </c>
      <c r="P5640" s="36" t="s">
        <v>7542</v>
      </c>
      <c r="Q5640" s="38"/>
    </row>
    <row r="5641">
      <c r="A5641" s="6" t="s">
        <v>7390</v>
      </c>
      <c r="B5641" s="6" t="s">
        <v>8580</v>
      </c>
      <c r="C5641" s="6">
        <v>121.0</v>
      </c>
      <c r="D5641" s="9" t="str">
        <f t="shared" ref="D5641:D5642" si="1763">HYPERLINK("https://www.linkedin.com/ad-library/detail/1267230453","Open Ad")</f>
        <v>Open Ad</v>
      </c>
      <c r="E5641" s="6" t="s">
        <v>91</v>
      </c>
      <c r="F5641" s="6" t="s">
        <v>8022</v>
      </c>
      <c r="G5641" s="6" t="s">
        <v>8624</v>
      </c>
      <c r="H5641" s="6" t="s">
        <v>8625</v>
      </c>
      <c r="I5641" s="6" t="s">
        <v>8582</v>
      </c>
      <c r="J5641" s="6" t="s">
        <v>91</v>
      </c>
      <c r="K5641" s="12" t="str">
        <f t="shared" ref="K5641:K5642" si="1764">HYPERLINK("https://media.licdn.com/dms/image/v2/D4E22AQFNPKQnvXcaBQ/feedshare-shrink_1280/B4EZ5JZioyJ0AM-/0/1779347893092?e=2147483647&amp;v=beta&amp;t=elA0GyPfCD0Y2OOhWw70KDrnY3CjHlgBNBY61G4x_Ts","View Creative")</f>
        <v>View Creative</v>
      </c>
      <c r="L5641" s="6" t="s">
        <v>62</v>
      </c>
      <c r="M5641" s="6" t="s">
        <v>7390</v>
      </c>
      <c r="N5641" s="6" t="s">
        <v>8643</v>
      </c>
      <c r="O5641" s="36" t="s">
        <v>7541</v>
      </c>
      <c r="P5641" s="36" t="s">
        <v>7542</v>
      </c>
      <c r="Q5641" s="38"/>
    </row>
    <row r="5642">
      <c r="A5642" s="6" t="s">
        <v>7390</v>
      </c>
      <c r="B5642" s="6" t="s">
        <v>8580</v>
      </c>
      <c r="C5642" s="6">
        <v>122.0</v>
      </c>
      <c r="D5642" s="9" t="str">
        <f t="shared" si="1763"/>
        <v>Open Ad</v>
      </c>
      <c r="E5642" s="6" t="s">
        <v>91</v>
      </c>
      <c r="F5642" s="6" t="s">
        <v>8022</v>
      </c>
      <c r="G5642" s="6" t="s">
        <v>8624</v>
      </c>
      <c r="H5642" s="6" t="s">
        <v>8625</v>
      </c>
      <c r="I5642" s="6" t="s">
        <v>8582</v>
      </c>
      <c r="J5642" s="6" t="s">
        <v>91</v>
      </c>
      <c r="K5642" s="12" t="str">
        <f t="shared" si="1764"/>
        <v>View Creative</v>
      </c>
      <c r="L5642" s="6" t="s">
        <v>62</v>
      </c>
      <c r="M5642" s="6" t="s">
        <v>7390</v>
      </c>
      <c r="N5642" s="6" t="s">
        <v>8643</v>
      </c>
      <c r="O5642" s="36" t="s">
        <v>7541</v>
      </c>
      <c r="P5642" s="36" t="s">
        <v>7542</v>
      </c>
      <c r="Q5642" s="38"/>
    </row>
    <row r="5643">
      <c r="A5643" s="6" t="s">
        <v>7390</v>
      </c>
      <c r="B5643" s="6" t="s">
        <v>8580</v>
      </c>
      <c r="C5643" s="6">
        <v>123.0</v>
      </c>
      <c r="D5643" s="9" t="str">
        <f t="shared" ref="D5643:D5644" si="1765">HYPERLINK("https://www.linkedin.com/ad-library/detail/1440638343","Open Ad")</f>
        <v>Open Ad</v>
      </c>
      <c r="E5643" s="6" t="s">
        <v>91</v>
      </c>
      <c r="F5643" s="6" t="s">
        <v>8022</v>
      </c>
      <c r="G5643" s="6" t="s">
        <v>8620</v>
      </c>
      <c r="H5643" s="6" t="s">
        <v>55</v>
      </c>
      <c r="I5643" s="6" t="s">
        <v>8582</v>
      </c>
      <c r="J5643" s="6" t="s">
        <v>91</v>
      </c>
      <c r="K5643" s="12" t="str">
        <f t="shared" ref="K5643:K5644" si="1766">HYPERLINK("https://media.licdn.com/dms/image/v2/D4E22AQEsUoviXxdOLA/feedshare-shrink_1280/B4EZ7zKHegHoAQ-/0/1782195976367?e=2147483647&amp;v=beta&amp;t=DsdQB9VhMN1yFtQi7lAE6MppH6mLuei8eGMn5zXfjIA","View Creative")</f>
        <v>View Creative</v>
      </c>
      <c r="L5643" s="6" t="s">
        <v>62</v>
      </c>
      <c r="M5643" s="6" t="s">
        <v>7390</v>
      </c>
      <c r="N5643" s="6" t="s">
        <v>8644</v>
      </c>
      <c r="O5643" s="36" t="s">
        <v>7541</v>
      </c>
      <c r="P5643" s="36" t="s">
        <v>7542</v>
      </c>
      <c r="Q5643" s="38"/>
    </row>
    <row r="5644">
      <c r="A5644" s="6" t="s">
        <v>7390</v>
      </c>
      <c r="B5644" s="6" t="s">
        <v>8580</v>
      </c>
      <c r="C5644" s="6">
        <v>124.0</v>
      </c>
      <c r="D5644" s="9" t="str">
        <f t="shared" si="1765"/>
        <v>Open Ad</v>
      </c>
      <c r="E5644" s="6" t="s">
        <v>91</v>
      </c>
      <c r="F5644" s="6" t="s">
        <v>8022</v>
      </c>
      <c r="G5644" s="6" t="s">
        <v>8620</v>
      </c>
      <c r="H5644" s="6" t="s">
        <v>55</v>
      </c>
      <c r="I5644" s="6" t="s">
        <v>8582</v>
      </c>
      <c r="J5644" s="6" t="s">
        <v>91</v>
      </c>
      <c r="K5644" s="12" t="str">
        <f t="shared" si="1766"/>
        <v>View Creative</v>
      </c>
      <c r="L5644" s="6" t="s">
        <v>62</v>
      </c>
      <c r="M5644" s="6" t="s">
        <v>7390</v>
      </c>
      <c r="N5644" s="6" t="s">
        <v>8644</v>
      </c>
      <c r="O5644" s="36" t="s">
        <v>7541</v>
      </c>
      <c r="P5644" s="36" t="s">
        <v>7542</v>
      </c>
      <c r="Q5644" s="38"/>
    </row>
    <row r="5645">
      <c r="A5645" s="6" t="s">
        <v>7390</v>
      </c>
      <c r="B5645" s="6" t="s">
        <v>8580</v>
      </c>
      <c r="C5645" s="6">
        <v>125.0</v>
      </c>
      <c r="D5645" s="9" t="str">
        <f t="shared" ref="D5645:D5646" si="1767">HYPERLINK("https://www.linkedin.com/ad-library/detail/1475971386","Open Ad")</f>
        <v>Open Ad</v>
      </c>
      <c r="E5645" s="6" t="s">
        <v>91</v>
      </c>
      <c r="F5645" s="6" t="s">
        <v>8022</v>
      </c>
      <c r="G5645" s="6" t="s">
        <v>8640</v>
      </c>
      <c r="H5645" s="6" t="s">
        <v>55</v>
      </c>
      <c r="I5645" s="6" t="s">
        <v>8582</v>
      </c>
      <c r="J5645" s="6" t="s">
        <v>91</v>
      </c>
      <c r="K5645" s="12" t="str">
        <f t="shared" ref="K5645:K5646" si="1768">HYPERLINK("https://media.licdn.com/dms/image/v2/D4D22AQED30_Jpg5OBg/feedshare-image-high-res/B4DZ5Ovc1VK0AY-/0/1779437522747?e=2147483647&amp;v=beta&amp;t=5n6ZMcek9UOrO2QoPGsxWpML3l3VXnVDqjPBe0y6P-U","View Creative")</f>
        <v>View Creative</v>
      </c>
      <c r="L5645" s="6" t="s">
        <v>62</v>
      </c>
      <c r="M5645" s="6" t="s">
        <v>7390</v>
      </c>
      <c r="N5645" s="6" t="s">
        <v>8629</v>
      </c>
      <c r="O5645" s="36" t="s">
        <v>7541</v>
      </c>
      <c r="P5645" s="36" t="s">
        <v>7542</v>
      </c>
      <c r="Q5645" s="38"/>
    </row>
    <row r="5646">
      <c r="A5646" s="6" t="s">
        <v>7390</v>
      </c>
      <c r="B5646" s="6" t="s">
        <v>8580</v>
      </c>
      <c r="C5646" s="6">
        <v>126.0</v>
      </c>
      <c r="D5646" s="9" t="str">
        <f t="shared" si="1767"/>
        <v>Open Ad</v>
      </c>
      <c r="E5646" s="6" t="s">
        <v>91</v>
      </c>
      <c r="F5646" s="6" t="s">
        <v>8022</v>
      </c>
      <c r="G5646" s="6" t="s">
        <v>8640</v>
      </c>
      <c r="H5646" s="6" t="s">
        <v>55</v>
      </c>
      <c r="I5646" s="6" t="s">
        <v>8582</v>
      </c>
      <c r="J5646" s="6" t="s">
        <v>91</v>
      </c>
      <c r="K5646" s="12" t="str">
        <f t="shared" si="1768"/>
        <v>View Creative</v>
      </c>
      <c r="L5646" s="6" t="s">
        <v>62</v>
      </c>
      <c r="M5646" s="6" t="s">
        <v>7390</v>
      </c>
      <c r="N5646" s="6" t="s">
        <v>8629</v>
      </c>
      <c r="O5646" s="36" t="s">
        <v>7541</v>
      </c>
      <c r="P5646" s="36" t="s">
        <v>7542</v>
      </c>
      <c r="Q5646" s="38"/>
    </row>
    <row r="5647">
      <c r="A5647" s="6" t="s">
        <v>7390</v>
      </c>
      <c r="B5647" s="6" t="s">
        <v>8580</v>
      </c>
      <c r="C5647" s="6">
        <v>127.0</v>
      </c>
      <c r="D5647" s="9" t="str">
        <f t="shared" ref="D5647:D5648" si="1769">HYPERLINK("https://www.linkedin.com/ad-library/detail/1301583523","Open Ad")</f>
        <v>Open Ad</v>
      </c>
      <c r="E5647" s="6" t="s">
        <v>91</v>
      </c>
      <c r="F5647" s="6" t="s">
        <v>8022</v>
      </c>
      <c r="G5647" s="6" t="s">
        <v>8613</v>
      </c>
      <c r="H5647" s="6" t="s">
        <v>55</v>
      </c>
      <c r="I5647" s="6" t="s">
        <v>8582</v>
      </c>
      <c r="J5647" s="6" t="s">
        <v>91</v>
      </c>
      <c r="K5647" s="12" t="str">
        <f t="shared" ref="K5647:K5650" si="1770">HYPERLINK("https://media.licdn.com/dms/image/v2/D4D22AQG_pWDLBn11xg/feedshare-image-high-res/B4DZ5Ktvy7KAAY-/0/1779369967058?e=2147483647&amp;v=beta&amp;t=yoyITKReRXEAtjcuwqrsCi1t2CYI0VeP_TZzNmL4tEY","View Creative")</f>
        <v>View Creative</v>
      </c>
      <c r="L5647" s="6" t="s">
        <v>62</v>
      </c>
      <c r="M5647" s="6" t="s">
        <v>7390</v>
      </c>
      <c r="N5647" s="6" t="s">
        <v>8637</v>
      </c>
      <c r="O5647" s="36" t="s">
        <v>7541</v>
      </c>
      <c r="P5647" s="36" t="s">
        <v>7542</v>
      </c>
      <c r="Q5647" s="38"/>
    </row>
    <row r="5648">
      <c r="A5648" s="6" t="s">
        <v>7390</v>
      </c>
      <c r="B5648" s="6" t="s">
        <v>8580</v>
      </c>
      <c r="C5648" s="6">
        <v>128.0</v>
      </c>
      <c r="D5648" s="9" t="str">
        <f t="shared" si="1769"/>
        <v>Open Ad</v>
      </c>
      <c r="E5648" s="6" t="s">
        <v>91</v>
      </c>
      <c r="F5648" s="6" t="s">
        <v>8022</v>
      </c>
      <c r="G5648" s="6" t="s">
        <v>8613</v>
      </c>
      <c r="H5648" s="6" t="s">
        <v>55</v>
      </c>
      <c r="I5648" s="6" t="s">
        <v>8582</v>
      </c>
      <c r="J5648" s="6" t="s">
        <v>91</v>
      </c>
      <c r="K5648" s="12" t="str">
        <f t="shared" si="1770"/>
        <v>View Creative</v>
      </c>
      <c r="L5648" s="6" t="s">
        <v>62</v>
      </c>
      <c r="M5648" s="6" t="s">
        <v>7390</v>
      </c>
      <c r="N5648" s="6" t="s">
        <v>8637</v>
      </c>
      <c r="O5648" s="36" t="s">
        <v>7541</v>
      </c>
      <c r="P5648" s="36" t="s">
        <v>7542</v>
      </c>
      <c r="Q5648" s="38"/>
    </row>
    <row r="5649">
      <c r="A5649" s="6" t="s">
        <v>7390</v>
      </c>
      <c r="B5649" s="6" t="s">
        <v>8580</v>
      </c>
      <c r="C5649" s="6">
        <v>129.0</v>
      </c>
      <c r="D5649" s="9" t="str">
        <f t="shared" ref="D5649:D5650" si="1771">HYPERLINK("https://www.linkedin.com/ad-library/detail/1440717983","Open Ad")</f>
        <v>Open Ad</v>
      </c>
      <c r="E5649" s="6" t="s">
        <v>91</v>
      </c>
      <c r="F5649" s="6" t="s">
        <v>8022</v>
      </c>
      <c r="G5649" s="6" t="s">
        <v>8613</v>
      </c>
      <c r="H5649" s="6" t="s">
        <v>55</v>
      </c>
      <c r="I5649" s="6" t="s">
        <v>8582</v>
      </c>
      <c r="J5649" s="6" t="s">
        <v>91</v>
      </c>
      <c r="K5649" s="12" t="str">
        <f t="shared" si="1770"/>
        <v>View Creative</v>
      </c>
      <c r="L5649" s="6" t="s">
        <v>62</v>
      </c>
      <c r="M5649" s="6" t="s">
        <v>7390</v>
      </c>
      <c r="N5649" s="6" t="s">
        <v>8645</v>
      </c>
      <c r="O5649" s="36" t="s">
        <v>7541</v>
      </c>
      <c r="P5649" s="36" t="s">
        <v>7542</v>
      </c>
      <c r="Q5649" s="38"/>
    </row>
    <row r="5650">
      <c r="A5650" s="6" t="s">
        <v>7390</v>
      </c>
      <c r="B5650" s="6" t="s">
        <v>8580</v>
      </c>
      <c r="C5650" s="6">
        <v>130.0</v>
      </c>
      <c r="D5650" s="9" t="str">
        <f t="shared" si="1771"/>
        <v>Open Ad</v>
      </c>
      <c r="E5650" s="6" t="s">
        <v>91</v>
      </c>
      <c r="F5650" s="6" t="s">
        <v>8022</v>
      </c>
      <c r="G5650" s="6" t="s">
        <v>8613</v>
      </c>
      <c r="H5650" s="6" t="s">
        <v>55</v>
      </c>
      <c r="I5650" s="6" t="s">
        <v>8582</v>
      </c>
      <c r="J5650" s="6" t="s">
        <v>91</v>
      </c>
      <c r="K5650" s="12" t="str">
        <f t="shared" si="1770"/>
        <v>View Creative</v>
      </c>
      <c r="L5650" s="6" t="s">
        <v>62</v>
      </c>
      <c r="M5650" s="6" t="s">
        <v>7390</v>
      </c>
      <c r="N5650" s="6" t="s">
        <v>8645</v>
      </c>
      <c r="O5650" s="36" t="s">
        <v>7541</v>
      </c>
      <c r="P5650" s="36" t="s">
        <v>7542</v>
      </c>
      <c r="Q5650" s="38"/>
    </row>
    <row r="5651">
      <c r="A5651" s="6" t="s">
        <v>7390</v>
      </c>
      <c r="B5651" s="6" t="s">
        <v>8580</v>
      </c>
      <c r="C5651" s="6">
        <v>131.0</v>
      </c>
      <c r="D5651" s="9" t="str">
        <f t="shared" ref="D5651:D5652" si="1772">HYPERLINK("https://www.linkedin.com/ad-library/detail/1440648393","Open Ad")</f>
        <v>Open Ad</v>
      </c>
      <c r="E5651" s="6" t="s">
        <v>91</v>
      </c>
      <c r="F5651" s="6" t="s">
        <v>8022</v>
      </c>
      <c r="G5651" s="6" t="s">
        <v>8610</v>
      </c>
      <c r="H5651" s="6" t="s">
        <v>55</v>
      </c>
      <c r="I5651" s="6" t="s">
        <v>8582</v>
      </c>
      <c r="J5651" s="6" t="s">
        <v>91</v>
      </c>
      <c r="K5651" s="12" t="str">
        <f t="shared" ref="K5651:K5652" si="1773">HYPERLINK("https://media.licdn.com/dms/image/v2/D4E22AQFFV6_jV3bM2A/feedshare-image-high-res/B4EZ74aXy_KwAU-/0/1782284123580?e=2147483647&amp;v=beta&amp;t=uA4GWUtr0mjVOAJEUJtu_Bb0yG4Ph0KBDl3a0_qG0ug","View Creative")</f>
        <v>View Creative</v>
      </c>
      <c r="L5651" s="6" t="s">
        <v>62</v>
      </c>
      <c r="M5651" s="6" t="s">
        <v>7390</v>
      </c>
      <c r="N5651" s="6" t="s">
        <v>8645</v>
      </c>
      <c r="O5651" s="36" t="s">
        <v>7541</v>
      </c>
      <c r="P5651" s="36" t="s">
        <v>7542</v>
      </c>
      <c r="Q5651" s="38"/>
    </row>
    <row r="5652">
      <c r="A5652" s="6" t="s">
        <v>7390</v>
      </c>
      <c r="B5652" s="6" t="s">
        <v>8580</v>
      </c>
      <c r="C5652" s="6">
        <v>132.0</v>
      </c>
      <c r="D5652" s="9" t="str">
        <f t="shared" si="1772"/>
        <v>Open Ad</v>
      </c>
      <c r="E5652" s="6" t="s">
        <v>91</v>
      </c>
      <c r="F5652" s="6" t="s">
        <v>8022</v>
      </c>
      <c r="G5652" s="6" t="s">
        <v>8610</v>
      </c>
      <c r="H5652" s="6" t="s">
        <v>55</v>
      </c>
      <c r="I5652" s="6" t="s">
        <v>8582</v>
      </c>
      <c r="J5652" s="6" t="s">
        <v>91</v>
      </c>
      <c r="K5652" s="12" t="str">
        <f t="shared" si="1773"/>
        <v>View Creative</v>
      </c>
      <c r="L5652" s="6" t="s">
        <v>62</v>
      </c>
      <c r="M5652" s="6" t="s">
        <v>7390</v>
      </c>
      <c r="N5652" s="6" t="s">
        <v>8645</v>
      </c>
      <c r="O5652" s="36" t="s">
        <v>7541</v>
      </c>
      <c r="P5652" s="36" t="s">
        <v>7542</v>
      </c>
      <c r="Q5652" s="38"/>
    </row>
    <row r="5653">
      <c r="A5653" s="6" t="s">
        <v>7390</v>
      </c>
      <c r="B5653" s="6" t="s">
        <v>8580</v>
      </c>
      <c r="C5653" s="6">
        <v>133.0</v>
      </c>
      <c r="D5653" s="9" t="str">
        <f t="shared" ref="D5653:D5654" si="1774">HYPERLINK("https://www.linkedin.com/ad-library/detail/1440667643","Open Ad")</f>
        <v>Open Ad</v>
      </c>
      <c r="E5653" s="6" t="s">
        <v>91</v>
      </c>
      <c r="F5653" s="6" t="s">
        <v>8022</v>
      </c>
      <c r="G5653" s="6" t="s">
        <v>8615</v>
      </c>
      <c r="H5653" s="6" t="s">
        <v>55</v>
      </c>
      <c r="I5653" s="6" t="s">
        <v>8582</v>
      </c>
      <c r="J5653" s="6" t="s">
        <v>91</v>
      </c>
      <c r="K5653" s="12" t="str">
        <f t="shared" ref="K5653:K5654" si="1775">HYPERLINK("https://media.licdn.com/dms/image/v2/D4E22AQGj2T42TESk1w/feedshare-image-high-res/B4EZ74ZGPpHoAc-/0/1782283789605?e=2147483647&amp;v=beta&amp;t=lDvuae9vcjcZegfSk6jb_9i5cCj7CKtWG18C4c3kLjQ","View Creative")</f>
        <v>View Creative</v>
      </c>
      <c r="L5653" s="6" t="s">
        <v>62</v>
      </c>
      <c r="M5653" s="6" t="s">
        <v>7390</v>
      </c>
      <c r="N5653" s="6" t="s">
        <v>8644</v>
      </c>
      <c r="O5653" s="36" t="s">
        <v>7541</v>
      </c>
      <c r="P5653" s="36" t="s">
        <v>7542</v>
      </c>
      <c r="Q5653" s="38"/>
    </row>
    <row r="5654">
      <c r="A5654" s="6" t="s">
        <v>7390</v>
      </c>
      <c r="B5654" s="6" t="s">
        <v>8580</v>
      </c>
      <c r="C5654" s="6">
        <v>134.0</v>
      </c>
      <c r="D5654" s="9" t="str">
        <f t="shared" si="1774"/>
        <v>Open Ad</v>
      </c>
      <c r="E5654" s="6" t="s">
        <v>91</v>
      </c>
      <c r="F5654" s="6" t="s">
        <v>8022</v>
      </c>
      <c r="G5654" s="6" t="s">
        <v>8615</v>
      </c>
      <c r="H5654" s="6" t="s">
        <v>55</v>
      </c>
      <c r="I5654" s="6" t="s">
        <v>8582</v>
      </c>
      <c r="J5654" s="6" t="s">
        <v>91</v>
      </c>
      <c r="K5654" s="12" t="str">
        <f t="shared" si="1775"/>
        <v>View Creative</v>
      </c>
      <c r="L5654" s="6" t="s">
        <v>62</v>
      </c>
      <c r="M5654" s="6" t="s">
        <v>7390</v>
      </c>
      <c r="N5654" s="6" t="s">
        <v>8644</v>
      </c>
      <c r="O5654" s="36" t="s">
        <v>7541</v>
      </c>
      <c r="P5654" s="36" t="s">
        <v>7542</v>
      </c>
      <c r="Q5654" s="38"/>
    </row>
    <row r="5655">
      <c r="A5655" s="6" t="s">
        <v>7390</v>
      </c>
      <c r="B5655" s="6" t="s">
        <v>8580</v>
      </c>
      <c r="C5655" s="6">
        <v>135.0</v>
      </c>
      <c r="D5655" s="9" t="str">
        <f t="shared" ref="D5655:D5656" si="1776">HYPERLINK("https://www.linkedin.com/ad-library/detail/1475893696","Open Ad")</f>
        <v>Open Ad</v>
      </c>
      <c r="E5655" s="6" t="s">
        <v>91</v>
      </c>
      <c r="F5655" s="6" t="s">
        <v>8022</v>
      </c>
      <c r="G5655" s="6" t="s">
        <v>8616</v>
      </c>
      <c r="H5655" s="6" t="s">
        <v>55</v>
      </c>
      <c r="I5655" s="6" t="s">
        <v>8582</v>
      </c>
      <c r="J5655" s="6" t="s">
        <v>91</v>
      </c>
      <c r="K5655" s="12" t="str">
        <f t="shared" ref="K5655:K5656" si="1777">HYPERLINK("https://media.licdn.com/dms/image/v2/D4E22AQGk067apuo5qQ/feedshare-image-high-res/B4EZ7zIBmuHwAY-/0/1782195428007?e=2147483647&amp;v=beta&amp;t=HCMTNKg4ludKnwsaiFUYT_NGO-es1knNpH1qJvyvb04","View Creative")</f>
        <v>View Creative</v>
      </c>
      <c r="L5655" s="6" t="s">
        <v>62</v>
      </c>
      <c r="M5655" s="6" t="s">
        <v>7390</v>
      </c>
      <c r="N5655" s="6" t="s">
        <v>8629</v>
      </c>
      <c r="O5655" s="36" t="s">
        <v>7541</v>
      </c>
      <c r="P5655" s="36" t="s">
        <v>7542</v>
      </c>
      <c r="Q5655" s="38"/>
    </row>
    <row r="5656">
      <c r="A5656" s="6" t="s">
        <v>7390</v>
      </c>
      <c r="B5656" s="6" t="s">
        <v>8580</v>
      </c>
      <c r="C5656" s="6">
        <v>136.0</v>
      </c>
      <c r="D5656" s="9" t="str">
        <f t="shared" si="1776"/>
        <v>Open Ad</v>
      </c>
      <c r="E5656" s="6" t="s">
        <v>91</v>
      </c>
      <c r="F5656" s="6" t="s">
        <v>8022</v>
      </c>
      <c r="G5656" s="6" t="s">
        <v>8616</v>
      </c>
      <c r="H5656" s="6" t="s">
        <v>55</v>
      </c>
      <c r="I5656" s="6" t="s">
        <v>8582</v>
      </c>
      <c r="J5656" s="6" t="s">
        <v>91</v>
      </c>
      <c r="K5656" s="12" t="str">
        <f t="shared" si="1777"/>
        <v>View Creative</v>
      </c>
      <c r="L5656" s="6" t="s">
        <v>62</v>
      </c>
      <c r="M5656" s="6" t="s">
        <v>7390</v>
      </c>
      <c r="N5656" s="6" t="s">
        <v>8629</v>
      </c>
      <c r="O5656" s="36" t="s">
        <v>7541</v>
      </c>
      <c r="P5656" s="36" t="s">
        <v>7542</v>
      </c>
      <c r="Q5656" s="38"/>
    </row>
    <row r="5657">
      <c r="A5657" s="6" t="s">
        <v>7390</v>
      </c>
      <c r="B5657" s="6" t="s">
        <v>8580</v>
      </c>
      <c r="C5657" s="6">
        <v>137.0</v>
      </c>
      <c r="D5657" s="9" t="str">
        <f t="shared" ref="D5657:D5658" si="1778">HYPERLINK("https://www.linkedin.com/ad-library/detail/1301683323","Open Ad")</f>
        <v>Open Ad</v>
      </c>
      <c r="E5657" s="6" t="s">
        <v>91</v>
      </c>
      <c r="F5657" s="6" t="s">
        <v>8022</v>
      </c>
      <c r="G5657" s="6" t="s">
        <v>8646</v>
      </c>
      <c r="H5657" s="6" t="s">
        <v>8647</v>
      </c>
      <c r="I5657" s="6" t="s">
        <v>8582</v>
      </c>
      <c r="J5657" s="6" t="s">
        <v>91</v>
      </c>
      <c r="K5657" s="12" t="str">
        <f t="shared" ref="K5657:K5660" si="1779">HYPERLINK("https://media.licdn.com/dms/image/v2/D4D22AQGyFJwH-Eo5tw/feedshare-shrink_1280/B4DZ5kMteyKEAM-/0/1779797514672?e=2147483647&amp;v=beta&amp;t=9pPq4D_M0qWEJoXjNQGDuqYShlpQoTebGHuODFMB7P0","View Creative")</f>
        <v>View Creative</v>
      </c>
      <c r="L5657" s="6" t="s">
        <v>62</v>
      </c>
      <c r="M5657" s="6" t="s">
        <v>7390</v>
      </c>
      <c r="N5657" s="6" t="s">
        <v>8637</v>
      </c>
      <c r="O5657" s="36" t="s">
        <v>7541</v>
      </c>
      <c r="P5657" s="36" t="s">
        <v>7542</v>
      </c>
      <c r="Q5657" s="38"/>
    </row>
    <row r="5658">
      <c r="A5658" s="6" t="s">
        <v>7390</v>
      </c>
      <c r="B5658" s="6" t="s">
        <v>8580</v>
      </c>
      <c r="C5658" s="6">
        <v>138.0</v>
      </c>
      <c r="D5658" s="9" t="str">
        <f t="shared" si="1778"/>
        <v>Open Ad</v>
      </c>
      <c r="E5658" s="6" t="s">
        <v>91</v>
      </c>
      <c r="F5658" s="6" t="s">
        <v>8022</v>
      </c>
      <c r="G5658" s="6" t="s">
        <v>8646</v>
      </c>
      <c r="H5658" s="6" t="s">
        <v>8647</v>
      </c>
      <c r="I5658" s="6" t="s">
        <v>8582</v>
      </c>
      <c r="J5658" s="6" t="s">
        <v>91</v>
      </c>
      <c r="K5658" s="12" t="str">
        <f t="shared" si="1779"/>
        <v>View Creative</v>
      </c>
      <c r="L5658" s="6" t="s">
        <v>62</v>
      </c>
      <c r="M5658" s="6" t="s">
        <v>7390</v>
      </c>
      <c r="N5658" s="6" t="s">
        <v>8637</v>
      </c>
      <c r="O5658" s="36" t="s">
        <v>7541</v>
      </c>
      <c r="P5658" s="36" t="s">
        <v>7542</v>
      </c>
      <c r="Q5658" s="38"/>
    </row>
    <row r="5659">
      <c r="A5659" s="6" t="s">
        <v>7390</v>
      </c>
      <c r="B5659" s="6" t="s">
        <v>8580</v>
      </c>
      <c r="C5659" s="6">
        <v>139.0</v>
      </c>
      <c r="D5659" s="9" t="str">
        <f t="shared" ref="D5659:D5660" si="1780">HYPERLINK("https://www.linkedin.com/ad-library/detail/1300608923","Open Ad")</f>
        <v>Open Ad</v>
      </c>
      <c r="E5659" s="6" t="s">
        <v>91</v>
      </c>
      <c r="F5659" s="6" t="s">
        <v>8022</v>
      </c>
      <c r="G5659" s="6" t="s">
        <v>8646</v>
      </c>
      <c r="H5659" s="6" t="s">
        <v>8647</v>
      </c>
      <c r="I5659" s="6" t="s">
        <v>8582</v>
      </c>
      <c r="J5659" s="6" t="s">
        <v>91</v>
      </c>
      <c r="K5659" s="12" t="str">
        <f t="shared" si="1779"/>
        <v>View Creative</v>
      </c>
      <c r="L5659" s="6" t="s">
        <v>62</v>
      </c>
      <c r="M5659" s="6" t="s">
        <v>7390</v>
      </c>
      <c r="N5659" s="6" t="s">
        <v>8636</v>
      </c>
      <c r="O5659" s="36" t="s">
        <v>7541</v>
      </c>
      <c r="P5659" s="36" t="s">
        <v>7542</v>
      </c>
      <c r="Q5659" s="38"/>
    </row>
    <row r="5660">
      <c r="A5660" s="6" t="s">
        <v>7390</v>
      </c>
      <c r="B5660" s="6" t="s">
        <v>8580</v>
      </c>
      <c r="C5660" s="6">
        <v>140.0</v>
      </c>
      <c r="D5660" s="9" t="str">
        <f t="shared" si="1780"/>
        <v>Open Ad</v>
      </c>
      <c r="E5660" s="6" t="s">
        <v>91</v>
      </c>
      <c r="F5660" s="6" t="s">
        <v>8022</v>
      </c>
      <c r="G5660" s="6" t="s">
        <v>8646</v>
      </c>
      <c r="H5660" s="6" t="s">
        <v>8647</v>
      </c>
      <c r="I5660" s="6" t="s">
        <v>8582</v>
      </c>
      <c r="J5660" s="6" t="s">
        <v>91</v>
      </c>
      <c r="K5660" s="12" t="str">
        <f t="shared" si="1779"/>
        <v>View Creative</v>
      </c>
      <c r="L5660" s="6" t="s">
        <v>62</v>
      </c>
      <c r="M5660" s="6" t="s">
        <v>7390</v>
      </c>
      <c r="N5660" s="6" t="s">
        <v>8636</v>
      </c>
      <c r="O5660" s="36" t="s">
        <v>7541</v>
      </c>
      <c r="P5660" s="36" t="s">
        <v>7542</v>
      </c>
      <c r="Q5660" s="38"/>
    </row>
    <row r="5661">
      <c r="A5661" s="6" t="s">
        <v>7390</v>
      </c>
      <c r="B5661" s="6" t="s">
        <v>8580</v>
      </c>
      <c r="C5661" s="6">
        <v>141.0</v>
      </c>
      <c r="D5661" s="9" t="str">
        <f t="shared" ref="D5661:D5662" si="1781">HYPERLINK("https://www.linkedin.com/ad-library/detail/1434600493","Open Ad")</f>
        <v>Open Ad</v>
      </c>
      <c r="E5661" s="6" t="s">
        <v>154</v>
      </c>
      <c r="F5661" s="6" t="s">
        <v>8022</v>
      </c>
      <c r="G5661" s="6" t="s">
        <v>8598</v>
      </c>
      <c r="H5661" s="6" t="s">
        <v>55</v>
      </c>
      <c r="I5661" s="6" t="s">
        <v>8582</v>
      </c>
      <c r="J5661" s="6" t="s">
        <v>154</v>
      </c>
      <c r="K5661" s="12" t="str">
        <f t="shared" ref="K5661:K5662" si="1782">HYPERLINK("https://dms.licdn.com/playlist/vid/v2/D4E05AQHgOCwydDtH7w/mp4-640p-30fp-crf28/B4EZ61WjwaJEBk-/0/1781159117017?e=2147483647&amp;v=beta&amp;t=kgix98g_BsKPq-XmGT8Zhm8fh8HoBS0bAHDbLvn0Yys","View Creative")</f>
        <v>View Creative</v>
      </c>
      <c r="L5661" s="6" t="s">
        <v>62</v>
      </c>
      <c r="M5661" s="6" t="s">
        <v>7390</v>
      </c>
      <c r="N5661" s="6" t="s">
        <v>8648</v>
      </c>
      <c r="O5661" s="36" t="s">
        <v>7541</v>
      </c>
      <c r="P5661" s="36" t="s">
        <v>7542</v>
      </c>
      <c r="Q5661" s="38"/>
    </row>
    <row r="5662">
      <c r="A5662" s="6" t="s">
        <v>7390</v>
      </c>
      <c r="B5662" s="6" t="s">
        <v>8580</v>
      </c>
      <c r="C5662" s="6">
        <v>142.0</v>
      </c>
      <c r="D5662" s="9" t="str">
        <f t="shared" si="1781"/>
        <v>Open Ad</v>
      </c>
      <c r="E5662" s="6" t="s">
        <v>154</v>
      </c>
      <c r="F5662" s="6" t="s">
        <v>8022</v>
      </c>
      <c r="G5662" s="6" t="s">
        <v>8598</v>
      </c>
      <c r="H5662" s="6" t="s">
        <v>55</v>
      </c>
      <c r="I5662" s="6" t="s">
        <v>8582</v>
      </c>
      <c r="J5662" s="6" t="s">
        <v>154</v>
      </c>
      <c r="K5662" s="12" t="str">
        <f t="shared" si="1782"/>
        <v>View Creative</v>
      </c>
      <c r="L5662" s="6" t="s">
        <v>62</v>
      </c>
      <c r="M5662" s="6" t="s">
        <v>7390</v>
      </c>
      <c r="N5662" s="6" t="s">
        <v>8648</v>
      </c>
      <c r="O5662" s="36" t="s">
        <v>7541</v>
      </c>
      <c r="P5662" s="36" t="s">
        <v>7542</v>
      </c>
      <c r="Q5662" s="38"/>
    </row>
    <row r="5663">
      <c r="A5663" s="6" t="s">
        <v>7390</v>
      </c>
      <c r="B5663" s="6" t="s">
        <v>8580</v>
      </c>
      <c r="C5663" s="6">
        <v>143.0</v>
      </c>
      <c r="D5663" s="9" t="str">
        <f t="shared" ref="D5663:D5664" si="1783">HYPERLINK("https://www.linkedin.com/ad-library/detail/1434387653","Open Ad")</f>
        <v>Open Ad</v>
      </c>
      <c r="E5663" s="6" t="s">
        <v>154</v>
      </c>
      <c r="F5663" s="6" t="s">
        <v>8022</v>
      </c>
      <c r="G5663" s="6" t="s">
        <v>8605</v>
      </c>
      <c r="H5663" s="6" t="s">
        <v>55</v>
      </c>
      <c r="I5663" s="6" t="s">
        <v>8582</v>
      </c>
      <c r="J5663" s="6" t="s">
        <v>154</v>
      </c>
      <c r="K5663" s="12" t="str">
        <f t="shared" ref="K5663:K5664" si="1784">HYPERLINK("https://dms.licdn.com/playlist/vid/v2/D4E05AQHd6YleR4fnQQ/mp4-720p-30fp-crf28/B4EZ61YWocGQB8-/0/1781159615632?e=2147483647&amp;v=beta&amp;t=GuHv4qUPCtOc6YzfnTUHwvKp3Zs98VCaFYIJfNR5AFg","View Creative")</f>
        <v>View Creative</v>
      </c>
      <c r="L5663" s="6" t="s">
        <v>62</v>
      </c>
      <c r="M5663" s="6" t="s">
        <v>7390</v>
      </c>
      <c r="N5663" s="6" t="s">
        <v>8639</v>
      </c>
      <c r="O5663" s="36" t="s">
        <v>7541</v>
      </c>
      <c r="P5663" s="36" t="s">
        <v>7542</v>
      </c>
      <c r="Q5663" s="38"/>
    </row>
    <row r="5664">
      <c r="A5664" s="6" t="s">
        <v>7390</v>
      </c>
      <c r="B5664" s="6" t="s">
        <v>8580</v>
      </c>
      <c r="C5664" s="6">
        <v>144.0</v>
      </c>
      <c r="D5664" s="9" t="str">
        <f t="shared" si="1783"/>
        <v>Open Ad</v>
      </c>
      <c r="E5664" s="6" t="s">
        <v>154</v>
      </c>
      <c r="F5664" s="6" t="s">
        <v>8022</v>
      </c>
      <c r="G5664" s="6" t="s">
        <v>8605</v>
      </c>
      <c r="H5664" s="6" t="s">
        <v>55</v>
      </c>
      <c r="I5664" s="6" t="s">
        <v>8582</v>
      </c>
      <c r="J5664" s="6" t="s">
        <v>154</v>
      </c>
      <c r="K5664" s="12" t="str">
        <f t="shared" si="1784"/>
        <v>View Creative</v>
      </c>
      <c r="L5664" s="6" t="s">
        <v>62</v>
      </c>
      <c r="M5664" s="6" t="s">
        <v>7390</v>
      </c>
      <c r="N5664" s="6" t="s">
        <v>8639</v>
      </c>
      <c r="O5664" s="36" t="s">
        <v>7541</v>
      </c>
      <c r="P5664" s="36" t="s">
        <v>7542</v>
      </c>
      <c r="Q5664" s="38"/>
    </row>
    <row r="5665">
      <c r="A5665" s="6" t="s">
        <v>7390</v>
      </c>
      <c r="B5665" s="6" t="s">
        <v>8580</v>
      </c>
      <c r="C5665" s="6">
        <v>145.0</v>
      </c>
      <c r="D5665" s="9" t="str">
        <f t="shared" ref="D5665:D5666" si="1785">HYPERLINK("https://www.linkedin.com/ad-library/detail/1255385823","Open Ad")</f>
        <v>Open Ad</v>
      </c>
      <c r="E5665" s="6" t="s">
        <v>91</v>
      </c>
      <c r="F5665" s="6" t="s">
        <v>8022</v>
      </c>
      <c r="G5665" s="6" t="s">
        <v>8649</v>
      </c>
      <c r="H5665" s="6" t="s">
        <v>55</v>
      </c>
      <c r="I5665" s="6" t="s">
        <v>8582</v>
      </c>
      <c r="J5665" s="6" t="s">
        <v>91</v>
      </c>
      <c r="K5665" s="12" t="str">
        <f t="shared" ref="K5665:K5666" si="1786">HYPERLINK("https://media.licdn.com/dms/image/v2/D4D10AQGQIJq-FhRa0Q/image-shrink_1280/B4DZ0Ql3MbH4Ac-/0/1774099854350/2png?e=2147483647&amp;v=beta&amp;t=y1v-SxIxcwPrXsKf7HVvVNTO_-psFrVBwCn6chrjqNo","View Creative")</f>
        <v>View Creative</v>
      </c>
      <c r="L5665" s="6" t="s">
        <v>62</v>
      </c>
      <c r="M5665" s="6" t="s">
        <v>7390</v>
      </c>
      <c r="N5665" s="6" t="s">
        <v>8650</v>
      </c>
      <c r="O5665" s="36" t="s">
        <v>7541</v>
      </c>
      <c r="P5665" s="36" t="s">
        <v>7542</v>
      </c>
      <c r="Q5665" s="38"/>
    </row>
    <row r="5666">
      <c r="A5666" s="6" t="s">
        <v>7390</v>
      </c>
      <c r="B5666" s="6" t="s">
        <v>8580</v>
      </c>
      <c r="C5666" s="6">
        <v>146.0</v>
      </c>
      <c r="D5666" s="9" t="str">
        <f t="shared" si="1785"/>
        <v>Open Ad</v>
      </c>
      <c r="E5666" s="6" t="s">
        <v>91</v>
      </c>
      <c r="F5666" s="6" t="s">
        <v>8022</v>
      </c>
      <c r="G5666" s="6" t="s">
        <v>8649</v>
      </c>
      <c r="H5666" s="6" t="s">
        <v>55</v>
      </c>
      <c r="I5666" s="6" t="s">
        <v>8582</v>
      </c>
      <c r="J5666" s="6" t="s">
        <v>91</v>
      </c>
      <c r="K5666" s="12" t="str">
        <f t="shared" si="1786"/>
        <v>View Creative</v>
      </c>
      <c r="L5666" s="6" t="s">
        <v>62</v>
      </c>
      <c r="M5666" s="6" t="s">
        <v>7390</v>
      </c>
      <c r="N5666" s="6" t="s">
        <v>8650</v>
      </c>
      <c r="O5666" s="36" t="s">
        <v>7541</v>
      </c>
      <c r="P5666" s="36" t="s">
        <v>7542</v>
      </c>
      <c r="Q5666" s="38"/>
    </row>
    <row r="5667">
      <c r="A5667" s="6" t="s">
        <v>7390</v>
      </c>
      <c r="B5667" s="6" t="s">
        <v>8580</v>
      </c>
      <c r="C5667" s="6">
        <v>147.0</v>
      </c>
      <c r="D5667" s="9" t="str">
        <f t="shared" ref="D5667:D5668" si="1787">HYPERLINK("https://www.linkedin.com/ad-library/detail/1252480713","Open Ad")</f>
        <v>Open Ad</v>
      </c>
      <c r="E5667" s="6" t="s">
        <v>154</v>
      </c>
      <c r="F5667" s="6" t="s">
        <v>8022</v>
      </c>
      <c r="G5667" s="6" t="s">
        <v>8651</v>
      </c>
      <c r="H5667" s="6" t="s">
        <v>55</v>
      </c>
      <c r="I5667" s="6" t="s">
        <v>8582</v>
      </c>
      <c r="J5667" s="6" t="s">
        <v>154</v>
      </c>
      <c r="K5667" s="12" t="str">
        <f t="shared" ref="K5667:K5668" si="1788">HYPERLINK("https://dms.licdn.com/playlist/vid/v2/D4E05AQEw_nFST6DJow/mp4-720p-30fp-crf28/B4EZ21ioTWJ4CA-/0/1776867251582?e=2147483647&amp;v=beta&amp;t=AOio-fdnkq1WP7c-u_UkolelzGUpTSckEDn_msUKP9Y","View Creative")</f>
        <v>View Creative</v>
      </c>
      <c r="L5667" s="6" t="s">
        <v>62</v>
      </c>
      <c r="M5667" s="6" t="s">
        <v>7390</v>
      </c>
      <c r="N5667" s="6" t="s">
        <v>8652</v>
      </c>
      <c r="O5667" s="36" t="s">
        <v>7541</v>
      </c>
      <c r="P5667" s="36" t="s">
        <v>7542</v>
      </c>
      <c r="Q5667" s="38"/>
    </row>
    <row r="5668">
      <c r="A5668" s="6" t="s">
        <v>7390</v>
      </c>
      <c r="B5668" s="6" t="s">
        <v>8580</v>
      </c>
      <c r="C5668" s="6">
        <v>148.0</v>
      </c>
      <c r="D5668" s="9" t="str">
        <f t="shared" si="1787"/>
        <v>Open Ad</v>
      </c>
      <c r="E5668" s="6" t="s">
        <v>154</v>
      </c>
      <c r="F5668" s="6" t="s">
        <v>8022</v>
      </c>
      <c r="G5668" s="6" t="s">
        <v>8651</v>
      </c>
      <c r="H5668" s="6" t="s">
        <v>55</v>
      </c>
      <c r="I5668" s="6" t="s">
        <v>8582</v>
      </c>
      <c r="J5668" s="6" t="s">
        <v>154</v>
      </c>
      <c r="K5668" s="12" t="str">
        <f t="shared" si="1788"/>
        <v>View Creative</v>
      </c>
      <c r="L5668" s="6" t="s">
        <v>62</v>
      </c>
      <c r="M5668" s="6" t="s">
        <v>7390</v>
      </c>
      <c r="N5668" s="6" t="s">
        <v>8652</v>
      </c>
      <c r="O5668" s="36" t="s">
        <v>7541</v>
      </c>
      <c r="P5668" s="36" t="s">
        <v>7542</v>
      </c>
      <c r="Q5668" s="38"/>
    </row>
    <row r="5669">
      <c r="A5669" s="6" t="s">
        <v>7390</v>
      </c>
      <c r="B5669" s="6" t="s">
        <v>8580</v>
      </c>
      <c r="C5669" s="6">
        <v>149.0</v>
      </c>
      <c r="D5669" s="9" t="str">
        <f t="shared" ref="D5669:D5670" si="1789">HYPERLINK("https://www.linkedin.com/ad-library/detail/1256485733","Open Ad")</f>
        <v>Open Ad</v>
      </c>
      <c r="E5669" s="6" t="s">
        <v>154</v>
      </c>
      <c r="F5669" s="6" t="s">
        <v>8022</v>
      </c>
      <c r="G5669" s="6" t="s">
        <v>8653</v>
      </c>
      <c r="H5669" s="6" t="s">
        <v>55</v>
      </c>
      <c r="I5669" s="6" t="s">
        <v>8582</v>
      </c>
      <c r="J5669" s="6" t="s">
        <v>154</v>
      </c>
      <c r="K5669" s="12" t="str">
        <f t="shared" ref="K5669:K5670" si="1790">HYPERLINK("https://dms.licdn.com/playlist/vid/v2/D4E05AQHq9QotIQttig/mp4-720p-30fp-crf28/B4EZ2uuoiTJkCI-/0/1776752956641?e=2147483647&amp;v=beta&amp;t=6C3WWVH2v1vVfSzN5_V2v4BUpsacRUnFK-h8NkP80YM","View Creative")</f>
        <v>View Creative</v>
      </c>
      <c r="L5669" s="6" t="s">
        <v>62</v>
      </c>
      <c r="M5669" s="6" t="s">
        <v>7390</v>
      </c>
      <c r="N5669" s="6" t="s">
        <v>8654</v>
      </c>
      <c r="O5669" s="36" t="s">
        <v>7541</v>
      </c>
      <c r="P5669" s="36" t="s">
        <v>7542</v>
      </c>
      <c r="Q5669" s="38"/>
    </row>
    <row r="5670">
      <c r="A5670" s="6" t="s">
        <v>7390</v>
      </c>
      <c r="B5670" s="6" t="s">
        <v>8580</v>
      </c>
      <c r="C5670" s="6">
        <v>150.0</v>
      </c>
      <c r="D5670" s="9" t="str">
        <f t="shared" si="1789"/>
        <v>Open Ad</v>
      </c>
      <c r="E5670" s="6" t="s">
        <v>154</v>
      </c>
      <c r="F5670" s="6" t="s">
        <v>8022</v>
      </c>
      <c r="G5670" s="6" t="s">
        <v>8653</v>
      </c>
      <c r="H5670" s="6" t="s">
        <v>55</v>
      </c>
      <c r="I5670" s="6" t="s">
        <v>8582</v>
      </c>
      <c r="J5670" s="6" t="s">
        <v>154</v>
      </c>
      <c r="K5670" s="12" t="str">
        <f t="shared" si="1790"/>
        <v>View Creative</v>
      </c>
      <c r="L5670" s="6" t="s">
        <v>62</v>
      </c>
      <c r="M5670" s="6" t="s">
        <v>7390</v>
      </c>
      <c r="N5670" s="6" t="s">
        <v>8654</v>
      </c>
      <c r="O5670" s="36" t="s">
        <v>7541</v>
      </c>
      <c r="P5670" s="36" t="s">
        <v>7542</v>
      </c>
      <c r="Q5670" s="38"/>
    </row>
    <row r="5671">
      <c r="A5671" s="6" t="s">
        <v>7390</v>
      </c>
      <c r="B5671" s="6" t="s">
        <v>8580</v>
      </c>
      <c r="C5671" s="6">
        <v>151.0</v>
      </c>
      <c r="D5671" s="9" t="str">
        <f t="shared" ref="D5671:D5672" si="1791">HYPERLINK("https://www.linkedin.com/ad-library/detail/1255685303","Open Ad")</f>
        <v>Open Ad</v>
      </c>
      <c r="E5671" s="6" t="s">
        <v>154</v>
      </c>
      <c r="F5671" s="6" t="s">
        <v>8022</v>
      </c>
      <c r="G5671" s="6" t="s">
        <v>8655</v>
      </c>
      <c r="H5671" s="6" t="s">
        <v>55</v>
      </c>
      <c r="I5671" s="6" t="s">
        <v>8582</v>
      </c>
      <c r="J5671" s="6" t="s">
        <v>154</v>
      </c>
      <c r="K5671" s="12" t="str">
        <f t="shared" ref="K5671:K5672" si="1792">HYPERLINK("https://dms.licdn.com/playlist/vid/v2/D4E05AQEyAuz-ldfEkw/mp4-640p-30fp-crf28/B4EZ2vmfsDIwBw-/0/1776767600240?e=2147483647&amp;v=beta&amp;t=nZ_AVKQjLiOk_B-Tg_3Yr5wO3kOBabQi2FWcNQzsuLw","View Creative")</f>
        <v>View Creative</v>
      </c>
      <c r="L5671" s="6" t="s">
        <v>62</v>
      </c>
      <c r="M5671" s="6" t="s">
        <v>7390</v>
      </c>
      <c r="N5671" s="6" t="s">
        <v>8656</v>
      </c>
      <c r="O5671" s="36" t="s">
        <v>7541</v>
      </c>
      <c r="P5671" s="36" t="s">
        <v>7542</v>
      </c>
      <c r="Q5671" s="38"/>
    </row>
    <row r="5672">
      <c r="A5672" s="6" t="s">
        <v>7390</v>
      </c>
      <c r="B5672" s="6" t="s">
        <v>8580</v>
      </c>
      <c r="C5672" s="6">
        <v>152.0</v>
      </c>
      <c r="D5672" s="9" t="str">
        <f t="shared" si="1791"/>
        <v>Open Ad</v>
      </c>
      <c r="E5672" s="6" t="s">
        <v>154</v>
      </c>
      <c r="F5672" s="6" t="s">
        <v>8022</v>
      </c>
      <c r="G5672" s="6" t="s">
        <v>8655</v>
      </c>
      <c r="H5672" s="6" t="s">
        <v>55</v>
      </c>
      <c r="I5672" s="6" t="s">
        <v>8582</v>
      </c>
      <c r="J5672" s="6" t="s">
        <v>154</v>
      </c>
      <c r="K5672" s="12" t="str">
        <f t="shared" si="1792"/>
        <v>View Creative</v>
      </c>
      <c r="L5672" s="6" t="s">
        <v>62</v>
      </c>
      <c r="M5672" s="6" t="s">
        <v>7390</v>
      </c>
      <c r="N5672" s="6" t="s">
        <v>8656</v>
      </c>
      <c r="O5672" s="36" t="s">
        <v>7541</v>
      </c>
      <c r="P5672" s="36" t="s">
        <v>7542</v>
      </c>
      <c r="Q5672" s="38"/>
    </row>
    <row r="5673">
      <c r="A5673" s="6" t="s">
        <v>7390</v>
      </c>
      <c r="B5673" s="6" t="s">
        <v>8580</v>
      </c>
      <c r="C5673" s="6">
        <v>153.0</v>
      </c>
      <c r="D5673" s="9" t="str">
        <f t="shared" ref="D5673:D5674" si="1793">HYPERLINK("https://www.linkedin.com/ad-library/detail/1253580673","Open Ad")</f>
        <v>Open Ad</v>
      </c>
      <c r="E5673" s="6" t="s">
        <v>91</v>
      </c>
      <c r="F5673" s="6" t="s">
        <v>8022</v>
      </c>
      <c r="G5673" s="6" t="s">
        <v>8657</v>
      </c>
      <c r="H5673" s="6" t="s">
        <v>55</v>
      </c>
      <c r="I5673" s="6" t="s">
        <v>8582</v>
      </c>
      <c r="J5673" s="6" t="s">
        <v>91</v>
      </c>
      <c r="K5673" s="12" t="str">
        <f t="shared" ref="K5673:K5674" si="1794">HYPERLINK("https://media.licdn.com/dms/image/v2/D4E22AQFM_4gC4MtvzA/feedshare-shrink_1280/B4EZ27C7BFJMAM-/0/1776959599211?e=2147483647&amp;v=beta&amp;t=wqywHET7AlO8Ffg1oEj3PF0nGYpd6-0ZAS0WCHp0GMM","View Creative")</f>
        <v>View Creative</v>
      </c>
      <c r="L5673" s="6" t="s">
        <v>62</v>
      </c>
      <c r="M5673" s="6" t="s">
        <v>7390</v>
      </c>
      <c r="N5673" s="6" t="s">
        <v>8658</v>
      </c>
      <c r="O5673" s="36" t="s">
        <v>7541</v>
      </c>
      <c r="P5673" s="36" t="s">
        <v>7542</v>
      </c>
      <c r="Q5673" s="38"/>
    </row>
    <row r="5674">
      <c r="A5674" s="6" t="s">
        <v>7390</v>
      </c>
      <c r="B5674" s="6" t="s">
        <v>8580</v>
      </c>
      <c r="C5674" s="6">
        <v>154.0</v>
      </c>
      <c r="D5674" s="9" t="str">
        <f t="shared" si="1793"/>
        <v>Open Ad</v>
      </c>
      <c r="E5674" s="6" t="s">
        <v>91</v>
      </c>
      <c r="F5674" s="6" t="s">
        <v>8022</v>
      </c>
      <c r="G5674" s="6" t="s">
        <v>8657</v>
      </c>
      <c r="H5674" s="6" t="s">
        <v>55</v>
      </c>
      <c r="I5674" s="6" t="s">
        <v>8582</v>
      </c>
      <c r="J5674" s="6" t="s">
        <v>91</v>
      </c>
      <c r="K5674" s="12" t="str">
        <f t="shared" si="1794"/>
        <v>View Creative</v>
      </c>
      <c r="L5674" s="6" t="s">
        <v>62</v>
      </c>
      <c r="M5674" s="6" t="s">
        <v>7390</v>
      </c>
      <c r="N5674" s="6" t="s">
        <v>8658</v>
      </c>
      <c r="O5674" s="36" t="s">
        <v>7541</v>
      </c>
      <c r="P5674" s="36" t="s">
        <v>7542</v>
      </c>
      <c r="Q5674" s="38"/>
    </row>
    <row r="5675">
      <c r="A5675" s="6" t="s">
        <v>7390</v>
      </c>
      <c r="B5675" s="6" t="s">
        <v>8580</v>
      </c>
      <c r="C5675" s="6">
        <v>155.0</v>
      </c>
      <c r="D5675" s="9" t="str">
        <f t="shared" ref="D5675:D5676" si="1795">HYPERLINK("https://www.linkedin.com/ad-library/detail/1222892133","Open Ad")</f>
        <v>Open Ad</v>
      </c>
      <c r="E5675" s="6" t="s">
        <v>91</v>
      </c>
      <c r="F5675" s="6" t="s">
        <v>8022</v>
      </c>
      <c r="G5675" s="6" t="s">
        <v>8659</v>
      </c>
      <c r="H5675" s="6" t="s">
        <v>55</v>
      </c>
      <c r="I5675" s="6" t="s">
        <v>8582</v>
      </c>
      <c r="J5675" s="6" t="s">
        <v>91</v>
      </c>
      <c r="K5675" s="12" t="str">
        <f t="shared" ref="K5675:K5676" si="1796">HYPERLINK("https://media.licdn.com/dms/image/v2/D4D10AQFt0ohvKIDUsw/image-shrink_1280/B4DZ20tF6zHUAc-/0/1776853213347/4png?e=2147483647&amp;v=beta&amp;t=QiQbRllBMU5hiC3cZg1_HP-jVEYGwgFWETcZ4q2lef4","View Creative")</f>
        <v>View Creative</v>
      </c>
      <c r="L5675" s="6" t="s">
        <v>62</v>
      </c>
      <c r="M5675" s="6" t="s">
        <v>7390</v>
      </c>
      <c r="N5675" s="6" t="s">
        <v>8660</v>
      </c>
      <c r="O5675" s="36" t="s">
        <v>7541</v>
      </c>
      <c r="P5675" s="36" t="s">
        <v>7542</v>
      </c>
      <c r="Q5675" s="38"/>
    </row>
    <row r="5676">
      <c r="A5676" s="6" t="s">
        <v>7390</v>
      </c>
      <c r="B5676" s="6" t="s">
        <v>8580</v>
      </c>
      <c r="C5676" s="6">
        <v>156.0</v>
      </c>
      <c r="D5676" s="9" t="str">
        <f t="shared" si="1795"/>
        <v>Open Ad</v>
      </c>
      <c r="E5676" s="6" t="s">
        <v>91</v>
      </c>
      <c r="F5676" s="6" t="s">
        <v>8022</v>
      </c>
      <c r="G5676" s="6" t="s">
        <v>8659</v>
      </c>
      <c r="H5676" s="6" t="s">
        <v>55</v>
      </c>
      <c r="I5676" s="6" t="s">
        <v>8582</v>
      </c>
      <c r="J5676" s="6" t="s">
        <v>91</v>
      </c>
      <c r="K5676" s="12" t="str">
        <f t="shared" si="1796"/>
        <v>View Creative</v>
      </c>
      <c r="L5676" s="6" t="s">
        <v>62</v>
      </c>
      <c r="M5676" s="6" t="s">
        <v>7390</v>
      </c>
      <c r="N5676" s="6" t="s">
        <v>8660</v>
      </c>
      <c r="O5676" s="36" t="s">
        <v>7541</v>
      </c>
      <c r="P5676" s="36" t="s">
        <v>7542</v>
      </c>
      <c r="Q5676" s="38"/>
    </row>
    <row r="5677">
      <c r="A5677" s="6" t="s">
        <v>7390</v>
      </c>
      <c r="B5677" s="6" t="s">
        <v>8580</v>
      </c>
      <c r="C5677" s="6">
        <v>157.0</v>
      </c>
      <c r="D5677" s="9" t="str">
        <f t="shared" ref="D5677:D5678" si="1797">HYPERLINK("https://www.linkedin.com/ad-library/detail/1267828583","Open Ad")</f>
        <v>Open Ad</v>
      </c>
      <c r="E5677" s="6" t="s">
        <v>91</v>
      </c>
      <c r="F5677" s="6" t="s">
        <v>8022</v>
      </c>
      <c r="G5677" s="6" t="s">
        <v>8661</v>
      </c>
      <c r="H5677" s="6" t="s">
        <v>55</v>
      </c>
      <c r="I5677" s="6" t="s">
        <v>8582</v>
      </c>
      <c r="J5677" s="6" t="s">
        <v>91</v>
      </c>
      <c r="K5677" s="12" t="str">
        <f t="shared" ref="K5677:K5678" si="1798">HYPERLINK("https://media.licdn.com/dms/image/v2/D4D22AQEpPd3zrIcUvA/feedshare-shrink_1280/B4DZuOBLGhHwAs-/0/1767614231642?e=2147483647&amp;v=beta&amp;t=EhdyF1CtAC-GmZ2V62SjOTQxwOT9ysHWGe9yuqWZbNA","View Creative")</f>
        <v>View Creative</v>
      </c>
      <c r="L5677" s="6" t="s">
        <v>62</v>
      </c>
      <c r="M5677" s="6" t="s">
        <v>7390</v>
      </c>
      <c r="N5677" s="6" t="s">
        <v>8643</v>
      </c>
      <c r="O5677" s="36" t="s">
        <v>7541</v>
      </c>
      <c r="P5677" s="36" t="s">
        <v>7542</v>
      </c>
      <c r="Q5677" s="38"/>
    </row>
    <row r="5678">
      <c r="A5678" s="6" t="s">
        <v>7390</v>
      </c>
      <c r="B5678" s="6" t="s">
        <v>8580</v>
      </c>
      <c r="C5678" s="6">
        <v>158.0</v>
      </c>
      <c r="D5678" s="9" t="str">
        <f t="shared" si="1797"/>
        <v>Open Ad</v>
      </c>
      <c r="E5678" s="6" t="s">
        <v>91</v>
      </c>
      <c r="F5678" s="6" t="s">
        <v>8022</v>
      </c>
      <c r="G5678" s="6" t="s">
        <v>8661</v>
      </c>
      <c r="H5678" s="6" t="s">
        <v>55</v>
      </c>
      <c r="I5678" s="6" t="s">
        <v>8582</v>
      </c>
      <c r="J5678" s="6" t="s">
        <v>91</v>
      </c>
      <c r="K5678" s="12" t="str">
        <f t="shared" si="1798"/>
        <v>View Creative</v>
      </c>
      <c r="L5678" s="6" t="s">
        <v>62</v>
      </c>
      <c r="M5678" s="6" t="s">
        <v>7390</v>
      </c>
      <c r="N5678" s="6" t="s">
        <v>8643</v>
      </c>
      <c r="O5678" s="36" t="s">
        <v>7541</v>
      </c>
      <c r="P5678" s="36" t="s">
        <v>7542</v>
      </c>
      <c r="Q5678" s="38"/>
    </row>
    <row r="5679">
      <c r="A5679" s="6" t="s">
        <v>7390</v>
      </c>
      <c r="B5679" s="6" t="s">
        <v>8580</v>
      </c>
      <c r="C5679" s="6">
        <v>159.0</v>
      </c>
      <c r="D5679" s="9" t="str">
        <f t="shared" ref="D5679:D5680" si="1799">HYPERLINK("https://www.linkedin.com/ad-library/detail/1407741246","Open Ad")</f>
        <v>Open Ad</v>
      </c>
      <c r="E5679" s="6" t="s">
        <v>91</v>
      </c>
      <c r="F5679" s="6" t="s">
        <v>8022</v>
      </c>
      <c r="G5679" s="6" t="s">
        <v>8662</v>
      </c>
      <c r="H5679" s="6" t="s">
        <v>55</v>
      </c>
      <c r="I5679" s="6" t="s">
        <v>8582</v>
      </c>
      <c r="J5679" s="6" t="s">
        <v>91</v>
      </c>
      <c r="K5679" s="12" t="str">
        <f t="shared" ref="K5679:K5680" si="1800">HYPERLINK("https://media.licdn.com/dms/image/v2/D4D22AQHwWGB2vDIdOA/feedshare-image-high-res/B4DZ4BeC7lHgAU-/0/1778141115287?e=2147483647&amp;v=beta&amp;t=phBRuBI2vuis-p0zVsReIzARsnCvJUhErvf6gBZbHug","View Creative")</f>
        <v>View Creative</v>
      </c>
      <c r="L5679" s="6" t="s">
        <v>62</v>
      </c>
      <c r="M5679" s="6" t="s">
        <v>7390</v>
      </c>
      <c r="N5679" s="6" t="s">
        <v>8663</v>
      </c>
      <c r="O5679" s="36" t="s">
        <v>7541</v>
      </c>
      <c r="P5679" s="36" t="s">
        <v>7542</v>
      </c>
      <c r="Q5679" s="38"/>
    </row>
    <row r="5680">
      <c r="A5680" s="6" t="s">
        <v>7390</v>
      </c>
      <c r="B5680" s="6" t="s">
        <v>8580</v>
      </c>
      <c r="C5680" s="6">
        <v>160.0</v>
      </c>
      <c r="D5680" s="9" t="str">
        <f t="shared" si="1799"/>
        <v>Open Ad</v>
      </c>
      <c r="E5680" s="6" t="s">
        <v>91</v>
      </c>
      <c r="F5680" s="6" t="s">
        <v>8022</v>
      </c>
      <c r="G5680" s="6" t="s">
        <v>8662</v>
      </c>
      <c r="H5680" s="6" t="s">
        <v>55</v>
      </c>
      <c r="I5680" s="6" t="s">
        <v>8582</v>
      </c>
      <c r="J5680" s="6" t="s">
        <v>91</v>
      </c>
      <c r="K5680" s="12" t="str">
        <f t="shared" si="1800"/>
        <v>View Creative</v>
      </c>
      <c r="L5680" s="6" t="s">
        <v>62</v>
      </c>
      <c r="M5680" s="6" t="s">
        <v>7390</v>
      </c>
      <c r="N5680" s="6" t="s">
        <v>8663</v>
      </c>
      <c r="O5680" s="36" t="s">
        <v>7541</v>
      </c>
      <c r="P5680" s="36" t="s">
        <v>7542</v>
      </c>
      <c r="Q5680" s="38"/>
    </row>
    <row r="5681">
      <c r="A5681" s="6" t="s">
        <v>7390</v>
      </c>
      <c r="B5681" s="6" t="s">
        <v>8580</v>
      </c>
      <c r="C5681" s="6">
        <v>161.0</v>
      </c>
      <c r="D5681" s="9" t="str">
        <f t="shared" ref="D5681:D5682" si="1801">HYPERLINK("https://www.linkedin.com/ad-library/detail/1256285693","Open Ad")</f>
        <v>Open Ad</v>
      </c>
      <c r="E5681" s="6" t="s">
        <v>154</v>
      </c>
      <c r="F5681" s="6" t="s">
        <v>8022</v>
      </c>
      <c r="G5681" s="6" t="s">
        <v>8653</v>
      </c>
      <c r="H5681" s="6" t="s">
        <v>55</v>
      </c>
      <c r="I5681" s="6" t="s">
        <v>8582</v>
      </c>
      <c r="J5681" s="6" t="s">
        <v>154</v>
      </c>
      <c r="K5681" s="12" t="str">
        <f t="shared" ref="K5681:K5682" si="1802">HYPERLINK("https://dms.licdn.com/playlist/vid/v2/D4E05AQHq9QotIQttig/mp4-720p-30fp-crf28/B4EZ2uuoiTJkCI-/0/1776752956641?e=2147483647&amp;v=beta&amp;t=6C3WWVH2v1vVfSzN5_V2v4BUpsacRUnFK-h8NkP80YM","View Creative")</f>
        <v>View Creative</v>
      </c>
      <c r="L5681" s="6" t="s">
        <v>62</v>
      </c>
      <c r="M5681" s="6" t="s">
        <v>7390</v>
      </c>
      <c r="N5681" s="6" t="s">
        <v>8664</v>
      </c>
      <c r="O5681" s="36" t="s">
        <v>7541</v>
      </c>
      <c r="P5681" s="36" t="s">
        <v>7542</v>
      </c>
      <c r="Q5681" s="38"/>
    </row>
    <row r="5682">
      <c r="A5682" s="6" t="s">
        <v>7390</v>
      </c>
      <c r="B5682" s="6" t="s">
        <v>8580</v>
      </c>
      <c r="C5682" s="6">
        <v>162.0</v>
      </c>
      <c r="D5682" s="9" t="str">
        <f t="shared" si="1801"/>
        <v>Open Ad</v>
      </c>
      <c r="E5682" s="6" t="s">
        <v>154</v>
      </c>
      <c r="F5682" s="6" t="s">
        <v>8022</v>
      </c>
      <c r="G5682" s="6" t="s">
        <v>8653</v>
      </c>
      <c r="H5682" s="6" t="s">
        <v>55</v>
      </c>
      <c r="I5682" s="6" t="s">
        <v>8582</v>
      </c>
      <c r="J5682" s="6" t="s">
        <v>154</v>
      </c>
      <c r="K5682" s="12" t="str">
        <f t="shared" si="1802"/>
        <v>View Creative</v>
      </c>
      <c r="L5682" s="6" t="s">
        <v>62</v>
      </c>
      <c r="M5682" s="6" t="s">
        <v>7390</v>
      </c>
      <c r="N5682" s="6" t="s">
        <v>8664</v>
      </c>
      <c r="O5682" s="36" t="s">
        <v>7541</v>
      </c>
      <c r="P5682" s="36" t="s">
        <v>7542</v>
      </c>
      <c r="Q5682" s="38"/>
    </row>
    <row r="5683">
      <c r="A5683" s="6" t="s">
        <v>7390</v>
      </c>
      <c r="B5683" s="6" t="s">
        <v>8580</v>
      </c>
      <c r="C5683" s="6">
        <v>163.0</v>
      </c>
      <c r="D5683" s="9" t="str">
        <f t="shared" ref="D5683:D5684" si="1803">HYPERLINK("https://www.linkedin.com/ad-library/detail/1256085753","Open Ad")</f>
        <v>Open Ad</v>
      </c>
      <c r="E5683" s="6" t="s">
        <v>91</v>
      </c>
      <c r="F5683" s="6" t="s">
        <v>8022</v>
      </c>
      <c r="G5683" s="6" t="s">
        <v>8659</v>
      </c>
      <c r="H5683" s="6" t="s">
        <v>55</v>
      </c>
      <c r="I5683" s="6" t="s">
        <v>8582</v>
      </c>
      <c r="J5683" s="6" t="s">
        <v>91</v>
      </c>
      <c r="K5683" s="12" t="str">
        <f t="shared" ref="K5683:K5684" si="1804">HYPERLINK("https://media.licdn.com/dms/image/v2/D4D10AQFt0ohvKIDUsw/image-shrink_1280/B4DZ20tF6zHUAc-/0/1776853213347/4png?e=2147483647&amp;v=beta&amp;t=QiQbRllBMU5hiC3cZg1_HP-jVEYGwgFWETcZ4q2lef4","View Creative")</f>
        <v>View Creative</v>
      </c>
      <c r="L5683" s="6" t="s">
        <v>62</v>
      </c>
      <c r="M5683" s="6" t="s">
        <v>7390</v>
      </c>
      <c r="N5683" s="6" t="s">
        <v>8650</v>
      </c>
      <c r="O5683" s="36" t="s">
        <v>7541</v>
      </c>
      <c r="P5683" s="36" t="s">
        <v>7542</v>
      </c>
      <c r="Q5683" s="38"/>
    </row>
    <row r="5684">
      <c r="A5684" s="6" t="s">
        <v>7390</v>
      </c>
      <c r="B5684" s="6" t="s">
        <v>8580</v>
      </c>
      <c r="C5684" s="6">
        <v>164.0</v>
      </c>
      <c r="D5684" s="9" t="str">
        <f t="shared" si="1803"/>
        <v>Open Ad</v>
      </c>
      <c r="E5684" s="6" t="s">
        <v>91</v>
      </c>
      <c r="F5684" s="6" t="s">
        <v>8022</v>
      </c>
      <c r="G5684" s="6" t="s">
        <v>8659</v>
      </c>
      <c r="H5684" s="6" t="s">
        <v>55</v>
      </c>
      <c r="I5684" s="6" t="s">
        <v>8582</v>
      </c>
      <c r="J5684" s="6" t="s">
        <v>91</v>
      </c>
      <c r="K5684" s="12" t="str">
        <f t="shared" si="1804"/>
        <v>View Creative</v>
      </c>
      <c r="L5684" s="6" t="s">
        <v>62</v>
      </c>
      <c r="M5684" s="6" t="s">
        <v>7390</v>
      </c>
      <c r="N5684" s="6" t="s">
        <v>8650</v>
      </c>
      <c r="O5684" s="36" t="s">
        <v>7541</v>
      </c>
      <c r="P5684" s="36" t="s">
        <v>7542</v>
      </c>
      <c r="Q5684" s="38"/>
    </row>
    <row r="5685">
      <c r="A5685" s="6" t="s">
        <v>7390</v>
      </c>
      <c r="B5685" s="6" t="s">
        <v>8580</v>
      </c>
      <c r="C5685" s="6">
        <v>165.0</v>
      </c>
      <c r="D5685" s="9" t="str">
        <f t="shared" ref="D5685:D5686" si="1805">HYPERLINK("https://www.linkedin.com/ad-library/detail/1256785183","Open Ad")</f>
        <v>Open Ad</v>
      </c>
      <c r="E5685" s="6" t="s">
        <v>91</v>
      </c>
      <c r="F5685" s="6" t="s">
        <v>8022</v>
      </c>
      <c r="G5685" s="6" t="s">
        <v>8665</v>
      </c>
      <c r="H5685" s="6" t="s">
        <v>55</v>
      </c>
      <c r="I5685" s="6" t="s">
        <v>8582</v>
      </c>
      <c r="J5685" s="6" t="s">
        <v>91</v>
      </c>
      <c r="K5685" s="12" t="str">
        <f t="shared" ref="K5685:K5686" si="1806">HYPERLINK("https://media.licdn.com/dms/image/v2/D4D10AQGKomDvXYwzuw/image-shrink_1280/B4DZ20scxHI0Ag-/0/1776853044626/omripng?e=2147483647&amp;v=beta&amp;t=xXnmgkSdh8Iqkylj7bCIducYO4Fth9XE2UqExqncLFU","View Creative")</f>
        <v>View Creative</v>
      </c>
      <c r="L5685" s="6" t="s">
        <v>62</v>
      </c>
      <c r="M5685" s="6" t="s">
        <v>7390</v>
      </c>
      <c r="N5685" s="6" t="s">
        <v>8650</v>
      </c>
      <c r="O5685" s="36" t="s">
        <v>7541</v>
      </c>
      <c r="P5685" s="36" t="s">
        <v>7542</v>
      </c>
      <c r="Q5685" s="38"/>
    </row>
    <row r="5686">
      <c r="A5686" s="6" t="s">
        <v>7390</v>
      </c>
      <c r="B5686" s="6" t="s">
        <v>8580</v>
      </c>
      <c r="C5686" s="6">
        <v>166.0</v>
      </c>
      <c r="D5686" s="9" t="str">
        <f t="shared" si="1805"/>
        <v>Open Ad</v>
      </c>
      <c r="E5686" s="6" t="s">
        <v>91</v>
      </c>
      <c r="F5686" s="6" t="s">
        <v>8022</v>
      </c>
      <c r="G5686" s="6" t="s">
        <v>8665</v>
      </c>
      <c r="H5686" s="6" t="s">
        <v>55</v>
      </c>
      <c r="I5686" s="6" t="s">
        <v>8582</v>
      </c>
      <c r="J5686" s="6" t="s">
        <v>91</v>
      </c>
      <c r="K5686" s="12" t="str">
        <f t="shared" si="1806"/>
        <v>View Creative</v>
      </c>
      <c r="L5686" s="6" t="s">
        <v>62</v>
      </c>
      <c r="M5686" s="6" t="s">
        <v>7390</v>
      </c>
      <c r="N5686" s="6" t="s">
        <v>8650</v>
      </c>
      <c r="O5686" s="36" t="s">
        <v>7541</v>
      </c>
      <c r="P5686" s="36" t="s">
        <v>7542</v>
      </c>
      <c r="Q5686" s="38"/>
    </row>
    <row r="5687">
      <c r="A5687" s="6" t="s">
        <v>7390</v>
      </c>
      <c r="B5687" s="6" t="s">
        <v>8580</v>
      </c>
      <c r="C5687" s="6">
        <v>167.0</v>
      </c>
      <c r="D5687" s="9" t="str">
        <f t="shared" ref="D5687:D5688" si="1807">HYPERLINK("https://www.linkedin.com/ad-library/detail/1269813253","Open Ad")</f>
        <v>Open Ad</v>
      </c>
      <c r="E5687" s="6" t="s">
        <v>91</v>
      </c>
      <c r="F5687" s="6" t="s">
        <v>8022</v>
      </c>
      <c r="G5687" s="6" t="s">
        <v>8613</v>
      </c>
      <c r="H5687" s="6" t="s">
        <v>55</v>
      </c>
      <c r="I5687" s="6" t="s">
        <v>8582</v>
      </c>
      <c r="J5687" s="6" t="s">
        <v>91</v>
      </c>
      <c r="K5687" s="12" t="str">
        <f t="shared" ref="K5687:K5688" si="1808">HYPERLINK("https://media.licdn.com/dms/image/v2/D4D22AQG_pWDLBn11xg/feedshare-image-high-res/B4DZ5Ktvy7KAAY-/0/1779369967058?e=2147483647&amp;v=beta&amp;t=yoyITKReRXEAtjcuwqrsCi1t2CYI0VeP_TZzNmL4tEY","View Creative")</f>
        <v>View Creative</v>
      </c>
      <c r="L5687" s="6" t="s">
        <v>62</v>
      </c>
      <c r="M5687" s="6" t="s">
        <v>7390</v>
      </c>
      <c r="N5687" s="6" t="s">
        <v>8642</v>
      </c>
      <c r="O5687" s="36" t="s">
        <v>7541</v>
      </c>
      <c r="P5687" s="36" t="s">
        <v>7542</v>
      </c>
      <c r="Q5687" s="38"/>
    </row>
    <row r="5688">
      <c r="A5688" s="6" t="s">
        <v>7390</v>
      </c>
      <c r="B5688" s="6" t="s">
        <v>8580</v>
      </c>
      <c r="C5688" s="6">
        <v>168.0</v>
      </c>
      <c r="D5688" s="9" t="str">
        <f t="shared" si="1807"/>
        <v>Open Ad</v>
      </c>
      <c r="E5688" s="6" t="s">
        <v>91</v>
      </c>
      <c r="F5688" s="6" t="s">
        <v>8022</v>
      </c>
      <c r="G5688" s="6" t="s">
        <v>8613</v>
      </c>
      <c r="H5688" s="6" t="s">
        <v>55</v>
      </c>
      <c r="I5688" s="6" t="s">
        <v>8582</v>
      </c>
      <c r="J5688" s="6" t="s">
        <v>91</v>
      </c>
      <c r="K5688" s="12" t="str">
        <f t="shared" si="1808"/>
        <v>View Creative</v>
      </c>
      <c r="L5688" s="6" t="s">
        <v>62</v>
      </c>
      <c r="M5688" s="6" t="s">
        <v>7390</v>
      </c>
      <c r="N5688" s="6" t="s">
        <v>8642</v>
      </c>
      <c r="O5688" s="36" t="s">
        <v>7541</v>
      </c>
      <c r="P5688" s="36" t="s">
        <v>7542</v>
      </c>
      <c r="Q5688" s="38"/>
    </row>
    <row r="5689">
      <c r="A5689" s="6" t="s">
        <v>7390</v>
      </c>
      <c r="B5689" s="6" t="s">
        <v>8580</v>
      </c>
      <c r="C5689" s="6">
        <v>169.0</v>
      </c>
      <c r="D5689" s="9" t="str">
        <f t="shared" ref="D5689:D5690" si="1809">HYPERLINK("https://www.linkedin.com/ad-library/detail/1254685343","Open Ad")</f>
        <v>Open Ad</v>
      </c>
      <c r="E5689" s="6" t="s">
        <v>154</v>
      </c>
      <c r="F5689" s="6" t="s">
        <v>8022</v>
      </c>
      <c r="G5689" s="6" t="s">
        <v>8666</v>
      </c>
      <c r="H5689" s="6" t="s">
        <v>55</v>
      </c>
      <c r="I5689" s="6" t="s">
        <v>8582</v>
      </c>
      <c r="J5689" s="6" t="s">
        <v>154</v>
      </c>
      <c r="K5689" s="12" t="str">
        <f t="shared" ref="K5689:K5690" si="1810">HYPERLINK("https://dms.licdn.com/playlist/vid/v2/D4D05AQGC7ONIY1B0pg/mp4-720p-30fp-crf28/B4DZ1TQhrzIcCI-/0/1775218336238?e=2147483647&amp;v=beta&amp;t=7yo8Kzo3ibotOsP2u2OKXD9CiwBTbTB6g9Btk2l6F1Y","View Creative")</f>
        <v>View Creative</v>
      </c>
      <c r="L5689" s="6" t="s">
        <v>62</v>
      </c>
      <c r="M5689" s="6" t="s">
        <v>7390</v>
      </c>
      <c r="N5689" s="6" t="s">
        <v>8664</v>
      </c>
      <c r="O5689" s="36" t="s">
        <v>7541</v>
      </c>
      <c r="P5689" s="36" t="s">
        <v>7542</v>
      </c>
      <c r="Q5689" s="38"/>
    </row>
    <row r="5690">
      <c r="A5690" s="6" t="s">
        <v>7390</v>
      </c>
      <c r="B5690" s="6" t="s">
        <v>8580</v>
      </c>
      <c r="C5690" s="6">
        <v>170.0</v>
      </c>
      <c r="D5690" s="9" t="str">
        <f t="shared" si="1809"/>
        <v>Open Ad</v>
      </c>
      <c r="E5690" s="6" t="s">
        <v>154</v>
      </c>
      <c r="F5690" s="6" t="s">
        <v>8022</v>
      </c>
      <c r="G5690" s="6" t="s">
        <v>8666</v>
      </c>
      <c r="H5690" s="6" t="s">
        <v>55</v>
      </c>
      <c r="I5690" s="6" t="s">
        <v>8582</v>
      </c>
      <c r="J5690" s="6" t="s">
        <v>154</v>
      </c>
      <c r="K5690" s="12" t="str">
        <f t="shared" si="1810"/>
        <v>View Creative</v>
      </c>
      <c r="L5690" s="6" t="s">
        <v>62</v>
      </c>
      <c r="M5690" s="6" t="s">
        <v>7390</v>
      </c>
      <c r="N5690" s="6" t="s">
        <v>8664</v>
      </c>
      <c r="O5690" s="36" t="s">
        <v>7541</v>
      </c>
      <c r="P5690" s="36" t="s">
        <v>7542</v>
      </c>
      <c r="Q5690" s="38"/>
    </row>
    <row r="5691">
      <c r="A5691" s="6" t="s">
        <v>7390</v>
      </c>
      <c r="B5691" s="6" t="s">
        <v>8580</v>
      </c>
      <c r="C5691" s="6">
        <v>171.0</v>
      </c>
      <c r="D5691" s="9" t="str">
        <f t="shared" ref="D5691:D5692" si="1811">HYPERLINK("https://www.linkedin.com/ad-library/detail/1268928993","Open Ad")</f>
        <v>Open Ad</v>
      </c>
      <c r="E5691" s="6" t="s">
        <v>91</v>
      </c>
      <c r="F5691" s="6" t="s">
        <v>8022</v>
      </c>
      <c r="G5691" s="6" t="s">
        <v>8667</v>
      </c>
      <c r="H5691" s="6" t="s">
        <v>55</v>
      </c>
      <c r="I5691" s="6" t="s">
        <v>8582</v>
      </c>
      <c r="J5691" s="6" t="s">
        <v>91</v>
      </c>
      <c r="K5691" s="12" t="str">
        <f t="shared" ref="K5691:K5692" si="1812">HYPERLINK("https://media.licdn.com/dms/image/v2/D4D22AQHwa6jbGDOCVw/feedshare-shrink_1280/B4DZ47fzPsI0AM-/0/1779114653072?e=2147483647&amp;v=beta&amp;t=jpDFPtIM3H2agzbq42-Qs_o4SqBNYCG09rrefyKIsaE","View Creative")</f>
        <v>View Creative</v>
      </c>
      <c r="L5691" s="6" t="s">
        <v>62</v>
      </c>
      <c r="M5691" s="6" t="s">
        <v>7390</v>
      </c>
      <c r="N5691" s="6" t="s">
        <v>8642</v>
      </c>
      <c r="O5691" s="36" t="s">
        <v>7541</v>
      </c>
      <c r="P5691" s="36" t="s">
        <v>7542</v>
      </c>
      <c r="Q5691" s="38"/>
    </row>
    <row r="5692">
      <c r="A5692" s="6" t="s">
        <v>7390</v>
      </c>
      <c r="B5692" s="6" t="s">
        <v>8580</v>
      </c>
      <c r="C5692" s="6">
        <v>172.0</v>
      </c>
      <c r="D5692" s="9" t="str">
        <f t="shared" si="1811"/>
        <v>Open Ad</v>
      </c>
      <c r="E5692" s="6" t="s">
        <v>91</v>
      </c>
      <c r="F5692" s="6" t="s">
        <v>8022</v>
      </c>
      <c r="G5692" s="6" t="s">
        <v>8667</v>
      </c>
      <c r="H5692" s="6" t="s">
        <v>55</v>
      </c>
      <c r="I5692" s="6" t="s">
        <v>8582</v>
      </c>
      <c r="J5692" s="6" t="s">
        <v>91</v>
      </c>
      <c r="K5692" s="12" t="str">
        <f t="shared" si="1812"/>
        <v>View Creative</v>
      </c>
      <c r="L5692" s="6" t="s">
        <v>62</v>
      </c>
      <c r="M5692" s="6" t="s">
        <v>7390</v>
      </c>
      <c r="N5692" s="6" t="s">
        <v>8642</v>
      </c>
      <c r="O5692" s="36" t="s">
        <v>7541</v>
      </c>
      <c r="P5692" s="36" t="s">
        <v>7542</v>
      </c>
      <c r="Q5692" s="38"/>
    </row>
    <row r="5693">
      <c r="A5693" s="6" t="s">
        <v>7390</v>
      </c>
      <c r="B5693" s="6" t="s">
        <v>8580</v>
      </c>
      <c r="C5693" s="6">
        <v>173.0</v>
      </c>
      <c r="D5693" s="9" t="str">
        <f t="shared" ref="D5693:D5694" si="1813">HYPERLINK("https://www.linkedin.com/ad-library/detail/1258412693","Open Ad")</f>
        <v>Open Ad</v>
      </c>
      <c r="E5693" s="6" t="s">
        <v>91</v>
      </c>
      <c r="F5693" s="6" t="s">
        <v>8022</v>
      </c>
      <c r="G5693" s="6" t="s">
        <v>8668</v>
      </c>
      <c r="H5693" s="6" t="s">
        <v>8669</v>
      </c>
      <c r="I5693" s="6" t="s">
        <v>8582</v>
      </c>
      <c r="J5693" s="6" t="s">
        <v>91</v>
      </c>
      <c r="K5693" s="12" t="str">
        <f t="shared" ref="K5693:K5694" si="1814">HYPERLINK("https://media.licdn.com/dms/image/v2/D4D22AQGuTLnLFNW64Q/feedshare-shrink_1280/B4DZ4BQhGPG4AU-/0/1778137567887?e=2147483647&amp;v=beta&amp;t=EzILQKfheAIXPnnzEY4mni4GF2A8QudKmsrwqpLSweo","View Creative")</f>
        <v>View Creative</v>
      </c>
      <c r="L5693" s="6" t="s">
        <v>62</v>
      </c>
      <c r="M5693" s="6" t="s">
        <v>7390</v>
      </c>
      <c r="N5693" s="6" t="s">
        <v>8670</v>
      </c>
      <c r="O5693" s="36" t="s">
        <v>7541</v>
      </c>
      <c r="P5693" s="36" t="s">
        <v>7542</v>
      </c>
      <c r="Q5693" s="38"/>
    </row>
    <row r="5694">
      <c r="A5694" s="6" t="s">
        <v>7390</v>
      </c>
      <c r="B5694" s="6" t="s">
        <v>8580</v>
      </c>
      <c r="C5694" s="6">
        <v>174.0</v>
      </c>
      <c r="D5694" s="9" t="str">
        <f t="shared" si="1813"/>
        <v>Open Ad</v>
      </c>
      <c r="E5694" s="6" t="s">
        <v>91</v>
      </c>
      <c r="F5694" s="6" t="s">
        <v>8022</v>
      </c>
      <c r="G5694" s="6" t="s">
        <v>8668</v>
      </c>
      <c r="H5694" s="6" t="s">
        <v>8669</v>
      </c>
      <c r="I5694" s="6" t="s">
        <v>8582</v>
      </c>
      <c r="J5694" s="6" t="s">
        <v>91</v>
      </c>
      <c r="K5694" s="12" t="str">
        <f t="shared" si="1814"/>
        <v>View Creative</v>
      </c>
      <c r="L5694" s="6" t="s">
        <v>62</v>
      </c>
      <c r="M5694" s="6" t="s">
        <v>7390</v>
      </c>
      <c r="N5694" s="6" t="s">
        <v>8670</v>
      </c>
      <c r="O5694" s="36" t="s">
        <v>7541</v>
      </c>
      <c r="P5694" s="36" t="s">
        <v>7542</v>
      </c>
      <c r="Q5694" s="38"/>
    </row>
    <row r="5695">
      <c r="A5695" s="6" t="s">
        <v>7390</v>
      </c>
      <c r="B5695" s="6" t="s">
        <v>8580</v>
      </c>
      <c r="C5695" s="6">
        <v>175.0</v>
      </c>
      <c r="D5695" s="9" t="str">
        <f>HYPERLINK("https://www.linkedin.com/ad-library/detail/1254886653","Open Ad")</f>
        <v>Open Ad</v>
      </c>
      <c r="E5695" s="6" t="s">
        <v>52</v>
      </c>
      <c r="F5695" s="6" t="s">
        <v>8022</v>
      </c>
      <c r="G5695" s="6" t="s">
        <v>8671</v>
      </c>
      <c r="H5695" s="6" t="s">
        <v>55</v>
      </c>
      <c r="I5695" s="6" t="s">
        <v>8582</v>
      </c>
      <c r="J5695" s="6" t="s">
        <v>52</v>
      </c>
      <c r="K5695" s="6" t="s">
        <v>60</v>
      </c>
      <c r="L5695" s="6" t="s">
        <v>62</v>
      </c>
      <c r="M5695" s="6" t="s">
        <v>7390</v>
      </c>
      <c r="N5695" s="6" t="s">
        <v>8650</v>
      </c>
      <c r="O5695" s="36" t="s">
        <v>7541</v>
      </c>
      <c r="P5695" s="36" t="s">
        <v>7542</v>
      </c>
      <c r="Q5695" s="38"/>
    </row>
    <row r="5696">
      <c r="A5696" s="6" t="s">
        <v>7390</v>
      </c>
      <c r="B5696" s="6" t="s">
        <v>8580</v>
      </c>
      <c r="C5696" s="6">
        <v>176.0</v>
      </c>
      <c r="D5696" s="9" t="str">
        <f t="shared" ref="D5696:D5697" si="1815">HYPERLINK("https://www.linkedin.com/ad-library/detail/1255585633","Open Ad")</f>
        <v>Open Ad</v>
      </c>
      <c r="E5696" s="6" t="s">
        <v>91</v>
      </c>
      <c r="F5696" s="6" t="s">
        <v>8022</v>
      </c>
      <c r="G5696" s="6" t="s">
        <v>8672</v>
      </c>
      <c r="H5696" s="6" t="s">
        <v>55</v>
      </c>
      <c r="I5696" s="6" t="s">
        <v>8582</v>
      </c>
      <c r="J5696" s="6" t="s">
        <v>91</v>
      </c>
      <c r="K5696" s="12" t="str">
        <f t="shared" ref="K5696:K5697" si="1816">HYPERLINK("https://media.licdn.com/dms/image/v2/D4E22AQGB2YPhKvW-2Q/feedshare-image-high-res/B4EZ2z8gWjKAAc-/0/1776840476399?e=2147483647&amp;v=beta&amp;t=MQgB6XN7ULeXy_8GtuNJ7lhhjdc6K09j6P5EjhKqGk8","View Creative")</f>
        <v>View Creative</v>
      </c>
      <c r="L5696" s="6" t="s">
        <v>62</v>
      </c>
      <c r="M5696" s="6" t="s">
        <v>7390</v>
      </c>
      <c r="N5696" s="6" t="s">
        <v>8650</v>
      </c>
      <c r="O5696" s="36" t="s">
        <v>7541</v>
      </c>
      <c r="P5696" s="36" t="s">
        <v>7542</v>
      </c>
      <c r="Q5696" s="38"/>
    </row>
    <row r="5697">
      <c r="A5697" s="6" t="s">
        <v>7390</v>
      </c>
      <c r="B5697" s="6" t="s">
        <v>8580</v>
      </c>
      <c r="C5697" s="6">
        <v>177.0</v>
      </c>
      <c r="D5697" s="9" t="str">
        <f t="shared" si="1815"/>
        <v>Open Ad</v>
      </c>
      <c r="E5697" s="6" t="s">
        <v>91</v>
      </c>
      <c r="F5697" s="6" t="s">
        <v>8022</v>
      </c>
      <c r="G5697" s="6" t="s">
        <v>8672</v>
      </c>
      <c r="H5697" s="6" t="s">
        <v>55</v>
      </c>
      <c r="I5697" s="6" t="s">
        <v>8582</v>
      </c>
      <c r="J5697" s="6" t="s">
        <v>91</v>
      </c>
      <c r="K5697" s="12" t="str">
        <f t="shared" si="1816"/>
        <v>View Creative</v>
      </c>
      <c r="L5697" s="6" t="s">
        <v>62</v>
      </c>
      <c r="M5697" s="6" t="s">
        <v>7390</v>
      </c>
      <c r="N5697" s="6" t="s">
        <v>8650</v>
      </c>
      <c r="O5697" s="36" t="s">
        <v>7541</v>
      </c>
      <c r="P5697" s="36" t="s">
        <v>7542</v>
      </c>
      <c r="Q5697" s="38"/>
    </row>
    <row r="5698">
      <c r="A5698" s="6" t="s">
        <v>7390</v>
      </c>
      <c r="B5698" s="6" t="s">
        <v>8580</v>
      </c>
      <c r="C5698" s="6">
        <v>178.0</v>
      </c>
      <c r="D5698" s="9" t="str">
        <f t="shared" ref="D5698:D5699" si="1817">HYPERLINK("https://www.linkedin.com/ad-library/detail/1255185513","Open Ad")</f>
        <v>Open Ad</v>
      </c>
      <c r="E5698" s="6" t="s">
        <v>154</v>
      </c>
      <c r="F5698" s="6" t="s">
        <v>8022</v>
      </c>
      <c r="G5698" s="6" t="s">
        <v>8651</v>
      </c>
      <c r="H5698" s="6" t="s">
        <v>55</v>
      </c>
      <c r="I5698" s="6" t="s">
        <v>8582</v>
      </c>
      <c r="J5698" s="6" t="s">
        <v>154</v>
      </c>
      <c r="K5698" s="12" t="str">
        <f t="shared" ref="K5698:K5699" si="1818">HYPERLINK("https://dms.licdn.com/playlist/vid/v2/D4E05AQEw_nFST6DJow/mp4-720p-30fp-crf28/B4EZ21ioTWJ4CA-/0/1776867251582?e=2147483647&amp;v=beta&amp;t=AOio-fdnkq1WP7c-u_UkolelzGUpTSckEDn_msUKP9Y","View Creative")</f>
        <v>View Creative</v>
      </c>
      <c r="L5698" s="6" t="s">
        <v>62</v>
      </c>
      <c r="M5698" s="6" t="s">
        <v>7390</v>
      </c>
      <c r="N5698" s="6" t="s">
        <v>8664</v>
      </c>
      <c r="O5698" s="36" t="s">
        <v>7541</v>
      </c>
      <c r="P5698" s="36" t="s">
        <v>7542</v>
      </c>
      <c r="Q5698" s="38"/>
    </row>
    <row r="5699">
      <c r="A5699" s="6" t="s">
        <v>7390</v>
      </c>
      <c r="B5699" s="6" t="s">
        <v>8580</v>
      </c>
      <c r="C5699" s="6">
        <v>179.0</v>
      </c>
      <c r="D5699" s="9" t="str">
        <f t="shared" si="1817"/>
        <v>Open Ad</v>
      </c>
      <c r="E5699" s="6" t="s">
        <v>154</v>
      </c>
      <c r="F5699" s="6" t="s">
        <v>8022</v>
      </c>
      <c r="G5699" s="6" t="s">
        <v>8651</v>
      </c>
      <c r="H5699" s="6" t="s">
        <v>55</v>
      </c>
      <c r="I5699" s="6" t="s">
        <v>8582</v>
      </c>
      <c r="J5699" s="6" t="s">
        <v>154</v>
      </c>
      <c r="K5699" s="12" t="str">
        <f t="shared" si="1818"/>
        <v>View Creative</v>
      </c>
      <c r="L5699" s="6" t="s">
        <v>62</v>
      </c>
      <c r="M5699" s="6" t="s">
        <v>7390</v>
      </c>
      <c r="N5699" s="6" t="s">
        <v>8664</v>
      </c>
      <c r="O5699" s="36" t="s">
        <v>7541</v>
      </c>
      <c r="P5699" s="36" t="s">
        <v>7542</v>
      </c>
      <c r="Q5699" s="38"/>
    </row>
    <row r="5700">
      <c r="A5700" s="6" t="s">
        <v>7390</v>
      </c>
      <c r="B5700" s="6" t="s">
        <v>8580</v>
      </c>
      <c r="C5700" s="6">
        <v>180.0</v>
      </c>
      <c r="D5700" s="9" t="str">
        <f t="shared" ref="D5700:D5701" si="1819">HYPERLINK("https://www.linkedin.com/ad-library/detail/1254585843","Open Ad")</f>
        <v>Open Ad</v>
      </c>
      <c r="E5700" s="6" t="s">
        <v>154</v>
      </c>
      <c r="F5700" s="6" t="s">
        <v>8022</v>
      </c>
      <c r="G5700" s="6" t="s">
        <v>8673</v>
      </c>
      <c r="H5700" s="6" t="s">
        <v>55</v>
      </c>
      <c r="I5700" s="6" t="s">
        <v>8582</v>
      </c>
      <c r="J5700" s="6" t="s">
        <v>154</v>
      </c>
      <c r="K5700" s="12" t="str">
        <f t="shared" ref="K5700:K5701" si="1820">HYPERLINK("https://dms.licdn.com/playlist/vid/v2/D4D10AQGGR_EKKXoJIw/progressive-servable-video/B4DZrOzLcnH0Ac-/0/1764406115038/ad2?e=2147483647&amp;v=beta&amp;t=e5zGgFVVwCJWmoIRx_lJJUCqKL1kGbq4PlvBd2QJUDU","View Creative")</f>
        <v>View Creative</v>
      </c>
      <c r="L5700" s="6" t="s">
        <v>62</v>
      </c>
      <c r="M5700" s="6" t="s">
        <v>7390</v>
      </c>
      <c r="N5700" s="6" t="s">
        <v>8656</v>
      </c>
      <c r="O5700" s="36" t="s">
        <v>7541</v>
      </c>
      <c r="P5700" s="36" t="s">
        <v>7542</v>
      </c>
      <c r="Q5700" s="38"/>
    </row>
    <row r="5701">
      <c r="A5701" s="6" t="s">
        <v>7390</v>
      </c>
      <c r="B5701" s="6" t="s">
        <v>8580</v>
      </c>
      <c r="C5701" s="6">
        <v>181.0</v>
      </c>
      <c r="D5701" s="9" t="str">
        <f t="shared" si="1819"/>
        <v>Open Ad</v>
      </c>
      <c r="E5701" s="6" t="s">
        <v>154</v>
      </c>
      <c r="F5701" s="6" t="s">
        <v>8022</v>
      </c>
      <c r="G5701" s="6" t="s">
        <v>8673</v>
      </c>
      <c r="H5701" s="6" t="s">
        <v>55</v>
      </c>
      <c r="I5701" s="6" t="s">
        <v>8582</v>
      </c>
      <c r="J5701" s="6" t="s">
        <v>154</v>
      </c>
      <c r="K5701" s="12" t="str">
        <f t="shared" si="1820"/>
        <v>View Creative</v>
      </c>
      <c r="L5701" s="6" t="s">
        <v>62</v>
      </c>
      <c r="M5701" s="6" t="s">
        <v>7390</v>
      </c>
      <c r="N5701" s="6" t="s">
        <v>8656</v>
      </c>
      <c r="O5701" s="36" t="s">
        <v>7541</v>
      </c>
      <c r="P5701" s="36" t="s">
        <v>7542</v>
      </c>
      <c r="Q5701" s="38"/>
    </row>
    <row r="5702">
      <c r="A5702" s="6" t="s">
        <v>7390</v>
      </c>
      <c r="B5702" s="6" t="s">
        <v>8580</v>
      </c>
      <c r="C5702" s="6">
        <v>182.0</v>
      </c>
      <c r="D5702" s="9" t="str">
        <f t="shared" ref="D5702:D5703" si="1821">HYPERLINK("https://www.linkedin.com/ad-library/detail/1254585833","Open Ad")</f>
        <v>Open Ad</v>
      </c>
      <c r="E5702" s="6" t="s">
        <v>154</v>
      </c>
      <c r="F5702" s="6" t="s">
        <v>8022</v>
      </c>
      <c r="G5702" s="6" t="s">
        <v>8651</v>
      </c>
      <c r="H5702" s="6" t="s">
        <v>55</v>
      </c>
      <c r="I5702" s="6" t="s">
        <v>8582</v>
      </c>
      <c r="J5702" s="6" t="s">
        <v>154</v>
      </c>
      <c r="K5702" s="12" t="str">
        <f t="shared" ref="K5702:K5703" si="1822">HYPERLINK("https://dms.licdn.com/playlist/vid/v2/D4E05AQEw_nFST6DJow/mp4-720p-30fp-crf28/B4EZ21ioTWJ4CA-/0/1776867251582?e=2147483647&amp;v=beta&amp;t=AOio-fdnkq1WP7c-u_UkolelzGUpTSckEDn_msUKP9Y","View Creative")</f>
        <v>View Creative</v>
      </c>
      <c r="L5702" s="6" t="s">
        <v>62</v>
      </c>
      <c r="M5702" s="6" t="s">
        <v>7390</v>
      </c>
      <c r="N5702" s="6" t="s">
        <v>8656</v>
      </c>
      <c r="O5702" s="36" t="s">
        <v>7541</v>
      </c>
      <c r="P5702" s="36" t="s">
        <v>7542</v>
      </c>
      <c r="Q5702" s="38"/>
    </row>
    <row r="5703">
      <c r="A5703" s="6" t="s">
        <v>7390</v>
      </c>
      <c r="B5703" s="6" t="s">
        <v>8580</v>
      </c>
      <c r="C5703" s="6">
        <v>183.0</v>
      </c>
      <c r="D5703" s="9" t="str">
        <f t="shared" si="1821"/>
        <v>Open Ad</v>
      </c>
      <c r="E5703" s="6" t="s">
        <v>154</v>
      </c>
      <c r="F5703" s="6" t="s">
        <v>8022</v>
      </c>
      <c r="G5703" s="6" t="s">
        <v>8651</v>
      </c>
      <c r="H5703" s="6" t="s">
        <v>55</v>
      </c>
      <c r="I5703" s="6" t="s">
        <v>8582</v>
      </c>
      <c r="J5703" s="6" t="s">
        <v>154</v>
      </c>
      <c r="K5703" s="12" t="str">
        <f t="shared" si="1822"/>
        <v>View Creative</v>
      </c>
      <c r="L5703" s="6" t="s">
        <v>62</v>
      </c>
      <c r="M5703" s="6" t="s">
        <v>7390</v>
      </c>
      <c r="N5703" s="6" t="s">
        <v>8656</v>
      </c>
      <c r="O5703" s="36" t="s">
        <v>7541</v>
      </c>
      <c r="P5703" s="36" t="s">
        <v>7542</v>
      </c>
      <c r="Q5703" s="38"/>
    </row>
    <row r="5704">
      <c r="A5704" s="6" t="s">
        <v>7390</v>
      </c>
      <c r="B5704" s="6" t="s">
        <v>8580</v>
      </c>
      <c r="C5704" s="6">
        <v>184.0</v>
      </c>
      <c r="D5704" s="9" t="str">
        <f t="shared" ref="D5704:D5705" si="1823">HYPERLINK("https://www.linkedin.com/ad-library/detail/1254485473","Open Ad")</f>
        <v>Open Ad</v>
      </c>
      <c r="E5704" s="6" t="s">
        <v>91</v>
      </c>
      <c r="F5704" s="6" t="s">
        <v>8022</v>
      </c>
      <c r="G5704" s="6" t="s">
        <v>8661</v>
      </c>
      <c r="H5704" s="6" t="s">
        <v>55</v>
      </c>
      <c r="I5704" s="6" t="s">
        <v>8582</v>
      </c>
      <c r="J5704" s="6" t="s">
        <v>91</v>
      </c>
      <c r="K5704" s="12" t="str">
        <f t="shared" ref="K5704:K5705" si="1824">HYPERLINK("https://media.licdn.com/dms/image/v2/D4D22AQEpPd3zrIcUvA/feedshare-shrink_1280/B4DZuOBLGhHwAs-/0/1767614231642?e=2147483647&amp;v=beta&amp;t=EhdyF1CtAC-GmZ2V62SjOTQxwOT9ysHWGe9yuqWZbNA","View Creative")</f>
        <v>View Creative</v>
      </c>
      <c r="L5704" s="6" t="s">
        <v>62</v>
      </c>
      <c r="M5704" s="6" t="s">
        <v>7390</v>
      </c>
      <c r="N5704" s="6" t="s">
        <v>8650</v>
      </c>
      <c r="O5704" s="36" t="s">
        <v>7541</v>
      </c>
      <c r="P5704" s="36" t="s">
        <v>7542</v>
      </c>
      <c r="Q5704" s="38"/>
    </row>
    <row r="5705">
      <c r="A5705" s="6" t="s">
        <v>7390</v>
      </c>
      <c r="B5705" s="6" t="s">
        <v>8580</v>
      </c>
      <c r="C5705" s="6">
        <v>185.0</v>
      </c>
      <c r="D5705" s="9" t="str">
        <f t="shared" si="1823"/>
        <v>Open Ad</v>
      </c>
      <c r="E5705" s="6" t="s">
        <v>91</v>
      </c>
      <c r="F5705" s="6" t="s">
        <v>8022</v>
      </c>
      <c r="G5705" s="6" t="s">
        <v>8661</v>
      </c>
      <c r="H5705" s="6" t="s">
        <v>55</v>
      </c>
      <c r="I5705" s="6" t="s">
        <v>8582</v>
      </c>
      <c r="J5705" s="6" t="s">
        <v>91</v>
      </c>
      <c r="K5705" s="12" t="str">
        <f t="shared" si="1824"/>
        <v>View Creative</v>
      </c>
      <c r="L5705" s="6" t="s">
        <v>62</v>
      </c>
      <c r="M5705" s="6" t="s">
        <v>7390</v>
      </c>
      <c r="N5705" s="6" t="s">
        <v>8650</v>
      </c>
      <c r="O5705" s="36" t="s">
        <v>7541</v>
      </c>
      <c r="P5705" s="36" t="s">
        <v>7542</v>
      </c>
      <c r="Q5705" s="38"/>
    </row>
    <row r="5706">
      <c r="A5706" s="6" t="s">
        <v>7390</v>
      </c>
      <c r="B5706" s="6" t="s">
        <v>8580</v>
      </c>
      <c r="C5706" s="6">
        <v>186.0</v>
      </c>
      <c r="D5706" s="9" t="str">
        <f t="shared" ref="D5706:D5707" si="1825">HYPERLINK("https://www.linkedin.com/ad-library/detail/1255286263","Open Ad")</f>
        <v>Open Ad</v>
      </c>
      <c r="E5706" s="6" t="s">
        <v>91</v>
      </c>
      <c r="F5706" s="6" t="s">
        <v>8022</v>
      </c>
      <c r="G5706" s="6" t="s">
        <v>8674</v>
      </c>
      <c r="H5706" s="6" t="s">
        <v>55</v>
      </c>
      <c r="I5706" s="6" t="s">
        <v>8582</v>
      </c>
      <c r="J5706" s="6" t="s">
        <v>91</v>
      </c>
      <c r="K5706" s="12" t="str">
        <f t="shared" ref="K5706:K5707" si="1826">HYPERLINK("https://media.licdn.com/dms/image/v2/D4D10AQGQIJq-FhRa0Q/image-shrink_1280/B4DZ0Ql3MbH4Ac-/0/1774099854350/2png?e=2147483647&amp;v=beta&amp;t=y1v-SxIxcwPrXsKf7HVvVNTO_-psFrVBwCn6chrjqNo","View Creative")</f>
        <v>View Creative</v>
      </c>
      <c r="L5706" s="6" t="s">
        <v>62</v>
      </c>
      <c r="M5706" s="6" t="s">
        <v>7390</v>
      </c>
      <c r="N5706" s="6" t="s">
        <v>8675</v>
      </c>
      <c r="O5706" s="36" t="s">
        <v>7541</v>
      </c>
      <c r="P5706" s="36" t="s">
        <v>7542</v>
      </c>
      <c r="Q5706" s="38"/>
    </row>
    <row r="5707">
      <c r="A5707" s="6" t="s">
        <v>7390</v>
      </c>
      <c r="B5707" s="6" t="s">
        <v>8580</v>
      </c>
      <c r="C5707" s="6">
        <v>187.0</v>
      </c>
      <c r="D5707" s="9" t="str">
        <f t="shared" si="1825"/>
        <v>Open Ad</v>
      </c>
      <c r="E5707" s="6" t="s">
        <v>91</v>
      </c>
      <c r="F5707" s="6" t="s">
        <v>8022</v>
      </c>
      <c r="G5707" s="6" t="s">
        <v>8674</v>
      </c>
      <c r="H5707" s="6" t="s">
        <v>55</v>
      </c>
      <c r="I5707" s="6" t="s">
        <v>8582</v>
      </c>
      <c r="J5707" s="6" t="s">
        <v>91</v>
      </c>
      <c r="K5707" s="12" t="str">
        <f t="shared" si="1826"/>
        <v>View Creative</v>
      </c>
      <c r="L5707" s="6" t="s">
        <v>62</v>
      </c>
      <c r="M5707" s="6" t="s">
        <v>7390</v>
      </c>
      <c r="N5707" s="6" t="s">
        <v>8675</v>
      </c>
      <c r="O5707" s="36" t="s">
        <v>7541</v>
      </c>
      <c r="P5707" s="36" t="s">
        <v>7542</v>
      </c>
      <c r="Q5707" s="38"/>
    </row>
    <row r="5708">
      <c r="A5708" s="6" t="s">
        <v>7390</v>
      </c>
      <c r="B5708" s="6" t="s">
        <v>8580</v>
      </c>
      <c r="C5708" s="6">
        <v>188.0</v>
      </c>
      <c r="D5708" s="9" t="str">
        <f t="shared" ref="D5708:D5709" si="1827">HYPERLINK("https://www.linkedin.com/ad-library/detail/1256185833","Open Ad")</f>
        <v>Open Ad</v>
      </c>
      <c r="E5708" s="6" t="s">
        <v>154</v>
      </c>
      <c r="F5708" s="6" t="s">
        <v>8022</v>
      </c>
      <c r="G5708" s="6" t="s">
        <v>8676</v>
      </c>
      <c r="H5708" s="6" t="s">
        <v>55</v>
      </c>
      <c r="I5708" s="6" t="s">
        <v>8582</v>
      </c>
      <c r="J5708" s="6" t="s">
        <v>154</v>
      </c>
      <c r="K5708" s="12" t="str">
        <f t="shared" ref="K5708:K5709" si="1828">HYPERLINK("https://dms.licdn.com/playlist/vid/v2/D4D05AQFrnc3u005ENg/mp4-720p-30fp-crf28/B4DZy39N5mKYCI-/0/1772612817597?e=2147483647&amp;v=beta&amp;t=ryqo2TnU-GlIyXKa8sDz0iQ0c6JZ5FVXMd-iUFCZ0XE","View Creative")</f>
        <v>View Creative</v>
      </c>
      <c r="L5708" s="6" t="s">
        <v>62</v>
      </c>
      <c r="M5708" s="6" t="s">
        <v>7390</v>
      </c>
      <c r="N5708" s="6" t="s">
        <v>8656</v>
      </c>
      <c r="O5708" s="36" t="s">
        <v>7541</v>
      </c>
      <c r="P5708" s="36" t="s">
        <v>7542</v>
      </c>
      <c r="Q5708" s="38"/>
    </row>
    <row r="5709">
      <c r="A5709" s="6" t="s">
        <v>7390</v>
      </c>
      <c r="B5709" s="6" t="s">
        <v>8580</v>
      </c>
      <c r="C5709" s="6">
        <v>189.0</v>
      </c>
      <c r="D5709" s="9" t="str">
        <f t="shared" si="1827"/>
        <v>Open Ad</v>
      </c>
      <c r="E5709" s="6" t="s">
        <v>154</v>
      </c>
      <c r="F5709" s="6" t="s">
        <v>8022</v>
      </c>
      <c r="G5709" s="6" t="s">
        <v>8676</v>
      </c>
      <c r="H5709" s="6" t="s">
        <v>55</v>
      </c>
      <c r="I5709" s="6" t="s">
        <v>8582</v>
      </c>
      <c r="J5709" s="6" t="s">
        <v>154</v>
      </c>
      <c r="K5709" s="12" t="str">
        <f t="shared" si="1828"/>
        <v>View Creative</v>
      </c>
      <c r="L5709" s="6" t="s">
        <v>62</v>
      </c>
      <c r="M5709" s="6" t="s">
        <v>7390</v>
      </c>
      <c r="N5709" s="6" t="s">
        <v>8656</v>
      </c>
      <c r="O5709" s="36" t="s">
        <v>7541</v>
      </c>
      <c r="P5709" s="36" t="s">
        <v>7542</v>
      </c>
      <c r="Q5709" s="38"/>
    </row>
    <row r="5710">
      <c r="A5710" s="6" t="s">
        <v>7390</v>
      </c>
      <c r="B5710" s="6" t="s">
        <v>8580</v>
      </c>
      <c r="C5710" s="6">
        <v>190.0</v>
      </c>
      <c r="D5710" s="9" t="str">
        <f t="shared" ref="D5710:D5711" si="1829">HYPERLINK("https://www.linkedin.com/ad-library/detail/1255085343","Open Ad")</f>
        <v>Open Ad</v>
      </c>
      <c r="E5710" s="6" t="s">
        <v>154</v>
      </c>
      <c r="F5710" s="6" t="s">
        <v>8022</v>
      </c>
      <c r="G5710" s="6" t="s">
        <v>8673</v>
      </c>
      <c r="H5710" s="6" t="s">
        <v>55</v>
      </c>
      <c r="I5710" s="6" t="s">
        <v>8582</v>
      </c>
      <c r="J5710" s="6" t="s">
        <v>154</v>
      </c>
      <c r="K5710" s="12" t="str">
        <f t="shared" ref="K5710:K5711" si="1830">HYPERLINK("https://dms.licdn.com/playlist/vid/v2/D4D10AQGGR_EKKXoJIw/progressive-servable-video/B4DZrOzLcnH0Ac-/0/1764406115038/ad2?e=2147483647&amp;v=beta&amp;t=e5zGgFVVwCJWmoIRx_lJJUCqKL1kGbq4PlvBd2QJUDU","View Creative")</f>
        <v>View Creative</v>
      </c>
      <c r="L5710" s="6" t="s">
        <v>62</v>
      </c>
      <c r="M5710" s="6" t="s">
        <v>7390</v>
      </c>
      <c r="N5710" s="6" t="s">
        <v>8664</v>
      </c>
      <c r="O5710" s="36" t="s">
        <v>7541</v>
      </c>
      <c r="P5710" s="36" t="s">
        <v>7542</v>
      </c>
      <c r="Q5710" s="38"/>
    </row>
    <row r="5711">
      <c r="A5711" s="6" t="s">
        <v>7390</v>
      </c>
      <c r="B5711" s="6" t="s">
        <v>8580</v>
      </c>
      <c r="C5711" s="6">
        <v>191.0</v>
      </c>
      <c r="D5711" s="9" t="str">
        <f t="shared" si="1829"/>
        <v>Open Ad</v>
      </c>
      <c r="E5711" s="6" t="s">
        <v>154</v>
      </c>
      <c r="F5711" s="6" t="s">
        <v>8022</v>
      </c>
      <c r="G5711" s="6" t="s">
        <v>8673</v>
      </c>
      <c r="H5711" s="6" t="s">
        <v>55</v>
      </c>
      <c r="I5711" s="6" t="s">
        <v>8582</v>
      </c>
      <c r="J5711" s="6" t="s">
        <v>154</v>
      </c>
      <c r="K5711" s="12" t="str">
        <f t="shared" si="1830"/>
        <v>View Creative</v>
      </c>
      <c r="L5711" s="6" t="s">
        <v>62</v>
      </c>
      <c r="M5711" s="6" t="s">
        <v>7390</v>
      </c>
      <c r="N5711" s="6" t="s">
        <v>8664</v>
      </c>
      <c r="O5711" s="36" t="s">
        <v>7541</v>
      </c>
      <c r="P5711" s="36" t="s">
        <v>7542</v>
      </c>
      <c r="Q5711" s="38"/>
    </row>
    <row r="5712">
      <c r="A5712" s="6" t="s">
        <v>7390</v>
      </c>
      <c r="B5712" s="6" t="s">
        <v>8580</v>
      </c>
      <c r="C5712" s="6">
        <v>192.0</v>
      </c>
      <c r="D5712" s="9" t="str">
        <f t="shared" ref="D5712:D5713" si="1831">HYPERLINK("https://www.linkedin.com/ad-library/detail/1193873683","Open Ad")</f>
        <v>Open Ad</v>
      </c>
      <c r="E5712" s="6" t="s">
        <v>91</v>
      </c>
      <c r="F5712" s="6" t="s">
        <v>8022</v>
      </c>
      <c r="G5712" s="6" t="s">
        <v>8677</v>
      </c>
      <c r="H5712" s="6" t="s">
        <v>55</v>
      </c>
      <c r="I5712" s="6" t="s">
        <v>8582</v>
      </c>
      <c r="J5712" s="6" t="s">
        <v>91</v>
      </c>
      <c r="K5712" s="12" t="str">
        <f t="shared" ref="K5712:K5713" si="1832">HYPERLINK("https://media.licdn.com/dms/image/v2/D4D10AQGxjU8jFYcROw/image-shrink_1280/B4DZ0QlZ4FIwAc-/0/1774099734253/linkedinadpng?e=2147483647&amp;v=beta&amp;t=EIn2lTVhux0FPhFk7GGcZFPytX578mYpqSrnNAEdyxg","View Creative")</f>
        <v>View Creative</v>
      </c>
      <c r="L5712" s="6" t="s">
        <v>62</v>
      </c>
      <c r="M5712" s="6" t="s">
        <v>7390</v>
      </c>
      <c r="N5712" s="6" t="s">
        <v>8678</v>
      </c>
      <c r="O5712" s="36" t="s">
        <v>7541</v>
      </c>
      <c r="P5712" s="36" t="s">
        <v>7542</v>
      </c>
      <c r="Q5712" s="38"/>
    </row>
    <row r="5713">
      <c r="A5713" s="6" t="s">
        <v>7390</v>
      </c>
      <c r="B5713" s="6" t="s">
        <v>8580</v>
      </c>
      <c r="C5713" s="6">
        <v>193.0</v>
      </c>
      <c r="D5713" s="9" t="str">
        <f t="shared" si="1831"/>
        <v>Open Ad</v>
      </c>
      <c r="E5713" s="6" t="s">
        <v>91</v>
      </c>
      <c r="F5713" s="6" t="s">
        <v>8022</v>
      </c>
      <c r="G5713" s="6" t="s">
        <v>8677</v>
      </c>
      <c r="H5713" s="6" t="s">
        <v>55</v>
      </c>
      <c r="I5713" s="6" t="s">
        <v>8582</v>
      </c>
      <c r="J5713" s="6" t="s">
        <v>91</v>
      </c>
      <c r="K5713" s="12" t="str">
        <f t="shared" si="1832"/>
        <v>View Creative</v>
      </c>
      <c r="L5713" s="6" t="s">
        <v>62</v>
      </c>
      <c r="M5713" s="6" t="s">
        <v>7390</v>
      </c>
      <c r="N5713" s="6" t="s">
        <v>8678</v>
      </c>
      <c r="O5713" s="36" t="s">
        <v>7541</v>
      </c>
      <c r="P5713" s="36" t="s">
        <v>7542</v>
      </c>
      <c r="Q5713" s="38"/>
    </row>
    <row r="5714">
      <c r="A5714" s="6" t="s">
        <v>7390</v>
      </c>
      <c r="B5714" s="6" t="s">
        <v>8580</v>
      </c>
      <c r="C5714" s="6">
        <v>194.0</v>
      </c>
      <c r="D5714" s="9" t="str">
        <f t="shared" ref="D5714:D5715" si="1833">HYPERLINK("https://www.linkedin.com/ad-library/detail/1220803703","Open Ad")</f>
        <v>Open Ad</v>
      </c>
      <c r="E5714" s="6" t="s">
        <v>91</v>
      </c>
      <c r="F5714" s="6" t="s">
        <v>8022</v>
      </c>
      <c r="G5714" s="6" t="s">
        <v>8659</v>
      </c>
      <c r="H5714" s="6" t="s">
        <v>55</v>
      </c>
      <c r="I5714" s="6" t="s">
        <v>8582</v>
      </c>
      <c r="J5714" s="6" t="s">
        <v>91</v>
      </c>
      <c r="K5714" s="12" t="str">
        <f t="shared" ref="K5714:K5715" si="1834">HYPERLINK("https://media.licdn.com/dms/image/v2/D4D10AQFt0ohvKIDUsw/image-shrink_1280/B4DZ20tF6zHUAc-/0/1776853213347/4png?e=2147483647&amp;v=beta&amp;t=QiQbRllBMU5hiC3cZg1_HP-jVEYGwgFWETcZ4q2lef4","View Creative")</f>
        <v>View Creative</v>
      </c>
      <c r="L5714" s="6" t="s">
        <v>62</v>
      </c>
      <c r="M5714" s="6" t="s">
        <v>7390</v>
      </c>
      <c r="N5714" s="6" t="s">
        <v>8679</v>
      </c>
      <c r="O5714" s="36" t="s">
        <v>7541</v>
      </c>
      <c r="P5714" s="36" t="s">
        <v>7542</v>
      </c>
      <c r="Q5714" s="38"/>
    </row>
    <row r="5715">
      <c r="A5715" s="6" t="s">
        <v>7390</v>
      </c>
      <c r="B5715" s="6" t="s">
        <v>8580</v>
      </c>
      <c r="C5715" s="6">
        <v>195.0</v>
      </c>
      <c r="D5715" s="9" t="str">
        <f t="shared" si="1833"/>
        <v>Open Ad</v>
      </c>
      <c r="E5715" s="6" t="s">
        <v>91</v>
      </c>
      <c r="F5715" s="6" t="s">
        <v>8022</v>
      </c>
      <c r="G5715" s="6" t="s">
        <v>8659</v>
      </c>
      <c r="H5715" s="6" t="s">
        <v>55</v>
      </c>
      <c r="I5715" s="6" t="s">
        <v>8582</v>
      </c>
      <c r="J5715" s="6" t="s">
        <v>91</v>
      </c>
      <c r="K5715" s="12" t="str">
        <f t="shared" si="1834"/>
        <v>View Creative</v>
      </c>
      <c r="L5715" s="6" t="s">
        <v>62</v>
      </c>
      <c r="M5715" s="6" t="s">
        <v>7390</v>
      </c>
      <c r="N5715" s="6" t="s">
        <v>8679</v>
      </c>
      <c r="O5715" s="36" t="s">
        <v>7541</v>
      </c>
      <c r="P5715" s="36" t="s">
        <v>7542</v>
      </c>
      <c r="Q5715" s="38"/>
    </row>
    <row r="5716">
      <c r="A5716" s="6" t="s">
        <v>7390</v>
      </c>
      <c r="B5716" s="6" t="s">
        <v>8580</v>
      </c>
      <c r="C5716" s="6">
        <v>196.0</v>
      </c>
      <c r="D5716" s="9" t="str">
        <f t="shared" ref="D5716:D5717" si="1835">HYPERLINK("https://www.linkedin.com/ad-library/detail/1222694033","Open Ad")</f>
        <v>Open Ad</v>
      </c>
      <c r="E5716" s="6" t="s">
        <v>91</v>
      </c>
      <c r="F5716" s="6" t="s">
        <v>8022</v>
      </c>
      <c r="G5716" s="6" t="s">
        <v>8649</v>
      </c>
      <c r="H5716" s="6" t="s">
        <v>55</v>
      </c>
      <c r="I5716" s="6" t="s">
        <v>8582</v>
      </c>
      <c r="J5716" s="6" t="s">
        <v>91</v>
      </c>
      <c r="K5716" s="12" t="str">
        <f t="shared" ref="K5716:K5717" si="1836">HYPERLINK("https://media.licdn.com/dms/image/v2/D4D10AQGQIJq-FhRa0Q/image-shrink_1280/B4DZ0Ql3MbH4Ac-/0/1774099854350/2png?e=2147483647&amp;v=beta&amp;t=y1v-SxIxcwPrXsKf7HVvVNTO_-psFrVBwCn6chrjqNo","View Creative")</f>
        <v>View Creative</v>
      </c>
      <c r="L5716" s="6" t="s">
        <v>62</v>
      </c>
      <c r="M5716" s="6" t="s">
        <v>7390</v>
      </c>
      <c r="N5716" s="6" t="s">
        <v>8679</v>
      </c>
      <c r="O5716" s="36" t="s">
        <v>7541</v>
      </c>
      <c r="P5716" s="36" t="s">
        <v>7542</v>
      </c>
      <c r="Q5716" s="38"/>
    </row>
    <row r="5717">
      <c r="A5717" s="6" t="s">
        <v>7390</v>
      </c>
      <c r="B5717" s="6" t="s">
        <v>8580</v>
      </c>
      <c r="C5717" s="6">
        <v>197.0</v>
      </c>
      <c r="D5717" s="9" t="str">
        <f t="shared" si="1835"/>
        <v>Open Ad</v>
      </c>
      <c r="E5717" s="6" t="s">
        <v>91</v>
      </c>
      <c r="F5717" s="6" t="s">
        <v>8022</v>
      </c>
      <c r="G5717" s="6" t="s">
        <v>8649</v>
      </c>
      <c r="H5717" s="6" t="s">
        <v>55</v>
      </c>
      <c r="I5717" s="6" t="s">
        <v>8582</v>
      </c>
      <c r="J5717" s="6" t="s">
        <v>91</v>
      </c>
      <c r="K5717" s="12" t="str">
        <f t="shared" si="1836"/>
        <v>View Creative</v>
      </c>
      <c r="L5717" s="6" t="s">
        <v>62</v>
      </c>
      <c r="M5717" s="6" t="s">
        <v>7390</v>
      </c>
      <c r="N5717" s="6" t="s">
        <v>8679</v>
      </c>
      <c r="O5717" s="36" t="s">
        <v>7541</v>
      </c>
      <c r="P5717" s="36" t="s">
        <v>7542</v>
      </c>
      <c r="Q5717" s="38"/>
    </row>
    <row r="5718">
      <c r="A5718" s="6" t="s">
        <v>7390</v>
      </c>
      <c r="B5718" s="6" t="s">
        <v>8580</v>
      </c>
      <c r="C5718" s="6">
        <v>198.0</v>
      </c>
      <c r="D5718" s="9" t="str">
        <f t="shared" ref="D5718:D5719" si="1837">HYPERLINK("https://www.linkedin.com/ad-library/detail/1198607093","Open Ad")</f>
        <v>Open Ad</v>
      </c>
      <c r="E5718" s="6" t="s">
        <v>91</v>
      </c>
      <c r="F5718" s="6" t="s">
        <v>8022</v>
      </c>
      <c r="G5718" s="6" t="s">
        <v>8680</v>
      </c>
      <c r="H5718" s="6" t="s">
        <v>55</v>
      </c>
      <c r="I5718" s="6" t="s">
        <v>8582</v>
      </c>
      <c r="J5718" s="6" t="s">
        <v>91</v>
      </c>
      <c r="K5718" s="12" t="str">
        <f t="shared" ref="K5718:K5719" si="1838">HYPERLINK("https://media.licdn.com/dms/image/v2/D4D22AQEJgY1ij9NZAg/feedshare-shrink_1280/B4DZ0BHFwoIoAM-/0/1773840129441?e=2147483647&amp;v=beta&amp;t=MsRdQy1OZ01XdS88GOJPVYGpEfalf8jvjuOu5fMINWg","View Creative")</f>
        <v>View Creative</v>
      </c>
      <c r="L5718" s="6" t="s">
        <v>62</v>
      </c>
      <c r="M5718" s="6" t="s">
        <v>7390</v>
      </c>
      <c r="N5718" s="6" t="s">
        <v>8681</v>
      </c>
      <c r="O5718" s="36" t="s">
        <v>7541</v>
      </c>
      <c r="P5718" s="36" t="s">
        <v>7542</v>
      </c>
      <c r="Q5718" s="38"/>
    </row>
    <row r="5719">
      <c r="A5719" s="6" t="s">
        <v>7390</v>
      </c>
      <c r="B5719" s="6" t="s">
        <v>8580</v>
      </c>
      <c r="C5719" s="6">
        <v>199.0</v>
      </c>
      <c r="D5719" s="9" t="str">
        <f t="shared" si="1837"/>
        <v>Open Ad</v>
      </c>
      <c r="E5719" s="6" t="s">
        <v>91</v>
      </c>
      <c r="F5719" s="6" t="s">
        <v>8022</v>
      </c>
      <c r="G5719" s="6" t="s">
        <v>8680</v>
      </c>
      <c r="H5719" s="6" t="s">
        <v>55</v>
      </c>
      <c r="I5719" s="6" t="s">
        <v>8582</v>
      </c>
      <c r="J5719" s="6" t="s">
        <v>91</v>
      </c>
      <c r="K5719" s="12" t="str">
        <f t="shared" si="1838"/>
        <v>View Creative</v>
      </c>
      <c r="L5719" s="6" t="s">
        <v>62</v>
      </c>
      <c r="M5719" s="6" t="s">
        <v>7390</v>
      </c>
      <c r="N5719" s="6" t="s">
        <v>8681</v>
      </c>
      <c r="O5719" s="36" t="s">
        <v>7541</v>
      </c>
      <c r="P5719" s="36" t="s">
        <v>7542</v>
      </c>
      <c r="Q5719" s="38"/>
    </row>
    <row r="5720">
      <c r="A5720" s="6" t="s">
        <v>7390</v>
      </c>
      <c r="B5720" s="6" t="s">
        <v>8580</v>
      </c>
      <c r="C5720" s="6">
        <v>200.0</v>
      </c>
      <c r="D5720" s="9" t="str">
        <f t="shared" ref="D5720:D5721" si="1839">HYPERLINK("https://www.linkedin.com/ad-library/detail/1190484843","Open Ad")</f>
        <v>Open Ad</v>
      </c>
      <c r="E5720" s="6" t="s">
        <v>91</v>
      </c>
      <c r="F5720" s="6" t="s">
        <v>8022</v>
      </c>
      <c r="G5720" s="6" t="s">
        <v>8682</v>
      </c>
      <c r="H5720" s="6" t="s">
        <v>55</v>
      </c>
      <c r="I5720" s="6" t="s">
        <v>8582</v>
      </c>
      <c r="J5720" s="6" t="s">
        <v>91</v>
      </c>
      <c r="K5720" s="12" t="str">
        <f t="shared" ref="K5720:K5721" si="1840">HYPERLINK("https://media.licdn.com/dms/image/v2/D4D22AQGteuUPNj4_bw/feedshare-shrink_1280/B4DZyOlPfTKEAc-/0/1771918653744?e=2147483647&amp;v=beta&amp;t=wfAcR6OXRBCcRocpozSE7l6HYDS2B0Aka8l1f0sHlBg","View Creative")</f>
        <v>View Creative</v>
      </c>
      <c r="L5720" s="6" t="s">
        <v>62</v>
      </c>
      <c r="M5720" s="6" t="s">
        <v>7390</v>
      </c>
      <c r="N5720" s="6" t="s">
        <v>8683</v>
      </c>
      <c r="O5720" s="36" t="s">
        <v>7541</v>
      </c>
      <c r="P5720" s="36" t="s">
        <v>7542</v>
      </c>
      <c r="Q5720" s="38"/>
    </row>
    <row r="5721">
      <c r="A5721" s="6" t="s">
        <v>7390</v>
      </c>
      <c r="B5721" s="6" t="s">
        <v>8580</v>
      </c>
      <c r="C5721" s="6">
        <v>201.0</v>
      </c>
      <c r="D5721" s="9" t="str">
        <f t="shared" si="1839"/>
        <v>Open Ad</v>
      </c>
      <c r="E5721" s="6" t="s">
        <v>91</v>
      </c>
      <c r="F5721" s="6" t="s">
        <v>8022</v>
      </c>
      <c r="G5721" s="6" t="s">
        <v>8682</v>
      </c>
      <c r="H5721" s="6" t="s">
        <v>55</v>
      </c>
      <c r="I5721" s="6" t="s">
        <v>8582</v>
      </c>
      <c r="J5721" s="6" t="s">
        <v>91</v>
      </c>
      <c r="K5721" s="12" t="str">
        <f t="shared" si="1840"/>
        <v>View Creative</v>
      </c>
      <c r="L5721" s="6" t="s">
        <v>62</v>
      </c>
      <c r="M5721" s="6" t="s">
        <v>7390</v>
      </c>
      <c r="N5721" s="6" t="s">
        <v>8683</v>
      </c>
      <c r="O5721" s="36" t="s">
        <v>7541</v>
      </c>
      <c r="P5721" s="36" t="s">
        <v>7542</v>
      </c>
      <c r="Q5721" s="38"/>
    </row>
    <row r="5722">
      <c r="A5722" s="6" t="s">
        <v>7390</v>
      </c>
      <c r="B5722" s="6" t="s">
        <v>8580</v>
      </c>
      <c r="C5722" s="6">
        <v>202.0</v>
      </c>
      <c r="D5722" s="9" t="str">
        <f t="shared" ref="D5722:D5723" si="1841">HYPERLINK("https://www.linkedin.com/ad-library/detail/1222694193","Open Ad")</f>
        <v>Open Ad</v>
      </c>
      <c r="E5722" s="6" t="s">
        <v>91</v>
      </c>
      <c r="F5722" s="6" t="s">
        <v>8022</v>
      </c>
      <c r="G5722" s="6" t="s">
        <v>8665</v>
      </c>
      <c r="H5722" s="6" t="s">
        <v>55</v>
      </c>
      <c r="I5722" s="6" t="s">
        <v>8582</v>
      </c>
      <c r="J5722" s="6" t="s">
        <v>91</v>
      </c>
      <c r="K5722" s="12" t="str">
        <f t="shared" ref="K5722:K5723" si="1842">HYPERLINK("https://media.licdn.com/dms/image/v2/D4D10AQGKomDvXYwzuw/image-shrink_1280/B4DZ20scxHI0Ag-/0/1776853044626/omripng?e=2147483647&amp;v=beta&amp;t=xXnmgkSdh8Iqkylj7bCIducYO4Fth9XE2UqExqncLFU","View Creative")</f>
        <v>View Creative</v>
      </c>
      <c r="L5722" s="6" t="s">
        <v>62</v>
      </c>
      <c r="M5722" s="6" t="s">
        <v>7390</v>
      </c>
      <c r="N5722" s="6" t="s">
        <v>8679</v>
      </c>
      <c r="O5722" s="36" t="s">
        <v>7541</v>
      </c>
      <c r="P5722" s="36" t="s">
        <v>7542</v>
      </c>
      <c r="Q5722" s="38"/>
    </row>
    <row r="5723">
      <c r="A5723" s="6" t="s">
        <v>7390</v>
      </c>
      <c r="B5723" s="6" t="s">
        <v>8580</v>
      </c>
      <c r="C5723" s="6">
        <v>203.0</v>
      </c>
      <c r="D5723" s="9" t="str">
        <f t="shared" si="1841"/>
        <v>Open Ad</v>
      </c>
      <c r="E5723" s="6" t="s">
        <v>91</v>
      </c>
      <c r="F5723" s="6" t="s">
        <v>8022</v>
      </c>
      <c r="G5723" s="6" t="s">
        <v>8665</v>
      </c>
      <c r="H5723" s="6" t="s">
        <v>55</v>
      </c>
      <c r="I5723" s="6" t="s">
        <v>8582</v>
      </c>
      <c r="J5723" s="6" t="s">
        <v>91</v>
      </c>
      <c r="K5723" s="12" t="str">
        <f t="shared" si="1842"/>
        <v>View Creative</v>
      </c>
      <c r="L5723" s="6" t="s">
        <v>62</v>
      </c>
      <c r="M5723" s="6" t="s">
        <v>7390</v>
      </c>
      <c r="N5723" s="6" t="s">
        <v>8679</v>
      </c>
      <c r="O5723" s="36" t="s">
        <v>7541</v>
      </c>
      <c r="P5723" s="36" t="s">
        <v>7542</v>
      </c>
      <c r="Q5723" s="38"/>
    </row>
    <row r="5724">
      <c r="A5724" s="6" t="s">
        <v>7390</v>
      </c>
      <c r="B5724" s="6" t="s">
        <v>8580</v>
      </c>
      <c r="C5724" s="6">
        <v>204.0</v>
      </c>
      <c r="D5724" s="9" t="str">
        <f t="shared" ref="D5724:D5725" si="1843">HYPERLINK("https://www.linkedin.com/ad-library/detail/1198706403","Open Ad")</f>
        <v>Open Ad</v>
      </c>
      <c r="E5724" s="6" t="s">
        <v>91</v>
      </c>
      <c r="F5724" s="6" t="s">
        <v>8022</v>
      </c>
      <c r="G5724" s="6" t="s">
        <v>8682</v>
      </c>
      <c r="H5724" s="6" t="s">
        <v>55</v>
      </c>
      <c r="I5724" s="6" t="s">
        <v>8582</v>
      </c>
      <c r="J5724" s="6" t="s">
        <v>91</v>
      </c>
      <c r="K5724" s="12" t="str">
        <f t="shared" ref="K5724:K5725" si="1844">HYPERLINK("https://media.licdn.com/dms/image/v2/D4D22AQGteuUPNj4_bw/feedshare-shrink_1280/B4DZyOlPfTKEAc-/0/1771918653744?e=2147483647&amp;v=beta&amp;t=wfAcR6OXRBCcRocpozSE7l6HYDS2B0Aka8l1f0sHlBg","View Creative")</f>
        <v>View Creative</v>
      </c>
      <c r="L5724" s="6" t="s">
        <v>62</v>
      </c>
      <c r="M5724" s="6" t="s">
        <v>7390</v>
      </c>
      <c r="N5724" s="6" t="s">
        <v>8681</v>
      </c>
      <c r="O5724" s="36" t="s">
        <v>7541</v>
      </c>
      <c r="P5724" s="36" t="s">
        <v>7542</v>
      </c>
      <c r="Q5724" s="38"/>
    </row>
    <row r="5725">
      <c r="A5725" s="6" t="s">
        <v>7390</v>
      </c>
      <c r="B5725" s="6" t="s">
        <v>8580</v>
      </c>
      <c r="C5725" s="6">
        <v>205.0</v>
      </c>
      <c r="D5725" s="9" t="str">
        <f t="shared" si="1843"/>
        <v>Open Ad</v>
      </c>
      <c r="E5725" s="6" t="s">
        <v>91</v>
      </c>
      <c r="F5725" s="6" t="s">
        <v>8022</v>
      </c>
      <c r="G5725" s="6" t="s">
        <v>8682</v>
      </c>
      <c r="H5725" s="6" t="s">
        <v>55</v>
      </c>
      <c r="I5725" s="6" t="s">
        <v>8582</v>
      </c>
      <c r="J5725" s="6" t="s">
        <v>91</v>
      </c>
      <c r="K5725" s="12" t="str">
        <f t="shared" si="1844"/>
        <v>View Creative</v>
      </c>
      <c r="L5725" s="6" t="s">
        <v>62</v>
      </c>
      <c r="M5725" s="6" t="s">
        <v>7390</v>
      </c>
      <c r="N5725" s="6" t="s">
        <v>8681</v>
      </c>
      <c r="O5725" s="36" t="s">
        <v>7541</v>
      </c>
      <c r="P5725" s="36" t="s">
        <v>7542</v>
      </c>
      <c r="Q5725" s="38"/>
    </row>
    <row r="5726">
      <c r="A5726" s="6" t="s">
        <v>7390</v>
      </c>
      <c r="B5726" s="6" t="s">
        <v>8580</v>
      </c>
      <c r="C5726" s="6">
        <v>206.0</v>
      </c>
      <c r="D5726" s="9" t="str">
        <f t="shared" ref="D5726:D5727" si="1845">HYPERLINK("https://www.linkedin.com/ad-library/detail/1199605883","Open Ad")</f>
        <v>Open Ad</v>
      </c>
      <c r="E5726" s="6" t="s">
        <v>91</v>
      </c>
      <c r="F5726" s="6" t="s">
        <v>8022</v>
      </c>
      <c r="G5726" s="6" t="s">
        <v>8661</v>
      </c>
      <c r="H5726" s="6" t="s">
        <v>55</v>
      </c>
      <c r="I5726" s="6" t="s">
        <v>8582</v>
      </c>
      <c r="J5726" s="6" t="s">
        <v>91</v>
      </c>
      <c r="K5726" s="12" t="str">
        <f t="shared" ref="K5726:K5727" si="1846">HYPERLINK("https://media.licdn.com/dms/image/v2/D4D22AQEpPd3zrIcUvA/feedshare-shrink_1280/B4DZuOBLGhHwAs-/0/1767614231642?e=2147483647&amp;v=beta&amp;t=EhdyF1CtAC-GmZ2V62SjOTQxwOT9ysHWGe9yuqWZbNA","View Creative")</f>
        <v>View Creative</v>
      </c>
      <c r="L5726" s="6" t="s">
        <v>62</v>
      </c>
      <c r="M5726" s="6" t="s">
        <v>7390</v>
      </c>
      <c r="N5726" s="6" t="s">
        <v>8681</v>
      </c>
      <c r="O5726" s="36" t="s">
        <v>7541</v>
      </c>
      <c r="P5726" s="36" t="s">
        <v>7542</v>
      </c>
      <c r="Q5726" s="38"/>
    </row>
    <row r="5727">
      <c r="A5727" s="6" t="s">
        <v>7390</v>
      </c>
      <c r="B5727" s="6" t="s">
        <v>8580</v>
      </c>
      <c r="C5727" s="6">
        <v>207.0</v>
      </c>
      <c r="D5727" s="9" t="str">
        <f t="shared" si="1845"/>
        <v>Open Ad</v>
      </c>
      <c r="E5727" s="6" t="s">
        <v>91</v>
      </c>
      <c r="F5727" s="6" t="s">
        <v>8022</v>
      </c>
      <c r="G5727" s="6" t="s">
        <v>8661</v>
      </c>
      <c r="H5727" s="6" t="s">
        <v>55</v>
      </c>
      <c r="I5727" s="6" t="s">
        <v>8582</v>
      </c>
      <c r="J5727" s="6" t="s">
        <v>91</v>
      </c>
      <c r="K5727" s="12" t="str">
        <f t="shared" si="1846"/>
        <v>View Creative</v>
      </c>
      <c r="L5727" s="6" t="s">
        <v>62</v>
      </c>
      <c r="M5727" s="6" t="s">
        <v>7390</v>
      </c>
      <c r="N5727" s="6" t="s">
        <v>8681</v>
      </c>
      <c r="O5727" s="36" t="s">
        <v>7541</v>
      </c>
      <c r="P5727" s="36" t="s">
        <v>7542</v>
      </c>
      <c r="Q5727" s="38"/>
    </row>
    <row r="5728">
      <c r="A5728" s="6" t="s">
        <v>7390</v>
      </c>
      <c r="B5728" s="6" t="s">
        <v>8580</v>
      </c>
      <c r="C5728" s="6">
        <v>208.0</v>
      </c>
      <c r="D5728" s="9" t="str">
        <f t="shared" ref="D5728:D5729" si="1847">HYPERLINK("https://www.linkedin.com/ad-library/detail/1188187903","Open Ad")</f>
        <v>Open Ad</v>
      </c>
      <c r="E5728" s="6" t="s">
        <v>91</v>
      </c>
      <c r="F5728" s="6" t="s">
        <v>8022</v>
      </c>
      <c r="G5728" s="6" t="s">
        <v>8684</v>
      </c>
      <c r="H5728" s="6" t="s">
        <v>8685</v>
      </c>
      <c r="I5728" s="6" t="s">
        <v>8582</v>
      </c>
      <c r="J5728" s="6" t="s">
        <v>91</v>
      </c>
      <c r="K5728" s="12" t="str">
        <f t="shared" ref="K5728:K5729" si="1848">HYPERLINK("https://media.licdn.com/dms/image/v2/D4D22AQEMgGvSMJ5eAQ/feedshare-shrink_1280/B4DZyt453jJ4Ac-/0/1772443901711?e=2147483647&amp;v=beta&amp;t=5L9ex3VMm7zXtdbjc6cjBS1wfYs081bV7BFdRSSFo2g","View Creative")</f>
        <v>View Creative</v>
      </c>
      <c r="L5728" s="6" t="s">
        <v>62</v>
      </c>
      <c r="M5728" s="6" t="s">
        <v>7390</v>
      </c>
      <c r="N5728" s="6" t="s">
        <v>8686</v>
      </c>
      <c r="O5728" s="36" t="s">
        <v>7541</v>
      </c>
      <c r="P5728" s="36" t="s">
        <v>7542</v>
      </c>
      <c r="Q5728" s="38"/>
    </row>
    <row r="5729">
      <c r="A5729" s="6" t="s">
        <v>7390</v>
      </c>
      <c r="B5729" s="6" t="s">
        <v>8580</v>
      </c>
      <c r="C5729" s="6">
        <v>209.0</v>
      </c>
      <c r="D5729" s="9" t="str">
        <f t="shared" si="1847"/>
        <v>Open Ad</v>
      </c>
      <c r="E5729" s="6" t="s">
        <v>91</v>
      </c>
      <c r="F5729" s="6" t="s">
        <v>8022</v>
      </c>
      <c r="G5729" s="6" t="s">
        <v>8684</v>
      </c>
      <c r="H5729" s="6" t="s">
        <v>8685</v>
      </c>
      <c r="I5729" s="6" t="s">
        <v>8582</v>
      </c>
      <c r="J5729" s="6" t="s">
        <v>91</v>
      </c>
      <c r="K5729" s="12" t="str">
        <f t="shared" si="1848"/>
        <v>View Creative</v>
      </c>
      <c r="L5729" s="6" t="s">
        <v>62</v>
      </c>
      <c r="M5729" s="6" t="s">
        <v>7390</v>
      </c>
      <c r="N5729" s="6" t="s">
        <v>8686</v>
      </c>
      <c r="O5729" s="36" t="s">
        <v>7541</v>
      </c>
      <c r="P5729" s="36" t="s">
        <v>7542</v>
      </c>
      <c r="Q5729" s="38"/>
    </row>
    <row r="5730">
      <c r="A5730" s="6" t="s">
        <v>7390</v>
      </c>
      <c r="B5730" s="6" t="s">
        <v>8580</v>
      </c>
      <c r="C5730" s="6">
        <v>210.0</v>
      </c>
      <c r="D5730" s="9" t="str">
        <f t="shared" ref="D5730:D5731" si="1849">HYPERLINK("https://www.linkedin.com/ad-library/detail/1197905713","Open Ad")</f>
        <v>Open Ad</v>
      </c>
      <c r="E5730" s="6" t="s">
        <v>91</v>
      </c>
      <c r="F5730" s="6" t="s">
        <v>8022</v>
      </c>
      <c r="G5730" s="6" t="s">
        <v>8687</v>
      </c>
      <c r="H5730" s="6" t="s">
        <v>55</v>
      </c>
      <c r="I5730" s="6" t="s">
        <v>8582</v>
      </c>
      <c r="J5730" s="6" t="s">
        <v>91</v>
      </c>
      <c r="K5730" s="12" t="str">
        <f t="shared" ref="K5730:K5731" si="1850">HYPERLINK("https://media.licdn.com/dms/image/v2/D4D22AQHlAinjROHXdg/feedshare-image-high-res/B4DZvWmdclHYAU-/0/1768831965289?e=2147483647&amp;v=beta&amp;t=C6okQidFd6aKOHZ6QWR0i1QHSbtCL2BGsg8UIFDqpRk","View Creative")</f>
        <v>View Creative</v>
      </c>
      <c r="L5730" s="6" t="s">
        <v>62</v>
      </c>
      <c r="M5730" s="6" t="s">
        <v>7390</v>
      </c>
      <c r="N5730" s="6" t="s">
        <v>8681</v>
      </c>
      <c r="O5730" s="36" t="s">
        <v>7541</v>
      </c>
      <c r="P5730" s="36" t="s">
        <v>7542</v>
      </c>
      <c r="Q5730" s="38"/>
    </row>
    <row r="5731">
      <c r="A5731" s="6" t="s">
        <v>7390</v>
      </c>
      <c r="B5731" s="6" t="s">
        <v>8580</v>
      </c>
      <c r="C5731" s="6">
        <v>211.0</v>
      </c>
      <c r="D5731" s="9" t="str">
        <f t="shared" si="1849"/>
        <v>Open Ad</v>
      </c>
      <c r="E5731" s="6" t="s">
        <v>91</v>
      </c>
      <c r="F5731" s="6" t="s">
        <v>8022</v>
      </c>
      <c r="G5731" s="6" t="s">
        <v>8687</v>
      </c>
      <c r="H5731" s="6" t="s">
        <v>55</v>
      </c>
      <c r="I5731" s="6" t="s">
        <v>8582</v>
      </c>
      <c r="J5731" s="6" t="s">
        <v>91</v>
      </c>
      <c r="K5731" s="12" t="str">
        <f t="shared" si="1850"/>
        <v>View Creative</v>
      </c>
      <c r="L5731" s="6" t="s">
        <v>62</v>
      </c>
      <c r="M5731" s="6" t="s">
        <v>7390</v>
      </c>
      <c r="N5731" s="6" t="s">
        <v>8681</v>
      </c>
      <c r="O5731" s="36" t="s">
        <v>7541</v>
      </c>
      <c r="P5731" s="36" t="s">
        <v>7542</v>
      </c>
      <c r="Q5731" s="38"/>
    </row>
    <row r="5732">
      <c r="A5732" s="6" t="s">
        <v>7390</v>
      </c>
      <c r="B5732" s="6" t="s">
        <v>8580</v>
      </c>
      <c r="C5732" s="6">
        <v>212.0</v>
      </c>
      <c r="D5732" s="9" t="str">
        <f t="shared" ref="D5732:D5733" si="1851">HYPERLINK("https://www.linkedin.com/ad-library/detail/1221203443","Open Ad")</f>
        <v>Open Ad</v>
      </c>
      <c r="E5732" s="6" t="s">
        <v>91</v>
      </c>
      <c r="F5732" s="6" t="s">
        <v>8022</v>
      </c>
      <c r="G5732" s="6" t="s">
        <v>8674</v>
      </c>
      <c r="H5732" s="6" t="s">
        <v>55</v>
      </c>
      <c r="I5732" s="6" t="s">
        <v>8582</v>
      </c>
      <c r="J5732" s="6" t="s">
        <v>91</v>
      </c>
      <c r="K5732" s="12" t="str">
        <f t="shared" ref="K5732:K5733" si="1852">HYPERLINK("https://media.licdn.com/dms/image/v2/D4D10AQGQIJq-FhRa0Q/image-shrink_1280/B4DZ0Ql3MbH4Ac-/0/1774099854350/2png?e=2147483647&amp;v=beta&amp;t=y1v-SxIxcwPrXsKf7HVvVNTO_-psFrVBwCn6chrjqNo","View Creative")</f>
        <v>View Creative</v>
      </c>
      <c r="L5732" s="6" t="s">
        <v>62</v>
      </c>
      <c r="M5732" s="6" t="s">
        <v>7390</v>
      </c>
      <c r="N5732" s="6" t="s">
        <v>8679</v>
      </c>
      <c r="O5732" s="36" t="s">
        <v>7541</v>
      </c>
      <c r="P5732" s="36" t="s">
        <v>7542</v>
      </c>
      <c r="Q5732" s="38"/>
    </row>
    <row r="5733">
      <c r="A5733" s="6" t="s">
        <v>7390</v>
      </c>
      <c r="B5733" s="6" t="s">
        <v>8580</v>
      </c>
      <c r="C5733" s="6">
        <v>213.0</v>
      </c>
      <c r="D5733" s="9" t="str">
        <f t="shared" si="1851"/>
        <v>Open Ad</v>
      </c>
      <c r="E5733" s="6" t="s">
        <v>91</v>
      </c>
      <c r="F5733" s="6" t="s">
        <v>8022</v>
      </c>
      <c r="G5733" s="6" t="s">
        <v>8674</v>
      </c>
      <c r="H5733" s="6" t="s">
        <v>55</v>
      </c>
      <c r="I5733" s="6" t="s">
        <v>8582</v>
      </c>
      <c r="J5733" s="6" t="s">
        <v>91</v>
      </c>
      <c r="K5733" s="12" t="str">
        <f t="shared" si="1852"/>
        <v>View Creative</v>
      </c>
      <c r="L5733" s="6" t="s">
        <v>62</v>
      </c>
      <c r="M5733" s="6" t="s">
        <v>7390</v>
      </c>
      <c r="N5733" s="6" t="s">
        <v>8679</v>
      </c>
      <c r="O5733" s="36" t="s">
        <v>7541</v>
      </c>
      <c r="P5733" s="36" t="s">
        <v>7542</v>
      </c>
      <c r="Q5733" s="38"/>
    </row>
    <row r="5734">
      <c r="A5734" s="6" t="s">
        <v>7390</v>
      </c>
      <c r="B5734" s="6" t="s">
        <v>8580</v>
      </c>
      <c r="C5734" s="6">
        <v>214.0</v>
      </c>
      <c r="D5734" s="9" t="str">
        <f t="shared" ref="D5734:D5735" si="1853">HYPERLINK("https://www.linkedin.com/ad-library/detail/1202117773","Open Ad")</f>
        <v>Open Ad</v>
      </c>
      <c r="E5734" s="6" t="s">
        <v>91</v>
      </c>
      <c r="F5734" s="6" t="s">
        <v>8022</v>
      </c>
      <c r="G5734" s="6" t="s">
        <v>8688</v>
      </c>
      <c r="H5734" s="6" t="s">
        <v>55</v>
      </c>
      <c r="I5734" s="6" t="s">
        <v>8582</v>
      </c>
      <c r="J5734" s="6" t="s">
        <v>91</v>
      </c>
      <c r="K5734" s="12" t="str">
        <f t="shared" ref="K5734:K5735" si="1854">HYPERLINK("https://media.licdn.com/dms/image/v2/D4D22AQEwfnOHr1Dn-Q/feedshare-image-high-res/B4DZ0.ZpojHcAU-/0/1774868405273?e=2147483647&amp;v=beta&amp;t=jo09s_hv6E6fcjk9YBdX0lfTT64ZMzlLnyLE3cdAOk0","View Creative")</f>
        <v>View Creative</v>
      </c>
      <c r="L5734" s="6" t="s">
        <v>62</v>
      </c>
      <c r="M5734" s="6" t="s">
        <v>7390</v>
      </c>
      <c r="N5734" s="6" t="s">
        <v>8689</v>
      </c>
      <c r="O5734" s="36" t="s">
        <v>7541</v>
      </c>
      <c r="P5734" s="36" t="s">
        <v>7542</v>
      </c>
      <c r="Q5734" s="38"/>
    </row>
    <row r="5735">
      <c r="A5735" s="6" t="s">
        <v>7390</v>
      </c>
      <c r="B5735" s="6" t="s">
        <v>8580</v>
      </c>
      <c r="C5735" s="6">
        <v>215.0</v>
      </c>
      <c r="D5735" s="9" t="str">
        <f t="shared" si="1853"/>
        <v>Open Ad</v>
      </c>
      <c r="E5735" s="6" t="s">
        <v>91</v>
      </c>
      <c r="F5735" s="6" t="s">
        <v>8022</v>
      </c>
      <c r="G5735" s="6" t="s">
        <v>8688</v>
      </c>
      <c r="H5735" s="6" t="s">
        <v>55</v>
      </c>
      <c r="I5735" s="6" t="s">
        <v>8582</v>
      </c>
      <c r="J5735" s="6" t="s">
        <v>91</v>
      </c>
      <c r="K5735" s="12" t="str">
        <f t="shared" si="1854"/>
        <v>View Creative</v>
      </c>
      <c r="L5735" s="6" t="s">
        <v>62</v>
      </c>
      <c r="M5735" s="6" t="s">
        <v>7390</v>
      </c>
      <c r="N5735" s="6" t="s">
        <v>8689</v>
      </c>
      <c r="O5735" s="36" t="s">
        <v>7541</v>
      </c>
      <c r="P5735" s="36" t="s">
        <v>7542</v>
      </c>
      <c r="Q5735" s="38"/>
    </row>
    <row r="5736">
      <c r="A5736" s="6" t="s">
        <v>7390</v>
      </c>
      <c r="B5736" s="6" t="s">
        <v>8580</v>
      </c>
      <c r="C5736" s="6">
        <v>216.0</v>
      </c>
      <c r="D5736" s="9" t="str">
        <f t="shared" ref="D5736:D5737" si="1855">HYPERLINK("https://www.linkedin.com/ad-library/detail/1201429183","Open Ad")</f>
        <v>Open Ad</v>
      </c>
      <c r="E5736" s="6" t="s">
        <v>91</v>
      </c>
      <c r="F5736" s="6" t="s">
        <v>8022</v>
      </c>
      <c r="G5736" s="6" t="s">
        <v>8690</v>
      </c>
      <c r="H5736" s="6" t="s">
        <v>8691</v>
      </c>
      <c r="I5736" s="6" t="s">
        <v>8582</v>
      </c>
      <c r="J5736" s="6" t="s">
        <v>91</v>
      </c>
      <c r="K5736" s="12" t="str">
        <f t="shared" ref="K5736:K5737" si="1856">HYPERLINK("https://media.licdn.com/dms/image/v2/D4D22AQE3vU7u2WAVOw/feedshare-shrink_800/B4DZzSA1iPHwAc-/0/1773049960853?e=2147483647&amp;v=beta&amp;t=Okih-CExFe-0rlCOR4IEW8caG2lwKM1jNLufmWBFupo","View Creative")</f>
        <v>View Creative</v>
      </c>
      <c r="L5736" s="6" t="s">
        <v>62</v>
      </c>
      <c r="M5736" s="6" t="s">
        <v>7390</v>
      </c>
      <c r="N5736" s="6" t="s">
        <v>8692</v>
      </c>
      <c r="O5736" s="36" t="s">
        <v>7541</v>
      </c>
      <c r="P5736" s="36" t="s">
        <v>7542</v>
      </c>
      <c r="Q5736" s="38"/>
    </row>
    <row r="5737">
      <c r="A5737" s="6" t="s">
        <v>7390</v>
      </c>
      <c r="B5737" s="6" t="s">
        <v>8580</v>
      </c>
      <c r="C5737" s="6">
        <v>217.0</v>
      </c>
      <c r="D5737" s="9" t="str">
        <f t="shared" si="1855"/>
        <v>Open Ad</v>
      </c>
      <c r="E5737" s="6" t="s">
        <v>91</v>
      </c>
      <c r="F5737" s="6" t="s">
        <v>8022</v>
      </c>
      <c r="G5737" s="6" t="s">
        <v>8690</v>
      </c>
      <c r="H5737" s="6" t="s">
        <v>8691</v>
      </c>
      <c r="I5737" s="6" t="s">
        <v>8582</v>
      </c>
      <c r="J5737" s="6" t="s">
        <v>91</v>
      </c>
      <c r="K5737" s="12" t="str">
        <f t="shared" si="1856"/>
        <v>View Creative</v>
      </c>
      <c r="L5737" s="6" t="s">
        <v>62</v>
      </c>
      <c r="M5737" s="6" t="s">
        <v>7390</v>
      </c>
      <c r="N5737" s="6" t="s">
        <v>8692</v>
      </c>
      <c r="O5737" s="36" t="s">
        <v>7541</v>
      </c>
      <c r="P5737" s="36" t="s">
        <v>7542</v>
      </c>
      <c r="Q5737" s="38"/>
    </row>
    <row r="5738">
      <c r="A5738" s="6" t="s">
        <v>7390</v>
      </c>
      <c r="B5738" s="6" t="s">
        <v>8580</v>
      </c>
      <c r="C5738" s="6">
        <v>218.0</v>
      </c>
      <c r="D5738" s="9" t="str">
        <f t="shared" ref="D5738:D5739" si="1857">HYPERLINK("https://www.linkedin.com/ad-library/detail/1196700293","Open Ad")</f>
        <v>Open Ad</v>
      </c>
      <c r="E5738" s="6" t="s">
        <v>91</v>
      </c>
      <c r="F5738" s="6" t="s">
        <v>8022</v>
      </c>
      <c r="G5738" s="6" t="s">
        <v>8674</v>
      </c>
      <c r="H5738" s="6" t="s">
        <v>55</v>
      </c>
      <c r="I5738" s="6" t="s">
        <v>8582</v>
      </c>
      <c r="J5738" s="6" t="s">
        <v>91</v>
      </c>
      <c r="K5738" s="12" t="str">
        <f t="shared" ref="K5738:K5739" si="1858">HYPERLINK("https://media.licdn.com/dms/image/v2/D4D10AQGQIJq-FhRa0Q/image-shrink_1280/B4DZ0Ql3MbH4Ac-/0/1774099854350/2png?e=2147483647&amp;v=beta&amp;t=y1v-SxIxcwPrXsKf7HVvVNTO_-psFrVBwCn6chrjqNo","View Creative")</f>
        <v>View Creative</v>
      </c>
      <c r="L5738" s="6" t="s">
        <v>62</v>
      </c>
      <c r="M5738" s="6" t="s">
        <v>7390</v>
      </c>
      <c r="N5738" s="6" t="s">
        <v>8678</v>
      </c>
      <c r="O5738" s="36" t="s">
        <v>7541</v>
      </c>
      <c r="P5738" s="36" t="s">
        <v>7542</v>
      </c>
      <c r="Q5738" s="38"/>
    </row>
    <row r="5739">
      <c r="A5739" s="6" t="s">
        <v>7390</v>
      </c>
      <c r="B5739" s="6" t="s">
        <v>8580</v>
      </c>
      <c r="C5739" s="6">
        <v>219.0</v>
      </c>
      <c r="D5739" s="9" t="str">
        <f t="shared" si="1857"/>
        <v>Open Ad</v>
      </c>
      <c r="E5739" s="6" t="s">
        <v>91</v>
      </c>
      <c r="F5739" s="6" t="s">
        <v>8022</v>
      </c>
      <c r="G5739" s="6" t="s">
        <v>8674</v>
      </c>
      <c r="H5739" s="6" t="s">
        <v>55</v>
      </c>
      <c r="I5739" s="6" t="s">
        <v>8582</v>
      </c>
      <c r="J5739" s="6" t="s">
        <v>91</v>
      </c>
      <c r="K5739" s="12" t="str">
        <f t="shared" si="1858"/>
        <v>View Creative</v>
      </c>
      <c r="L5739" s="6" t="s">
        <v>62</v>
      </c>
      <c r="M5739" s="6" t="s">
        <v>7390</v>
      </c>
      <c r="N5739" s="6" t="s">
        <v>8678</v>
      </c>
      <c r="O5739" s="36" t="s">
        <v>7541</v>
      </c>
      <c r="P5739" s="36" t="s">
        <v>7542</v>
      </c>
      <c r="Q5739" s="38"/>
    </row>
    <row r="5740">
      <c r="A5740" s="6" t="s">
        <v>7390</v>
      </c>
      <c r="B5740" s="6" t="s">
        <v>8580</v>
      </c>
      <c r="C5740" s="6">
        <v>220.0</v>
      </c>
      <c r="D5740" s="9" t="str">
        <f t="shared" ref="D5740:D5741" si="1859">HYPERLINK("https://www.linkedin.com/ad-library/detail/1201527723","Open Ad")</f>
        <v>Open Ad</v>
      </c>
      <c r="E5740" s="6" t="s">
        <v>91</v>
      </c>
      <c r="F5740" s="6" t="s">
        <v>8022</v>
      </c>
      <c r="G5740" s="6" t="s">
        <v>8693</v>
      </c>
      <c r="H5740" s="6" t="s">
        <v>55</v>
      </c>
      <c r="I5740" s="6" t="s">
        <v>8582</v>
      </c>
      <c r="J5740" s="6" t="s">
        <v>91</v>
      </c>
      <c r="K5740" s="12" t="str">
        <f t="shared" ref="K5740:K5741" si="1860">HYPERLINK("https://media.licdn.com/dms/image/v2/D4E22AQF43ox8lkN-bA/feedshare-shrink_1280/B4EZzcXMPQHgAQ-/0/1773223593560?e=2147483647&amp;v=beta&amp;t=zjtuBHzDF8lSrGXL1eXMr3DFh81zfjNOsX3HkrUk_QI","View Creative")</f>
        <v>View Creative</v>
      </c>
      <c r="L5740" s="6" t="s">
        <v>62</v>
      </c>
      <c r="M5740" s="6" t="s">
        <v>7390</v>
      </c>
      <c r="N5740" s="6" t="s">
        <v>8692</v>
      </c>
      <c r="O5740" s="36" t="s">
        <v>7541</v>
      </c>
      <c r="P5740" s="36" t="s">
        <v>7542</v>
      </c>
      <c r="Q5740" s="38"/>
    </row>
    <row r="5741">
      <c r="A5741" s="6" t="s">
        <v>7390</v>
      </c>
      <c r="B5741" s="6" t="s">
        <v>8580</v>
      </c>
      <c r="C5741" s="6">
        <v>221.0</v>
      </c>
      <c r="D5741" s="9" t="str">
        <f t="shared" si="1859"/>
        <v>Open Ad</v>
      </c>
      <c r="E5741" s="6" t="s">
        <v>91</v>
      </c>
      <c r="F5741" s="6" t="s">
        <v>8022</v>
      </c>
      <c r="G5741" s="6" t="s">
        <v>8693</v>
      </c>
      <c r="H5741" s="6" t="s">
        <v>55</v>
      </c>
      <c r="I5741" s="6" t="s">
        <v>8582</v>
      </c>
      <c r="J5741" s="6" t="s">
        <v>91</v>
      </c>
      <c r="K5741" s="12" t="str">
        <f t="shared" si="1860"/>
        <v>View Creative</v>
      </c>
      <c r="L5741" s="6" t="s">
        <v>62</v>
      </c>
      <c r="M5741" s="6" t="s">
        <v>7390</v>
      </c>
      <c r="N5741" s="6" t="s">
        <v>8692</v>
      </c>
      <c r="O5741" s="36" t="s">
        <v>7541</v>
      </c>
      <c r="P5741" s="36" t="s">
        <v>7542</v>
      </c>
      <c r="Q5741" s="38"/>
    </row>
    <row r="5742">
      <c r="A5742" s="6" t="s">
        <v>7390</v>
      </c>
      <c r="B5742" s="6" t="s">
        <v>8580</v>
      </c>
      <c r="C5742" s="6">
        <v>222.0</v>
      </c>
      <c r="D5742" s="9" t="str">
        <f t="shared" ref="D5742:D5743" si="1861">HYPERLINK("https://www.linkedin.com/ad-library/detail/1196015963","Open Ad")</f>
        <v>Open Ad</v>
      </c>
      <c r="E5742" s="6" t="s">
        <v>91</v>
      </c>
      <c r="F5742" s="6" t="s">
        <v>8022</v>
      </c>
      <c r="G5742" s="6" t="s">
        <v>8649</v>
      </c>
      <c r="H5742" s="6" t="s">
        <v>55</v>
      </c>
      <c r="I5742" s="6" t="s">
        <v>8582</v>
      </c>
      <c r="J5742" s="6" t="s">
        <v>91</v>
      </c>
      <c r="K5742" s="12" t="str">
        <f t="shared" ref="K5742:K5743" si="1862">HYPERLINK("https://media.licdn.com/dms/image/v2/D4D10AQGQIJq-FhRa0Q/image-shrink_1280/B4DZ0Ql3MbH4Ac-/0/1774099854350/2png?e=2147483647&amp;v=beta&amp;t=y1v-SxIxcwPrXsKf7HVvVNTO_-psFrVBwCn6chrjqNo","View Creative")</f>
        <v>View Creative</v>
      </c>
      <c r="L5742" s="6" t="s">
        <v>62</v>
      </c>
      <c r="M5742" s="6" t="s">
        <v>7390</v>
      </c>
      <c r="N5742" s="6" t="s">
        <v>8678</v>
      </c>
      <c r="O5742" s="36" t="s">
        <v>7541</v>
      </c>
      <c r="P5742" s="36" t="s">
        <v>7542</v>
      </c>
      <c r="Q5742" s="38"/>
    </row>
    <row r="5743">
      <c r="A5743" s="6" t="s">
        <v>7390</v>
      </c>
      <c r="B5743" s="6" t="s">
        <v>8580</v>
      </c>
      <c r="C5743" s="6">
        <v>223.0</v>
      </c>
      <c r="D5743" s="9" t="str">
        <f t="shared" si="1861"/>
        <v>Open Ad</v>
      </c>
      <c r="E5743" s="6" t="s">
        <v>91</v>
      </c>
      <c r="F5743" s="6" t="s">
        <v>8022</v>
      </c>
      <c r="G5743" s="6" t="s">
        <v>8649</v>
      </c>
      <c r="H5743" s="6" t="s">
        <v>55</v>
      </c>
      <c r="I5743" s="6" t="s">
        <v>8582</v>
      </c>
      <c r="J5743" s="6" t="s">
        <v>91</v>
      </c>
      <c r="K5743" s="12" t="str">
        <f t="shared" si="1862"/>
        <v>View Creative</v>
      </c>
      <c r="L5743" s="6" t="s">
        <v>62</v>
      </c>
      <c r="M5743" s="6" t="s">
        <v>7390</v>
      </c>
      <c r="N5743" s="6" t="s">
        <v>8678</v>
      </c>
      <c r="O5743" s="36" t="s">
        <v>7541</v>
      </c>
      <c r="P5743" s="36" t="s">
        <v>7542</v>
      </c>
      <c r="Q5743" s="38"/>
    </row>
    <row r="5744">
      <c r="A5744" s="6" t="s">
        <v>7390</v>
      </c>
      <c r="B5744" s="6" t="s">
        <v>8580</v>
      </c>
      <c r="C5744" s="6">
        <v>224.0</v>
      </c>
      <c r="D5744" s="9" t="str">
        <f t="shared" ref="D5744:D5745" si="1863">HYPERLINK("https://www.linkedin.com/ad-library/detail/1189186973","Open Ad")</f>
        <v>Open Ad</v>
      </c>
      <c r="E5744" s="6" t="s">
        <v>91</v>
      </c>
      <c r="F5744" s="6" t="s">
        <v>8022</v>
      </c>
      <c r="G5744" s="6" t="s">
        <v>8661</v>
      </c>
      <c r="H5744" s="6" t="s">
        <v>55</v>
      </c>
      <c r="I5744" s="6" t="s">
        <v>8582</v>
      </c>
      <c r="J5744" s="6" t="s">
        <v>91</v>
      </c>
      <c r="K5744" s="12" t="str">
        <f t="shared" ref="K5744:K5745" si="1864">HYPERLINK("https://media.licdn.com/dms/image/v2/D4D22AQEpPd3zrIcUvA/feedshare-shrink_1280/B4DZuOBLGhHwAs-/0/1767614231642?e=2147483647&amp;v=beta&amp;t=EhdyF1CtAC-GmZ2V62SjOTQxwOT9ysHWGe9yuqWZbNA","View Creative")</f>
        <v>View Creative</v>
      </c>
      <c r="L5744" s="6" t="s">
        <v>62</v>
      </c>
      <c r="M5744" s="6" t="s">
        <v>7390</v>
      </c>
      <c r="N5744" s="6" t="s">
        <v>8686</v>
      </c>
      <c r="O5744" s="36" t="s">
        <v>7541</v>
      </c>
      <c r="P5744" s="36" t="s">
        <v>7542</v>
      </c>
      <c r="Q5744" s="38"/>
    </row>
    <row r="5745">
      <c r="A5745" s="6" t="s">
        <v>7390</v>
      </c>
      <c r="B5745" s="6" t="s">
        <v>8580</v>
      </c>
      <c r="C5745" s="6">
        <v>225.0</v>
      </c>
      <c r="D5745" s="9" t="str">
        <f t="shared" si="1863"/>
        <v>Open Ad</v>
      </c>
      <c r="E5745" s="6" t="s">
        <v>91</v>
      </c>
      <c r="F5745" s="6" t="s">
        <v>8022</v>
      </c>
      <c r="G5745" s="6" t="s">
        <v>8661</v>
      </c>
      <c r="H5745" s="6" t="s">
        <v>55</v>
      </c>
      <c r="I5745" s="6" t="s">
        <v>8582</v>
      </c>
      <c r="J5745" s="6" t="s">
        <v>91</v>
      </c>
      <c r="K5745" s="12" t="str">
        <f t="shared" si="1864"/>
        <v>View Creative</v>
      </c>
      <c r="L5745" s="6" t="s">
        <v>62</v>
      </c>
      <c r="M5745" s="6" t="s">
        <v>7390</v>
      </c>
      <c r="N5745" s="6" t="s">
        <v>8686</v>
      </c>
      <c r="O5745" s="36" t="s">
        <v>7541</v>
      </c>
      <c r="P5745" s="36" t="s">
        <v>7542</v>
      </c>
      <c r="Q5745" s="38"/>
    </row>
    <row r="5746">
      <c r="A5746" s="6" t="s">
        <v>7390</v>
      </c>
      <c r="B5746" s="6" t="s">
        <v>8580</v>
      </c>
      <c r="C5746" s="6">
        <v>226.0</v>
      </c>
      <c r="D5746" s="9" t="str">
        <f>HYPERLINK("https://www.linkedin.com/ad-library/detail/1187787623","Open Ad")</f>
        <v>Open Ad</v>
      </c>
      <c r="E5746" s="6" t="s">
        <v>52</v>
      </c>
      <c r="F5746" s="6" t="s">
        <v>8022</v>
      </c>
      <c r="G5746" s="6" t="s">
        <v>8694</v>
      </c>
      <c r="H5746" s="6" t="s">
        <v>55</v>
      </c>
      <c r="I5746" s="6" t="s">
        <v>8582</v>
      </c>
      <c r="J5746" s="6" t="s">
        <v>52</v>
      </c>
      <c r="K5746" s="6" t="s">
        <v>60</v>
      </c>
      <c r="L5746" s="6" t="s">
        <v>62</v>
      </c>
      <c r="M5746" s="6" t="s">
        <v>7390</v>
      </c>
      <c r="N5746" s="6" t="s">
        <v>8686</v>
      </c>
      <c r="O5746" s="36" t="s">
        <v>7541</v>
      </c>
      <c r="P5746" s="36" t="s">
        <v>7542</v>
      </c>
      <c r="Q5746" s="38"/>
    </row>
    <row r="5747">
      <c r="A5747" s="6" t="s">
        <v>7390</v>
      </c>
      <c r="B5747" s="6" t="s">
        <v>8580</v>
      </c>
      <c r="C5747" s="6">
        <v>227.0</v>
      </c>
      <c r="D5747" s="9" t="str">
        <f t="shared" ref="D5747:D5748" si="1865">HYPERLINK("https://www.linkedin.com/ad-library/detail/1222401013","Open Ad")</f>
        <v>Open Ad</v>
      </c>
      <c r="E5747" s="6" t="s">
        <v>91</v>
      </c>
      <c r="F5747" s="6" t="s">
        <v>8022</v>
      </c>
      <c r="G5747" s="6" t="s">
        <v>8695</v>
      </c>
      <c r="H5747" s="6" t="s">
        <v>55</v>
      </c>
      <c r="I5747" s="6" t="s">
        <v>8582</v>
      </c>
      <c r="J5747" s="6" t="s">
        <v>91</v>
      </c>
      <c r="K5747" s="12" t="str">
        <f t="shared" ref="K5747:K5748" si="1866">HYPERLINK("https://media.licdn.com/dms/image/v2/D4D10AQFIsbOCNkt2Ig/image-shrink_1280/B4DZ0QlADZJQAc-/0/1774099628490/1png?e=2147483647&amp;v=beta&amp;t=2bXNzGLfmV7K4XCQP5wb3G5UQwgziX9nmiMDhLo4CeI","View Creative")</f>
        <v>View Creative</v>
      </c>
      <c r="L5747" s="6" t="s">
        <v>62</v>
      </c>
      <c r="M5747" s="6" t="s">
        <v>7390</v>
      </c>
      <c r="N5747" s="6" t="s">
        <v>8679</v>
      </c>
      <c r="O5747" s="36" t="s">
        <v>7541</v>
      </c>
      <c r="P5747" s="36" t="s">
        <v>7542</v>
      </c>
      <c r="Q5747" s="38"/>
    </row>
    <row r="5748">
      <c r="A5748" s="6" t="s">
        <v>7390</v>
      </c>
      <c r="B5748" s="6" t="s">
        <v>8580</v>
      </c>
      <c r="C5748" s="6">
        <v>228.0</v>
      </c>
      <c r="D5748" s="9" t="str">
        <f t="shared" si="1865"/>
        <v>Open Ad</v>
      </c>
      <c r="E5748" s="6" t="s">
        <v>91</v>
      </c>
      <c r="F5748" s="6" t="s">
        <v>8022</v>
      </c>
      <c r="G5748" s="6" t="s">
        <v>8695</v>
      </c>
      <c r="H5748" s="6" t="s">
        <v>55</v>
      </c>
      <c r="I5748" s="6" t="s">
        <v>8582</v>
      </c>
      <c r="J5748" s="6" t="s">
        <v>91</v>
      </c>
      <c r="K5748" s="12" t="str">
        <f t="shared" si="1866"/>
        <v>View Creative</v>
      </c>
      <c r="L5748" s="6" t="s">
        <v>62</v>
      </c>
      <c r="M5748" s="6" t="s">
        <v>7390</v>
      </c>
      <c r="N5748" s="6" t="s">
        <v>8679</v>
      </c>
      <c r="O5748" s="36" t="s">
        <v>7541</v>
      </c>
      <c r="P5748" s="36" t="s">
        <v>7542</v>
      </c>
      <c r="Q5748" s="38"/>
    </row>
    <row r="5749">
      <c r="A5749" s="6" t="s">
        <v>7390</v>
      </c>
      <c r="B5749" s="6" t="s">
        <v>8580</v>
      </c>
      <c r="C5749" s="6">
        <v>229.0</v>
      </c>
      <c r="D5749" s="9" t="str">
        <f t="shared" ref="D5749:D5750" si="1867">HYPERLINK("https://www.linkedin.com/ad-library/detail/1197905083","Open Ad")</f>
        <v>Open Ad</v>
      </c>
      <c r="E5749" s="6" t="s">
        <v>91</v>
      </c>
      <c r="F5749" s="6" t="s">
        <v>8022</v>
      </c>
      <c r="G5749" s="6" t="s">
        <v>8696</v>
      </c>
      <c r="H5749" s="6" t="s">
        <v>8697</v>
      </c>
      <c r="I5749" s="6" t="s">
        <v>8582</v>
      </c>
      <c r="J5749" s="6" t="s">
        <v>91</v>
      </c>
      <c r="K5749" s="12" t="str">
        <f t="shared" ref="K5749:K5750" si="1868">HYPERLINK("https://media.licdn.com/dms/image/v2/D4D22AQEqsp7xi1RQVg/feedshare-shrink_1280/B4DZy6JVc9I4Ag-/0/1772649535735?e=2147483647&amp;v=beta&amp;t=Hw5S_sLbBGGVCAtFRwZ2H8ERbvSc0GsxOEeI-IMpQEM","View Creative")</f>
        <v>View Creative</v>
      </c>
      <c r="L5749" s="6" t="s">
        <v>62</v>
      </c>
      <c r="M5749" s="6" t="s">
        <v>7390</v>
      </c>
      <c r="N5749" s="6" t="s">
        <v>8698</v>
      </c>
      <c r="O5749" s="36" t="s">
        <v>7541</v>
      </c>
      <c r="P5749" s="36" t="s">
        <v>7542</v>
      </c>
      <c r="Q5749" s="38"/>
    </row>
    <row r="5750">
      <c r="A5750" s="6" t="s">
        <v>7390</v>
      </c>
      <c r="B5750" s="6" t="s">
        <v>8580</v>
      </c>
      <c r="C5750" s="6">
        <v>230.0</v>
      </c>
      <c r="D5750" s="9" t="str">
        <f t="shared" si="1867"/>
        <v>Open Ad</v>
      </c>
      <c r="E5750" s="6" t="s">
        <v>91</v>
      </c>
      <c r="F5750" s="6" t="s">
        <v>8022</v>
      </c>
      <c r="G5750" s="6" t="s">
        <v>8696</v>
      </c>
      <c r="H5750" s="6" t="s">
        <v>8697</v>
      </c>
      <c r="I5750" s="6" t="s">
        <v>8582</v>
      </c>
      <c r="J5750" s="6" t="s">
        <v>91</v>
      </c>
      <c r="K5750" s="12" t="str">
        <f t="shared" si="1868"/>
        <v>View Creative</v>
      </c>
      <c r="L5750" s="6" t="s">
        <v>62</v>
      </c>
      <c r="M5750" s="6" t="s">
        <v>7390</v>
      </c>
      <c r="N5750" s="6" t="s">
        <v>8698</v>
      </c>
      <c r="O5750" s="36" t="s">
        <v>7541</v>
      </c>
      <c r="P5750" s="36" t="s">
        <v>7542</v>
      </c>
      <c r="Q5750" s="38"/>
    </row>
    <row r="5751">
      <c r="A5751" s="6" t="s">
        <v>7390</v>
      </c>
      <c r="B5751" s="6" t="s">
        <v>8580</v>
      </c>
      <c r="C5751" s="6">
        <v>231.0</v>
      </c>
      <c r="D5751" s="9" t="str">
        <f t="shared" ref="D5751:D5752" si="1869">HYPERLINK("https://www.linkedin.com/ad-library/detail/1223481573","Open Ad")</f>
        <v>Open Ad</v>
      </c>
      <c r="E5751" s="6" t="s">
        <v>91</v>
      </c>
      <c r="F5751" s="6" t="s">
        <v>8022</v>
      </c>
      <c r="G5751" s="6" t="s">
        <v>8699</v>
      </c>
      <c r="H5751" s="6" t="s">
        <v>55</v>
      </c>
      <c r="I5751" s="6" t="s">
        <v>8582</v>
      </c>
      <c r="J5751" s="6" t="s">
        <v>91</v>
      </c>
      <c r="K5751" s="12" t="str">
        <f t="shared" ref="K5751:K5752" si="1870">HYPERLINK("https://media.licdn.com/dms/image/v2/D4D10AQGKomDvXYwzuw/image-shrink_1280/B4DZ20scxHI0Ag-/0/1776853044626/omripng?e=2147483647&amp;v=beta&amp;t=xXnmgkSdh8Iqkylj7bCIducYO4Fth9XE2UqExqncLFU","View Creative")</f>
        <v>View Creative</v>
      </c>
      <c r="L5751" s="6" t="s">
        <v>62</v>
      </c>
      <c r="M5751" s="6" t="s">
        <v>7390</v>
      </c>
      <c r="N5751" s="6" t="s">
        <v>8679</v>
      </c>
      <c r="O5751" s="36" t="s">
        <v>7541</v>
      </c>
      <c r="P5751" s="36" t="s">
        <v>7542</v>
      </c>
      <c r="Q5751" s="38"/>
    </row>
    <row r="5752">
      <c r="A5752" s="6" t="s">
        <v>7390</v>
      </c>
      <c r="B5752" s="6" t="s">
        <v>8580</v>
      </c>
      <c r="C5752" s="6">
        <v>232.0</v>
      </c>
      <c r="D5752" s="9" t="str">
        <f t="shared" si="1869"/>
        <v>Open Ad</v>
      </c>
      <c r="E5752" s="6" t="s">
        <v>91</v>
      </c>
      <c r="F5752" s="6" t="s">
        <v>8022</v>
      </c>
      <c r="G5752" s="6" t="s">
        <v>8699</v>
      </c>
      <c r="H5752" s="6" t="s">
        <v>55</v>
      </c>
      <c r="I5752" s="6" t="s">
        <v>8582</v>
      </c>
      <c r="J5752" s="6" t="s">
        <v>91</v>
      </c>
      <c r="K5752" s="12" t="str">
        <f t="shared" si="1870"/>
        <v>View Creative</v>
      </c>
      <c r="L5752" s="6" t="s">
        <v>62</v>
      </c>
      <c r="M5752" s="6" t="s">
        <v>7390</v>
      </c>
      <c r="N5752" s="6" t="s">
        <v>8679</v>
      </c>
      <c r="O5752" s="36" t="s">
        <v>7541</v>
      </c>
      <c r="P5752" s="36" t="s">
        <v>7542</v>
      </c>
      <c r="Q5752" s="38"/>
    </row>
    <row r="5753">
      <c r="A5753" s="6" t="s">
        <v>7390</v>
      </c>
      <c r="B5753" s="6" t="s">
        <v>8580</v>
      </c>
      <c r="C5753" s="6">
        <v>233.0</v>
      </c>
      <c r="D5753" s="9" t="str">
        <f t="shared" ref="D5753:D5754" si="1871">HYPERLINK("https://www.linkedin.com/ad-library/detail/1189287793","Open Ad")</f>
        <v>Open Ad</v>
      </c>
      <c r="E5753" s="6" t="s">
        <v>91</v>
      </c>
      <c r="F5753" s="6" t="s">
        <v>8022</v>
      </c>
      <c r="G5753" s="6" t="s">
        <v>8700</v>
      </c>
      <c r="H5753" s="6" t="s">
        <v>55</v>
      </c>
      <c r="I5753" s="6" t="s">
        <v>8582</v>
      </c>
      <c r="J5753" s="6" t="s">
        <v>91</v>
      </c>
      <c r="K5753" s="12" t="str">
        <f t="shared" ref="K5753:K5754" si="1872">HYPERLINK("https://media.licdn.com/dms/image/v2/D4D22AQEZdqQW8NpAIQ/feedshare-shrink_1280/B4DZx8Jj9tG0Ac-/0/1771609407915?e=2147483647&amp;v=beta&amp;t=PaXop3I3Oykhvs2HDm9Ww4zIU4_vAq4308yTAnNW70s","View Creative")</f>
        <v>View Creative</v>
      </c>
      <c r="L5753" s="6" t="s">
        <v>62</v>
      </c>
      <c r="M5753" s="6" t="s">
        <v>7390</v>
      </c>
      <c r="N5753" s="6" t="s">
        <v>8686</v>
      </c>
      <c r="O5753" s="36" t="s">
        <v>7541</v>
      </c>
      <c r="P5753" s="36" t="s">
        <v>7542</v>
      </c>
      <c r="Q5753" s="38"/>
    </row>
    <row r="5754">
      <c r="A5754" s="6" t="s">
        <v>7390</v>
      </c>
      <c r="B5754" s="6" t="s">
        <v>8580</v>
      </c>
      <c r="C5754" s="6">
        <v>234.0</v>
      </c>
      <c r="D5754" s="9" t="str">
        <f t="shared" si="1871"/>
        <v>Open Ad</v>
      </c>
      <c r="E5754" s="6" t="s">
        <v>91</v>
      </c>
      <c r="F5754" s="6" t="s">
        <v>8022</v>
      </c>
      <c r="G5754" s="6" t="s">
        <v>8700</v>
      </c>
      <c r="H5754" s="6" t="s">
        <v>55</v>
      </c>
      <c r="I5754" s="6" t="s">
        <v>8582</v>
      </c>
      <c r="J5754" s="6" t="s">
        <v>91</v>
      </c>
      <c r="K5754" s="12" t="str">
        <f t="shared" si="1872"/>
        <v>View Creative</v>
      </c>
      <c r="L5754" s="6" t="s">
        <v>62</v>
      </c>
      <c r="M5754" s="6" t="s">
        <v>7390</v>
      </c>
      <c r="N5754" s="6" t="s">
        <v>8686</v>
      </c>
      <c r="O5754" s="36" t="s">
        <v>7541</v>
      </c>
      <c r="P5754" s="36" t="s">
        <v>7542</v>
      </c>
      <c r="Q5754" s="38"/>
    </row>
    <row r="5755">
      <c r="A5755" s="6" t="s">
        <v>7390</v>
      </c>
      <c r="B5755" s="6" t="s">
        <v>8580</v>
      </c>
      <c r="C5755" s="6">
        <v>235.0</v>
      </c>
      <c r="D5755" s="9" t="str">
        <f t="shared" ref="D5755:D5756" si="1873">HYPERLINK("https://www.linkedin.com/ad-library/detail/1196602683","Open Ad")</f>
        <v>Open Ad</v>
      </c>
      <c r="E5755" s="6" t="s">
        <v>91</v>
      </c>
      <c r="F5755" s="6" t="s">
        <v>8022</v>
      </c>
      <c r="G5755" s="6" t="s">
        <v>8695</v>
      </c>
      <c r="H5755" s="6" t="s">
        <v>55</v>
      </c>
      <c r="I5755" s="6" t="s">
        <v>8582</v>
      </c>
      <c r="J5755" s="6" t="s">
        <v>91</v>
      </c>
      <c r="K5755" s="12" t="str">
        <f t="shared" ref="K5755:K5756" si="1874">HYPERLINK("https://media.licdn.com/dms/image/v2/D4D10AQFIsbOCNkt2Ig/image-shrink_1280/B4DZ0QlADZJQAc-/0/1774099628490/1png?e=2147483647&amp;v=beta&amp;t=2bXNzGLfmV7K4XCQP5wb3G5UQwgziX9nmiMDhLo4CeI","View Creative")</f>
        <v>View Creative</v>
      </c>
      <c r="L5755" s="6" t="s">
        <v>62</v>
      </c>
      <c r="M5755" s="6" t="s">
        <v>7390</v>
      </c>
      <c r="N5755" s="6" t="s">
        <v>8678</v>
      </c>
      <c r="O5755" s="36" t="s">
        <v>7541</v>
      </c>
      <c r="P5755" s="36" t="s">
        <v>7542</v>
      </c>
      <c r="Q5755" s="38"/>
    </row>
    <row r="5756">
      <c r="A5756" s="6" t="s">
        <v>7390</v>
      </c>
      <c r="B5756" s="6" t="s">
        <v>8580</v>
      </c>
      <c r="C5756" s="6">
        <v>236.0</v>
      </c>
      <c r="D5756" s="9" t="str">
        <f t="shared" si="1873"/>
        <v>Open Ad</v>
      </c>
      <c r="E5756" s="6" t="s">
        <v>91</v>
      </c>
      <c r="F5756" s="6" t="s">
        <v>8022</v>
      </c>
      <c r="G5756" s="6" t="s">
        <v>8695</v>
      </c>
      <c r="H5756" s="6" t="s">
        <v>55</v>
      </c>
      <c r="I5756" s="6" t="s">
        <v>8582</v>
      </c>
      <c r="J5756" s="6" t="s">
        <v>91</v>
      </c>
      <c r="K5756" s="12" t="str">
        <f t="shared" si="1874"/>
        <v>View Creative</v>
      </c>
      <c r="L5756" s="6" t="s">
        <v>62</v>
      </c>
      <c r="M5756" s="6" t="s">
        <v>7390</v>
      </c>
      <c r="N5756" s="6" t="s">
        <v>8678</v>
      </c>
      <c r="O5756" s="36" t="s">
        <v>7541</v>
      </c>
      <c r="P5756" s="36" t="s">
        <v>7542</v>
      </c>
      <c r="Q5756" s="38"/>
    </row>
    <row r="5757">
      <c r="A5757" s="6" t="s">
        <v>7390</v>
      </c>
      <c r="B5757" s="6" t="s">
        <v>8580</v>
      </c>
      <c r="C5757" s="6">
        <v>237.0</v>
      </c>
      <c r="D5757" s="9" t="str">
        <f t="shared" ref="D5757:D5758" si="1875">HYPERLINK("https://www.linkedin.com/ad-library/detail/1199207183","Open Ad")</f>
        <v>Open Ad</v>
      </c>
      <c r="E5757" s="6" t="s">
        <v>91</v>
      </c>
      <c r="F5757" s="6" t="s">
        <v>8022</v>
      </c>
      <c r="G5757" s="6" t="s">
        <v>8649</v>
      </c>
      <c r="H5757" s="6" t="s">
        <v>55</v>
      </c>
      <c r="I5757" s="6" t="s">
        <v>8582</v>
      </c>
      <c r="J5757" s="6" t="s">
        <v>91</v>
      </c>
      <c r="K5757" s="12" t="str">
        <f t="shared" ref="K5757:K5758" si="1876">HYPERLINK("https://media.licdn.com/dms/image/v2/D4D10AQGQIJq-FhRa0Q/image-shrink_1280/B4DZ0Ql3MbH4Ac-/0/1774099854350/2png?e=2147483647&amp;v=beta&amp;t=y1v-SxIxcwPrXsKf7HVvVNTO_-psFrVBwCn6chrjqNo","View Creative")</f>
        <v>View Creative</v>
      </c>
      <c r="L5757" s="6" t="s">
        <v>62</v>
      </c>
      <c r="M5757" s="6" t="s">
        <v>7390</v>
      </c>
      <c r="N5757" s="6" t="s">
        <v>8701</v>
      </c>
      <c r="O5757" s="36" t="s">
        <v>7541</v>
      </c>
      <c r="P5757" s="36" t="s">
        <v>7542</v>
      </c>
      <c r="Q5757" s="38"/>
    </row>
    <row r="5758">
      <c r="A5758" s="6" t="s">
        <v>7390</v>
      </c>
      <c r="B5758" s="6" t="s">
        <v>8580</v>
      </c>
      <c r="C5758" s="6">
        <v>238.0</v>
      </c>
      <c r="D5758" s="9" t="str">
        <f t="shared" si="1875"/>
        <v>Open Ad</v>
      </c>
      <c r="E5758" s="6" t="s">
        <v>91</v>
      </c>
      <c r="F5758" s="6" t="s">
        <v>8022</v>
      </c>
      <c r="G5758" s="6" t="s">
        <v>8649</v>
      </c>
      <c r="H5758" s="6" t="s">
        <v>55</v>
      </c>
      <c r="I5758" s="6" t="s">
        <v>8582</v>
      </c>
      <c r="J5758" s="6" t="s">
        <v>91</v>
      </c>
      <c r="K5758" s="12" t="str">
        <f t="shared" si="1876"/>
        <v>View Creative</v>
      </c>
      <c r="L5758" s="6" t="s">
        <v>62</v>
      </c>
      <c r="M5758" s="6" t="s">
        <v>7390</v>
      </c>
      <c r="N5758" s="6" t="s">
        <v>8701</v>
      </c>
      <c r="O5758" s="36" t="s">
        <v>7541</v>
      </c>
      <c r="P5758" s="36" t="s">
        <v>7542</v>
      </c>
      <c r="Q5758" s="38"/>
    </row>
    <row r="5759">
      <c r="A5759" s="6" t="s">
        <v>7390</v>
      </c>
      <c r="B5759" s="6" t="s">
        <v>8580</v>
      </c>
      <c r="C5759" s="6">
        <v>239.0</v>
      </c>
      <c r="D5759" s="9" t="str">
        <f t="shared" ref="D5759:D5760" si="1877">HYPERLINK("https://www.linkedin.com/ad-library/detail/1097182313","Open Ad")</f>
        <v>Open Ad</v>
      </c>
      <c r="E5759" s="6" t="s">
        <v>154</v>
      </c>
      <c r="F5759" s="6" t="s">
        <v>8022</v>
      </c>
      <c r="G5759" s="6" t="s">
        <v>8702</v>
      </c>
      <c r="H5759" s="6" t="s">
        <v>55</v>
      </c>
      <c r="I5759" s="6" t="s">
        <v>8582</v>
      </c>
      <c r="J5759" s="6" t="s">
        <v>154</v>
      </c>
      <c r="K5759" s="12" t="str">
        <f t="shared" ref="K5759:K5760" si="1878">HYPERLINK("https://dms.licdn.com/playlist/vid/v2/D4D05AQGRL8Deep4P6w/mp4-720p-30fp-crf28/B4DZsCh4xzGwCE-/0/1765274003719?e=2147483647&amp;v=beta&amp;t=KX7hA5uEf2yGYmooeDUg-PyweaulgZvJEDTflregPEE","View Creative")</f>
        <v>View Creative</v>
      </c>
      <c r="L5759" s="6" t="s">
        <v>62</v>
      </c>
      <c r="M5759" s="6" t="s">
        <v>7390</v>
      </c>
      <c r="N5759" s="6" t="s">
        <v>8703</v>
      </c>
      <c r="O5759" s="36" t="s">
        <v>7541</v>
      </c>
      <c r="P5759" s="36" t="s">
        <v>7542</v>
      </c>
      <c r="Q5759" s="38"/>
    </row>
    <row r="5760">
      <c r="A5760" s="6" t="s">
        <v>7390</v>
      </c>
      <c r="B5760" s="6" t="s">
        <v>8580</v>
      </c>
      <c r="C5760" s="6">
        <v>240.0</v>
      </c>
      <c r="D5760" s="9" t="str">
        <f t="shared" si="1877"/>
        <v>Open Ad</v>
      </c>
      <c r="E5760" s="6" t="s">
        <v>154</v>
      </c>
      <c r="F5760" s="6" t="s">
        <v>8022</v>
      </c>
      <c r="G5760" s="6" t="s">
        <v>8702</v>
      </c>
      <c r="H5760" s="6" t="s">
        <v>55</v>
      </c>
      <c r="I5760" s="6" t="s">
        <v>8582</v>
      </c>
      <c r="J5760" s="6" t="s">
        <v>154</v>
      </c>
      <c r="K5760" s="12" t="str">
        <f t="shared" si="1878"/>
        <v>View Creative</v>
      </c>
      <c r="L5760" s="6" t="s">
        <v>62</v>
      </c>
      <c r="M5760" s="6" t="s">
        <v>7390</v>
      </c>
      <c r="N5760" s="6" t="s">
        <v>8703</v>
      </c>
      <c r="O5760" s="36" t="s">
        <v>7541</v>
      </c>
      <c r="P5760" s="36" t="s">
        <v>7542</v>
      </c>
      <c r="Q5760" s="38"/>
    </row>
    <row r="5761">
      <c r="A5761" s="6" t="s">
        <v>7390</v>
      </c>
      <c r="B5761" s="6" t="s">
        <v>8580</v>
      </c>
      <c r="C5761" s="6">
        <v>241.0</v>
      </c>
      <c r="D5761" s="9" t="str">
        <f t="shared" ref="D5761:D5762" si="1879">HYPERLINK("https://www.linkedin.com/ad-library/detail/990376443","Open Ad")</f>
        <v>Open Ad</v>
      </c>
      <c r="E5761" s="6" t="s">
        <v>91</v>
      </c>
      <c r="F5761" s="6" t="s">
        <v>8022</v>
      </c>
      <c r="G5761" s="6" t="s">
        <v>8704</v>
      </c>
      <c r="H5761" s="6" t="s">
        <v>55</v>
      </c>
      <c r="I5761" s="6" t="s">
        <v>8582</v>
      </c>
      <c r="J5761" s="6" t="s">
        <v>91</v>
      </c>
      <c r="K5761" s="12" t="str">
        <f t="shared" ref="K5761:K5762" si="1880">HYPERLINK("https://media.licdn.com/dms/image/v2/D4E22AQGZ3fgoKo_8YA/feedshare-shrink_1280/B4EZsCvwzxGcAc-/0/1765277634100?e=2147483647&amp;v=beta&amp;t=GDoew6V8b72QNu5yWAwoNaK9r9iI72-KzrtJl8xyKfM","View Creative")</f>
        <v>View Creative</v>
      </c>
      <c r="L5761" s="6" t="s">
        <v>62</v>
      </c>
      <c r="M5761" s="6" t="s">
        <v>7390</v>
      </c>
      <c r="N5761" s="6" t="s">
        <v>8705</v>
      </c>
      <c r="O5761" s="36" t="s">
        <v>7541</v>
      </c>
      <c r="P5761" s="36" t="s">
        <v>7542</v>
      </c>
      <c r="Q5761" s="38"/>
    </row>
    <row r="5762">
      <c r="A5762" s="6" t="s">
        <v>7390</v>
      </c>
      <c r="B5762" s="6" t="s">
        <v>8580</v>
      </c>
      <c r="C5762" s="6">
        <v>242.0</v>
      </c>
      <c r="D5762" s="9" t="str">
        <f t="shared" si="1879"/>
        <v>Open Ad</v>
      </c>
      <c r="E5762" s="6" t="s">
        <v>91</v>
      </c>
      <c r="F5762" s="6" t="s">
        <v>8022</v>
      </c>
      <c r="G5762" s="6" t="s">
        <v>8704</v>
      </c>
      <c r="H5762" s="6" t="s">
        <v>55</v>
      </c>
      <c r="I5762" s="6" t="s">
        <v>8582</v>
      </c>
      <c r="J5762" s="6" t="s">
        <v>91</v>
      </c>
      <c r="K5762" s="12" t="str">
        <f t="shared" si="1880"/>
        <v>View Creative</v>
      </c>
      <c r="L5762" s="6" t="s">
        <v>62</v>
      </c>
      <c r="M5762" s="6" t="s">
        <v>7390</v>
      </c>
      <c r="N5762" s="6" t="s">
        <v>8705</v>
      </c>
      <c r="O5762" s="36" t="s">
        <v>7541</v>
      </c>
      <c r="P5762" s="36" t="s">
        <v>7542</v>
      </c>
      <c r="Q5762" s="38"/>
    </row>
    <row r="5763">
      <c r="A5763" s="6" t="s">
        <v>7390</v>
      </c>
      <c r="B5763" s="6" t="s">
        <v>8580</v>
      </c>
      <c r="C5763" s="6">
        <v>243.0</v>
      </c>
      <c r="D5763" s="9" t="str">
        <f t="shared" ref="D5763:D5764" si="1881">HYPERLINK("https://www.linkedin.com/ad-library/detail/1097182323","Open Ad")</f>
        <v>Open Ad</v>
      </c>
      <c r="E5763" s="6" t="s">
        <v>154</v>
      </c>
      <c r="F5763" s="6" t="s">
        <v>8022</v>
      </c>
      <c r="G5763" s="6" t="s">
        <v>8706</v>
      </c>
      <c r="H5763" s="6" t="s">
        <v>55</v>
      </c>
      <c r="I5763" s="6" t="s">
        <v>8582</v>
      </c>
      <c r="J5763" s="6" t="s">
        <v>154</v>
      </c>
      <c r="K5763" s="12" t="str">
        <f t="shared" ref="K5763:K5764" si="1882">HYPERLINK("https://dms.licdn.com/playlist/vid/v2/D4D05AQGNnI7WcyQLzQ/mp4-720p-30fp-crf28/B4DZreCy2SH0CI-/0/1764661867584?e=2147483647&amp;v=beta&amp;t=9hq2a3WioGVMKRrHysbs9fzzh30ATvVKGnpGChEKZ3g","View Creative")</f>
        <v>View Creative</v>
      </c>
      <c r="L5763" s="6" t="s">
        <v>62</v>
      </c>
      <c r="M5763" s="6" t="s">
        <v>7390</v>
      </c>
      <c r="N5763" s="6" t="s">
        <v>8703</v>
      </c>
      <c r="O5763" s="36" t="s">
        <v>7541</v>
      </c>
      <c r="P5763" s="36" t="s">
        <v>7542</v>
      </c>
      <c r="Q5763" s="38"/>
    </row>
    <row r="5764">
      <c r="A5764" s="6" t="s">
        <v>7390</v>
      </c>
      <c r="B5764" s="6" t="s">
        <v>8580</v>
      </c>
      <c r="C5764" s="6">
        <v>244.0</v>
      </c>
      <c r="D5764" s="9" t="str">
        <f t="shared" si="1881"/>
        <v>Open Ad</v>
      </c>
      <c r="E5764" s="6" t="s">
        <v>154</v>
      </c>
      <c r="F5764" s="6" t="s">
        <v>8022</v>
      </c>
      <c r="G5764" s="6" t="s">
        <v>8706</v>
      </c>
      <c r="H5764" s="6" t="s">
        <v>55</v>
      </c>
      <c r="I5764" s="6" t="s">
        <v>8582</v>
      </c>
      <c r="J5764" s="6" t="s">
        <v>154</v>
      </c>
      <c r="K5764" s="12" t="str">
        <f t="shared" si="1882"/>
        <v>View Creative</v>
      </c>
      <c r="L5764" s="6" t="s">
        <v>62</v>
      </c>
      <c r="M5764" s="6" t="s">
        <v>7390</v>
      </c>
      <c r="N5764" s="6" t="s">
        <v>8703</v>
      </c>
      <c r="O5764" s="36" t="s">
        <v>7541</v>
      </c>
      <c r="P5764" s="36" t="s">
        <v>7542</v>
      </c>
      <c r="Q5764" s="38"/>
    </row>
    <row r="5765">
      <c r="A5765" s="6" t="s">
        <v>7390</v>
      </c>
      <c r="B5765" s="6" t="s">
        <v>8580</v>
      </c>
      <c r="C5765" s="6">
        <v>245.0</v>
      </c>
      <c r="D5765" s="9" t="str">
        <f t="shared" ref="D5765:D5766" si="1883">HYPERLINK("https://www.linkedin.com/ad-library/detail/971950843","Open Ad")</f>
        <v>Open Ad</v>
      </c>
      <c r="E5765" s="6" t="s">
        <v>91</v>
      </c>
      <c r="F5765" s="6" t="s">
        <v>8022</v>
      </c>
      <c r="G5765" s="6" t="s">
        <v>8707</v>
      </c>
      <c r="H5765" s="6" t="s">
        <v>55</v>
      </c>
      <c r="I5765" s="6" t="s">
        <v>8582</v>
      </c>
      <c r="J5765" s="6" t="s">
        <v>91</v>
      </c>
      <c r="K5765" s="12" t="str">
        <f t="shared" ref="K5765:K5766" si="1884">HYPERLINK("https://media.licdn.com/dms/image/v2/D4D22AQH9_nzticwW6g/feedshare-shrink_1280/B4DZro8r5LGgAo-/0/1764844815330?e=2147483647&amp;v=beta&amp;t=bJ2hgr4HjwvdD6dMxwetGfNtEkfLcHRZLMTQSCkRSQM","View Creative")</f>
        <v>View Creative</v>
      </c>
      <c r="L5765" s="6" t="s">
        <v>62</v>
      </c>
      <c r="M5765" s="6" t="s">
        <v>7390</v>
      </c>
      <c r="N5765" s="6" t="s">
        <v>8708</v>
      </c>
      <c r="O5765" s="36" t="s">
        <v>7541</v>
      </c>
      <c r="P5765" s="36" t="s">
        <v>7542</v>
      </c>
      <c r="Q5765" s="38"/>
    </row>
    <row r="5766">
      <c r="A5766" s="6" t="s">
        <v>7390</v>
      </c>
      <c r="B5766" s="6" t="s">
        <v>8580</v>
      </c>
      <c r="C5766" s="6">
        <v>246.0</v>
      </c>
      <c r="D5766" s="9" t="str">
        <f t="shared" si="1883"/>
        <v>Open Ad</v>
      </c>
      <c r="E5766" s="6" t="s">
        <v>91</v>
      </c>
      <c r="F5766" s="6" t="s">
        <v>8022</v>
      </c>
      <c r="G5766" s="6" t="s">
        <v>8707</v>
      </c>
      <c r="H5766" s="6" t="s">
        <v>55</v>
      </c>
      <c r="I5766" s="6" t="s">
        <v>8582</v>
      </c>
      <c r="J5766" s="6" t="s">
        <v>91</v>
      </c>
      <c r="K5766" s="12" t="str">
        <f t="shared" si="1884"/>
        <v>View Creative</v>
      </c>
      <c r="L5766" s="6" t="s">
        <v>62</v>
      </c>
      <c r="M5766" s="6" t="s">
        <v>7390</v>
      </c>
      <c r="N5766" s="6" t="s">
        <v>8708</v>
      </c>
      <c r="O5766" s="36" t="s">
        <v>7541</v>
      </c>
      <c r="P5766" s="36" t="s">
        <v>7542</v>
      </c>
      <c r="Q5766" s="38"/>
    </row>
    <row r="5767">
      <c r="A5767" s="6" t="s">
        <v>7390</v>
      </c>
      <c r="B5767" s="6" t="s">
        <v>8580</v>
      </c>
      <c r="C5767" s="6">
        <v>247.0</v>
      </c>
      <c r="D5767" s="9" t="str">
        <f t="shared" ref="D5767:D5768" si="1885">HYPERLINK("https://www.linkedin.com/ad-library/detail/1000880646","Open Ad")</f>
        <v>Open Ad</v>
      </c>
      <c r="E5767" s="6" t="s">
        <v>154</v>
      </c>
      <c r="F5767" s="6" t="s">
        <v>8022</v>
      </c>
      <c r="G5767" s="6" t="s">
        <v>8709</v>
      </c>
      <c r="H5767" s="6" t="s">
        <v>8710</v>
      </c>
      <c r="I5767" s="6" t="s">
        <v>8582</v>
      </c>
      <c r="J5767" s="6" t="s">
        <v>154</v>
      </c>
      <c r="K5767" s="12" t="str">
        <f t="shared" ref="K5767:K5768" si="1886">HYPERLINK("https://dms.licdn.com/playlist/vid/v2/D4D05AQGTsW2Hx2wMMQ/mp4-640p-30fp-crf28/B4DZsh.vszHwBw-/0/1765801660358?e=2147483647&amp;v=beta&amp;t=Xv3tSek06DrUp5vnNzYRn2o8rdeVreiCUit2dcz5Y0A","View Creative")</f>
        <v>View Creative</v>
      </c>
      <c r="L5767" s="6" t="s">
        <v>62</v>
      </c>
      <c r="M5767" s="6" t="s">
        <v>7390</v>
      </c>
      <c r="N5767" s="6" t="s">
        <v>8711</v>
      </c>
      <c r="O5767" s="36" t="s">
        <v>7541</v>
      </c>
      <c r="P5767" s="36" t="s">
        <v>7542</v>
      </c>
      <c r="Q5767" s="38"/>
    </row>
    <row r="5768">
      <c r="A5768" s="6" t="s">
        <v>7390</v>
      </c>
      <c r="B5768" s="6" t="s">
        <v>8580</v>
      </c>
      <c r="C5768" s="6">
        <v>248.0</v>
      </c>
      <c r="D5768" s="9" t="str">
        <f t="shared" si="1885"/>
        <v>Open Ad</v>
      </c>
      <c r="E5768" s="6" t="s">
        <v>154</v>
      </c>
      <c r="F5768" s="6" t="s">
        <v>8022</v>
      </c>
      <c r="G5768" s="6" t="s">
        <v>8709</v>
      </c>
      <c r="H5768" s="6" t="s">
        <v>8710</v>
      </c>
      <c r="I5768" s="6" t="s">
        <v>8582</v>
      </c>
      <c r="J5768" s="6" t="s">
        <v>154</v>
      </c>
      <c r="K5768" s="12" t="str">
        <f t="shared" si="1886"/>
        <v>View Creative</v>
      </c>
      <c r="L5768" s="6" t="s">
        <v>62</v>
      </c>
      <c r="M5768" s="6" t="s">
        <v>7390</v>
      </c>
      <c r="N5768" s="6" t="s">
        <v>8711</v>
      </c>
      <c r="O5768" s="36" t="s">
        <v>7541</v>
      </c>
      <c r="P5768" s="36" t="s">
        <v>7542</v>
      </c>
      <c r="Q5768" s="38"/>
    </row>
    <row r="5769">
      <c r="A5769" s="6" t="s">
        <v>7390</v>
      </c>
      <c r="B5769" s="6" t="s">
        <v>8580</v>
      </c>
      <c r="C5769" s="6">
        <v>249.0</v>
      </c>
      <c r="D5769" s="9" t="str">
        <f t="shared" ref="D5769:D5770" si="1887">HYPERLINK("https://www.linkedin.com/ad-library/detail/990483533","Open Ad")</f>
        <v>Open Ad</v>
      </c>
      <c r="E5769" s="6" t="s">
        <v>91</v>
      </c>
      <c r="F5769" s="6" t="s">
        <v>8022</v>
      </c>
      <c r="G5769" s="6" t="s">
        <v>8712</v>
      </c>
      <c r="H5769" s="6" t="s">
        <v>55</v>
      </c>
      <c r="I5769" s="6" t="s">
        <v>8582</v>
      </c>
      <c r="J5769" s="6" t="s">
        <v>91</v>
      </c>
      <c r="K5769" s="12" t="str">
        <f t="shared" ref="K5769:K5770" si="1888">HYPERLINK("https://media.licdn.com/dms/image/v2/D4D22AQH3I7CX2PDsOw/feedshare-shrink_1280/B4DZq7RnYuG8As-/0/1764078549694?e=2147483647&amp;v=beta&amp;t=c4tec5L3EYwO_gxVthgpkbnpG5jIlDW_Hel93hUlcWQ","View Creative")</f>
        <v>View Creative</v>
      </c>
      <c r="L5769" s="6" t="s">
        <v>62</v>
      </c>
      <c r="M5769" s="6" t="s">
        <v>7390</v>
      </c>
      <c r="N5769" s="6" t="s">
        <v>8713</v>
      </c>
      <c r="O5769" s="36" t="s">
        <v>7541</v>
      </c>
      <c r="P5769" s="36" t="s">
        <v>7542</v>
      </c>
      <c r="Q5769" s="38"/>
    </row>
    <row r="5770">
      <c r="A5770" s="6" t="s">
        <v>7390</v>
      </c>
      <c r="B5770" s="6" t="s">
        <v>8580</v>
      </c>
      <c r="C5770" s="6">
        <v>250.0</v>
      </c>
      <c r="D5770" s="9" t="str">
        <f t="shared" si="1887"/>
        <v>Open Ad</v>
      </c>
      <c r="E5770" s="6" t="s">
        <v>91</v>
      </c>
      <c r="F5770" s="6" t="s">
        <v>8022</v>
      </c>
      <c r="G5770" s="6" t="s">
        <v>8712</v>
      </c>
      <c r="H5770" s="6" t="s">
        <v>55</v>
      </c>
      <c r="I5770" s="6" t="s">
        <v>8582</v>
      </c>
      <c r="J5770" s="6" t="s">
        <v>91</v>
      </c>
      <c r="K5770" s="12" t="str">
        <f t="shared" si="1888"/>
        <v>View Creative</v>
      </c>
      <c r="L5770" s="6" t="s">
        <v>62</v>
      </c>
      <c r="M5770" s="6" t="s">
        <v>7390</v>
      </c>
      <c r="N5770" s="6" t="s">
        <v>8713</v>
      </c>
      <c r="O5770" s="36" t="s">
        <v>7541</v>
      </c>
      <c r="P5770" s="36" t="s">
        <v>7542</v>
      </c>
      <c r="Q5770" s="38"/>
    </row>
    <row r="5771">
      <c r="A5771" s="6" t="s">
        <v>7390</v>
      </c>
      <c r="B5771" s="6" t="s">
        <v>8580</v>
      </c>
      <c r="C5771" s="6">
        <v>251.0</v>
      </c>
      <c r="D5771" s="9" t="str">
        <f t="shared" ref="D5771:D5772" si="1889">HYPERLINK("https://www.linkedin.com/ad-library/detail/990501213","Open Ad")</f>
        <v>Open Ad</v>
      </c>
      <c r="E5771" s="6" t="s">
        <v>91</v>
      </c>
      <c r="F5771" s="6" t="s">
        <v>8022</v>
      </c>
      <c r="G5771" s="6" t="s">
        <v>8714</v>
      </c>
      <c r="H5771" s="6" t="s">
        <v>55</v>
      </c>
      <c r="I5771" s="6" t="s">
        <v>8582</v>
      </c>
      <c r="J5771" s="6" t="s">
        <v>91</v>
      </c>
      <c r="K5771" s="12" t="str">
        <f t="shared" ref="K5771:K5772" si="1890">HYPERLINK("https://media.licdn.com/dms/image/sync/v2/D4E27AQHVhTbhNRwCXQ/articleshare-shrink_1280_800/B4EZrPChVxIIAQ-/0/1764410136551?e=2147483647&amp;v=beta&amp;t=3Lh-5PD5xPylkUKPuWJV8FUzVaafjLGuPh4Ffb0HTcA","View Creative")</f>
        <v>View Creative</v>
      </c>
      <c r="L5771" s="6" t="s">
        <v>62</v>
      </c>
      <c r="M5771" s="6" t="s">
        <v>7390</v>
      </c>
      <c r="N5771" s="6" t="s">
        <v>8705</v>
      </c>
      <c r="O5771" s="36" t="s">
        <v>7541</v>
      </c>
      <c r="P5771" s="36" t="s">
        <v>7542</v>
      </c>
      <c r="Q5771" s="38"/>
    </row>
    <row r="5772">
      <c r="A5772" s="6" t="s">
        <v>7390</v>
      </c>
      <c r="B5772" s="6" t="s">
        <v>8580</v>
      </c>
      <c r="C5772" s="6">
        <v>252.0</v>
      </c>
      <c r="D5772" s="9" t="str">
        <f t="shared" si="1889"/>
        <v>Open Ad</v>
      </c>
      <c r="E5772" s="6" t="s">
        <v>91</v>
      </c>
      <c r="F5772" s="6" t="s">
        <v>8022</v>
      </c>
      <c r="G5772" s="6" t="s">
        <v>8714</v>
      </c>
      <c r="H5772" s="6" t="s">
        <v>55</v>
      </c>
      <c r="I5772" s="6" t="s">
        <v>8582</v>
      </c>
      <c r="J5772" s="6" t="s">
        <v>91</v>
      </c>
      <c r="K5772" s="12" t="str">
        <f t="shared" si="1890"/>
        <v>View Creative</v>
      </c>
      <c r="L5772" s="6" t="s">
        <v>62</v>
      </c>
      <c r="M5772" s="6" t="s">
        <v>7390</v>
      </c>
      <c r="N5772" s="6" t="s">
        <v>8705</v>
      </c>
      <c r="O5772" s="36" t="s">
        <v>7541</v>
      </c>
      <c r="P5772" s="36" t="s">
        <v>7542</v>
      </c>
      <c r="Q5772" s="38"/>
    </row>
    <row r="5773">
      <c r="A5773" s="6" t="s">
        <v>7390</v>
      </c>
      <c r="B5773" s="6" t="s">
        <v>8580</v>
      </c>
      <c r="C5773" s="6">
        <v>253.0</v>
      </c>
      <c r="D5773" s="9" t="str">
        <f t="shared" ref="D5773:D5774" si="1891">HYPERLINK("https://www.linkedin.com/ad-library/detail/990268823","Open Ad")</f>
        <v>Open Ad</v>
      </c>
      <c r="E5773" s="6" t="s">
        <v>91</v>
      </c>
      <c r="F5773" s="6" t="s">
        <v>8022</v>
      </c>
      <c r="G5773" s="6" t="s">
        <v>8715</v>
      </c>
      <c r="H5773" s="6" t="s">
        <v>55</v>
      </c>
      <c r="I5773" s="6" t="s">
        <v>8582</v>
      </c>
      <c r="J5773" s="6" t="s">
        <v>91</v>
      </c>
      <c r="K5773" s="12" t="str">
        <f t="shared" ref="K5773:K5774" si="1892">HYPERLINK("https://media.licdn.com/dms/image/v2/D4D22AQEjwKfgTute-w/feedshare-shrink_1280/B4DZp3dPpIHwAs-/0/1762940748461?e=2147483647&amp;v=beta&amp;t=kXPxoqiweQwFuE_M2l2d_AIWm25uImQLACI_kokO3fk","View Creative")</f>
        <v>View Creative</v>
      </c>
      <c r="L5773" s="6" t="s">
        <v>62</v>
      </c>
      <c r="M5773" s="6" t="s">
        <v>7390</v>
      </c>
      <c r="N5773" s="6" t="s">
        <v>8705</v>
      </c>
      <c r="O5773" s="36" t="s">
        <v>7541</v>
      </c>
      <c r="P5773" s="36" t="s">
        <v>7542</v>
      </c>
      <c r="Q5773" s="38"/>
    </row>
    <row r="5774">
      <c r="A5774" s="6" t="s">
        <v>7390</v>
      </c>
      <c r="B5774" s="6" t="s">
        <v>8580</v>
      </c>
      <c r="C5774" s="6">
        <v>254.0</v>
      </c>
      <c r="D5774" s="9" t="str">
        <f t="shared" si="1891"/>
        <v>Open Ad</v>
      </c>
      <c r="E5774" s="6" t="s">
        <v>91</v>
      </c>
      <c r="F5774" s="6" t="s">
        <v>8022</v>
      </c>
      <c r="G5774" s="6" t="s">
        <v>8715</v>
      </c>
      <c r="H5774" s="6" t="s">
        <v>55</v>
      </c>
      <c r="I5774" s="6" t="s">
        <v>8582</v>
      </c>
      <c r="J5774" s="6" t="s">
        <v>91</v>
      </c>
      <c r="K5774" s="12" t="str">
        <f t="shared" si="1892"/>
        <v>View Creative</v>
      </c>
      <c r="L5774" s="6" t="s">
        <v>62</v>
      </c>
      <c r="M5774" s="6" t="s">
        <v>7390</v>
      </c>
      <c r="N5774" s="6" t="s">
        <v>8705</v>
      </c>
      <c r="O5774" s="36" t="s">
        <v>7541</v>
      </c>
      <c r="P5774" s="36" t="s">
        <v>7542</v>
      </c>
      <c r="Q5774" s="38"/>
    </row>
    <row r="5775">
      <c r="A5775" s="6" t="s">
        <v>7390</v>
      </c>
      <c r="B5775" s="6" t="s">
        <v>8580</v>
      </c>
      <c r="C5775" s="6">
        <v>255.0</v>
      </c>
      <c r="D5775" s="9" t="str">
        <f t="shared" ref="D5775:D5776" si="1893">HYPERLINK("https://www.linkedin.com/ad-library/detail/1102584823","Open Ad")</f>
        <v>Open Ad</v>
      </c>
      <c r="E5775" s="6" t="s">
        <v>91</v>
      </c>
      <c r="F5775" s="6" t="s">
        <v>8022</v>
      </c>
      <c r="G5775" s="6" t="s">
        <v>8661</v>
      </c>
      <c r="H5775" s="6" t="s">
        <v>55</v>
      </c>
      <c r="I5775" s="6" t="s">
        <v>8582</v>
      </c>
      <c r="J5775" s="6" t="s">
        <v>91</v>
      </c>
      <c r="K5775" s="12" t="str">
        <f t="shared" ref="K5775:K5776" si="1894">HYPERLINK("https://media.licdn.com/dms/image/v2/D4D22AQEpPd3zrIcUvA/feedshare-shrink_1280/B4DZuOBLGhHwAs-/0/1767614231642?e=2147483647&amp;v=beta&amp;t=EhdyF1CtAC-GmZ2V62SjOTQxwOT9ysHWGe9yuqWZbNA","View Creative")</f>
        <v>View Creative</v>
      </c>
      <c r="L5775" s="6" t="s">
        <v>62</v>
      </c>
      <c r="M5775" s="6" t="s">
        <v>7390</v>
      </c>
      <c r="N5775" s="6" t="s">
        <v>8716</v>
      </c>
      <c r="O5775" s="36" t="s">
        <v>7541</v>
      </c>
      <c r="P5775" s="36" t="s">
        <v>7542</v>
      </c>
      <c r="Q5775" s="38"/>
    </row>
    <row r="5776">
      <c r="A5776" s="6" t="s">
        <v>7390</v>
      </c>
      <c r="B5776" s="6" t="s">
        <v>8580</v>
      </c>
      <c r="C5776" s="6">
        <v>256.0</v>
      </c>
      <c r="D5776" s="9" t="str">
        <f t="shared" si="1893"/>
        <v>Open Ad</v>
      </c>
      <c r="E5776" s="6" t="s">
        <v>91</v>
      </c>
      <c r="F5776" s="6" t="s">
        <v>8022</v>
      </c>
      <c r="G5776" s="6" t="s">
        <v>8661</v>
      </c>
      <c r="H5776" s="6" t="s">
        <v>55</v>
      </c>
      <c r="I5776" s="6" t="s">
        <v>8582</v>
      </c>
      <c r="J5776" s="6" t="s">
        <v>91</v>
      </c>
      <c r="K5776" s="12" t="str">
        <f t="shared" si="1894"/>
        <v>View Creative</v>
      </c>
      <c r="L5776" s="6" t="s">
        <v>62</v>
      </c>
      <c r="M5776" s="6" t="s">
        <v>7390</v>
      </c>
      <c r="N5776" s="6" t="s">
        <v>8716</v>
      </c>
      <c r="O5776" s="36" t="s">
        <v>7541</v>
      </c>
      <c r="P5776" s="36" t="s">
        <v>7542</v>
      </c>
      <c r="Q5776" s="38"/>
    </row>
    <row r="5777">
      <c r="A5777" s="6" t="s">
        <v>7390</v>
      </c>
      <c r="B5777" s="6" t="s">
        <v>8580</v>
      </c>
      <c r="C5777" s="6">
        <v>257.0</v>
      </c>
      <c r="D5777" s="9" t="str">
        <f t="shared" ref="D5777:D5778" si="1895">HYPERLINK("https://www.linkedin.com/ad-library/detail/1176002973","Open Ad")</f>
        <v>Open Ad</v>
      </c>
      <c r="E5777" s="6" t="s">
        <v>91</v>
      </c>
      <c r="F5777" s="6" t="s">
        <v>8022</v>
      </c>
      <c r="G5777" s="6" t="s">
        <v>8717</v>
      </c>
      <c r="H5777" s="6" t="s">
        <v>55</v>
      </c>
      <c r="I5777" s="6" t="s">
        <v>8582</v>
      </c>
      <c r="J5777" s="6" t="s">
        <v>91</v>
      </c>
      <c r="K5777" s="12" t="str">
        <f t="shared" ref="K5777:K5778" si="1896">HYPERLINK("https://media.licdn.com/dms/image/v2/D4D22AQFCQSukBx-ScA/feedshare-shrink_1280/B4DZxMa2FTHAAg-/0/1770808632674?e=2147483647&amp;v=beta&amp;t=x3aLN7fNlxD_Ga0-gVhAjKvhbGdxoDD-tBRdPJ7h1SY","View Creative")</f>
        <v>View Creative</v>
      </c>
      <c r="L5777" s="6" t="s">
        <v>62</v>
      </c>
      <c r="M5777" s="6" t="s">
        <v>7390</v>
      </c>
      <c r="N5777" s="6" t="s">
        <v>8718</v>
      </c>
      <c r="O5777" s="36" t="s">
        <v>7541</v>
      </c>
      <c r="P5777" s="36" t="s">
        <v>7542</v>
      </c>
      <c r="Q5777" s="38"/>
    </row>
    <row r="5778">
      <c r="A5778" s="6" t="s">
        <v>7390</v>
      </c>
      <c r="B5778" s="6" t="s">
        <v>8580</v>
      </c>
      <c r="C5778" s="6">
        <v>258.0</v>
      </c>
      <c r="D5778" s="9" t="str">
        <f t="shared" si="1895"/>
        <v>Open Ad</v>
      </c>
      <c r="E5778" s="6" t="s">
        <v>91</v>
      </c>
      <c r="F5778" s="6" t="s">
        <v>8022</v>
      </c>
      <c r="G5778" s="6" t="s">
        <v>8717</v>
      </c>
      <c r="H5778" s="6" t="s">
        <v>55</v>
      </c>
      <c r="I5778" s="6" t="s">
        <v>8582</v>
      </c>
      <c r="J5778" s="6" t="s">
        <v>91</v>
      </c>
      <c r="K5778" s="12" t="str">
        <f t="shared" si="1896"/>
        <v>View Creative</v>
      </c>
      <c r="L5778" s="6" t="s">
        <v>62</v>
      </c>
      <c r="M5778" s="6" t="s">
        <v>7390</v>
      </c>
      <c r="N5778" s="6" t="s">
        <v>8718</v>
      </c>
      <c r="O5778" s="36" t="s">
        <v>7541</v>
      </c>
      <c r="P5778" s="36" t="s">
        <v>7542</v>
      </c>
      <c r="Q5778" s="38"/>
    </row>
    <row r="5779">
      <c r="A5779" s="6" t="s">
        <v>7390</v>
      </c>
      <c r="B5779" s="6" t="s">
        <v>8580</v>
      </c>
      <c r="C5779" s="6">
        <v>259.0</v>
      </c>
      <c r="D5779" s="9" t="str">
        <f t="shared" ref="D5779:D5780" si="1897">HYPERLINK("https://www.linkedin.com/ad-library/detail/990454503","Open Ad")</f>
        <v>Open Ad</v>
      </c>
      <c r="E5779" s="6" t="s">
        <v>91</v>
      </c>
      <c r="F5779" s="6" t="s">
        <v>8022</v>
      </c>
      <c r="G5779" s="6" t="s">
        <v>8719</v>
      </c>
      <c r="H5779" s="6" t="s">
        <v>769</v>
      </c>
      <c r="I5779" s="6" t="s">
        <v>8582</v>
      </c>
      <c r="J5779" s="6" t="s">
        <v>91</v>
      </c>
      <c r="K5779" s="12" t="str">
        <f t="shared" ref="K5779:K5780" si="1898">HYPERLINK("https://media.licdn.com/dms/image/v2/D4D22AQF89sokYPwgiA/feedshare-shrink_1280/B4DZqQ3DIjGgAs-/0/1763366941846?e=2147483647&amp;v=beta&amp;t=k2qBfFOMYdoi7TJaUsrROb0ijJiKISlr_H530v7k9H4","View Creative")</f>
        <v>View Creative</v>
      </c>
      <c r="L5779" s="6" t="s">
        <v>62</v>
      </c>
      <c r="M5779" s="6" t="s">
        <v>7390</v>
      </c>
      <c r="N5779" s="6" t="s">
        <v>8720</v>
      </c>
      <c r="O5779" s="36" t="s">
        <v>7541</v>
      </c>
      <c r="P5779" s="36" t="s">
        <v>7542</v>
      </c>
      <c r="Q5779" s="38"/>
    </row>
    <row r="5780">
      <c r="A5780" s="6" t="s">
        <v>7390</v>
      </c>
      <c r="B5780" s="6" t="s">
        <v>8580</v>
      </c>
      <c r="C5780" s="6">
        <v>260.0</v>
      </c>
      <c r="D5780" s="9" t="str">
        <f t="shared" si="1897"/>
        <v>Open Ad</v>
      </c>
      <c r="E5780" s="6" t="s">
        <v>91</v>
      </c>
      <c r="F5780" s="6" t="s">
        <v>8022</v>
      </c>
      <c r="G5780" s="6" t="s">
        <v>8719</v>
      </c>
      <c r="H5780" s="6" t="s">
        <v>769</v>
      </c>
      <c r="I5780" s="6" t="s">
        <v>8582</v>
      </c>
      <c r="J5780" s="6" t="s">
        <v>91</v>
      </c>
      <c r="K5780" s="12" t="str">
        <f t="shared" si="1898"/>
        <v>View Creative</v>
      </c>
      <c r="L5780" s="6" t="s">
        <v>62</v>
      </c>
      <c r="M5780" s="6" t="s">
        <v>7390</v>
      </c>
      <c r="N5780" s="6" t="s">
        <v>8720</v>
      </c>
      <c r="O5780" s="36" t="s">
        <v>7541</v>
      </c>
      <c r="P5780" s="36" t="s">
        <v>7542</v>
      </c>
      <c r="Q5780" s="38"/>
    </row>
    <row r="5781">
      <c r="A5781" s="6" t="s">
        <v>7390</v>
      </c>
      <c r="B5781" s="6" t="s">
        <v>8580</v>
      </c>
      <c r="C5781" s="6">
        <v>261.0</v>
      </c>
      <c r="D5781" s="9" t="str">
        <f t="shared" ref="D5781:D5782" si="1899">HYPERLINK("https://www.linkedin.com/ad-library/detail/990229433","Open Ad")</f>
        <v>Open Ad</v>
      </c>
      <c r="E5781" s="6" t="s">
        <v>154</v>
      </c>
      <c r="F5781" s="6" t="s">
        <v>8022</v>
      </c>
      <c r="G5781" s="19" t="s">
        <v>8721</v>
      </c>
      <c r="H5781" s="6" t="s">
        <v>55</v>
      </c>
      <c r="I5781" s="6" t="s">
        <v>8582</v>
      </c>
      <c r="J5781" s="6" t="s">
        <v>154</v>
      </c>
      <c r="K5781" s="12" t="str">
        <f t="shared" ref="K5781:K5782" si="1900">HYPERLINK("https://dms.licdn.com/playlist/vid/v2/D4D05AQHxw7nXQrUgOQ/mp4-720p-30fp-crf28/B4DZrYyVU.IgCI-/0/1764573670769?e=2147483647&amp;v=beta&amp;t=j3YRmN219aJzW40fw5ykcH6azavG5H92XmiZK5fFX5Y","View Creative")</f>
        <v>View Creative</v>
      </c>
      <c r="L5781" s="6" t="s">
        <v>62</v>
      </c>
      <c r="M5781" s="6" t="s">
        <v>7390</v>
      </c>
      <c r="N5781" s="6" t="s">
        <v>8720</v>
      </c>
      <c r="O5781" s="36" t="s">
        <v>7541</v>
      </c>
      <c r="P5781" s="36" t="s">
        <v>7542</v>
      </c>
      <c r="Q5781" s="38"/>
    </row>
    <row r="5782">
      <c r="A5782" s="6" t="s">
        <v>7390</v>
      </c>
      <c r="B5782" s="6" t="s">
        <v>8580</v>
      </c>
      <c r="C5782" s="6">
        <v>262.0</v>
      </c>
      <c r="D5782" s="9" t="str">
        <f t="shared" si="1899"/>
        <v>Open Ad</v>
      </c>
      <c r="E5782" s="6" t="s">
        <v>154</v>
      </c>
      <c r="F5782" s="6" t="s">
        <v>8022</v>
      </c>
      <c r="G5782" s="19" t="s">
        <v>8721</v>
      </c>
      <c r="H5782" s="6" t="s">
        <v>55</v>
      </c>
      <c r="I5782" s="6" t="s">
        <v>8582</v>
      </c>
      <c r="J5782" s="6" t="s">
        <v>154</v>
      </c>
      <c r="K5782" s="12" t="str">
        <f t="shared" si="1900"/>
        <v>View Creative</v>
      </c>
      <c r="L5782" s="6" t="s">
        <v>62</v>
      </c>
      <c r="M5782" s="6" t="s">
        <v>7390</v>
      </c>
      <c r="N5782" s="6" t="s">
        <v>8720</v>
      </c>
      <c r="O5782" s="36" t="s">
        <v>7541</v>
      </c>
      <c r="P5782" s="36" t="s">
        <v>7542</v>
      </c>
      <c r="Q5782" s="38"/>
    </row>
    <row r="5783">
      <c r="A5783" s="6" t="s">
        <v>7390</v>
      </c>
      <c r="B5783" s="6" t="s">
        <v>8580</v>
      </c>
      <c r="C5783" s="6">
        <v>263.0</v>
      </c>
      <c r="D5783" s="9" t="str">
        <f>HYPERLINK("https://www.linkedin.com/ad-library/detail/1175222623","Open Ad")</f>
        <v>Open Ad</v>
      </c>
      <c r="E5783" s="6" t="s">
        <v>52</v>
      </c>
      <c r="F5783" s="6" t="s">
        <v>8022</v>
      </c>
      <c r="G5783" s="6" t="s">
        <v>8694</v>
      </c>
      <c r="H5783" s="6" t="s">
        <v>55</v>
      </c>
      <c r="I5783" s="6" t="s">
        <v>8582</v>
      </c>
      <c r="J5783" s="6" t="s">
        <v>52</v>
      </c>
      <c r="K5783" s="6" t="s">
        <v>60</v>
      </c>
      <c r="L5783" s="6" t="s">
        <v>62</v>
      </c>
      <c r="M5783" s="6" t="s">
        <v>7390</v>
      </c>
      <c r="N5783" s="6" t="s">
        <v>8718</v>
      </c>
      <c r="O5783" s="36" t="s">
        <v>7541</v>
      </c>
      <c r="P5783" s="36" t="s">
        <v>7542</v>
      </c>
      <c r="Q5783" s="38"/>
    </row>
    <row r="5784">
      <c r="A5784" s="6" t="s">
        <v>7390</v>
      </c>
      <c r="B5784" s="6" t="s">
        <v>8580</v>
      </c>
      <c r="C5784" s="6">
        <v>264.0</v>
      </c>
      <c r="D5784" s="9" t="str">
        <f t="shared" ref="D5784:D5785" si="1901">HYPERLINK("https://www.linkedin.com/ad-library/detail/1176002963","Open Ad")</f>
        <v>Open Ad</v>
      </c>
      <c r="E5784" s="6" t="s">
        <v>91</v>
      </c>
      <c r="F5784" s="6" t="s">
        <v>8022</v>
      </c>
      <c r="G5784" s="6" t="s">
        <v>8661</v>
      </c>
      <c r="H5784" s="6" t="s">
        <v>55</v>
      </c>
      <c r="I5784" s="6" t="s">
        <v>8582</v>
      </c>
      <c r="J5784" s="6" t="s">
        <v>91</v>
      </c>
      <c r="K5784" s="12" t="str">
        <f t="shared" ref="K5784:K5785" si="1902">HYPERLINK("https://media.licdn.com/dms/image/v2/D4D22AQEpPd3zrIcUvA/feedshare-shrink_1280/B4DZuOBLGhHwAs-/0/1767614231642?e=2147483647&amp;v=beta&amp;t=EhdyF1CtAC-GmZ2V62SjOTQxwOT9ysHWGe9yuqWZbNA","View Creative")</f>
        <v>View Creative</v>
      </c>
      <c r="L5784" s="6" t="s">
        <v>62</v>
      </c>
      <c r="M5784" s="6" t="s">
        <v>7390</v>
      </c>
      <c r="N5784" s="6" t="s">
        <v>8718</v>
      </c>
      <c r="O5784" s="36" t="s">
        <v>7541</v>
      </c>
      <c r="P5784" s="36" t="s">
        <v>7542</v>
      </c>
      <c r="Q5784" s="38"/>
    </row>
    <row r="5785">
      <c r="A5785" s="6" t="s">
        <v>7390</v>
      </c>
      <c r="B5785" s="6" t="s">
        <v>8580</v>
      </c>
      <c r="C5785" s="6">
        <v>265.0</v>
      </c>
      <c r="D5785" s="9" t="str">
        <f t="shared" si="1901"/>
        <v>Open Ad</v>
      </c>
      <c r="E5785" s="6" t="s">
        <v>91</v>
      </c>
      <c r="F5785" s="6" t="s">
        <v>8022</v>
      </c>
      <c r="G5785" s="6" t="s">
        <v>8661</v>
      </c>
      <c r="H5785" s="6" t="s">
        <v>55</v>
      </c>
      <c r="I5785" s="6" t="s">
        <v>8582</v>
      </c>
      <c r="J5785" s="6" t="s">
        <v>91</v>
      </c>
      <c r="K5785" s="12" t="str">
        <f t="shared" si="1902"/>
        <v>View Creative</v>
      </c>
      <c r="L5785" s="6" t="s">
        <v>62</v>
      </c>
      <c r="M5785" s="6" t="s">
        <v>7390</v>
      </c>
      <c r="N5785" s="6" t="s">
        <v>8718</v>
      </c>
      <c r="O5785" s="36" t="s">
        <v>7541</v>
      </c>
      <c r="P5785" s="36" t="s">
        <v>7542</v>
      </c>
      <c r="Q5785" s="38"/>
    </row>
    <row r="5786">
      <c r="A5786" s="6" t="s">
        <v>7390</v>
      </c>
      <c r="B5786" s="6" t="s">
        <v>8580</v>
      </c>
      <c r="C5786" s="6">
        <v>266.0</v>
      </c>
      <c r="D5786" s="9" t="str">
        <f t="shared" ref="D5786:D5787" si="1903">HYPERLINK("https://www.linkedin.com/ad-library/detail/1104683853","Open Ad")</f>
        <v>Open Ad</v>
      </c>
      <c r="E5786" s="6" t="s">
        <v>154</v>
      </c>
      <c r="F5786" s="6" t="s">
        <v>8022</v>
      </c>
      <c r="G5786" s="6" t="s">
        <v>8722</v>
      </c>
      <c r="H5786" s="6" t="s">
        <v>55</v>
      </c>
      <c r="I5786" s="6" t="s">
        <v>8582</v>
      </c>
      <c r="J5786" s="6" t="s">
        <v>154</v>
      </c>
      <c r="K5786" s="12" t="str">
        <f t="shared" ref="K5786:K5787" si="1904">HYPERLINK("https://dms.licdn.com/playlist/vid/v2/D4E05AQHpW7ghOJJ4Vw/mp4-640p-30fp-crf28/B4EZtKRjTnI0Bw-/0/1766477686967?e=2147483647&amp;v=beta&amp;t=GJ9ZZupNz1xUGUDXUpIhbGUJoUbFMNJsybfIkZYg-f8","View Creative")</f>
        <v>View Creative</v>
      </c>
      <c r="L5786" s="6" t="s">
        <v>62</v>
      </c>
      <c r="M5786" s="6" t="s">
        <v>7390</v>
      </c>
      <c r="N5786" s="6" t="s">
        <v>8716</v>
      </c>
      <c r="O5786" s="36" t="s">
        <v>7541</v>
      </c>
      <c r="P5786" s="36" t="s">
        <v>7542</v>
      </c>
      <c r="Q5786" s="38"/>
    </row>
    <row r="5787">
      <c r="A5787" s="6" t="s">
        <v>7390</v>
      </c>
      <c r="B5787" s="6" t="s">
        <v>8580</v>
      </c>
      <c r="C5787" s="6">
        <v>267.0</v>
      </c>
      <c r="D5787" s="9" t="str">
        <f t="shared" si="1903"/>
        <v>Open Ad</v>
      </c>
      <c r="E5787" s="6" t="s">
        <v>154</v>
      </c>
      <c r="F5787" s="6" t="s">
        <v>8022</v>
      </c>
      <c r="G5787" s="6" t="s">
        <v>8722</v>
      </c>
      <c r="H5787" s="6" t="s">
        <v>55</v>
      </c>
      <c r="I5787" s="6" t="s">
        <v>8582</v>
      </c>
      <c r="J5787" s="6" t="s">
        <v>154</v>
      </c>
      <c r="K5787" s="12" t="str">
        <f t="shared" si="1904"/>
        <v>View Creative</v>
      </c>
      <c r="L5787" s="6" t="s">
        <v>62</v>
      </c>
      <c r="M5787" s="6" t="s">
        <v>7390</v>
      </c>
      <c r="N5787" s="6" t="s">
        <v>8716</v>
      </c>
      <c r="O5787" s="36" t="s">
        <v>7541</v>
      </c>
      <c r="P5787" s="36" t="s">
        <v>7542</v>
      </c>
      <c r="Q5787" s="38"/>
    </row>
    <row r="5788">
      <c r="A5788" s="6" t="s">
        <v>7390</v>
      </c>
      <c r="B5788" s="6" t="s">
        <v>8580</v>
      </c>
      <c r="C5788" s="6">
        <v>268.0</v>
      </c>
      <c r="D5788" s="9" t="str">
        <f t="shared" ref="D5788:D5789" si="1905">HYPERLINK("https://www.linkedin.com/ad-library/detail/990424743","Open Ad")</f>
        <v>Open Ad</v>
      </c>
      <c r="E5788" s="6" t="s">
        <v>154</v>
      </c>
      <c r="F5788" s="6" t="s">
        <v>8022</v>
      </c>
      <c r="G5788" s="6" t="s">
        <v>8702</v>
      </c>
      <c r="H5788" s="6" t="s">
        <v>55</v>
      </c>
      <c r="I5788" s="6" t="s">
        <v>8582</v>
      </c>
      <c r="J5788" s="6" t="s">
        <v>154</v>
      </c>
      <c r="K5788" s="12" t="str">
        <f t="shared" ref="K5788:K5789" si="1906">HYPERLINK("https://dms.licdn.com/playlist/vid/v2/D4D05AQGRL8Deep4P6w/mp4-720p-30fp-crf28/B4DZsCh4xzGwCE-/0/1765274003719?e=2147483647&amp;v=beta&amp;t=KX7hA5uEf2yGYmooeDUg-PyweaulgZvJEDTflregPEE","View Creative")</f>
        <v>View Creative</v>
      </c>
      <c r="L5788" s="6" t="s">
        <v>62</v>
      </c>
      <c r="M5788" s="6" t="s">
        <v>7390</v>
      </c>
      <c r="N5788" s="6" t="s">
        <v>8720</v>
      </c>
      <c r="O5788" s="36" t="s">
        <v>7541</v>
      </c>
      <c r="P5788" s="36" t="s">
        <v>7542</v>
      </c>
      <c r="Q5788" s="38"/>
    </row>
    <row r="5789">
      <c r="A5789" s="6" t="s">
        <v>7390</v>
      </c>
      <c r="B5789" s="6" t="s">
        <v>8580</v>
      </c>
      <c r="C5789" s="6">
        <v>269.0</v>
      </c>
      <c r="D5789" s="9" t="str">
        <f t="shared" si="1905"/>
        <v>Open Ad</v>
      </c>
      <c r="E5789" s="6" t="s">
        <v>154</v>
      </c>
      <c r="F5789" s="6" t="s">
        <v>8022</v>
      </c>
      <c r="G5789" s="6" t="s">
        <v>8702</v>
      </c>
      <c r="H5789" s="6" t="s">
        <v>55</v>
      </c>
      <c r="I5789" s="6" t="s">
        <v>8582</v>
      </c>
      <c r="J5789" s="6" t="s">
        <v>154</v>
      </c>
      <c r="K5789" s="12" t="str">
        <f t="shared" si="1906"/>
        <v>View Creative</v>
      </c>
      <c r="L5789" s="6" t="s">
        <v>62</v>
      </c>
      <c r="M5789" s="6" t="s">
        <v>7390</v>
      </c>
      <c r="N5789" s="6" t="s">
        <v>8720</v>
      </c>
      <c r="O5789" s="36" t="s">
        <v>7541</v>
      </c>
      <c r="P5789" s="36" t="s">
        <v>7542</v>
      </c>
      <c r="Q5789" s="38"/>
    </row>
    <row r="5790">
      <c r="A5790" s="6" t="s">
        <v>7390</v>
      </c>
      <c r="B5790" s="6" t="s">
        <v>8580</v>
      </c>
      <c r="C5790" s="6">
        <v>270.0</v>
      </c>
      <c r="D5790" s="9" t="str">
        <f t="shared" ref="D5790:D5791" si="1907">HYPERLINK("https://www.linkedin.com/ad-library/detail/971878443","Open Ad")</f>
        <v>Open Ad</v>
      </c>
      <c r="E5790" s="6" t="s">
        <v>154</v>
      </c>
      <c r="F5790" s="6" t="s">
        <v>8022</v>
      </c>
      <c r="G5790" s="19" t="s">
        <v>8721</v>
      </c>
      <c r="H5790" s="6" t="s">
        <v>55</v>
      </c>
      <c r="I5790" s="6" t="s">
        <v>8582</v>
      </c>
      <c r="J5790" s="6" t="s">
        <v>154</v>
      </c>
      <c r="K5790" s="12" t="str">
        <f t="shared" ref="K5790:K5791" si="1908">HYPERLINK("https://dms.licdn.com/playlist/vid/v2/D4D05AQHxw7nXQrUgOQ/mp4-720p-30fp-crf28/B4DZrYyVU.IgCI-/0/1764573670769?e=2147483647&amp;v=beta&amp;t=j3YRmN219aJzW40fw5ykcH6azavG5H92XmiZK5fFX5Y","View Creative")</f>
        <v>View Creative</v>
      </c>
      <c r="L5790" s="6" t="s">
        <v>62</v>
      </c>
      <c r="M5790" s="6" t="s">
        <v>7390</v>
      </c>
      <c r="N5790" s="6" t="s">
        <v>8723</v>
      </c>
      <c r="O5790" s="36" t="s">
        <v>7541</v>
      </c>
      <c r="P5790" s="36" t="s">
        <v>7542</v>
      </c>
      <c r="Q5790" s="38"/>
    </row>
    <row r="5791">
      <c r="A5791" s="6" t="s">
        <v>7390</v>
      </c>
      <c r="B5791" s="6" t="s">
        <v>8580</v>
      </c>
      <c r="C5791" s="6">
        <v>271.0</v>
      </c>
      <c r="D5791" s="9" t="str">
        <f t="shared" si="1907"/>
        <v>Open Ad</v>
      </c>
      <c r="E5791" s="6" t="s">
        <v>154</v>
      </c>
      <c r="F5791" s="6" t="s">
        <v>8022</v>
      </c>
      <c r="G5791" s="19" t="s">
        <v>8721</v>
      </c>
      <c r="H5791" s="6" t="s">
        <v>55</v>
      </c>
      <c r="I5791" s="6" t="s">
        <v>8582</v>
      </c>
      <c r="J5791" s="6" t="s">
        <v>154</v>
      </c>
      <c r="K5791" s="12" t="str">
        <f t="shared" si="1908"/>
        <v>View Creative</v>
      </c>
      <c r="L5791" s="6" t="s">
        <v>62</v>
      </c>
      <c r="M5791" s="6" t="s">
        <v>7390</v>
      </c>
      <c r="N5791" s="6" t="s">
        <v>8723</v>
      </c>
      <c r="O5791" s="36" t="s">
        <v>7541</v>
      </c>
      <c r="P5791" s="36" t="s">
        <v>7542</v>
      </c>
      <c r="Q5791" s="38"/>
    </row>
    <row r="5792">
      <c r="A5792" s="6" t="s">
        <v>7390</v>
      </c>
      <c r="B5792" s="6" t="s">
        <v>8580</v>
      </c>
      <c r="C5792" s="6">
        <v>272.0</v>
      </c>
      <c r="D5792" s="9" t="str">
        <f t="shared" ref="D5792:D5793" si="1909">HYPERLINK("https://www.linkedin.com/ad-library/detail/1177184193","Open Ad")</f>
        <v>Open Ad</v>
      </c>
      <c r="E5792" s="6" t="s">
        <v>91</v>
      </c>
      <c r="F5792" s="6" t="s">
        <v>8022</v>
      </c>
      <c r="G5792" s="19" t="s">
        <v>8724</v>
      </c>
      <c r="H5792" s="6" t="s">
        <v>55</v>
      </c>
      <c r="I5792" s="6" t="s">
        <v>8582</v>
      </c>
      <c r="J5792" s="6" t="s">
        <v>91</v>
      </c>
      <c r="K5792" s="12" t="str">
        <f t="shared" ref="K5792:K5793" si="1910">HYPERLINK("https://media.licdn.com/dms/image/v2/D4D22AQEDCE9GZWGSPg/feedshare-shrink_1280/B4DZwj3lCPJ0Ac-/0/1770128298392?e=2147483647&amp;v=beta&amp;t=eXSROtIAFVsIDUI1zc3LrPrRZ8KGbHHEFFvCNeztzFE","View Creative")</f>
        <v>View Creative</v>
      </c>
      <c r="L5792" s="6" t="s">
        <v>62</v>
      </c>
      <c r="M5792" s="6" t="s">
        <v>7390</v>
      </c>
      <c r="N5792" s="6" t="s">
        <v>8718</v>
      </c>
      <c r="O5792" s="36" t="s">
        <v>7541</v>
      </c>
      <c r="P5792" s="36" t="s">
        <v>7542</v>
      </c>
      <c r="Q5792" s="38"/>
    </row>
    <row r="5793">
      <c r="A5793" s="6" t="s">
        <v>7390</v>
      </c>
      <c r="B5793" s="6" t="s">
        <v>8580</v>
      </c>
      <c r="C5793" s="6">
        <v>273.0</v>
      </c>
      <c r="D5793" s="9" t="str">
        <f t="shared" si="1909"/>
        <v>Open Ad</v>
      </c>
      <c r="E5793" s="6" t="s">
        <v>91</v>
      </c>
      <c r="F5793" s="6" t="s">
        <v>8022</v>
      </c>
      <c r="G5793" s="19" t="s">
        <v>8724</v>
      </c>
      <c r="H5793" s="6" t="s">
        <v>55</v>
      </c>
      <c r="I5793" s="6" t="s">
        <v>8582</v>
      </c>
      <c r="J5793" s="6" t="s">
        <v>91</v>
      </c>
      <c r="K5793" s="12" t="str">
        <f t="shared" si="1910"/>
        <v>View Creative</v>
      </c>
      <c r="L5793" s="6" t="s">
        <v>62</v>
      </c>
      <c r="M5793" s="6" t="s">
        <v>7390</v>
      </c>
      <c r="N5793" s="6" t="s">
        <v>8718</v>
      </c>
      <c r="O5793" s="36" t="s">
        <v>7541</v>
      </c>
      <c r="P5793" s="36" t="s">
        <v>7542</v>
      </c>
      <c r="Q5793" s="38"/>
    </row>
    <row r="5794">
      <c r="A5794" s="6" t="s">
        <v>7390</v>
      </c>
      <c r="B5794" s="6" t="s">
        <v>8580</v>
      </c>
      <c r="C5794" s="6">
        <v>274.0</v>
      </c>
      <c r="D5794" s="9" t="str">
        <f t="shared" ref="D5794:D5795" si="1911">HYPERLINK("https://www.linkedin.com/ad-library/detail/1176793843","Open Ad")</f>
        <v>Open Ad</v>
      </c>
      <c r="E5794" s="6" t="s">
        <v>91</v>
      </c>
      <c r="F5794" s="6" t="s">
        <v>8022</v>
      </c>
      <c r="G5794" s="6" t="s">
        <v>8725</v>
      </c>
      <c r="H5794" s="6" t="s">
        <v>8669</v>
      </c>
      <c r="I5794" s="6" t="s">
        <v>8582</v>
      </c>
      <c r="J5794" s="6" t="s">
        <v>91</v>
      </c>
      <c r="K5794" s="12" t="str">
        <f t="shared" ref="K5794:K5795" si="1912">HYPERLINK("https://media.licdn.com/dms/image/v2/D4D22AQHgSRonEQ-VxQ/feedshare-shrink_1280/B4DZxC_CPOIAAc-/0/1770650346822?e=2147483647&amp;v=beta&amp;t=CVay05af__mEGPfTCsJ2QH50xL-skSwNSk4fIlzl2JU","View Creative")</f>
        <v>View Creative</v>
      </c>
      <c r="L5794" s="6" t="s">
        <v>62</v>
      </c>
      <c r="M5794" s="6" t="s">
        <v>7390</v>
      </c>
      <c r="N5794" s="6" t="s">
        <v>8726</v>
      </c>
      <c r="O5794" s="36" t="s">
        <v>7541</v>
      </c>
      <c r="P5794" s="36" t="s">
        <v>7542</v>
      </c>
      <c r="Q5794" s="38"/>
    </row>
    <row r="5795">
      <c r="A5795" s="6" t="s">
        <v>7390</v>
      </c>
      <c r="B5795" s="6" t="s">
        <v>8580</v>
      </c>
      <c r="C5795" s="6">
        <v>275.0</v>
      </c>
      <c r="D5795" s="9" t="str">
        <f t="shared" si="1911"/>
        <v>Open Ad</v>
      </c>
      <c r="E5795" s="6" t="s">
        <v>91</v>
      </c>
      <c r="F5795" s="6" t="s">
        <v>8022</v>
      </c>
      <c r="G5795" s="6" t="s">
        <v>8725</v>
      </c>
      <c r="H5795" s="6" t="s">
        <v>8669</v>
      </c>
      <c r="I5795" s="6" t="s">
        <v>8582</v>
      </c>
      <c r="J5795" s="6" t="s">
        <v>91</v>
      </c>
      <c r="K5795" s="12" t="str">
        <f t="shared" si="1912"/>
        <v>View Creative</v>
      </c>
      <c r="L5795" s="6" t="s">
        <v>62</v>
      </c>
      <c r="M5795" s="6" t="s">
        <v>7390</v>
      </c>
      <c r="N5795" s="6" t="s">
        <v>8726</v>
      </c>
      <c r="O5795" s="36" t="s">
        <v>7541</v>
      </c>
      <c r="P5795" s="36" t="s">
        <v>7542</v>
      </c>
      <c r="Q5795" s="38"/>
    </row>
    <row r="5796">
      <c r="A5796" s="6" t="s">
        <v>7390</v>
      </c>
      <c r="B5796" s="6" t="s">
        <v>8580</v>
      </c>
      <c r="C5796" s="6">
        <v>276.0</v>
      </c>
      <c r="D5796" s="9" t="str">
        <f t="shared" ref="D5796:D5797" si="1913">HYPERLINK("https://www.linkedin.com/ad-library/detail/1102484833","Open Ad")</f>
        <v>Open Ad</v>
      </c>
      <c r="E5796" s="6" t="s">
        <v>91</v>
      </c>
      <c r="F5796" s="6" t="s">
        <v>8022</v>
      </c>
      <c r="G5796" s="6" t="s">
        <v>8727</v>
      </c>
      <c r="H5796" s="6" t="s">
        <v>55</v>
      </c>
      <c r="I5796" s="6" t="s">
        <v>8582</v>
      </c>
      <c r="J5796" s="6" t="s">
        <v>91</v>
      </c>
      <c r="K5796" s="12" t="str">
        <f t="shared" ref="K5796:K5797" si="1914">HYPERLINK("https://media.licdn.com/dms/image/v2/D4D22AQGhK5FRG4si5g/feedshare-shrink_1280/B4DZs1o.8RJEAs-/0/1766131495770?e=2147483647&amp;v=beta&amp;t=43xLaVOHh5dWjkwycq07j9keV4R5SuPA4RuUIBT2wHI","View Creative")</f>
        <v>View Creative</v>
      </c>
      <c r="L5796" s="6" t="s">
        <v>62</v>
      </c>
      <c r="M5796" s="6" t="s">
        <v>7390</v>
      </c>
      <c r="N5796" s="6" t="s">
        <v>8716</v>
      </c>
      <c r="O5796" s="36" t="s">
        <v>7541</v>
      </c>
      <c r="P5796" s="36" t="s">
        <v>7542</v>
      </c>
      <c r="Q5796" s="38"/>
    </row>
    <row r="5797">
      <c r="A5797" s="6" t="s">
        <v>7390</v>
      </c>
      <c r="B5797" s="6" t="s">
        <v>8580</v>
      </c>
      <c r="C5797" s="6">
        <v>277.0</v>
      </c>
      <c r="D5797" s="9" t="str">
        <f t="shared" si="1913"/>
        <v>Open Ad</v>
      </c>
      <c r="E5797" s="6" t="s">
        <v>91</v>
      </c>
      <c r="F5797" s="6" t="s">
        <v>8022</v>
      </c>
      <c r="G5797" s="6" t="s">
        <v>8727</v>
      </c>
      <c r="H5797" s="6" t="s">
        <v>55</v>
      </c>
      <c r="I5797" s="6" t="s">
        <v>8582</v>
      </c>
      <c r="J5797" s="6" t="s">
        <v>91</v>
      </c>
      <c r="K5797" s="12" t="str">
        <f t="shared" si="1914"/>
        <v>View Creative</v>
      </c>
      <c r="L5797" s="6" t="s">
        <v>62</v>
      </c>
      <c r="M5797" s="6" t="s">
        <v>7390</v>
      </c>
      <c r="N5797" s="6" t="s">
        <v>8716</v>
      </c>
      <c r="O5797" s="36" t="s">
        <v>7541</v>
      </c>
      <c r="P5797" s="36" t="s">
        <v>7542</v>
      </c>
      <c r="Q5797" s="38"/>
    </row>
    <row r="5798">
      <c r="A5798" s="6" t="s">
        <v>7390</v>
      </c>
      <c r="B5798" s="6" t="s">
        <v>8580</v>
      </c>
      <c r="C5798" s="6">
        <v>278.0</v>
      </c>
      <c r="D5798" s="9" t="str">
        <f t="shared" ref="D5798:D5799" si="1915">HYPERLINK("https://www.linkedin.com/ad-library/detail/1096882453","Open Ad")</f>
        <v>Open Ad</v>
      </c>
      <c r="E5798" s="6" t="s">
        <v>154</v>
      </c>
      <c r="F5798" s="6" t="s">
        <v>8022</v>
      </c>
      <c r="G5798" s="19" t="s">
        <v>8721</v>
      </c>
      <c r="H5798" s="6" t="s">
        <v>55</v>
      </c>
      <c r="I5798" s="6" t="s">
        <v>8582</v>
      </c>
      <c r="J5798" s="6" t="s">
        <v>154</v>
      </c>
      <c r="K5798" s="12" t="str">
        <f t="shared" ref="K5798:K5799" si="1916">HYPERLINK("https://dms.licdn.com/playlist/vid/v2/D4D05AQHxw7nXQrUgOQ/mp4-720p-30fp-crf28/B4DZrYyVU.IgCI-/0/1764573670769?e=2147483647&amp;v=beta&amp;t=j3YRmN219aJzW40fw5ykcH6azavG5H92XmiZK5fFX5Y","View Creative")</f>
        <v>View Creative</v>
      </c>
      <c r="L5798" s="6" t="s">
        <v>62</v>
      </c>
      <c r="M5798" s="6" t="s">
        <v>7390</v>
      </c>
      <c r="N5798" s="6" t="s">
        <v>8703</v>
      </c>
      <c r="O5798" s="36" t="s">
        <v>7541</v>
      </c>
      <c r="P5798" s="36" t="s">
        <v>7542</v>
      </c>
      <c r="Q5798" s="38"/>
    </row>
    <row r="5799">
      <c r="A5799" s="6" t="s">
        <v>7390</v>
      </c>
      <c r="B5799" s="6" t="s">
        <v>8580</v>
      </c>
      <c r="C5799" s="6">
        <v>279.0</v>
      </c>
      <c r="D5799" s="9" t="str">
        <f t="shared" si="1915"/>
        <v>Open Ad</v>
      </c>
      <c r="E5799" s="6" t="s">
        <v>154</v>
      </c>
      <c r="F5799" s="6" t="s">
        <v>8022</v>
      </c>
      <c r="G5799" s="19" t="s">
        <v>8721</v>
      </c>
      <c r="H5799" s="6" t="s">
        <v>55</v>
      </c>
      <c r="I5799" s="6" t="s">
        <v>8582</v>
      </c>
      <c r="J5799" s="6" t="s">
        <v>154</v>
      </c>
      <c r="K5799" s="12" t="str">
        <f t="shared" si="1916"/>
        <v>View Creative</v>
      </c>
      <c r="L5799" s="6" t="s">
        <v>62</v>
      </c>
      <c r="M5799" s="6" t="s">
        <v>7390</v>
      </c>
      <c r="N5799" s="6" t="s">
        <v>8703</v>
      </c>
      <c r="O5799" s="36" t="s">
        <v>7541</v>
      </c>
      <c r="P5799" s="36" t="s">
        <v>7542</v>
      </c>
      <c r="Q5799" s="38"/>
    </row>
    <row r="5800">
      <c r="A5800" s="6" t="s">
        <v>7390</v>
      </c>
      <c r="B5800" s="6" t="s">
        <v>8580</v>
      </c>
      <c r="C5800" s="6">
        <v>280.0</v>
      </c>
      <c r="D5800" s="9" t="str">
        <f t="shared" ref="D5800:D5801" si="1917">HYPERLINK("https://www.linkedin.com/ad-library/detail/990307693","Open Ad")</f>
        <v>Open Ad</v>
      </c>
      <c r="E5800" s="6" t="s">
        <v>91</v>
      </c>
      <c r="F5800" s="6" t="s">
        <v>8022</v>
      </c>
      <c r="G5800" s="6" t="s">
        <v>8728</v>
      </c>
      <c r="H5800" s="6" t="s">
        <v>55</v>
      </c>
      <c r="I5800" s="6" t="s">
        <v>8582</v>
      </c>
      <c r="J5800" s="6" t="s">
        <v>91</v>
      </c>
      <c r="K5800" s="12" t="str">
        <f t="shared" ref="K5800:K5801" si="1918">HYPERLINK("https://media.licdn.com/dms/image/v2/D4E22AQGoyvTVKmm8jw/feedshare-shrink_1280/B4EZoLmjLJIIAs-/0/1761131247932?e=2147483647&amp;v=beta&amp;t=yyb9m2BJ8f5_Zd7kf6dCGI_KWgvIwEYnr1AJYM0MzGE","View Creative")</f>
        <v>View Creative</v>
      </c>
      <c r="L5800" s="6" t="s">
        <v>62</v>
      </c>
      <c r="M5800" s="6" t="s">
        <v>7390</v>
      </c>
      <c r="N5800" s="6" t="s">
        <v>8720</v>
      </c>
      <c r="O5800" s="36" t="s">
        <v>7541</v>
      </c>
      <c r="P5800" s="36" t="s">
        <v>7542</v>
      </c>
      <c r="Q5800" s="38"/>
    </row>
    <row r="5801">
      <c r="A5801" s="6" t="s">
        <v>7390</v>
      </c>
      <c r="B5801" s="6" t="s">
        <v>8580</v>
      </c>
      <c r="C5801" s="6">
        <v>281.0</v>
      </c>
      <c r="D5801" s="9" t="str">
        <f t="shared" si="1917"/>
        <v>Open Ad</v>
      </c>
      <c r="E5801" s="6" t="s">
        <v>91</v>
      </c>
      <c r="F5801" s="6" t="s">
        <v>8022</v>
      </c>
      <c r="G5801" s="6" t="s">
        <v>8728</v>
      </c>
      <c r="H5801" s="6" t="s">
        <v>55</v>
      </c>
      <c r="I5801" s="6" t="s">
        <v>8582</v>
      </c>
      <c r="J5801" s="6" t="s">
        <v>91</v>
      </c>
      <c r="K5801" s="12" t="str">
        <f t="shared" si="1918"/>
        <v>View Creative</v>
      </c>
      <c r="L5801" s="6" t="s">
        <v>62</v>
      </c>
      <c r="M5801" s="6" t="s">
        <v>7390</v>
      </c>
      <c r="N5801" s="6" t="s">
        <v>8720</v>
      </c>
      <c r="O5801" s="36" t="s">
        <v>7541</v>
      </c>
      <c r="P5801" s="36" t="s">
        <v>7542</v>
      </c>
      <c r="Q5801" s="38"/>
    </row>
    <row r="5802">
      <c r="A5802" s="6" t="s">
        <v>7390</v>
      </c>
      <c r="B5802" s="6" t="s">
        <v>8580</v>
      </c>
      <c r="C5802" s="6">
        <v>282.0</v>
      </c>
      <c r="D5802" s="9" t="str">
        <f t="shared" ref="D5802:D5803" si="1919">HYPERLINK("https://www.linkedin.com/ad-library/detail/1177383163","Open Ad")</f>
        <v>Open Ad</v>
      </c>
      <c r="E5802" s="6" t="s">
        <v>91</v>
      </c>
      <c r="F5802" s="6" t="s">
        <v>8022</v>
      </c>
      <c r="G5802" s="6" t="s">
        <v>8661</v>
      </c>
      <c r="H5802" s="6" t="s">
        <v>55</v>
      </c>
      <c r="I5802" s="6" t="s">
        <v>8582</v>
      </c>
      <c r="J5802" s="6" t="s">
        <v>91</v>
      </c>
      <c r="K5802" s="12" t="str">
        <f t="shared" ref="K5802:K5803" si="1920">HYPERLINK("https://media.licdn.com/dms/image/v2/D4D22AQEpPd3zrIcUvA/feedshare-shrink_1280/B4DZuOBLGhHwAs-/0/1767614231642?e=2147483647&amp;v=beta&amp;t=EhdyF1CtAC-GmZ2V62SjOTQxwOT9ysHWGe9yuqWZbNA","View Creative")</f>
        <v>View Creative</v>
      </c>
      <c r="L5802" s="6" t="s">
        <v>62</v>
      </c>
      <c r="M5802" s="6" t="s">
        <v>7390</v>
      </c>
      <c r="N5802" s="6" t="s">
        <v>8718</v>
      </c>
      <c r="O5802" s="36" t="s">
        <v>7541</v>
      </c>
      <c r="P5802" s="36" t="s">
        <v>7542</v>
      </c>
      <c r="Q5802" s="38"/>
    </row>
    <row r="5803">
      <c r="A5803" s="6" t="s">
        <v>7390</v>
      </c>
      <c r="B5803" s="6" t="s">
        <v>8580</v>
      </c>
      <c r="C5803" s="6">
        <v>283.0</v>
      </c>
      <c r="D5803" s="9" t="str">
        <f t="shared" si="1919"/>
        <v>Open Ad</v>
      </c>
      <c r="E5803" s="6" t="s">
        <v>91</v>
      </c>
      <c r="F5803" s="6" t="s">
        <v>8022</v>
      </c>
      <c r="G5803" s="6" t="s">
        <v>8661</v>
      </c>
      <c r="H5803" s="6" t="s">
        <v>55</v>
      </c>
      <c r="I5803" s="6" t="s">
        <v>8582</v>
      </c>
      <c r="J5803" s="6" t="s">
        <v>91</v>
      </c>
      <c r="K5803" s="12" t="str">
        <f t="shared" si="1920"/>
        <v>View Creative</v>
      </c>
      <c r="L5803" s="6" t="s">
        <v>62</v>
      </c>
      <c r="M5803" s="6" t="s">
        <v>7390</v>
      </c>
      <c r="N5803" s="6" t="s">
        <v>8718</v>
      </c>
      <c r="O5803" s="36" t="s">
        <v>7541</v>
      </c>
      <c r="P5803" s="36" t="s">
        <v>7542</v>
      </c>
      <c r="Q5803" s="38"/>
    </row>
    <row r="5804">
      <c r="A5804" s="6" t="s">
        <v>7390</v>
      </c>
      <c r="B5804" s="6" t="s">
        <v>8580</v>
      </c>
      <c r="C5804" s="6">
        <v>284.0</v>
      </c>
      <c r="D5804" s="9" t="str">
        <f t="shared" ref="D5804:D5805" si="1921">HYPERLINK("https://www.linkedin.com/ad-library/detail/990830603","Open Ad")</f>
        <v>Open Ad</v>
      </c>
      <c r="E5804" s="6" t="s">
        <v>154</v>
      </c>
      <c r="F5804" s="6" t="s">
        <v>8022</v>
      </c>
      <c r="G5804" s="6" t="s">
        <v>8702</v>
      </c>
      <c r="H5804" s="6" t="s">
        <v>55</v>
      </c>
      <c r="I5804" s="6" t="s">
        <v>8582</v>
      </c>
      <c r="J5804" s="6" t="s">
        <v>154</v>
      </c>
      <c r="K5804" s="12" t="str">
        <f t="shared" ref="K5804:K5805" si="1922">HYPERLINK("https://dms.licdn.com/playlist/vid/v2/D4D05AQGRL8Deep4P6w/mp4-720p-30fp-crf28/B4DZsCh4xzGwCE-/0/1765274003719?e=2147483647&amp;v=beta&amp;t=KX7hA5uEf2yGYmooeDUg-PyweaulgZvJEDTflregPEE","View Creative")</f>
        <v>View Creative</v>
      </c>
      <c r="L5804" s="6" t="s">
        <v>62</v>
      </c>
      <c r="M5804" s="6" t="s">
        <v>7390</v>
      </c>
      <c r="N5804" s="6" t="s">
        <v>8729</v>
      </c>
      <c r="O5804" s="36" t="s">
        <v>7541</v>
      </c>
      <c r="P5804" s="36" t="s">
        <v>7542</v>
      </c>
      <c r="Q5804" s="38"/>
    </row>
    <row r="5805">
      <c r="A5805" s="6" t="s">
        <v>7390</v>
      </c>
      <c r="B5805" s="6" t="s">
        <v>8580</v>
      </c>
      <c r="C5805" s="6">
        <v>285.0</v>
      </c>
      <c r="D5805" s="9" t="str">
        <f t="shared" si="1921"/>
        <v>Open Ad</v>
      </c>
      <c r="E5805" s="6" t="s">
        <v>154</v>
      </c>
      <c r="F5805" s="6" t="s">
        <v>8022</v>
      </c>
      <c r="G5805" s="6" t="s">
        <v>8702</v>
      </c>
      <c r="H5805" s="6" t="s">
        <v>55</v>
      </c>
      <c r="I5805" s="6" t="s">
        <v>8582</v>
      </c>
      <c r="J5805" s="6" t="s">
        <v>154</v>
      </c>
      <c r="K5805" s="12" t="str">
        <f t="shared" si="1922"/>
        <v>View Creative</v>
      </c>
      <c r="L5805" s="6" t="s">
        <v>62</v>
      </c>
      <c r="M5805" s="6" t="s">
        <v>7390</v>
      </c>
      <c r="N5805" s="6" t="s">
        <v>8729</v>
      </c>
      <c r="O5805" s="36" t="s">
        <v>7541</v>
      </c>
      <c r="P5805" s="36" t="s">
        <v>7542</v>
      </c>
      <c r="Q5805" s="38"/>
    </row>
    <row r="5806">
      <c r="A5806" s="6" t="s">
        <v>7390</v>
      </c>
      <c r="B5806" s="6" t="s">
        <v>8580</v>
      </c>
      <c r="C5806" s="6">
        <v>286.0</v>
      </c>
      <c r="D5806" s="9" t="str">
        <f t="shared" ref="D5806:D5807" si="1923">HYPERLINK("https://www.linkedin.com/ad-library/detail/878481233","Open Ad")</f>
        <v>Open Ad</v>
      </c>
      <c r="E5806" s="6" t="s">
        <v>91</v>
      </c>
      <c r="F5806" s="6" t="s">
        <v>8022</v>
      </c>
      <c r="G5806" s="6" t="s">
        <v>8730</v>
      </c>
      <c r="H5806" s="6" t="s">
        <v>55</v>
      </c>
      <c r="I5806" s="6" t="s">
        <v>8582</v>
      </c>
      <c r="J5806" s="6" t="s">
        <v>91</v>
      </c>
      <c r="K5806" s="12" t="str">
        <f t="shared" ref="K5806:K5807" si="1924">HYPERLINK("https://media.licdn.com/dms/image/v2/D4D10AQGCnWBctDjjjA/image-shrink_1280/B4DZnZRD0CKoAM-/0/1760286752869/1759734356587jpeg?e=2147483647&amp;v=beta&amp;t=dGf8K4h-dsiXzD-PZ-Pf8Kupvna9WKYhoAcrmgyJx2I","View Creative")</f>
        <v>View Creative</v>
      </c>
      <c r="L5806" s="6" t="s">
        <v>62</v>
      </c>
      <c r="M5806" s="6" t="s">
        <v>7390</v>
      </c>
      <c r="N5806" s="6" t="s">
        <v>8731</v>
      </c>
      <c r="O5806" s="36" t="s">
        <v>7541</v>
      </c>
      <c r="P5806" s="36" t="s">
        <v>7542</v>
      </c>
      <c r="Q5806" s="38"/>
    </row>
    <row r="5807">
      <c r="A5807" s="6" t="s">
        <v>7390</v>
      </c>
      <c r="B5807" s="6" t="s">
        <v>8580</v>
      </c>
      <c r="C5807" s="6">
        <v>287.0</v>
      </c>
      <c r="D5807" s="9" t="str">
        <f t="shared" si="1923"/>
        <v>Open Ad</v>
      </c>
      <c r="E5807" s="6" t="s">
        <v>91</v>
      </c>
      <c r="F5807" s="6" t="s">
        <v>8022</v>
      </c>
      <c r="G5807" s="6" t="s">
        <v>8730</v>
      </c>
      <c r="H5807" s="6" t="s">
        <v>55</v>
      </c>
      <c r="I5807" s="6" t="s">
        <v>8582</v>
      </c>
      <c r="J5807" s="6" t="s">
        <v>91</v>
      </c>
      <c r="K5807" s="12" t="str">
        <f t="shared" si="1924"/>
        <v>View Creative</v>
      </c>
      <c r="L5807" s="6" t="s">
        <v>62</v>
      </c>
      <c r="M5807" s="6" t="s">
        <v>7390</v>
      </c>
      <c r="N5807" s="6" t="s">
        <v>8731</v>
      </c>
      <c r="O5807" s="36" t="s">
        <v>7541</v>
      </c>
      <c r="P5807" s="36" t="s">
        <v>7542</v>
      </c>
      <c r="Q5807" s="38"/>
    </row>
    <row r="5808">
      <c r="A5808" s="6" t="s">
        <v>7390</v>
      </c>
      <c r="B5808" s="6" t="s">
        <v>8580</v>
      </c>
      <c r="C5808" s="6">
        <v>288.0</v>
      </c>
      <c r="D5808" s="9" t="str">
        <f t="shared" ref="D5808:D5809" si="1925">HYPERLINK("https://www.linkedin.com/ad-library/detail/878481213","Open Ad")</f>
        <v>Open Ad</v>
      </c>
      <c r="E5808" s="6" t="s">
        <v>91</v>
      </c>
      <c r="F5808" s="6" t="s">
        <v>8022</v>
      </c>
      <c r="G5808" s="6" t="s">
        <v>8732</v>
      </c>
      <c r="H5808" s="6" t="s">
        <v>55</v>
      </c>
      <c r="I5808" s="6" t="s">
        <v>8582</v>
      </c>
      <c r="J5808" s="6" t="s">
        <v>91</v>
      </c>
      <c r="K5808" s="12" t="str">
        <f t="shared" ref="K5808:K5809" si="1926">HYPERLINK("https://media.licdn.com/dms/image/v2/D4E22AQHAtS7WfEMGUQ/feedshare-image-high-res/B4EZnC_ET6GcAo-/0/1759912937577?e=2147483647&amp;v=beta&amp;t=NaRSY8280_v4sV5uDmBBOsskUzKbD5EXD0rArRkKynQ","View Creative")</f>
        <v>View Creative</v>
      </c>
      <c r="L5808" s="6" t="s">
        <v>62</v>
      </c>
      <c r="M5808" s="6" t="s">
        <v>7390</v>
      </c>
      <c r="N5808" s="6" t="s">
        <v>8731</v>
      </c>
      <c r="O5808" s="36" t="s">
        <v>7541</v>
      </c>
      <c r="P5808" s="36" t="s">
        <v>7542</v>
      </c>
      <c r="Q5808" s="38"/>
    </row>
    <row r="5809">
      <c r="A5809" s="6" t="s">
        <v>7390</v>
      </c>
      <c r="B5809" s="6" t="s">
        <v>8580</v>
      </c>
      <c r="C5809" s="6">
        <v>289.0</v>
      </c>
      <c r="D5809" s="9" t="str">
        <f t="shared" si="1925"/>
        <v>Open Ad</v>
      </c>
      <c r="E5809" s="6" t="s">
        <v>91</v>
      </c>
      <c r="F5809" s="6" t="s">
        <v>8022</v>
      </c>
      <c r="G5809" s="6" t="s">
        <v>8732</v>
      </c>
      <c r="H5809" s="6" t="s">
        <v>55</v>
      </c>
      <c r="I5809" s="6" t="s">
        <v>8582</v>
      </c>
      <c r="J5809" s="6" t="s">
        <v>91</v>
      </c>
      <c r="K5809" s="12" t="str">
        <f t="shared" si="1926"/>
        <v>View Creative</v>
      </c>
      <c r="L5809" s="6" t="s">
        <v>62</v>
      </c>
      <c r="M5809" s="6" t="s">
        <v>7390</v>
      </c>
      <c r="N5809" s="6" t="s">
        <v>8731</v>
      </c>
      <c r="O5809" s="36" t="s">
        <v>7541</v>
      </c>
      <c r="P5809" s="36" t="s">
        <v>7542</v>
      </c>
      <c r="Q5809" s="38"/>
    </row>
    <row r="5810">
      <c r="A5810" s="6" t="s">
        <v>7390</v>
      </c>
      <c r="B5810" s="6" t="s">
        <v>8580</v>
      </c>
      <c r="C5810" s="6">
        <v>290.0</v>
      </c>
      <c r="D5810" s="9" t="str">
        <f t="shared" ref="D5810:D5811" si="1927">HYPERLINK("https://www.linkedin.com/ad-library/detail/878481223","Open Ad")</f>
        <v>Open Ad</v>
      </c>
      <c r="E5810" s="6" t="s">
        <v>91</v>
      </c>
      <c r="F5810" s="6" t="s">
        <v>8022</v>
      </c>
      <c r="G5810" s="6" t="s">
        <v>8733</v>
      </c>
      <c r="H5810" s="6" t="s">
        <v>55</v>
      </c>
      <c r="I5810" s="6" t="s">
        <v>8582</v>
      </c>
      <c r="J5810" s="6" t="s">
        <v>91</v>
      </c>
      <c r="K5810" s="12" t="str">
        <f t="shared" ref="K5810:K5811" si="1928">HYPERLINK("https://media.licdn.com/dms/image/v2/D4D22AQGIThHZmeLzSQ/feedshare-shrink_1280/B4DZmUgA4rIEAs-/0/1759133045527?e=2147483647&amp;v=beta&amp;t=nZPSs1lQlUged9i6-ElWR-jTWcG85b1-hE37Y4Jr3v4","View Creative")</f>
        <v>View Creative</v>
      </c>
      <c r="L5810" s="6" t="s">
        <v>62</v>
      </c>
      <c r="M5810" s="6" t="s">
        <v>7390</v>
      </c>
      <c r="N5810" s="6" t="s">
        <v>8731</v>
      </c>
      <c r="O5810" s="36" t="s">
        <v>7541</v>
      </c>
      <c r="P5810" s="36" t="s">
        <v>7542</v>
      </c>
      <c r="Q5810" s="38"/>
    </row>
    <row r="5811">
      <c r="A5811" s="6" t="s">
        <v>7390</v>
      </c>
      <c r="B5811" s="6" t="s">
        <v>8580</v>
      </c>
      <c r="C5811" s="6">
        <v>291.0</v>
      </c>
      <c r="D5811" s="9" t="str">
        <f t="shared" si="1927"/>
        <v>Open Ad</v>
      </c>
      <c r="E5811" s="6" t="s">
        <v>91</v>
      </c>
      <c r="F5811" s="6" t="s">
        <v>8022</v>
      </c>
      <c r="G5811" s="6" t="s">
        <v>8733</v>
      </c>
      <c r="H5811" s="6" t="s">
        <v>55</v>
      </c>
      <c r="I5811" s="6" t="s">
        <v>8582</v>
      </c>
      <c r="J5811" s="6" t="s">
        <v>91</v>
      </c>
      <c r="K5811" s="12" t="str">
        <f t="shared" si="1928"/>
        <v>View Creative</v>
      </c>
      <c r="L5811" s="6" t="s">
        <v>62</v>
      </c>
      <c r="M5811" s="6" t="s">
        <v>7390</v>
      </c>
      <c r="N5811" s="6" t="s">
        <v>8731</v>
      </c>
      <c r="O5811" s="36" t="s">
        <v>7541</v>
      </c>
      <c r="P5811" s="36" t="s">
        <v>7542</v>
      </c>
      <c r="Q5811" s="38"/>
    </row>
    <row r="5812">
      <c r="A5812" s="6" t="s">
        <v>7390</v>
      </c>
      <c r="B5812" s="6" t="s">
        <v>8580</v>
      </c>
      <c r="C5812" s="6">
        <v>292.0</v>
      </c>
      <c r="D5812" s="9" t="str">
        <f t="shared" ref="D5812:D5813" si="1929">HYPERLINK("https://www.linkedin.com/ad-library/detail/970980123","Open Ad")</f>
        <v>Open Ad</v>
      </c>
      <c r="E5812" s="6" t="s">
        <v>91</v>
      </c>
      <c r="F5812" s="6" t="s">
        <v>8022</v>
      </c>
      <c r="G5812" s="6" t="s">
        <v>8719</v>
      </c>
      <c r="H5812" s="6" t="s">
        <v>769</v>
      </c>
      <c r="I5812" s="6" t="s">
        <v>8582</v>
      </c>
      <c r="J5812" s="6" t="s">
        <v>91</v>
      </c>
      <c r="K5812" s="12" t="str">
        <f t="shared" ref="K5812:K5813" si="1930">HYPERLINK("https://media.licdn.com/dms/image/v2/D4D22AQF89sokYPwgiA/feedshare-shrink_1280/B4DZqQ3DIjGgAs-/0/1763366941846?e=2147483647&amp;v=beta&amp;t=k2qBfFOMYdoi7TJaUsrROb0ijJiKISlr_H530v7k9H4","View Creative")</f>
        <v>View Creative</v>
      </c>
      <c r="L5812" s="6" t="s">
        <v>62</v>
      </c>
      <c r="M5812" s="6" t="s">
        <v>7390</v>
      </c>
      <c r="N5812" s="6" t="s">
        <v>8734</v>
      </c>
      <c r="O5812" s="36" t="s">
        <v>7541</v>
      </c>
      <c r="P5812" s="36" t="s">
        <v>7542</v>
      </c>
      <c r="Q5812" s="38"/>
    </row>
    <row r="5813">
      <c r="A5813" s="6" t="s">
        <v>7390</v>
      </c>
      <c r="B5813" s="6" t="s">
        <v>8580</v>
      </c>
      <c r="C5813" s="6">
        <v>293.0</v>
      </c>
      <c r="D5813" s="9" t="str">
        <f t="shared" si="1929"/>
        <v>Open Ad</v>
      </c>
      <c r="E5813" s="6" t="s">
        <v>91</v>
      </c>
      <c r="F5813" s="6" t="s">
        <v>8022</v>
      </c>
      <c r="G5813" s="6" t="s">
        <v>8719</v>
      </c>
      <c r="H5813" s="6" t="s">
        <v>769</v>
      </c>
      <c r="I5813" s="6" t="s">
        <v>8582</v>
      </c>
      <c r="J5813" s="6" t="s">
        <v>91</v>
      </c>
      <c r="K5813" s="12" t="str">
        <f t="shared" si="1930"/>
        <v>View Creative</v>
      </c>
      <c r="L5813" s="6" t="s">
        <v>62</v>
      </c>
      <c r="M5813" s="6" t="s">
        <v>7390</v>
      </c>
      <c r="N5813" s="6" t="s">
        <v>8734</v>
      </c>
      <c r="O5813" s="36" t="s">
        <v>7541</v>
      </c>
      <c r="P5813" s="36" t="s">
        <v>7542</v>
      </c>
      <c r="Q5813" s="38"/>
    </row>
    <row r="5814">
      <c r="A5814" s="6" t="s">
        <v>7390</v>
      </c>
      <c r="B5814" s="6" t="s">
        <v>8580</v>
      </c>
      <c r="C5814" s="6">
        <v>294.0</v>
      </c>
      <c r="D5814" s="9" t="str">
        <f t="shared" ref="D5814:D5815" si="1931">HYPERLINK("https://www.linkedin.com/ad-library/detail/970849323","Open Ad")</f>
        <v>Open Ad</v>
      </c>
      <c r="E5814" s="6" t="s">
        <v>154</v>
      </c>
      <c r="F5814" s="6" t="s">
        <v>8022</v>
      </c>
      <c r="G5814" s="6" t="s">
        <v>8735</v>
      </c>
      <c r="H5814" s="6" t="s">
        <v>55</v>
      </c>
      <c r="I5814" s="6" t="s">
        <v>8582</v>
      </c>
      <c r="J5814" s="6" t="s">
        <v>154</v>
      </c>
      <c r="K5814" s="12" t="str">
        <f t="shared" ref="K5814:K5815" si="1932">HYPERLINK("https://dms.licdn.com/playlist/vid/v2/D4D10AQGR8-jaF9Li-w/progressive-servable-video/B4DZrOzLHGHwAc-/0/1764406114112/ad2?e=2147483647&amp;v=beta&amp;t=5DbNHKnORtK4MkCIWlqxEtZYKcIYzvqUEQfFrojiUS8","View Creative")</f>
        <v>View Creative</v>
      </c>
      <c r="L5814" s="6" t="s">
        <v>62</v>
      </c>
      <c r="M5814" s="6" t="s">
        <v>7390</v>
      </c>
      <c r="N5814" s="6" t="s">
        <v>8736</v>
      </c>
      <c r="O5814" s="36" t="s">
        <v>7541</v>
      </c>
      <c r="P5814" s="36" t="s">
        <v>7542</v>
      </c>
      <c r="Q5814" s="38"/>
    </row>
    <row r="5815">
      <c r="A5815" s="6" t="s">
        <v>7390</v>
      </c>
      <c r="B5815" s="6" t="s">
        <v>8580</v>
      </c>
      <c r="C5815" s="6">
        <v>295.0</v>
      </c>
      <c r="D5815" s="9" t="str">
        <f t="shared" si="1931"/>
        <v>Open Ad</v>
      </c>
      <c r="E5815" s="6" t="s">
        <v>154</v>
      </c>
      <c r="F5815" s="6" t="s">
        <v>8022</v>
      </c>
      <c r="G5815" s="6" t="s">
        <v>8735</v>
      </c>
      <c r="H5815" s="6" t="s">
        <v>55</v>
      </c>
      <c r="I5815" s="6" t="s">
        <v>8582</v>
      </c>
      <c r="J5815" s="6" t="s">
        <v>154</v>
      </c>
      <c r="K5815" s="12" t="str">
        <f t="shared" si="1932"/>
        <v>View Creative</v>
      </c>
      <c r="L5815" s="6" t="s">
        <v>62</v>
      </c>
      <c r="M5815" s="6" t="s">
        <v>7390</v>
      </c>
      <c r="N5815" s="6" t="s">
        <v>8736</v>
      </c>
      <c r="O5815" s="36" t="s">
        <v>7541</v>
      </c>
      <c r="P5815" s="36" t="s">
        <v>7542</v>
      </c>
      <c r="Q5815" s="38"/>
    </row>
    <row r="5816">
      <c r="A5816" s="6" t="s">
        <v>7390</v>
      </c>
      <c r="B5816" s="6" t="s">
        <v>8580</v>
      </c>
      <c r="C5816" s="6">
        <v>296.0</v>
      </c>
      <c r="D5816" s="9" t="str">
        <f t="shared" ref="D5816:D5817" si="1933">HYPERLINK("https://www.linkedin.com/ad-library/detail/905076333","Open Ad")</f>
        <v>Open Ad</v>
      </c>
      <c r="E5816" s="6" t="s">
        <v>91</v>
      </c>
      <c r="F5816" s="6" t="s">
        <v>8022</v>
      </c>
      <c r="G5816" s="6" t="s">
        <v>8732</v>
      </c>
      <c r="H5816" s="6" t="s">
        <v>55</v>
      </c>
      <c r="I5816" s="6" t="s">
        <v>8582</v>
      </c>
      <c r="J5816" s="6" t="s">
        <v>91</v>
      </c>
      <c r="K5816" s="12" t="str">
        <f t="shared" ref="K5816:K5817" si="1934">HYPERLINK("https://media.licdn.com/dms/image/v2/D4E22AQHAtS7WfEMGUQ/feedshare-image-high-res/B4EZnC_ET6GcAo-/0/1759912937577?e=2147483647&amp;v=beta&amp;t=NaRSY8280_v4sV5uDmBBOsskUzKbD5EXD0rArRkKynQ","View Creative")</f>
        <v>View Creative</v>
      </c>
      <c r="L5816" s="6" t="s">
        <v>62</v>
      </c>
      <c r="M5816" s="6" t="s">
        <v>7390</v>
      </c>
      <c r="N5816" s="6" t="s">
        <v>8737</v>
      </c>
      <c r="O5816" s="36" t="s">
        <v>7541</v>
      </c>
      <c r="P5816" s="36" t="s">
        <v>7542</v>
      </c>
      <c r="Q5816" s="38"/>
    </row>
    <row r="5817">
      <c r="A5817" s="6" t="s">
        <v>7390</v>
      </c>
      <c r="B5817" s="6" t="s">
        <v>8580</v>
      </c>
      <c r="C5817" s="6">
        <v>297.0</v>
      </c>
      <c r="D5817" s="9" t="str">
        <f t="shared" si="1933"/>
        <v>Open Ad</v>
      </c>
      <c r="E5817" s="6" t="s">
        <v>91</v>
      </c>
      <c r="F5817" s="6" t="s">
        <v>8022</v>
      </c>
      <c r="G5817" s="6" t="s">
        <v>8732</v>
      </c>
      <c r="H5817" s="6" t="s">
        <v>55</v>
      </c>
      <c r="I5817" s="6" t="s">
        <v>8582</v>
      </c>
      <c r="J5817" s="6" t="s">
        <v>91</v>
      </c>
      <c r="K5817" s="12" t="str">
        <f t="shared" si="1934"/>
        <v>View Creative</v>
      </c>
      <c r="L5817" s="6" t="s">
        <v>62</v>
      </c>
      <c r="M5817" s="6" t="s">
        <v>7390</v>
      </c>
      <c r="N5817" s="6" t="s">
        <v>8737</v>
      </c>
      <c r="O5817" s="36" t="s">
        <v>7541</v>
      </c>
      <c r="P5817" s="36" t="s">
        <v>7542</v>
      </c>
      <c r="Q5817" s="38"/>
    </row>
    <row r="5818">
      <c r="A5818" s="6" t="s">
        <v>7390</v>
      </c>
      <c r="B5818" s="6" t="s">
        <v>8580</v>
      </c>
      <c r="C5818" s="6">
        <v>298.0</v>
      </c>
      <c r="D5818" s="9" t="str">
        <f t="shared" ref="D5818:D5819" si="1935">HYPERLINK("https://www.linkedin.com/ad-library/detail/836534933","Open Ad")</f>
        <v>Open Ad</v>
      </c>
      <c r="E5818" s="6" t="s">
        <v>91</v>
      </c>
      <c r="F5818" s="6" t="s">
        <v>8022</v>
      </c>
      <c r="G5818" s="6" t="s">
        <v>8738</v>
      </c>
      <c r="H5818" s="6" t="s">
        <v>55</v>
      </c>
      <c r="I5818" s="6" t="s">
        <v>8582</v>
      </c>
      <c r="J5818" s="6" t="s">
        <v>91</v>
      </c>
      <c r="K5818" s="12" t="str">
        <f t="shared" ref="K5818:K5819" si="1936">HYPERLINK("https://media.licdn.com/dms/image/v2/D4D22AQGzFbupCEJM2w/feedshare-shrink_1280/B4DZhgKsA8HsAo-/0/1753960072533?e=2147483647&amp;v=beta&amp;t=tu9picQ4dgJiyfL2DNKEtogYtwvmxlJsoA0jDlf_nSw","View Creative")</f>
        <v>View Creative</v>
      </c>
      <c r="L5818" s="6" t="s">
        <v>62</v>
      </c>
      <c r="M5818" s="6" t="s">
        <v>7390</v>
      </c>
      <c r="N5818" s="6" t="s">
        <v>8739</v>
      </c>
      <c r="O5818" s="36" t="s">
        <v>7541</v>
      </c>
      <c r="P5818" s="36" t="s">
        <v>7542</v>
      </c>
      <c r="Q5818" s="38"/>
    </row>
    <row r="5819">
      <c r="A5819" s="6" t="s">
        <v>7390</v>
      </c>
      <c r="B5819" s="6" t="s">
        <v>8580</v>
      </c>
      <c r="C5819" s="6">
        <v>299.0</v>
      </c>
      <c r="D5819" s="9" t="str">
        <f t="shared" si="1935"/>
        <v>Open Ad</v>
      </c>
      <c r="E5819" s="6" t="s">
        <v>91</v>
      </c>
      <c r="F5819" s="6" t="s">
        <v>8022</v>
      </c>
      <c r="G5819" s="6" t="s">
        <v>8738</v>
      </c>
      <c r="H5819" s="6" t="s">
        <v>55</v>
      </c>
      <c r="I5819" s="6" t="s">
        <v>8582</v>
      </c>
      <c r="J5819" s="6" t="s">
        <v>91</v>
      </c>
      <c r="K5819" s="12" t="str">
        <f t="shared" si="1936"/>
        <v>View Creative</v>
      </c>
      <c r="L5819" s="6" t="s">
        <v>62</v>
      </c>
      <c r="M5819" s="6" t="s">
        <v>7390</v>
      </c>
      <c r="N5819" s="6" t="s">
        <v>8739</v>
      </c>
      <c r="O5819" s="36" t="s">
        <v>7541</v>
      </c>
      <c r="P5819" s="36" t="s">
        <v>7542</v>
      </c>
      <c r="Q5819" s="38"/>
    </row>
    <row r="5820">
      <c r="A5820" s="6" t="s">
        <v>7390</v>
      </c>
      <c r="B5820" s="6" t="s">
        <v>8580</v>
      </c>
      <c r="C5820" s="6">
        <v>300.0</v>
      </c>
      <c r="D5820" s="9" t="str">
        <f t="shared" ref="D5820:D5821" si="1937">HYPERLINK("https://www.linkedin.com/ad-library/detail/970859583","Open Ad")</f>
        <v>Open Ad</v>
      </c>
      <c r="E5820" s="6" t="s">
        <v>91</v>
      </c>
      <c r="F5820" s="6" t="s">
        <v>8022</v>
      </c>
      <c r="G5820" s="6" t="s">
        <v>8740</v>
      </c>
      <c r="H5820" s="6" t="s">
        <v>55</v>
      </c>
      <c r="I5820" s="6" t="s">
        <v>8582</v>
      </c>
      <c r="J5820" s="6" t="s">
        <v>91</v>
      </c>
      <c r="K5820" s="12" t="str">
        <f t="shared" ref="K5820:K5821" si="1938">HYPERLINK("https://media.licdn.com/dms/image/v2/D4E22AQF9haFiB79XLw/feedshare-shrink_1280/B4EZpN1DmhKcAs-/0/1762242346157?e=2147483647&amp;v=beta&amp;t=Are383pK-MgOiixzV31HgeY52XiH1gpdV8U6jmkQEog","View Creative")</f>
        <v>View Creative</v>
      </c>
      <c r="L5820" s="6" t="s">
        <v>62</v>
      </c>
      <c r="M5820" s="6" t="s">
        <v>7390</v>
      </c>
      <c r="N5820" s="6" t="s">
        <v>8736</v>
      </c>
      <c r="O5820" s="36" t="s">
        <v>7541</v>
      </c>
      <c r="P5820" s="36" t="s">
        <v>7542</v>
      </c>
      <c r="Q5820" s="38"/>
    </row>
    <row r="5821">
      <c r="A5821" s="6" t="s">
        <v>7390</v>
      </c>
      <c r="B5821" s="6" t="s">
        <v>8580</v>
      </c>
      <c r="C5821" s="6">
        <v>301.0</v>
      </c>
      <c r="D5821" s="9" t="str">
        <f t="shared" si="1937"/>
        <v>Open Ad</v>
      </c>
      <c r="E5821" s="6" t="s">
        <v>91</v>
      </c>
      <c r="F5821" s="6" t="s">
        <v>8022</v>
      </c>
      <c r="G5821" s="6" t="s">
        <v>8740</v>
      </c>
      <c r="H5821" s="6" t="s">
        <v>55</v>
      </c>
      <c r="I5821" s="6" t="s">
        <v>8582</v>
      </c>
      <c r="J5821" s="6" t="s">
        <v>91</v>
      </c>
      <c r="K5821" s="12" t="str">
        <f t="shared" si="1938"/>
        <v>View Creative</v>
      </c>
      <c r="L5821" s="6" t="s">
        <v>62</v>
      </c>
      <c r="M5821" s="6" t="s">
        <v>7390</v>
      </c>
      <c r="N5821" s="6" t="s">
        <v>8736</v>
      </c>
      <c r="O5821" s="36" t="s">
        <v>7541</v>
      </c>
      <c r="P5821" s="36" t="s">
        <v>7542</v>
      </c>
      <c r="Q5821" s="38"/>
    </row>
    <row r="5822">
      <c r="A5822" s="6" t="s">
        <v>7390</v>
      </c>
      <c r="B5822" s="6" t="s">
        <v>8580</v>
      </c>
      <c r="C5822" s="6">
        <v>302.0</v>
      </c>
      <c r="D5822" s="9" t="str">
        <f t="shared" ref="D5822:D5823" si="1939">HYPERLINK("https://www.linkedin.com/ad-library/detail/836584893","Open Ad")</f>
        <v>Open Ad</v>
      </c>
      <c r="E5822" s="6" t="s">
        <v>91</v>
      </c>
      <c r="F5822" s="6" t="s">
        <v>8022</v>
      </c>
      <c r="G5822" s="6" t="s">
        <v>8741</v>
      </c>
      <c r="H5822" s="6" t="s">
        <v>769</v>
      </c>
      <c r="I5822" s="6" t="s">
        <v>8582</v>
      </c>
      <c r="J5822" s="6" t="s">
        <v>91</v>
      </c>
      <c r="K5822" s="12" t="str">
        <f t="shared" ref="K5822:K5823" si="1940">HYPERLINK("https://media.licdn.com/dms/image/v2/D4D22AQFM9OpVBcLU0w/feedshare-shrink_1280/B4DZhRf9YSHsAs-/0/1753713991112?e=2147483647&amp;v=beta&amp;t=I2tF1z1vDqMwbbFbP2qXnFfy4fVlA52nPbbhYBuZ5No","View Creative")</f>
        <v>View Creative</v>
      </c>
      <c r="L5822" s="6" t="s">
        <v>62</v>
      </c>
      <c r="M5822" s="6" t="s">
        <v>7390</v>
      </c>
      <c r="N5822" s="6" t="s">
        <v>8739</v>
      </c>
      <c r="O5822" s="36" t="s">
        <v>7541</v>
      </c>
      <c r="P5822" s="36" t="s">
        <v>7542</v>
      </c>
      <c r="Q5822" s="38"/>
    </row>
    <row r="5823">
      <c r="A5823" s="6" t="s">
        <v>7390</v>
      </c>
      <c r="B5823" s="6" t="s">
        <v>8580</v>
      </c>
      <c r="C5823" s="6">
        <v>303.0</v>
      </c>
      <c r="D5823" s="9" t="str">
        <f t="shared" si="1939"/>
        <v>Open Ad</v>
      </c>
      <c r="E5823" s="6" t="s">
        <v>91</v>
      </c>
      <c r="F5823" s="6" t="s">
        <v>8022</v>
      </c>
      <c r="G5823" s="6" t="s">
        <v>8741</v>
      </c>
      <c r="H5823" s="6" t="s">
        <v>769</v>
      </c>
      <c r="I5823" s="6" t="s">
        <v>8582</v>
      </c>
      <c r="J5823" s="6" t="s">
        <v>91</v>
      </c>
      <c r="K5823" s="12" t="str">
        <f t="shared" si="1940"/>
        <v>View Creative</v>
      </c>
      <c r="L5823" s="6" t="s">
        <v>62</v>
      </c>
      <c r="M5823" s="6" t="s">
        <v>7390</v>
      </c>
      <c r="N5823" s="6" t="s">
        <v>8739</v>
      </c>
      <c r="O5823" s="36" t="s">
        <v>7541</v>
      </c>
      <c r="P5823" s="36" t="s">
        <v>7542</v>
      </c>
      <c r="Q5823" s="38"/>
    </row>
    <row r="5824">
      <c r="A5824" s="6" t="s">
        <v>7390</v>
      </c>
      <c r="B5824" s="6" t="s">
        <v>8580</v>
      </c>
      <c r="C5824" s="6">
        <v>304.0</v>
      </c>
      <c r="D5824" s="9" t="str">
        <f t="shared" ref="D5824:D5825" si="1941">HYPERLINK("https://www.linkedin.com/ad-library/detail/970898483","Open Ad")</f>
        <v>Open Ad</v>
      </c>
      <c r="E5824" s="6" t="s">
        <v>91</v>
      </c>
      <c r="F5824" s="6" t="s">
        <v>8022</v>
      </c>
      <c r="G5824" s="6" t="s">
        <v>8712</v>
      </c>
      <c r="H5824" s="6" t="s">
        <v>55</v>
      </c>
      <c r="I5824" s="6" t="s">
        <v>8582</v>
      </c>
      <c r="J5824" s="6" t="s">
        <v>91</v>
      </c>
      <c r="K5824" s="12" t="str">
        <f t="shared" ref="K5824:K5825" si="1942">HYPERLINK("https://media.licdn.com/dms/image/v2/D4D22AQH3I7CX2PDsOw/feedshare-shrink_1280/B4DZq7RnYuG8As-/0/1764078549694?e=2147483647&amp;v=beta&amp;t=c4tec5L3EYwO_gxVthgpkbnpG5jIlDW_Hel93hUlcWQ","View Creative")</f>
        <v>View Creative</v>
      </c>
      <c r="L5824" s="6" t="s">
        <v>62</v>
      </c>
      <c r="M5824" s="6" t="s">
        <v>7390</v>
      </c>
      <c r="N5824" s="6" t="s">
        <v>8736</v>
      </c>
      <c r="O5824" s="36" t="s">
        <v>7541</v>
      </c>
      <c r="P5824" s="36" t="s">
        <v>7542</v>
      </c>
      <c r="Q5824" s="38"/>
    </row>
    <row r="5825">
      <c r="A5825" s="6" t="s">
        <v>7390</v>
      </c>
      <c r="B5825" s="6" t="s">
        <v>8580</v>
      </c>
      <c r="C5825" s="6">
        <v>305.0</v>
      </c>
      <c r="D5825" s="9" t="str">
        <f t="shared" si="1941"/>
        <v>Open Ad</v>
      </c>
      <c r="E5825" s="6" t="s">
        <v>91</v>
      </c>
      <c r="F5825" s="6" t="s">
        <v>8022</v>
      </c>
      <c r="G5825" s="6" t="s">
        <v>8712</v>
      </c>
      <c r="H5825" s="6" t="s">
        <v>55</v>
      </c>
      <c r="I5825" s="6" t="s">
        <v>8582</v>
      </c>
      <c r="J5825" s="6" t="s">
        <v>91</v>
      </c>
      <c r="K5825" s="12" t="str">
        <f t="shared" si="1942"/>
        <v>View Creative</v>
      </c>
      <c r="L5825" s="6" t="s">
        <v>62</v>
      </c>
      <c r="M5825" s="6" t="s">
        <v>7390</v>
      </c>
      <c r="N5825" s="6" t="s">
        <v>8736</v>
      </c>
      <c r="O5825" s="36" t="s">
        <v>7541</v>
      </c>
      <c r="P5825" s="36" t="s">
        <v>7542</v>
      </c>
      <c r="Q5825" s="38"/>
    </row>
    <row r="5826">
      <c r="A5826" s="6" t="s">
        <v>7390</v>
      </c>
      <c r="B5826" s="6" t="s">
        <v>8580</v>
      </c>
      <c r="C5826" s="6">
        <v>306.0</v>
      </c>
      <c r="D5826" s="9" t="str">
        <f t="shared" ref="D5826:D5827" si="1943">HYPERLINK("https://www.linkedin.com/ad-library/detail/970789743","Open Ad")</f>
        <v>Open Ad</v>
      </c>
      <c r="E5826" s="6" t="s">
        <v>154</v>
      </c>
      <c r="F5826" s="6" t="s">
        <v>8022</v>
      </c>
      <c r="G5826" s="6" t="s">
        <v>8673</v>
      </c>
      <c r="H5826" s="6" t="s">
        <v>55</v>
      </c>
      <c r="I5826" s="6" t="s">
        <v>8582</v>
      </c>
      <c r="J5826" s="6" t="s">
        <v>154</v>
      </c>
      <c r="K5826" s="12" t="str">
        <f t="shared" ref="K5826:K5827" si="1944">HYPERLINK("https://dms.licdn.com/playlist/vid/v2/D4D10AQGGR_EKKXoJIw/progressive-servable-video/B4DZrOzLcnH0Ac-/0/1764406115038/ad2?e=2147483647&amp;v=beta&amp;t=e5zGgFVVwCJWmoIRx_lJJUCqKL1kGbq4PlvBd2QJUDU","View Creative")</f>
        <v>View Creative</v>
      </c>
      <c r="L5826" s="6" t="s">
        <v>62</v>
      </c>
      <c r="M5826" s="6" t="s">
        <v>7390</v>
      </c>
      <c r="N5826" s="6" t="s">
        <v>8736</v>
      </c>
      <c r="O5826" s="36" t="s">
        <v>7541</v>
      </c>
      <c r="P5826" s="36" t="s">
        <v>7542</v>
      </c>
      <c r="Q5826" s="38"/>
    </row>
    <row r="5827">
      <c r="A5827" s="6" t="s">
        <v>7390</v>
      </c>
      <c r="B5827" s="6" t="s">
        <v>8580</v>
      </c>
      <c r="C5827" s="6">
        <v>307.0</v>
      </c>
      <c r="D5827" s="9" t="str">
        <f t="shared" si="1943"/>
        <v>Open Ad</v>
      </c>
      <c r="E5827" s="6" t="s">
        <v>154</v>
      </c>
      <c r="F5827" s="6" t="s">
        <v>8022</v>
      </c>
      <c r="G5827" s="6" t="s">
        <v>8673</v>
      </c>
      <c r="H5827" s="6" t="s">
        <v>55</v>
      </c>
      <c r="I5827" s="6" t="s">
        <v>8582</v>
      </c>
      <c r="J5827" s="6" t="s">
        <v>154</v>
      </c>
      <c r="K5827" s="12" t="str">
        <f t="shared" si="1944"/>
        <v>View Creative</v>
      </c>
      <c r="L5827" s="6" t="s">
        <v>62</v>
      </c>
      <c r="M5827" s="6" t="s">
        <v>7390</v>
      </c>
      <c r="N5827" s="6" t="s">
        <v>8736</v>
      </c>
      <c r="O5827" s="36" t="s">
        <v>7541</v>
      </c>
      <c r="P5827" s="36" t="s">
        <v>7542</v>
      </c>
      <c r="Q5827" s="38"/>
    </row>
    <row r="5828">
      <c r="A5828" s="6" t="s">
        <v>7390</v>
      </c>
      <c r="B5828" s="6" t="s">
        <v>8580</v>
      </c>
      <c r="C5828" s="6">
        <v>308.0</v>
      </c>
      <c r="D5828" s="9" t="str">
        <f t="shared" ref="D5828:D5829" si="1945">HYPERLINK("https://www.linkedin.com/ad-library/detail/970938453","Open Ad")</f>
        <v>Open Ad</v>
      </c>
      <c r="E5828" s="6" t="s">
        <v>91</v>
      </c>
      <c r="F5828" s="6" t="s">
        <v>8022</v>
      </c>
      <c r="G5828" s="6" t="s">
        <v>8742</v>
      </c>
      <c r="H5828" s="6" t="s">
        <v>55</v>
      </c>
      <c r="I5828" s="6" t="s">
        <v>8582</v>
      </c>
      <c r="J5828" s="6" t="s">
        <v>91</v>
      </c>
      <c r="K5828" s="12" t="str">
        <f t="shared" ref="K5828:K5829" si="1946">HYPERLINK("https://media.licdn.com/dms/image/v2/D4D22AQFhHFU_enUY2w/feedshare-shrink_1280/B4DZqgXKhHJ4As-/0/1763627029825?e=2147483647&amp;v=beta&amp;t=dZTjGGJnCLJgTiJk4kexAvdaIJ0x_FbrcGCL_PD_dKY","View Creative")</f>
        <v>View Creative</v>
      </c>
      <c r="L5828" s="6" t="s">
        <v>62</v>
      </c>
      <c r="M5828" s="6" t="s">
        <v>7390</v>
      </c>
      <c r="N5828" s="6" t="s">
        <v>8734</v>
      </c>
      <c r="O5828" s="36" t="s">
        <v>7541</v>
      </c>
      <c r="P5828" s="36" t="s">
        <v>7542</v>
      </c>
      <c r="Q5828" s="38"/>
    </row>
    <row r="5829">
      <c r="A5829" s="6" t="s">
        <v>7390</v>
      </c>
      <c r="B5829" s="6" t="s">
        <v>8580</v>
      </c>
      <c r="C5829" s="6">
        <v>309.0</v>
      </c>
      <c r="D5829" s="9" t="str">
        <f t="shared" si="1945"/>
        <v>Open Ad</v>
      </c>
      <c r="E5829" s="6" t="s">
        <v>91</v>
      </c>
      <c r="F5829" s="6" t="s">
        <v>8022</v>
      </c>
      <c r="G5829" s="6" t="s">
        <v>8742</v>
      </c>
      <c r="H5829" s="6" t="s">
        <v>55</v>
      </c>
      <c r="I5829" s="6" t="s">
        <v>8582</v>
      </c>
      <c r="J5829" s="6" t="s">
        <v>91</v>
      </c>
      <c r="K5829" s="12" t="str">
        <f t="shared" si="1946"/>
        <v>View Creative</v>
      </c>
      <c r="L5829" s="6" t="s">
        <v>62</v>
      </c>
      <c r="M5829" s="6" t="s">
        <v>7390</v>
      </c>
      <c r="N5829" s="6" t="s">
        <v>8734</v>
      </c>
      <c r="O5829" s="36" t="s">
        <v>7541</v>
      </c>
      <c r="P5829" s="36" t="s">
        <v>7542</v>
      </c>
      <c r="Q5829" s="38"/>
    </row>
    <row r="5830">
      <c r="A5830" s="6" t="s">
        <v>7390</v>
      </c>
      <c r="B5830" s="6" t="s">
        <v>8580</v>
      </c>
      <c r="C5830" s="6">
        <v>310.0</v>
      </c>
      <c r="D5830" s="9" t="str">
        <f t="shared" ref="D5830:D5831" si="1947">HYPERLINK("https://www.linkedin.com/ad-library/detail/836604843","Open Ad")</f>
        <v>Open Ad</v>
      </c>
      <c r="E5830" s="6" t="s">
        <v>91</v>
      </c>
      <c r="F5830" s="6" t="s">
        <v>8022</v>
      </c>
      <c r="G5830" s="6" t="s">
        <v>8743</v>
      </c>
      <c r="H5830" s="6" t="s">
        <v>55</v>
      </c>
      <c r="I5830" s="6" t="s">
        <v>8582</v>
      </c>
      <c r="J5830" s="6" t="s">
        <v>91</v>
      </c>
      <c r="K5830" s="12" t="str">
        <f t="shared" ref="K5830:K5831" si="1948">HYPERLINK("https://media.licdn.com/dms/image/v2/D4D22AQGGAnnf_QLXxg/feedshare-shrink_1280/B4DZft9ieaHkAk-/0/1752044022608?e=2147483647&amp;v=beta&amp;t=u62BiiXEVVcoB4WZ_cB-BpzWzln-cdkte86HxnHUGDc","View Creative")</f>
        <v>View Creative</v>
      </c>
      <c r="L5830" s="6" t="s">
        <v>62</v>
      </c>
      <c r="M5830" s="6" t="s">
        <v>7390</v>
      </c>
      <c r="N5830" s="6" t="s">
        <v>8739</v>
      </c>
      <c r="O5830" s="36" t="s">
        <v>7541</v>
      </c>
      <c r="P5830" s="36" t="s">
        <v>7542</v>
      </c>
      <c r="Q5830" s="38"/>
    </row>
    <row r="5831">
      <c r="A5831" s="6" t="s">
        <v>7390</v>
      </c>
      <c r="B5831" s="6" t="s">
        <v>8580</v>
      </c>
      <c r="C5831" s="6">
        <v>311.0</v>
      </c>
      <c r="D5831" s="9" t="str">
        <f t="shared" si="1947"/>
        <v>Open Ad</v>
      </c>
      <c r="E5831" s="6" t="s">
        <v>91</v>
      </c>
      <c r="F5831" s="6" t="s">
        <v>8022</v>
      </c>
      <c r="G5831" s="6" t="s">
        <v>8743</v>
      </c>
      <c r="H5831" s="6" t="s">
        <v>55</v>
      </c>
      <c r="I5831" s="6" t="s">
        <v>8582</v>
      </c>
      <c r="J5831" s="6" t="s">
        <v>91</v>
      </c>
      <c r="K5831" s="12" t="str">
        <f t="shared" si="1948"/>
        <v>View Creative</v>
      </c>
      <c r="L5831" s="6" t="s">
        <v>62</v>
      </c>
      <c r="M5831" s="6" t="s">
        <v>7390</v>
      </c>
      <c r="N5831" s="6" t="s">
        <v>8739</v>
      </c>
      <c r="O5831" s="36" t="s">
        <v>7541</v>
      </c>
      <c r="P5831" s="36" t="s">
        <v>7542</v>
      </c>
      <c r="Q5831" s="38"/>
    </row>
    <row r="5832">
      <c r="A5832" s="6" t="s">
        <v>7390</v>
      </c>
      <c r="B5832" s="6" t="s">
        <v>8580</v>
      </c>
      <c r="C5832" s="6">
        <v>312.0</v>
      </c>
      <c r="D5832" s="9" t="str">
        <f t="shared" ref="D5832:D5833" si="1949">HYPERLINK("https://www.linkedin.com/ad-library/detail/821031723","Open Ad")</f>
        <v>Open Ad</v>
      </c>
      <c r="E5832" s="6" t="s">
        <v>91</v>
      </c>
      <c r="F5832" s="6" t="s">
        <v>8022</v>
      </c>
      <c r="G5832" s="6" t="s">
        <v>8744</v>
      </c>
      <c r="H5832" s="6" t="s">
        <v>55</v>
      </c>
      <c r="I5832" s="6" t="s">
        <v>8582</v>
      </c>
      <c r="J5832" s="6" t="s">
        <v>91</v>
      </c>
      <c r="K5832" s="12" t="str">
        <f t="shared" ref="K5832:K5833" si="1950">HYPERLINK("https://media.licdn.com/dms/image/v2/D4E22AQFr6qUH40tfAg/feedshare-image-high-res/B4EZkVee7uGoAo-/0/1757001938885?e=2147483647&amp;v=beta&amp;t=NJXtGkGmlew5OGCeqEVjJlyaZsMK_xYFpZj52VIiGws","View Creative")</f>
        <v>View Creative</v>
      </c>
      <c r="L5832" s="6" t="s">
        <v>62</v>
      </c>
      <c r="M5832" s="6" t="s">
        <v>7390</v>
      </c>
      <c r="N5832" s="6" t="s">
        <v>8745</v>
      </c>
      <c r="O5832" s="36" t="s">
        <v>7541</v>
      </c>
      <c r="P5832" s="36" t="s">
        <v>7542</v>
      </c>
      <c r="Q5832" s="38"/>
    </row>
    <row r="5833">
      <c r="A5833" s="6" t="s">
        <v>7390</v>
      </c>
      <c r="B5833" s="6" t="s">
        <v>8580</v>
      </c>
      <c r="C5833" s="6">
        <v>313.0</v>
      </c>
      <c r="D5833" s="9" t="str">
        <f t="shared" si="1949"/>
        <v>Open Ad</v>
      </c>
      <c r="E5833" s="6" t="s">
        <v>91</v>
      </c>
      <c r="F5833" s="6" t="s">
        <v>8022</v>
      </c>
      <c r="G5833" s="6" t="s">
        <v>8744</v>
      </c>
      <c r="H5833" s="6" t="s">
        <v>55</v>
      </c>
      <c r="I5833" s="6" t="s">
        <v>8582</v>
      </c>
      <c r="J5833" s="6" t="s">
        <v>91</v>
      </c>
      <c r="K5833" s="12" t="str">
        <f t="shared" si="1950"/>
        <v>View Creative</v>
      </c>
      <c r="L5833" s="6" t="s">
        <v>62</v>
      </c>
      <c r="M5833" s="6" t="s">
        <v>7390</v>
      </c>
      <c r="N5833" s="6" t="s">
        <v>8745</v>
      </c>
      <c r="O5833" s="36" t="s">
        <v>7541</v>
      </c>
      <c r="P5833" s="36" t="s">
        <v>7542</v>
      </c>
      <c r="Q5833" s="38"/>
    </row>
    <row r="5834">
      <c r="A5834" s="6" t="s">
        <v>7390</v>
      </c>
      <c r="B5834" s="6" t="s">
        <v>8580</v>
      </c>
      <c r="C5834" s="6">
        <v>314.0</v>
      </c>
      <c r="D5834" s="9" t="str">
        <f t="shared" ref="D5834:D5835" si="1951">HYPERLINK("https://www.linkedin.com/ad-library/detail/911284093","Open Ad")</f>
        <v>Open Ad</v>
      </c>
      <c r="E5834" s="6" t="s">
        <v>91</v>
      </c>
      <c r="F5834" s="6" t="s">
        <v>8022</v>
      </c>
      <c r="G5834" s="6" t="s">
        <v>8746</v>
      </c>
      <c r="H5834" s="6" t="s">
        <v>55</v>
      </c>
      <c r="I5834" s="6" t="s">
        <v>8582</v>
      </c>
      <c r="J5834" s="6" t="s">
        <v>91</v>
      </c>
      <c r="K5834" s="12" t="str">
        <f t="shared" ref="K5834:K5835" si="1952">HYPERLINK("https://media.licdn.com/dms/image/v2/D4D22AQGc-dOA9dL0gg/feedshare-shrink_1280/B4DZgNxihwH8Ao-/0/1752577748429?e=2147483647&amp;v=beta&amp;t=KqPrwQ6oFU0NrzCA_PL_MoDHawpLFIRiHXrS2in6PwU","View Creative")</f>
        <v>View Creative</v>
      </c>
      <c r="L5834" s="6" t="s">
        <v>62</v>
      </c>
      <c r="M5834" s="6" t="s">
        <v>7390</v>
      </c>
      <c r="N5834" s="6" t="s">
        <v>8737</v>
      </c>
      <c r="O5834" s="36" t="s">
        <v>7541</v>
      </c>
      <c r="P5834" s="36" t="s">
        <v>7542</v>
      </c>
      <c r="Q5834" s="38"/>
    </row>
    <row r="5835">
      <c r="A5835" s="6" t="s">
        <v>7390</v>
      </c>
      <c r="B5835" s="6" t="s">
        <v>8580</v>
      </c>
      <c r="C5835" s="6">
        <v>315.0</v>
      </c>
      <c r="D5835" s="9" t="str">
        <f t="shared" si="1951"/>
        <v>Open Ad</v>
      </c>
      <c r="E5835" s="6" t="s">
        <v>91</v>
      </c>
      <c r="F5835" s="6" t="s">
        <v>8022</v>
      </c>
      <c r="G5835" s="6" t="s">
        <v>8746</v>
      </c>
      <c r="H5835" s="6" t="s">
        <v>55</v>
      </c>
      <c r="I5835" s="6" t="s">
        <v>8582</v>
      </c>
      <c r="J5835" s="6" t="s">
        <v>91</v>
      </c>
      <c r="K5835" s="12" t="str">
        <f t="shared" si="1952"/>
        <v>View Creative</v>
      </c>
      <c r="L5835" s="6" t="s">
        <v>62</v>
      </c>
      <c r="M5835" s="6" t="s">
        <v>7390</v>
      </c>
      <c r="N5835" s="6" t="s">
        <v>8737</v>
      </c>
      <c r="O5835" s="36" t="s">
        <v>7541</v>
      </c>
      <c r="P5835" s="36" t="s">
        <v>7542</v>
      </c>
      <c r="Q5835" s="38"/>
    </row>
    <row r="5836">
      <c r="A5836" s="6" t="s">
        <v>7390</v>
      </c>
      <c r="B5836" s="6" t="s">
        <v>8580</v>
      </c>
      <c r="C5836" s="6">
        <v>316.0</v>
      </c>
      <c r="D5836" s="9" t="str">
        <f t="shared" ref="D5836:D5837" si="1953">HYPERLINK("https://www.linkedin.com/ad-library/detail/878451503","Open Ad")</f>
        <v>Open Ad</v>
      </c>
      <c r="E5836" s="6" t="s">
        <v>91</v>
      </c>
      <c r="F5836" s="6" t="s">
        <v>8022</v>
      </c>
      <c r="G5836" s="6" t="s">
        <v>8730</v>
      </c>
      <c r="H5836" s="6" t="s">
        <v>55</v>
      </c>
      <c r="I5836" s="6" t="s">
        <v>8582</v>
      </c>
      <c r="J5836" s="6" t="s">
        <v>91</v>
      </c>
      <c r="K5836" s="12" t="str">
        <f t="shared" ref="K5836:K5837" si="1954">HYPERLINK("https://media.licdn.com/dms/image/v2/D4D10AQEcN2mShiQ0yA/image-shrink_1280/B4DZnZQ.jWHYAM-/0/1760286733344/brand-reports-otterlyaipng?e=2147483647&amp;v=beta&amp;t=ITlTrw3tTmOnrI9YTjmIfeRVkvCF7ynltUqzF--OXqg","View Creative")</f>
        <v>View Creative</v>
      </c>
      <c r="L5836" s="6" t="s">
        <v>62</v>
      </c>
      <c r="M5836" s="6" t="s">
        <v>7390</v>
      </c>
      <c r="N5836" s="6" t="s">
        <v>8731</v>
      </c>
      <c r="O5836" s="36" t="s">
        <v>7541</v>
      </c>
      <c r="P5836" s="36" t="s">
        <v>7542</v>
      </c>
      <c r="Q5836" s="38"/>
    </row>
    <row r="5837">
      <c r="A5837" s="6" t="s">
        <v>7390</v>
      </c>
      <c r="B5837" s="6" t="s">
        <v>8580</v>
      </c>
      <c r="C5837" s="6">
        <v>317.0</v>
      </c>
      <c r="D5837" s="9" t="str">
        <f t="shared" si="1953"/>
        <v>Open Ad</v>
      </c>
      <c r="E5837" s="6" t="s">
        <v>91</v>
      </c>
      <c r="F5837" s="6" t="s">
        <v>8022</v>
      </c>
      <c r="G5837" s="6" t="s">
        <v>8730</v>
      </c>
      <c r="H5837" s="6" t="s">
        <v>55</v>
      </c>
      <c r="I5837" s="6" t="s">
        <v>8582</v>
      </c>
      <c r="J5837" s="6" t="s">
        <v>91</v>
      </c>
      <c r="K5837" s="12" t="str">
        <f t="shared" si="1954"/>
        <v>View Creative</v>
      </c>
      <c r="L5837" s="6" t="s">
        <v>62</v>
      </c>
      <c r="M5837" s="6" t="s">
        <v>7390</v>
      </c>
      <c r="N5837" s="6" t="s">
        <v>8731</v>
      </c>
      <c r="O5837" s="36" t="s">
        <v>7541</v>
      </c>
      <c r="P5837" s="36" t="s">
        <v>7542</v>
      </c>
      <c r="Q5837" s="38"/>
    </row>
    <row r="5838">
      <c r="A5838" s="6" t="s">
        <v>7390</v>
      </c>
      <c r="B5838" s="6" t="s">
        <v>8580</v>
      </c>
      <c r="C5838" s="6">
        <v>318.0</v>
      </c>
      <c r="D5838" s="9" t="str">
        <f t="shared" ref="D5838:D5839" si="1955">HYPERLINK("https://www.linkedin.com/ad-library/detail/889297056","Open Ad")</f>
        <v>Open Ad</v>
      </c>
      <c r="E5838" s="6" t="s">
        <v>91</v>
      </c>
      <c r="F5838" s="6" t="s">
        <v>8022</v>
      </c>
      <c r="G5838" s="6" t="s">
        <v>8747</v>
      </c>
      <c r="H5838" s="6" t="s">
        <v>55</v>
      </c>
      <c r="I5838" s="6" t="s">
        <v>8582</v>
      </c>
      <c r="J5838" s="6" t="s">
        <v>91</v>
      </c>
      <c r="K5838" s="12" t="str">
        <f t="shared" ref="K5838:K5839" si="1956">HYPERLINK("https://media.licdn.com/dms/image/v2/D4D22AQEVXbiTOOzGzQ/feedshare-shrink_1280/B4DZl3S9mZJIAs-/0/1758643086077?e=2147483647&amp;v=beta&amp;t=tUtnALINyCgdqEMELKytTMZE-u7vwPwnOHRTqW8sTl0","View Creative")</f>
        <v>View Creative</v>
      </c>
      <c r="L5838" s="6" t="s">
        <v>62</v>
      </c>
      <c r="M5838" s="6" t="s">
        <v>7390</v>
      </c>
      <c r="N5838" s="6" t="s">
        <v>8748</v>
      </c>
      <c r="O5838" s="36" t="s">
        <v>7541</v>
      </c>
      <c r="P5838" s="36" t="s">
        <v>7542</v>
      </c>
      <c r="Q5838" s="38"/>
    </row>
    <row r="5839">
      <c r="A5839" s="6" t="s">
        <v>7390</v>
      </c>
      <c r="B5839" s="6" t="s">
        <v>8580</v>
      </c>
      <c r="C5839" s="6">
        <v>319.0</v>
      </c>
      <c r="D5839" s="9" t="str">
        <f t="shared" si="1955"/>
        <v>Open Ad</v>
      </c>
      <c r="E5839" s="6" t="s">
        <v>91</v>
      </c>
      <c r="F5839" s="6" t="s">
        <v>8022</v>
      </c>
      <c r="G5839" s="6" t="s">
        <v>8747</v>
      </c>
      <c r="H5839" s="6" t="s">
        <v>55</v>
      </c>
      <c r="I5839" s="6" t="s">
        <v>8582</v>
      </c>
      <c r="J5839" s="6" t="s">
        <v>91</v>
      </c>
      <c r="K5839" s="12" t="str">
        <f t="shared" si="1956"/>
        <v>View Creative</v>
      </c>
      <c r="L5839" s="6" t="s">
        <v>62</v>
      </c>
      <c r="M5839" s="6" t="s">
        <v>7390</v>
      </c>
      <c r="N5839" s="6" t="s">
        <v>8748</v>
      </c>
      <c r="O5839" s="36" t="s">
        <v>7541</v>
      </c>
      <c r="P5839" s="36" t="s">
        <v>7542</v>
      </c>
      <c r="Q5839" s="38"/>
    </row>
    <row r="5840">
      <c r="A5840" s="6" t="s">
        <v>7390</v>
      </c>
      <c r="B5840" s="6" t="s">
        <v>8580</v>
      </c>
      <c r="C5840" s="6">
        <v>320.0</v>
      </c>
      <c r="D5840" s="9" t="str">
        <f t="shared" ref="D5840:D5841" si="1957">HYPERLINK("https://www.linkedin.com/ad-library/detail/836652793","Open Ad")</f>
        <v>Open Ad</v>
      </c>
      <c r="E5840" s="6" t="s">
        <v>91</v>
      </c>
      <c r="F5840" s="6" t="s">
        <v>8022</v>
      </c>
      <c r="G5840" s="6" t="s">
        <v>8749</v>
      </c>
      <c r="H5840" s="6" t="s">
        <v>8750</v>
      </c>
      <c r="I5840" s="6" t="s">
        <v>8582</v>
      </c>
      <c r="J5840" s="6" t="s">
        <v>91</v>
      </c>
      <c r="K5840" s="12" t="str">
        <f t="shared" ref="K5840:K5841" si="1958">HYPERLINK("https://media.licdn.com/dms/image/v2/D4D22AQHrxI0CZ6gD9Q/feedshare-shrink_1280/B4DZkyWUGhJUAs-/0/1757486336161?e=2147483647&amp;v=beta&amp;t=XT-YlADijZ35uz9oW4vN9dPKf1kU2O6cmXwi4Who-tE","View Creative")</f>
        <v>View Creative</v>
      </c>
      <c r="L5840" s="6" t="s">
        <v>62</v>
      </c>
      <c r="M5840" s="6" t="s">
        <v>7390</v>
      </c>
      <c r="N5840" s="6" t="s">
        <v>8254</v>
      </c>
      <c r="O5840" s="36" t="s">
        <v>7541</v>
      </c>
      <c r="P5840" s="36" t="s">
        <v>7542</v>
      </c>
      <c r="Q5840" s="38"/>
    </row>
    <row r="5841">
      <c r="A5841" s="6" t="s">
        <v>7390</v>
      </c>
      <c r="B5841" s="6" t="s">
        <v>8580</v>
      </c>
      <c r="C5841" s="6">
        <v>321.0</v>
      </c>
      <c r="D5841" s="9" t="str">
        <f t="shared" si="1957"/>
        <v>Open Ad</v>
      </c>
      <c r="E5841" s="6" t="s">
        <v>91</v>
      </c>
      <c r="F5841" s="6" t="s">
        <v>8022</v>
      </c>
      <c r="G5841" s="6" t="s">
        <v>8749</v>
      </c>
      <c r="H5841" s="6" t="s">
        <v>8750</v>
      </c>
      <c r="I5841" s="6" t="s">
        <v>8582</v>
      </c>
      <c r="J5841" s="6" t="s">
        <v>91</v>
      </c>
      <c r="K5841" s="12" t="str">
        <f t="shared" si="1958"/>
        <v>View Creative</v>
      </c>
      <c r="L5841" s="6" t="s">
        <v>62</v>
      </c>
      <c r="M5841" s="6" t="s">
        <v>7390</v>
      </c>
      <c r="N5841" s="6" t="s">
        <v>8254</v>
      </c>
      <c r="O5841" s="36" t="s">
        <v>7541</v>
      </c>
      <c r="P5841" s="36" t="s">
        <v>7542</v>
      </c>
      <c r="Q5841" s="38"/>
    </row>
    <row r="5842">
      <c r="A5842" s="6" t="s">
        <v>7390</v>
      </c>
      <c r="B5842" s="6" t="s">
        <v>8580</v>
      </c>
      <c r="C5842" s="6">
        <v>322.0</v>
      </c>
      <c r="D5842" s="9" t="str">
        <f t="shared" ref="D5842:D5843" si="1959">HYPERLINK("https://www.linkedin.com/ad-library/detail/911245423","Open Ad")</f>
        <v>Open Ad</v>
      </c>
      <c r="E5842" s="6" t="s">
        <v>91</v>
      </c>
      <c r="F5842" s="6" t="s">
        <v>8022</v>
      </c>
      <c r="G5842" s="6" t="s">
        <v>8741</v>
      </c>
      <c r="H5842" s="6" t="s">
        <v>769</v>
      </c>
      <c r="I5842" s="6" t="s">
        <v>8582</v>
      </c>
      <c r="J5842" s="6" t="s">
        <v>91</v>
      </c>
      <c r="K5842" s="12" t="str">
        <f t="shared" ref="K5842:K5843" si="1960">HYPERLINK("https://media.licdn.com/dms/image/v2/D4D22AQFM9OpVBcLU0w/feedshare-shrink_1280/B4DZhRf9YSHsAs-/0/1753713991112?e=2147483647&amp;v=beta&amp;t=I2tF1z1vDqMwbbFbP2qXnFfy4fVlA52nPbbhYBuZ5No","View Creative")</f>
        <v>View Creative</v>
      </c>
      <c r="L5842" s="6" t="s">
        <v>62</v>
      </c>
      <c r="M5842" s="6" t="s">
        <v>7390</v>
      </c>
      <c r="N5842" s="6" t="s">
        <v>8737</v>
      </c>
      <c r="O5842" s="36" t="s">
        <v>7541</v>
      </c>
      <c r="P5842" s="36" t="s">
        <v>7542</v>
      </c>
      <c r="Q5842" s="38"/>
    </row>
    <row r="5843">
      <c r="A5843" s="6" t="s">
        <v>7390</v>
      </c>
      <c r="B5843" s="6" t="s">
        <v>8580</v>
      </c>
      <c r="C5843" s="6">
        <v>323.0</v>
      </c>
      <c r="D5843" s="9" t="str">
        <f t="shared" si="1959"/>
        <v>Open Ad</v>
      </c>
      <c r="E5843" s="6" t="s">
        <v>91</v>
      </c>
      <c r="F5843" s="6" t="s">
        <v>8022</v>
      </c>
      <c r="G5843" s="6" t="s">
        <v>8741</v>
      </c>
      <c r="H5843" s="6" t="s">
        <v>769</v>
      </c>
      <c r="I5843" s="6" t="s">
        <v>8582</v>
      </c>
      <c r="J5843" s="6" t="s">
        <v>91</v>
      </c>
      <c r="K5843" s="12" t="str">
        <f t="shared" si="1960"/>
        <v>View Creative</v>
      </c>
      <c r="L5843" s="6" t="s">
        <v>62</v>
      </c>
      <c r="M5843" s="6" t="s">
        <v>7390</v>
      </c>
      <c r="N5843" s="6" t="s">
        <v>8737</v>
      </c>
      <c r="O5843" s="36" t="s">
        <v>7541</v>
      </c>
      <c r="P5843" s="36" t="s">
        <v>7542</v>
      </c>
      <c r="Q5843" s="38"/>
    </row>
    <row r="5844">
      <c r="A5844" s="6" t="s">
        <v>7390</v>
      </c>
      <c r="B5844" s="6" t="s">
        <v>8580</v>
      </c>
      <c r="C5844" s="6">
        <v>324.0</v>
      </c>
      <c r="D5844" s="9" t="str">
        <f t="shared" ref="D5844:D5845" si="1961">HYPERLINK("https://www.linkedin.com/ad-library/detail/836514643","Open Ad")</f>
        <v>Open Ad</v>
      </c>
      <c r="E5844" s="6" t="s">
        <v>91</v>
      </c>
      <c r="F5844" s="6" t="s">
        <v>8022</v>
      </c>
      <c r="G5844" s="6" t="s">
        <v>8744</v>
      </c>
      <c r="H5844" s="6" t="s">
        <v>55</v>
      </c>
      <c r="I5844" s="6" t="s">
        <v>8582</v>
      </c>
      <c r="J5844" s="6" t="s">
        <v>91</v>
      </c>
      <c r="K5844" s="12" t="str">
        <f t="shared" ref="K5844:K5845" si="1962">HYPERLINK("https://media.licdn.com/dms/image/v2/D4E22AQFr6qUH40tfAg/feedshare-image-high-res/B4EZkVee7uGoAo-/0/1757001938885?e=2147483647&amp;v=beta&amp;t=NJXtGkGmlew5OGCeqEVjJlyaZsMK_xYFpZj52VIiGws","View Creative")</f>
        <v>View Creative</v>
      </c>
      <c r="L5844" s="6" t="s">
        <v>62</v>
      </c>
      <c r="M5844" s="6" t="s">
        <v>7390</v>
      </c>
      <c r="N5844" s="6" t="s">
        <v>8739</v>
      </c>
      <c r="O5844" s="36" t="s">
        <v>7541</v>
      </c>
      <c r="P5844" s="36" t="s">
        <v>7542</v>
      </c>
      <c r="Q5844" s="38"/>
    </row>
    <row r="5845">
      <c r="A5845" s="6" t="s">
        <v>7390</v>
      </c>
      <c r="B5845" s="6" t="s">
        <v>8580</v>
      </c>
      <c r="C5845" s="6">
        <v>325.0</v>
      </c>
      <c r="D5845" s="9" t="str">
        <f t="shared" si="1961"/>
        <v>Open Ad</v>
      </c>
      <c r="E5845" s="6" t="s">
        <v>91</v>
      </c>
      <c r="F5845" s="6" t="s">
        <v>8022</v>
      </c>
      <c r="G5845" s="6" t="s">
        <v>8744</v>
      </c>
      <c r="H5845" s="6" t="s">
        <v>55</v>
      </c>
      <c r="I5845" s="6" t="s">
        <v>8582</v>
      </c>
      <c r="J5845" s="6" t="s">
        <v>91</v>
      </c>
      <c r="K5845" s="12" t="str">
        <f t="shared" si="1962"/>
        <v>View Creative</v>
      </c>
      <c r="L5845" s="6" t="s">
        <v>62</v>
      </c>
      <c r="M5845" s="6" t="s">
        <v>7390</v>
      </c>
      <c r="N5845" s="6" t="s">
        <v>8739</v>
      </c>
      <c r="O5845" s="36" t="s">
        <v>7541</v>
      </c>
      <c r="P5845" s="36" t="s">
        <v>7542</v>
      </c>
      <c r="Q5845" s="38"/>
    </row>
    <row r="5846">
      <c r="A5846" s="6" t="s">
        <v>7390</v>
      </c>
      <c r="B5846" s="6" t="s">
        <v>8580</v>
      </c>
      <c r="C5846" s="6">
        <v>326.0</v>
      </c>
      <c r="D5846" s="9" t="str">
        <f t="shared" ref="D5846:D5847" si="1963">HYPERLINK("https://www.linkedin.com/ad-library/detail/911185463","Open Ad")</f>
        <v>Open Ad</v>
      </c>
      <c r="E5846" s="6" t="s">
        <v>91</v>
      </c>
      <c r="F5846" s="6" t="s">
        <v>8022</v>
      </c>
      <c r="G5846" s="6" t="s">
        <v>8728</v>
      </c>
      <c r="H5846" s="6" t="s">
        <v>55</v>
      </c>
      <c r="I5846" s="6" t="s">
        <v>8582</v>
      </c>
      <c r="J5846" s="6" t="s">
        <v>91</v>
      </c>
      <c r="K5846" s="12" t="str">
        <f t="shared" ref="K5846:K5847" si="1964">HYPERLINK("https://media.licdn.com/dms/image/v2/D4E22AQGoyvTVKmm8jw/feedshare-shrink_1280/B4EZoLmjLJIIAs-/0/1761131247932?e=2147483647&amp;v=beta&amp;t=yyb9m2BJ8f5_Zd7kf6dCGI_KWgvIwEYnr1AJYM0MzGE","View Creative")</f>
        <v>View Creative</v>
      </c>
      <c r="L5846" s="6" t="s">
        <v>62</v>
      </c>
      <c r="M5846" s="6" t="s">
        <v>7390</v>
      </c>
      <c r="N5846" s="6" t="s">
        <v>8737</v>
      </c>
      <c r="O5846" s="36" t="s">
        <v>7541</v>
      </c>
      <c r="P5846" s="36" t="s">
        <v>7542</v>
      </c>
      <c r="Q5846" s="38"/>
    </row>
    <row r="5847">
      <c r="A5847" s="6" t="s">
        <v>7390</v>
      </c>
      <c r="B5847" s="6" t="s">
        <v>8580</v>
      </c>
      <c r="C5847" s="6">
        <v>327.0</v>
      </c>
      <c r="D5847" s="9" t="str">
        <f t="shared" si="1963"/>
        <v>Open Ad</v>
      </c>
      <c r="E5847" s="6" t="s">
        <v>91</v>
      </c>
      <c r="F5847" s="6" t="s">
        <v>8022</v>
      </c>
      <c r="G5847" s="6" t="s">
        <v>8728</v>
      </c>
      <c r="H5847" s="6" t="s">
        <v>55</v>
      </c>
      <c r="I5847" s="6" t="s">
        <v>8582</v>
      </c>
      <c r="J5847" s="6" t="s">
        <v>91</v>
      </c>
      <c r="K5847" s="12" t="str">
        <f t="shared" si="1964"/>
        <v>View Creative</v>
      </c>
      <c r="L5847" s="6" t="s">
        <v>62</v>
      </c>
      <c r="M5847" s="6" t="s">
        <v>7390</v>
      </c>
      <c r="N5847" s="6" t="s">
        <v>8737</v>
      </c>
      <c r="O5847" s="36" t="s">
        <v>7541</v>
      </c>
      <c r="P5847" s="36" t="s">
        <v>7542</v>
      </c>
      <c r="Q5847" s="38"/>
    </row>
    <row r="5848">
      <c r="A5848" s="6" t="s">
        <v>7390</v>
      </c>
      <c r="B5848" s="6" t="s">
        <v>8580</v>
      </c>
      <c r="C5848" s="6">
        <v>328.0</v>
      </c>
      <c r="D5848" s="9" t="str">
        <f t="shared" ref="D5848:D5849" si="1965">HYPERLINK("https://www.linkedin.com/ad-library/detail/836514653","Open Ad")</f>
        <v>Open Ad</v>
      </c>
      <c r="E5848" s="6" t="s">
        <v>91</v>
      </c>
      <c r="F5848" s="6" t="s">
        <v>8022</v>
      </c>
      <c r="G5848" s="6" t="s">
        <v>8746</v>
      </c>
      <c r="H5848" s="6" t="s">
        <v>55</v>
      </c>
      <c r="I5848" s="6" t="s">
        <v>8582</v>
      </c>
      <c r="J5848" s="6" t="s">
        <v>91</v>
      </c>
      <c r="K5848" s="12" t="str">
        <f t="shared" ref="K5848:K5849" si="1966">HYPERLINK("https://media.licdn.com/dms/image/v2/D4D22AQGc-dOA9dL0gg/feedshare-shrink_1280/B4DZgNxihwH8Ao-/0/1752577748429?e=2147483647&amp;v=beta&amp;t=KqPrwQ6oFU0NrzCA_PL_MoDHawpLFIRiHXrS2in6PwU","View Creative")</f>
        <v>View Creative</v>
      </c>
      <c r="L5848" s="6" t="s">
        <v>62</v>
      </c>
      <c r="M5848" s="6" t="s">
        <v>7390</v>
      </c>
      <c r="N5848" s="6" t="s">
        <v>8739</v>
      </c>
      <c r="O5848" s="36" t="s">
        <v>7541</v>
      </c>
      <c r="P5848" s="36" t="s">
        <v>7542</v>
      </c>
      <c r="Q5848" s="38"/>
    </row>
    <row r="5849">
      <c r="A5849" s="6" t="s">
        <v>7390</v>
      </c>
      <c r="B5849" s="6" t="s">
        <v>8580</v>
      </c>
      <c r="C5849" s="6">
        <v>329.0</v>
      </c>
      <c r="D5849" s="9" t="str">
        <f t="shared" si="1965"/>
        <v>Open Ad</v>
      </c>
      <c r="E5849" s="6" t="s">
        <v>91</v>
      </c>
      <c r="F5849" s="6" t="s">
        <v>8022</v>
      </c>
      <c r="G5849" s="6" t="s">
        <v>8746</v>
      </c>
      <c r="H5849" s="6" t="s">
        <v>55</v>
      </c>
      <c r="I5849" s="6" t="s">
        <v>8582</v>
      </c>
      <c r="J5849" s="6" t="s">
        <v>91</v>
      </c>
      <c r="K5849" s="12" t="str">
        <f t="shared" si="1966"/>
        <v>View Creative</v>
      </c>
      <c r="L5849" s="6" t="s">
        <v>62</v>
      </c>
      <c r="M5849" s="6" t="s">
        <v>7390</v>
      </c>
      <c r="N5849" s="6" t="s">
        <v>8739</v>
      </c>
      <c r="O5849" s="36" t="s">
        <v>7541</v>
      </c>
      <c r="P5849" s="36" t="s">
        <v>7542</v>
      </c>
      <c r="Q5849" s="38"/>
    </row>
    <row r="5850">
      <c r="A5850" s="6" t="s">
        <v>7390</v>
      </c>
      <c r="B5850" s="6" t="s">
        <v>8580</v>
      </c>
      <c r="C5850" s="6">
        <v>330.0</v>
      </c>
      <c r="D5850" s="9" t="str">
        <f t="shared" ref="D5850:D5851" si="1967">HYPERLINK("https://www.linkedin.com/ad-library/detail/970798733","Open Ad")</f>
        <v>Open Ad</v>
      </c>
      <c r="E5850" s="6" t="s">
        <v>154</v>
      </c>
      <c r="F5850" s="6" t="s">
        <v>8022</v>
      </c>
      <c r="G5850" s="6" t="s">
        <v>8735</v>
      </c>
      <c r="H5850" s="6" t="s">
        <v>55</v>
      </c>
      <c r="I5850" s="6" t="s">
        <v>8582</v>
      </c>
      <c r="J5850" s="6" t="s">
        <v>154</v>
      </c>
      <c r="K5850" s="12" t="str">
        <f t="shared" ref="K5850:K5851" si="1968">HYPERLINK("https://dms.licdn.com/playlist/vid/v2/D4D10AQFgHZtnnvp-Zw/mp4-640p-30fp-crf28/B4DZrOzLHSIgCA-/0/1764406130266/ad1?e=2147483647&amp;v=beta&amp;t=C3znZMeusDYHEpCoBEjcsfaOVTNeH3GktwS76QRoudg","View Creative")</f>
        <v>View Creative</v>
      </c>
      <c r="L5850" s="6" t="s">
        <v>62</v>
      </c>
      <c r="M5850" s="6" t="s">
        <v>7390</v>
      </c>
      <c r="N5850" s="6" t="s">
        <v>8736</v>
      </c>
      <c r="O5850" s="36" t="s">
        <v>7541</v>
      </c>
      <c r="P5850" s="36" t="s">
        <v>7542</v>
      </c>
      <c r="Q5850" s="38"/>
    </row>
    <row r="5851">
      <c r="A5851" s="6" t="s">
        <v>7390</v>
      </c>
      <c r="B5851" s="6" t="s">
        <v>8580</v>
      </c>
      <c r="C5851" s="6">
        <v>331.0</v>
      </c>
      <c r="D5851" s="9" t="str">
        <f t="shared" si="1967"/>
        <v>Open Ad</v>
      </c>
      <c r="E5851" s="6" t="s">
        <v>154</v>
      </c>
      <c r="F5851" s="6" t="s">
        <v>8022</v>
      </c>
      <c r="G5851" s="6" t="s">
        <v>8735</v>
      </c>
      <c r="H5851" s="6" t="s">
        <v>55</v>
      </c>
      <c r="I5851" s="6" t="s">
        <v>8582</v>
      </c>
      <c r="J5851" s="6" t="s">
        <v>154</v>
      </c>
      <c r="K5851" s="12" t="str">
        <f t="shared" si="1968"/>
        <v>View Creative</v>
      </c>
      <c r="L5851" s="6" t="s">
        <v>62</v>
      </c>
      <c r="M5851" s="6" t="s">
        <v>7390</v>
      </c>
      <c r="N5851" s="6" t="s">
        <v>8736</v>
      </c>
      <c r="O5851" s="36" t="s">
        <v>7541</v>
      </c>
      <c r="P5851" s="36" t="s">
        <v>7542</v>
      </c>
      <c r="Q5851" s="38"/>
    </row>
    <row r="5852">
      <c r="A5852" s="6" t="s">
        <v>7390</v>
      </c>
      <c r="B5852" s="6" t="s">
        <v>8580</v>
      </c>
      <c r="C5852" s="6">
        <v>332.0</v>
      </c>
      <c r="D5852" s="9" t="str">
        <f t="shared" ref="D5852:D5853" si="1969">HYPERLINK("https://www.linkedin.com/ad-library/detail/836554673","Open Ad")</f>
        <v>Open Ad</v>
      </c>
      <c r="E5852" s="6" t="s">
        <v>91</v>
      </c>
      <c r="F5852" s="6" t="s">
        <v>8022</v>
      </c>
      <c r="G5852" s="6" t="s">
        <v>8751</v>
      </c>
      <c r="H5852" s="6" t="s">
        <v>55</v>
      </c>
      <c r="I5852" s="6" t="s">
        <v>8582</v>
      </c>
      <c r="J5852" s="6" t="s">
        <v>91</v>
      </c>
      <c r="K5852" s="12" t="str">
        <f t="shared" ref="K5852:K5853" si="1970">HYPERLINK("https://media.licdn.com/dms/image/v2/D4D22AQG0NZfMqtsVow/feedshare-shrink_1280/B4DZijeT36HwAk-/0/1755089290093?e=2147483647&amp;v=beta&amp;t=2r0VFxjtctER6U2aEaKiyE2fUa-7-S_gqctxRoQDDeQ","View Creative")</f>
        <v>View Creative</v>
      </c>
      <c r="L5852" s="6" t="s">
        <v>62</v>
      </c>
      <c r="M5852" s="6" t="s">
        <v>7390</v>
      </c>
      <c r="N5852" s="6" t="s">
        <v>8739</v>
      </c>
      <c r="O5852" s="36" t="s">
        <v>7541</v>
      </c>
      <c r="P5852" s="36" t="s">
        <v>7542</v>
      </c>
      <c r="Q5852" s="38"/>
    </row>
    <row r="5853">
      <c r="A5853" s="6" t="s">
        <v>7390</v>
      </c>
      <c r="B5853" s="6" t="s">
        <v>8580</v>
      </c>
      <c r="C5853" s="6">
        <v>333.0</v>
      </c>
      <c r="D5853" s="9" t="str">
        <f t="shared" si="1969"/>
        <v>Open Ad</v>
      </c>
      <c r="E5853" s="6" t="s">
        <v>91</v>
      </c>
      <c r="F5853" s="6" t="s">
        <v>8022</v>
      </c>
      <c r="G5853" s="6" t="s">
        <v>8751</v>
      </c>
      <c r="H5853" s="6" t="s">
        <v>55</v>
      </c>
      <c r="I5853" s="6" t="s">
        <v>8582</v>
      </c>
      <c r="J5853" s="6" t="s">
        <v>91</v>
      </c>
      <c r="K5853" s="12" t="str">
        <f t="shared" si="1970"/>
        <v>View Creative</v>
      </c>
      <c r="L5853" s="6" t="s">
        <v>62</v>
      </c>
      <c r="M5853" s="6" t="s">
        <v>7390</v>
      </c>
      <c r="N5853" s="6" t="s">
        <v>8739</v>
      </c>
      <c r="O5853" s="36" t="s">
        <v>7541</v>
      </c>
      <c r="P5853" s="36" t="s">
        <v>7542</v>
      </c>
      <c r="Q5853" s="38"/>
    </row>
    <row r="5854">
      <c r="A5854" s="6" t="s">
        <v>7390</v>
      </c>
      <c r="B5854" s="6" t="s">
        <v>8580</v>
      </c>
      <c r="C5854" s="6">
        <v>334.0</v>
      </c>
      <c r="D5854" s="9" t="str">
        <f t="shared" ref="D5854:D5855" si="1971">HYPERLINK("https://www.linkedin.com/ad-library/detail/820971713","Open Ad")</f>
        <v>Open Ad</v>
      </c>
      <c r="E5854" s="6" t="s">
        <v>91</v>
      </c>
      <c r="F5854" s="6" t="s">
        <v>8022</v>
      </c>
      <c r="G5854" s="6" t="s">
        <v>8741</v>
      </c>
      <c r="H5854" s="6" t="s">
        <v>769</v>
      </c>
      <c r="I5854" s="6" t="s">
        <v>8582</v>
      </c>
      <c r="J5854" s="6" t="s">
        <v>91</v>
      </c>
      <c r="K5854" s="12" t="str">
        <f t="shared" ref="K5854:K5855" si="1972">HYPERLINK("https://media.licdn.com/dms/image/v2/D4D22AQFM9OpVBcLU0w/feedshare-shrink_1280/B4DZhRf9YSHsAs-/0/1753713991112?e=2147483647&amp;v=beta&amp;t=I2tF1z1vDqMwbbFbP2qXnFfy4fVlA52nPbbhYBuZ5No","View Creative")</f>
        <v>View Creative</v>
      </c>
      <c r="L5854" s="6" t="s">
        <v>62</v>
      </c>
      <c r="M5854" s="6" t="s">
        <v>7390</v>
      </c>
      <c r="N5854" s="6" t="s">
        <v>8745</v>
      </c>
      <c r="O5854" s="36" t="s">
        <v>7541</v>
      </c>
      <c r="P5854" s="36" t="s">
        <v>7542</v>
      </c>
      <c r="Q5854" s="38"/>
    </row>
    <row r="5855">
      <c r="A5855" s="6" t="s">
        <v>7390</v>
      </c>
      <c r="B5855" s="6" t="s">
        <v>8580</v>
      </c>
      <c r="C5855" s="6">
        <v>335.0</v>
      </c>
      <c r="D5855" s="9" t="str">
        <f t="shared" si="1971"/>
        <v>Open Ad</v>
      </c>
      <c r="E5855" s="6" t="s">
        <v>91</v>
      </c>
      <c r="F5855" s="6" t="s">
        <v>8022</v>
      </c>
      <c r="G5855" s="6" t="s">
        <v>8741</v>
      </c>
      <c r="H5855" s="6" t="s">
        <v>769</v>
      </c>
      <c r="I5855" s="6" t="s">
        <v>8582</v>
      </c>
      <c r="J5855" s="6" t="s">
        <v>91</v>
      </c>
      <c r="K5855" s="12" t="str">
        <f t="shared" si="1972"/>
        <v>View Creative</v>
      </c>
      <c r="L5855" s="6" t="s">
        <v>62</v>
      </c>
      <c r="M5855" s="6" t="s">
        <v>7390</v>
      </c>
      <c r="N5855" s="6" t="s">
        <v>8745</v>
      </c>
      <c r="O5855" s="36" t="s">
        <v>7541</v>
      </c>
      <c r="P5855" s="36" t="s">
        <v>7542</v>
      </c>
      <c r="Q5855" s="38"/>
    </row>
    <row r="5856">
      <c r="A5856" s="6" t="s">
        <v>7390</v>
      </c>
      <c r="B5856" s="6" t="s">
        <v>8580</v>
      </c>
      <c r="C5856" s="6">
        <v>336.0</v>
      </c>
      <c r="D5856" s="9" t="str">
        <f t="shared" ref="D5856:D5857" si="1973">HYPERLINK("https://www.linkedin.com/ad-library/detail/820971723","Open Ad")</f>
        <v>Open Ad</v>
      </c>
      <c r="E5856" s="6" t="s">
        <v>91</v>
      </c>
      <c r="F5856" s="6" t="s">
        <v>8022</v>
      </c>
      <c r="G5856" s="6" t="s">
        <v>8746</v>
      </c>
      <c r="H5856" s="6" t="s">
        <v>55</v>
      </c>
      <c r="I5856" s="6" t="s">
        <v>8582</v>
      </c>
      <c r="J5856" s="6" t="s">
        <v>91</v>
      </c>
      <c r="K5856" s="12" t="str">
        <f t="shared" ref="K5856:K5857" si="1974">HYPERLINK("https://media.licdn.com/dms/image/v2/D4D22AQGc-dOA9dL0gg/feedshare-shrink_1280/B4DZgNxihwH8Ao-/0/1752577748429?e=2147483647&amp;v=beta&amp;t=KqPrwQ6oFU0NrzCA_PL_MoDHawpLFIRiHXrS2in6PwU","View Creative")</f>
        <v>View Creative</v>
      </c>
      <c r="L5856" s="6" t="s">
        <v>62</v>
      </c>
      <c r="M5856" s="6" t="s">
        <v>7390</v>
      </c>
      <c r="N5856" s="6" t="s">
        <v>8745</v>
      </c>
      <c r="O5856" s="36" t="s">
        <v>7541</v>
      </c>
      <c r="P5856" s="36" t="s">
        <v>7542</v>
      </c>
      <c r="Q5856" s="38"/>
    </row>
    <row r="5857">
      <c r="A5857" s="6" t="s">
        <v>7390</v>
      </c>
      <c r="B5857" s="6" t="s">
        <v>8580</v>
      </c>
      <c r="C5857" s="6">
        <v>337.0</v>
      </c>
      <c r="D5857" s="9" t="str">
        <f t="shared" si="1973"/>
        <v>Open Ad</v>
      </c>
      <c r="E5857" s="6" t="s">
        <v>91</v>
      </c>
      <c r="F5857" s="6" t="s">
        <v>8022</v>
      </c>
      <c r="G5857" s="6" t="s">
        <v>8746</v>
      </c>
      <c r="H5857" s="6" t="s">
        <v>55</v>
      </c>
      <c r="I5857" s="6" t="s">
        <v>8582</v>
      </c>
      <c r="J5857" s="6" t="s">
        <v>91</v>
      </c>
      <c r="K5857" s="12" t="str">
        <f t="shared" si="1974"/>
        <v>View Creative</v>
      </c>
      <c r="L5857" s="6" t="s">
        <v>62</v>
      </c>
      <c r="M5857" s="6" t="s">
        <v>7390</v>
      </c>
      <c r="N5857" s="6" t="s">
        <v>8745</v>
      </c>
      <c r="O5857" s="36" t="s">
        <v>7541</v>
      </c>
      <c r="P5857" s="36" t="s">
        <v>7542</v>
      </c>
      <c r="Q5857" s="38"/>
    </row>
    <row r="5858">
      <c r="A5858" s="6" t="s">
        <v>7390</v>
      </c>
      <c r="B5858" s="6" t="s">
        <v>8580</v>
      </c>
      <c r="C5858" s="6">
        <v>338.0</v>
      </c>
      <c r="D5858" s="9" t="str">
        <f t="shared" ref="D5858:D5859" si="1975">HYPERLINK("https://www.linkedin.com/ad-library/detail/811214663","Open Ad")</f>
        <v>Open Ad</v>
      </c>
      <c r="E5858" s="6" t="s">
        <v>91</v>
      </c>
      <c r="F5858" s="6" t="s">
        <v>8022</v>
      </c>
      <c r="G5858" s="6" t="s">
        <v>8752</v>
      </c>
      <c r="H5858" s="6" t="s">
        <v>55</v>
      </c>
      <c r="I5858" s="6" t="s">
        <v>8582</v>
      </c>
      <c r="J5858" s="6" t="s">
        <v>91</v>
      </c>
      <c r="K5858" s="12" t="str">
        <f t="shared" ref="K5858:K5859" si="1976">HYPERLINK("https://media.licdn.com/dms/image/v2/D4D10AQENWA5fAWg02Q/image-shrink_1280/B4DZesAiQAGgAM-/0/1750937512294/rank1onchatgpt?e=2147483647&amp;v=beta&amp;t=1t1VvmReNvJM3Fbj1Dj4RrE3RlYAMcGStKrrV1ki-bY","View Creative")</f>
        <v>View Creative</v>
      </c>
      <c r="L5858" s="6" t="s">
        <v>62</v>
      </c>
      <c r="M5858" s="6" t="s">
        <v>7390</v>
      </c>
      <c r="N5858" s="6" t="s">
        <v>8753</v>
      </c>
      <c r="O5858" s="36" t="s">
        <v>7541</v>
      </c>
      <c r="P5858" s="36" t="s">
        <v>7542</v>
      </c>
      <c r="Q5858" s="38"/>
    </row>
    <row r="5859">
      <c r="A5859" s="6" t="s">
        <v>7390</v>
      </c>
      <c r="B5859" s="6" t="s">
        <v>8580</v>
      </c>
      <c r="C5859" s="6">
        <v>339.0</v>
      </c>
      <c r="D5859" s="9" t="str">
        <f t="shared" si="1975"/>
        <v>Open Ad</v>
      </c>
      <c r="E5859" s="6" t="s">
        <v>91</v>
      </c>
      <c r="F5859" s="6" t="s">
        <v>8022</v>
      </c>
      <c r="G5859" s="6" t="s">
        <v>8752</v>
      </c>
      <c r="H5859" s="6" t="s">
        <v>55</v>
      </c>
      <c r="I5859" s="6" t="s">
        <v>8582</v>
      </c>
      <c r="J5859" s="6" t="s">
        <v>91</v>
      </c>
      <c r="K5859" s="12" t="str">
        <f t="shared" si="1976"/>
        <v>View Creative</v>
      </c>
      <c r="L5859" s="6" t="s">
        <v>62</v>
      </c>
      <c r="M5859" s="6" t="s">
        <v>7390</v>
      </c>
      <c r="N5859" s="6" t="s">
        <v>8753</v>
      </c>
      <c r="O5859" s="36" t="s">
        <v>7541</v>
      </c>
      <c r="P5859" s="36" t="s">
        <v>7542</v>
      </c>
      <c r="Q5859" s="38"/>
    </row>
    <row r="5860">
      <c r="A5860" s="6" t="s">
        <v>7390</v>
      </c>
      <c r="B5860" s="6" t="s">
        <v>8580</v>
      </c>
      <c r="C5860" s="6">
        <v>340.0</v>
      </c>
      <c r="D5860" s="9" t="str">
        <f t="shared" ref="D5860:D5861" si="1977">HYPERLINK("https://www.linkedin.com/ad-library/detail/811243373","Open Ad")</f>
        <v>Open Ad</v>
      </c>
      <c r="E5860" s="6" t="s">
        <v>91</v>
      </c>
      <c r="F5860" s="6" t="s">
        <v>8022</v>
      </c>
      <c r="G5860" s="6" t="s">
        <v>8754</v>
      </c>
      <c r="H5860" s="6" t="s">
        <v>55</v>
      </c>
      <c r="I5860" s="6" t="s">
        <v>8582</v>
      </c>
      <c r="J5860" s="6" t="s">
        <v>91</v>
      </c>
      <c r="K5860" s="12" t="str">
        <f t="shared" ref="K5860:K5861" si="1978">HYPERLINK("https://media.licdn.com/dms/image/v2/D4D10AQEvq2inHYzoCw/image-shrink_1280/B4DZesAH6tGsAM-/0/1750937403848/brand-report-ai-searchpng?e=2147483647&amp;v=beta&amp;t=NOIYT6Fyqzp26DoNrP-4gdcSssiG2o5Id65CUl-LpSo","View Creative")</f>
        <v>View Creative</v>
      </c>
      <c r="L5860" s="6" t="s">
        <v>62</v>
      </c>
      <c r="M5860" s="6" t="s">
        <v>7390</v>
      </c>
      <c r="N5860" s="6" t="s">
        <v>8753</v>
      </c>
      <c r="O5860" s="36" t="s">
        <v>7541</v>
      </c>
      <c r="P5860" s="36" t="s">
        <v>7542</v>
      </c>
      <c r="Q5860" s="38"/>
    </row>
    <row r="5861">
      <c r="A5861" s="6" t="s">
        <v>7390</v>
      </c>
      <c r="B5861" s="6" t="s">
        <v>8580</v>
      </c>
      <c r="C5861" s="6">
        <v>341.0</v>
      </c>
      <c r="D5861" s="9" t="str">
        <f t="shared" si="1977"/>
        <v>Open Ad</v>
      </c>
      <c r="E5861" s="6" t="s">
        <v>91</v>
      </c>
      <c r="F5861" s="6" t="s">
        <v>8022</v>
      </c>
      <c r="G5861" s="6" t="s">
        <v>8754</v>
      </c>
      <c r="H5861" s="6" t="s">
        <v>55</v>
      </c>
      <c r="I5861" s="6" t="s">
        <v>8582</v>
      </c>
      <c r="J5861" s="6" t="s">
        <v>91</v>
      </c>
      <c r="K5861" s="12" t="str">
        <f t="shared" si="1978"/>
        <v>View Creative</v>
      </c>
      <c r="L5861" s="6" t="s">
        <v>62</v>
      </c>
      <c r="M5861" s="6" t="s">
        <v>7390</v>
      </c>
      <c r="N5861" s="6" t="s">
        <v>8753</v>
      </c>
      <c r="O5861" s="36" t="s">
        <v>7541</v>
      </c>
      <c r="P5861" s="36" t="s">
        <v>7542</v>
      </c>
      <c r="Q5861" s="38"/>
    </row>
    <row r="5862">
      <c r="A5862" s="6" t="s">
        <v>7390</v>
      </c>
      <c r="B5862" s="6" t="s">
        <v>8580</v>
      </c>
      <c r="C5862" s="6">
        <v>342.0</v>
      </c>
      <c r="D5862" s="9" t="str">
        <f t="shared" ref="D5862:D5863" si="1979">HYPERLINK("https://www.linkedin.com/ad-library/detail/820911723","Open Ad")</f>
        <v>Open Ad</v>
      </c>
      <c r="E5862" s="6" t="s">
        <v>91</v>
      </c>
      <c r="F5862" s="6" t="s">
        <v>8022</v>
      </c>
      <c r="G5862" s="6" t="s">
        <v>8755</v>
      </c>
      <c r="H5862" s="6" t="s">
        <v>55</v>
      </c>
      <c r="I5862" s="6" t="s">
        <v>8582</v>
      </c>
      <c r="J5862" s="6" t="s">
        <v>91</v>
      </c>
      <c r="K5862" s="12" t="str">
        <f t="shared" ref="K5862:K5863" si="1980">HYPERLINK("https://media.licdn.com/dms/image/v2/D4E22AQGeuFMhqJA6oA/feedshare-image-high-res/B4EZjtOH53GcAs-/0/1756326560828?e=2147483647&amp;v=beta&amp;t=kr97yd9fpxNz9A-b6ikQauBpSwChkDEF2t5sX3MHrCY","View Creative")</f>
        <v>View Creative</v>
      </c>
      <c r="L5862" s="6" t="s">
        <v>62</v>
      </c>
      <c r="M5862" s="6" t="s">
        <v>7390</v>
      </c>
      <c r="N5862" s="6" t="s">
        <v>8745</v>
      </c>
      <c r="O5862" s="36" t="s">
        <v>7541</v>
      </c>
      <c r="P5862" s="36" t="s">
        <v>7542</v>
      </c>
      <c r="Q5862" s="38"/>
    </row>
    <row r="5863">
      <c r="A5863" s="6" t="s">
        <v>7390</v>
      </c>
      <c r="B5863" s="6" t="s">
        <v>8580</v>
      </c>
      <c r="C5863" s="6">
        <v>343.0</v>
      </c>
      <c r="D5863" s="9" t="str">
        <f t="shared" si="1979"/>
        <v>Open Ad</v>
      </c>
      <c r="E5863" s="6" t="s">
        <v>91</v>
      </c>
      <c r="F5863" s="6" t="s">
        <v>8022</v>
      </c>
      <c r="G5863" s="6" t="s">
        <v>8755</v>
      </c>
      <c r="H5863" s="6" t="s">
        <v>55</v>
      </c>
      <c r="I5863" s="6" t="s">
        <v>8582</v>
      </c>
      <c r="J5863" s="6" t="s">
        <v>91</v>
      </c>
      <c r="K5863" s="12" t="str">
        <f t="shared" si="1980"/>
        <v>View Creative</v>
      </c>
      <c r="L5863" s="6" t="s">
        <v>62</v>
      </c>
      <c r="M5863" s="6" t="s">
        <v>7390</v>
      </c>
      <c r="N5863" s="6" t="s">
        <v>8745</v>
      </c>
      <c r="O5863" s="36" t="s">
        <v>7541</v>
      </c>
      <c r="P5863" s="36" t="s">
        <v>7542</v>
      </c>
      <c r="Q5863" s="38"/>
    </row>
    <row r="5864">
      <c r="A5864" s="6" t="s">
        <v>7390</v>
      </c>
      <c r="B5864" s="6" t="s">
        <v>8580</v>
      </c>
      <c r="C5864" s="6">
        <v>344.0</v>
      </c>
      <c r="D5864" s="9" t="str">
        <f t="shared" ref="D5864:D5865" si="1981">HYPERLINK("https://www.linkedin.com/ad-library/detail/811250253","Open Ad")</f>
        <v>Open Ad</v>
      </c>
      <c r="E5864" s="6" t="s">
        <v>91</v>
      </c>
      <c r="F5864" s="6" t="s">
        <v>8022</v>
      </c>
      <c r="G5864" s="6" t="s">
        <v>8756</v>
      </c>
      <c r="H5864" s="6" t="s">
        <v>769</v>
      </c>
      <c r="I5864" s="6" t="s">
        <v>8582</v>
      </c>
      <c r="J5864" s="6" t="s">
        <v>91</v>
      </c>
      <c r="K5864" s="12" t="str">
        <f t="shared" ref="K5864:K5865" si="1982">HYPERLINK("https://media.licdn.com/dms/image/v2/D4D10AQFqN22BHgFM1A/image-shrink_1280/B4DZer_N3tHMAM-/0/1750937166158/billboard-4png?e=2147483647&amp;v=beta&amp;t=PlJ1MWOM53t1HFqGCa_B373i0yJD4oCgQJcttl3arBU","View Creative")</f>
        <v>View Creative</v>
      </c>
      <c r="L5864" s="6" t="s">
        <v>62</v>
      </c>
      <c r="M5864" s="6" t="s">
        <v>7390</v>
      </c>
      <c r="N5864" s="6" t="s">
        <v>8753</v>
      </c>
      <c r="O5864" s="36" t="s">
        <v>7541</v>
      </c>
      <c r="P5864" s="36" t="s">
        <v>7542</v>
      </c>
      <c r="Q5864" s="38"/>
    </row>
    <row r="5865">
      <c r="A5865" s="6" t="s">
        <v>7390</v>
      </c>
      <c r="B5865" s="6" t="s">
        <v>8580</v>
      </c>
      <c r="C5865" s="6">
        <v>345.0</v>
      </c>
      <c r="D5865" s="9" t="str">
        <f t="shared" si="1981"/>
        <v>Open Ad</v>
      </c>
      <c r="E5865" s="6" t="s">
        <v>91</v>
      </c>
      <c r="F5865" s="6" t="s">
        <v>8022</v>
      </c>
      <c r="G5865" s="6" t="s">
        <v>8756</v>
      </c>
      <c r="H5865" s="6" t="s">
        <v>769</v>
      </c>
      <c r="I5865" s="6" t="s">
        <v>8582</v>
      </c>
      <c r="J5865" s="6" t="s">
        <v>91</v>
      </c>
      <c r="K5865" s="12" t="str">
        <f t="shared" si="1982"/>
        <v>View Creative</v>
      </c>
      <c r="L5865" s="6" t="s">
        <v>62</v>
      </c>
      <c r="M5865" s="6" t="s">
        <v>7390</v>
      </c>
      <c r="N5865" s="6" t="s">
        <v>8753</v>
      </c>
      <c r="O5865" s="36" t="s">
        <v>7541</v>
      </c>
      <c r="P5865" s="36" t="s">
        <v>7542</v>
      </c>
      <c r="Q5865" s="38"/>
    </row>
    <row r="5866">
      <c r="A5866" s="6"/>
      <c r="B5866" s="6"/>
      <c r="C5866" s="6"/>
      <c r="E5866" s="6"/>
      <c r="F5866" s="6"/>
      <c r="G5866" s="6"/>
      <c r="H5866" s="6"/>
      <c r="I5866" s="6"/>
      <c r="J5866" s="6"/>
      <c r="K5866" s="6"/>
      <c r="L5866" s="6"/>
      <c r="M5866" s="6"/>
      <c r="N5866" s="6"/>
      <c r="O5866" s="36"/>
      <c r="P5866" s="36"/>
      <c r="Q5866" s="38"/>
    </row>
    <row r="5867">
      <c r="A5867" s="6" t="s">
        <v>8757</v>
      </c>
      <c r="B5867" s="6" t="s">
        <v>8758</v>
      </c>
      <c r="C5867" s="6">
        <v>1.0</v>
      </c>
      <c r="D5867" s="9" t="str">
        <f t="shared" ref="D5867:D5868" si="1983">HYPERLINK("https://www.linkedin.com/ad-library/detail/1436007603","Open Ad")</f>
        <v>Open Ad</v>
      </c>
      <c r="E5867" s="6" t="s">
        <v>91</v>
      </c>
      <c r="F5867" s="6" t="s">
        <v>8022</v>
      </c>
      <c r="G5867" s="6" t="s">
        <v>8759</v>
      </c>
      <c r="H5867" s="6" t="s">
        <v>55</v>
      </c>
      <c r="I5867" s="6" t="s">
        <v>8760</v>
      </c>
      <c r="J5867" s="6" t="s">
        <v>91</v>
      </c>
      <c r="K5867" s="12" t="str">
        <f t="shared" ref="K5867:K5868" si="1984">HYPERLINK("https://media.licdn.com/dms/image/v2/D4D10AQFluvEyyy-JOA/image-shrink_1280/B4DZbhbbj2HEAM-/0/1747538787039/testimonialpng?e=2147483647&amp;v=beta&amp;t=VJWRIUnC3aqtI_-unph4BLl7QgcKU-XRN4SYJhM0uO0","View Creative")</f>
        <v>View Creative</v>
      </c>
      <c r="L5867" s="6" t="s">
        <v>62</v>
      </c>
      <c r="M5867" s="6" t="s">
        <v>8757</v>
      </c>
      <c r="N5867" s="6"/>
      <c r="O5867" s="36" t="s">
        <v>7541</v>
      </c>
      <c r="P5867" s="36" t="s">
        <v>7542</v>
      </c>
      <c r="Q5867" s="38"/>
    </row>
    <row r="5868">
      <c r="A5868" s="6" t="s">
        <v>8757</v>
      </c>
      <c r="B5868" s="6" t="s">
        <v>8758</v>
      </c>
      <c r="C5868" s="6">
        <v>2.0</v>
      </c>
      <c r="D5868" s="9" t="str">
        <f t="shared" si="1983"/>
        <v>Open Ad</v>
      </c>
      <c r="E5868" s="6" t="s">
        <v>91</v>
      </c>
      <c r="F5868" s="6" t="s">
        <v>8022</v>
      </c>
      <c r="G5868" s="6" t="s">
        <v>8759</v>
      </c>
      <c r="H5868" s="6" t="s">
        <v>55</v>
      </c>
      <c r="I5868" s="6" t="s">
        <v>8760</v>
      </c>
      <c r="J5868" s="6" t="s">
        <v>91</v>
      </c>
      <c r="K5868" s="12" t="str">
        <f t="shared" si="1984"/>
        <v>View Creative</v>
      </c>
      <c r="L5868" s="6" t="s">
        <v>62</v>
      </c>
      <c r="M5868" s="6" t="s">
        <v>8757</v>
      </c>
      <c r="N5868" s="6"/>
      <c r="O5868" s="36" t="s">
        <v>7541</v>
      </c>
      <c r="P5868" s="36" t="s">
        <v>7542</v>
      </c>
      <c r="Q5868" s="38"/>
    </row>
    <row r="5869">
      <c r="A5869" s="6" t="s">
        <v>8757</v>
      </c>
      <c r="B5869" s="6" t="s">
        <v>8758</v>
      </c>
      <c r="C5869" s="6">
        <v>3.0</v>
      </c>
      <c r="D5869" s="9" t="str">
        <f t="shared" ref="D5869:D5870" si="1985">HYPERLINK("https://www.linkedin.com/ad-library/detail/1180287683","Open Ad")</f>
        <v>Open Ad</v>
      </c>
      <c r="E5869" s="6" t="s">
        <v>91</v>
      </c>
      <c r="F5869" s="6" t="s">
        <v>8022</v>
      </c>
      <c r="G5869" s="6" t="s">
        <v>8761</v>
      </c>
      <c r="H5869" s="6" t="s">
        <v>55</v>
      </c>
      <c r="I5869" s="6" t="s">
        <v>8760</v>
      </c>
      <c r="J5869" s="6" t="s">
        <v>91</v>
      </c>
      <c r="K5869" s="12" t="str">
        <f t="shared" ref="K5869:K5870" si="1986">HYPERLINK("https://media.licdn.com/dms/image/v2/D4D10AQEFvnGefch08w/image-shrink_1280/B4DZrfooTIGQAM-/0/1764688562729?e=2147483647&amp;v=beta&amp;t=1hOosj_KsZhjxFRh4NgIRSWInkTJgEQxymN0ixAPIXs","View Creative")</f>
        <v>View Creative</v>
      </c>
      <c r="L5869" s="6" t="s">
        <v>62</v>
      </c>
      <c r="M5869" s="6" t="s">
        <v>8757</v>
      </c>
      <c r="N5869" s="6"/>
      <c r="O5869" s="36" t="s">
        <v>7541</v>
      </c>
      <c r="P5869" s="36" t="s">
        <v>7542</v>
      </c>
      <c r="Q5869" s="38"/>
    </row>
    <row r="5870">
      <c r="A5870" s="6" t="s">
        <v>8757</v>
      </c>
      <c r="B5870" s="6" t="s">
        <v>8758</v>
      </c>
      <c r="C5870" s="6">
        <v>4.0</v>
      </c>
      <c r="D5870" s="9" t="str">
        <f t="shared" si="1985"/>
        <v>Open Ad</v>
      </c>
      <c r="E5870" s="6" t="s">
        <v>91</v>
      </c>
      <c r="F5870" s="6" t="s">
        <v>8022</v>
      </c>
      <c r="G5870" s="6" t="s">
        <v>8761</v>
      </c>
      <c r="H5870" s="6" t="s">
        <v>55</v>
      </c>
      <c r="I5870" s="6" t="s">
        <v>8760</v>
      </c>
      <c r="J5870" s="6" t="s">
        <v>91</v>
      </c>
      <c r="K5870" s="12" t="str">
        <f t="shared" si="1986"/>
        <v>View Creative</v>
      </c>
      <c r="L5870" s="6" t="s">
        <v>62</v>
      </c>
      <c r="M5870" s="6" t="s">
        <v>8757</v>
      </c>
      <c r="N5870" s="6"/>
      <c r="O5870" s="36" t="s">
        <v>7541</v>
      </c>
      <c r="P5870" s="36" t="s">
        <v>7542</v>
      </c>
      <c r="Q5870" s="38"/>
    </row>
    <row r="5871">
      <c r="A5871" s="6" t="s">
        <v>8757</v>
      </c>
      <c r="B5871" s="6" t="s">
        <v>8758</v>
      </c>
      <c r="C5871" s="6">
        <v>5.0</v>
      </c>
      <c r="D5871" s="9" t="str">
        <f t="shared" ref="D5871:D5872" si="1987">HYPERLINK("https://www.linkedin.com/ad-library/detail/1165597573","Open Ad")</f>
        <v>Open Ad</v>
      </c>
      <c r="E5871" s="6" t="s">
        <v>91</v>
      </c>
      <c r="F5871" s="6" t="s">
        <v>8022</v>
      </c>
      <c r="G5871" s="6" t="s">
        <v>8762</v>
      </c>
      <c r="H5871" s="6" t="s">
        <v>55</v>
      </c>
      <c r="I5871" s="6" t="s">
        <v>8760</v>
      </c>
      <c r="J5871" s="6" t="s">
        <v>91</v>
      </c>
      <c r="K5871" s="12" t="str">
        <f t="shared" ref="K5871:K5872" si="1988">HYPERLINK("https://media.licdn.com/dms/image/v2/D5622AQG7Y_-cttWl_Q/feedshare-shrink_1280/B56ZwP52.1JQAc-/0/1769793352390?e=2147483647&amp;v=beta&amp;t=48nIr0RY5--X2MweB4JYAJacH3XYuO2wDubqYU5QZEo","View Creative")</f>
        <v>View Creative</v>
      </c>
      <c r="L5871" s="6" t="s">
        <v>62</v>
      </c>
      <c r="M5871" s="6" t="s">
        <v>8757</v>
      </c>
      <c r="N5871" s="6"/>
      <c r="O5871" s="36" t="s">
        <v>7541</v>
      </c>
      <c r="P5871" s="36" t="s">
        <v>7542</v>
      </c>
      <c r="Q5871" s="38"/>
    </row>
    <row r="5872">
      <c r="A5872" s="6" t="s">
        <v>8757</v>
      </c>
      <c r="B5872" s="6" t="s">
        <v>8758</v>
      </c>
      <c r="C5872" s="6">
        <v>6.0</v>
      </c>
      <c r="D5872" s="9" t="str">
        <f t="shared" si="1987"/>
        <v>Open Ad</v>
      </c>
      <c r="E5872" s="6" t="s">
        <v>91</v>
      </c>
      <c r="F5872" s="6" t="s">
        <v>8022</v>
      </c>
      <c r="G5872" s="6" t="s">
        <v>8762</v>
      </c>
      <c r="H5872" s="6" t="s">
        <v>55</v>
      </c>
      <c r="I5872" s="6" t="s">
        <v>8760</v>
      </c>
      <c r="J5872" s="6" t="s">
        <v>91</v>
      </c>
      <c r="K5872" s="12" t="str">
        <f t="shared" si="1988"/>
        <v>View Creative</v>
      </c>
      <c r="L5872" s="6" t="s">
        <v>62</v>
      </c>
      <c r="M5872" s="6" t="s">
        <v>8757</v>
      </c>
      <c r="N5872" s="6"/>
      <c r="O5872" s="36" t="s">
        <v>7541</v>
      </c>
      <c r="P5872" s="36" t="s">
        <v>7542</v>
      </c>
      <c r="Q5872" s="38"/>
    </row>
    <row r="5873">
      <c r="A5873" s="6" t="s">
        <v>8757</v>
      </c>
      <c r="B5873" s="6" t="s">
        <v>8758</v>
      </c>
      <c r="C5873" s="6">
        <v>7.0</v>
      </c>
      <c r="D5873" s="9" t="str">
        <f t="shared" ref="D5873:D5874" si="1989">HYPERLINK("https://www.linkedin.com/ad-library/detail/1181987053","Open Ad")</f>
        <v>Open Ad</v>
      </c>
      <c r="E5873" s="6" t="s">
        <v>91</v>
      </c>
      <c r="F5873" s="6" t="s">
        <v>8022</v>
      </c>
      <c r="G5873" s="6" t="s">
        <v>8763</v>
      </c>
      <c r="H5873" s="6" t="s">
        <v>55</v>
      </c>
      <c r="I5873" s="6" t="s">
        <v>8760</v>
      </c>
      <c r="J5873" s="6" t="s">
        <v>91</v>
      </c>
      <c r="K5873" s="12" t="str">
        <f t="shared" ref="K5873:K5874" si="1990">HYPERLINK("https://media.licdn.com/dms/image/v2/D4D22AQEYhx5CgCHz9g/feedshare-shrink_1280/B4DZp5AtBnHsAs-/0/1762966819547?e=2147483647&amp;v=beta&amp;t=DSsjJWxRtKRXJsaC7UMbJSH8uzHHVV6d43prXmutqCc","View Creative")</f>
        <v>View Creative</v>
      </c>
      <c r="L5873" s="6" t="s">
        <v>62</v>
      </c>
      <c r="M5873" s="6" t="s">
        <v>8757</v>
      </c>
      <c r="N5873" s="6"/>
      <c r="O5873" s="36" t="s">
        <v>7541</v>
      </c>
      <c r="P5873" s="36" t="s">
        <v>7542</v>
      </c>
      <c r="Q5873" s="38"/>
    </row>
    <row r="5874">
      <c r="A5874" s="6" t="s">
        <v>8757</v>
      </c>
      <c r="B5874" s="6" t="s">
        <v>8758</v>
      </c>
      <c r="C5874" s="6">
        <v>8.0</v>
      </c>
      <c r="D5874" s="9" t="str">
        <f t="shared" si="1989"/>
        <v>Open Ad</v>
      </c>
      <c r="E5874" s="6" t="s">
        <v>91</v>
      </c>
      <c r="F5874" s="6" t="s">
        <v>8022</v>
      </c>
      <c r="G5874" s="6" t="s">
        <v>8763</v>
      </c>
      <c r="H5874" s="6" t="s">
        <v>55</v>
      </c>
      <c r="I5874" s="6" t="s">
        <v>8760</v>
      </c>
      <c r="J5874" s="6" t="s">
        <v>91</v>
      </c>
      <c r="K5874" s="12" t="str">
        <f t="shared" si="1990"/>
        <v>View Creative</v>
      </c>
      <c r="L5874" s="6" t="s">
        <v>62</v>
      </c>
      <c r="M5874" s="6" t="s">
        <v>8757</v>
      </c>
      <c r="N5874" s="6"/>
      <c r="O5874" s="36" t="s">
        <v>7541</v>
      </c>
      <c r="P5874" s="36" t="s">
        <v>7542</v>
      </c>
      <c r="Q5874" s="38"/>
    </row>
    <row r="5875">
      <c r="A5875" s="6" t="s">
        <v>8757</v>
      </c>
      <c r="B5875" s="6" t="s">
        <v>8758</v>
      </c>
      <c r="C5875" s="6">
        <v>9.0</v>
      </c>
      <c r="D5875" s="9" t="str">
        <f t="shared" ref="D5875:D5876" si="1991">HYPERLINK("https://www.linkedin.com/ad-library/detail/1181187923","Open Ad")</f>
        <v>Open Ad</v>
      </c>
      <c r="E5875" s="6" t="s">
        <v>91</v>
      </c>
      <c r="F5875" s="6" t="s">
        <v>8022</v>
      </c>
      <c r="G5875" s="6" t="s">
        <v>8764</v>
      </c>
      <c r="H5875" s="6" t="s">
        <v>8765</v>
      </c>
      <c r="I5875" s="6" t="s">
        <v>8760</v>
      </c>
      <c r="J5875" s="6" t="s">
        <v>91</v>
      </c>
      <c r="K5875" s="12" t="str">
        <f t="shared" ref="K5875:K5876" si="1992">HYPERLINK("https://media.licdn.com/dms/image/v2/D4D10AQGZ4cGTPffM7w/image-shrink_1280/B4DZpUltL2JcAM-/0/1762355763388?e=2147483647&amp;v=beta&amp;t=BznkIVQ6UPmU66PhUceWRHXv8QiVHG6QojyARL8R7JE","View Creative")</f>
        <v>View Creative</v>
      </c>
      <c r="L5875" s="6" t="s">
        <v>62</v>
      </c>
      <c r="M5875" s="6" t="s">
        <v>8757</v>
      </c>
      <c r="N5875" s="6"/>
      <c r="O5875" s="36" t="s">
        <v>7541</v>
      </c>
      <c r="P5875" s="36" t="s">
        <v>7542</v>
      </c>
      <c r="Q5875" s="38"/>
    </row>
    <row r="5876">
      <c r="A5876" s="6" t="s">
        <v>8757</v>
      </c>
      <c r="B5876" s="6" t="s">
        <v>8758</v>
      </c>
      <c r="C5876" s="6">
        <v>10.0</v>
      </c>
      <c r="D5876" s="9" t="str">
        <f t="shared" si="1991"/>
        <v>Open Ad</v>
      </c>
      <c r="E5876" s="6" t="s">
        <v>91</v>
      </c>
      <c r="F5876" s="6" t="s">
        <v>8022</v>
      </c>
      <c r="G5876" s="6" t="s">
        <v>8764</v>
      </c>
      <c r="H5876" s="6" t="s">
        <v>8765</v>
      </c>
      <c r="I5876" s="6" t="s">
        <v>8760</v>
      </c>
      <c r="J5876" s="6" t="s">
        <v>91</v>
      </c>
      <c r="K5876" s="12" t="str">
        <f t="shared" si="1992"/>
        <v>View Creative</v>
      </c>
      <c r="L5876" s="6" t="s">
        <v>62</v>
      </c>
      <c r="M5876" s="6" t="s">
        <v>8757</v>
      </c>
      <c r="N5876" s="6"/>
      <c r="O5876" s="36" t="s">
        <v>7541</v>
      </c>
      <c r="P5876" s="36" t="s">
        <v>7542</v>
      </c>
      <c r="Q5876" s="38"/>
    </row>
    <row r="5877">
      <c r="A5877" s="6" t="s">
        <v>8757</v>
      </c>
      <c r="B5877" s="6" t="s">
        <v>8758</v>
      </c>
      <c r="C5877" s="6">
        <v>11.0</v>
      </c>
      <c r="D5877" s="9" t="str">
        <f t="shared" ref="D5877:D5878" si="1993">HYPERLINK("https://www.linkedin.com/ad-library/detail/1122181483","Open Ad")</f>
        <v>Open Ad</v>
      </c>
      <c r="E5877" s="6" t="s">
        <v>91</v>
      </c>
      <c r="F5877" s="6" t="s">
        <v>8022</v>
      </c>
      <c r="G5877" s="6" t="s">
        <v>8766</v>
      </c>
      <c r="H5877" s="6" t="s">
        <v>55</v>
      </c>
      <c r="I5877" s="6" t="s">
        <v>8760</v>
      </c>
      <c r="J5877" s="6" t="s">
        <v>91</v>
      </c>
      <c r="K5877" s="12" t="str">
        <f t="shared" ref="K5877:K5880" si="1994">HYPERLINK("https://media.licdn.com/dms/image/v2/D4D10AQEh-XNYX7hm9Q/image-shrink_1280/B4DZvn8AopJsAc-/0/1769122827438/StateofAISearch2026png?e=2147483647&amp;v=beta&amp;t=Kvmib6awKkbx2D2NGleR3LdTlCTRspfjxM4PPwsQeOU","View Creative")</f>
        <v>View Creative</v>
      </c>
      <c r="L5877" s="6" t="s">
        <v>62</v>
      </c>
      <c r="M5877" s="6" t="s">
        <v>8757</v>
      </c>
      <c r="N5877" s="6"/>
      <c r="O5877" s="36" t="s">
        <v>7541</v>
      </c>
      <c r="P5877" s="36" t="s">
        <v>7542</v>
      </c>
      <c r="Q5877" s="38"/>
    </row>
    <row r="5878">
      <c r="A5878" s="6" t="s">
        <v>8757</v>
      </c>
      <c r="B5878" s="6" t="s">
        <v>8758</v>
      </c>
      <c r="C5878" s="6">
        <v>12.0</v>
      </c>
      <c r="D5878" s="9" t="str">
        <f t="shared" si="1993"/>
        <v>Open Ad</v>
      </c>
      <c r="E5878" s="6" t="s">
        <v>91</v>
      </c>
      <c r="F5878" s="6" t="s">
        <v>8022</v>
      </c>
      <c r="G5878" s="6" t="s">
        <v>8766</v>
      </c>
      <c r="H5878" s="6" t="s">
        <v>55</v>
      </c>
      <c r="I5878" s="6" t="s">
        <v>8760</v>
      </c>
      <c r="J5878" s="6" t="s">
        <v>91</v>
      </c>
      <c r="K5878" s="12" t="str">
        <f t="shared" si="1994"/>
        <v>View Creative</v>
      </c>
      <c r="L5878" s="6" t="s">
        <v>62</v>
      </c>
      <c r="M5878" s="6" t="s">
        <v>8757</v>
      </c>
      <c r="N5878" s="6"/>
      <c r="O5878" s="36" t="s">
        <v>7541</v>
      </c>
      <c r="P5878" s="36" t="s">
        <v>7542</v>
      </c>
      <c r="Q5878" s="38"/>
    </row>
    <row r="5879">
      <c r="A5879" s="6" t="s">
        <v>8757</v>
      </c>
      <c r="B5879" s="6" t="s">
        <v>8758</v>
      </c>
      <c r="C5879" s="6">
        <v>13.0</v>
      </c>
      <c r="D5879" s="9" t="str">
        <f t="shared" ref="D5879:D5880" si="1995">HYPERLINK("https://www.linkedin.com/ad-library/detail/1181386143","Open Ad")</f>
        <v>Open Ad</v>
      </c>
      <c r="E5879" s="6" t="s">
        <v>91</v>
      </c>
      <c r="F5879" s="6" t="s">
        <v>8022</v>
      </c>
      <c r="G5879" s="6" t="s">
        <v>8767</v>
      </c>
      <c r="H5879" s="6" t="s">
        <v>55</v>
      </c>
      <c r="I5879" s="6" t="s">
        <v>8760</v>
      </c>
      <c r="J5879" s="6" t="s">
        <v>91</v>
      </c>
      <c r="K5879" s="12" t="str">
        <f t="shared" si="1994"/>
        <v>View Creative</v>
      </c>
      <c r="L5879" s="6" t="s">
        <v>62</v>
      </c>
      <c r="M5879" s="6" t="s">
        <v>8757</v>
      </c>
      <c r="N5879" s="6"/>
      <c r="O5879" s="36" t="s">
        <v>7541</v>
      </c>
      <c r="P5879" s="36" t="s">
        <v>7542</v>
      </c>
      <c r="Q5879" s="38"/>
    </row>
    <row r="5880">
      <c r="A5880" s="6" t="s">
        <v>8757</v>
      </c>
      <c r="B5880" s="6" t="s">
        <v>8758</v>
      </c>
      <c r="C5880" s="6">
        <v>14.0</v>
      </c>
      <c r="D5880" s="9" t="str">
        <f t="shared" si="1995"/>
        <v>Open Ad</v>
      </c>
      <c r="E5880" s="6" t="s">
        <v>91</v>
      </c>
      <c r="F5880" s="6" t="s">
        <v>8022</v>
      </c>
      <c r="G5880" s="6" t="s">
        <v>8767</v>
      </c>
      <c r="H5880" s="6" t="s">
        <v>55</v>
      </c>
      <c r="I5880" s="6" t="s">
        <v>8760</v>
      </c>
      <c r="J5880" s="6" t="s">
        <v>91</v>
      </c>
      <c r="K5880" s="12" t="str">
        <f t="shared" si="1994"/>
        <v>View Creative</v>
      </c>
      <c r="L5880" s="6" t="s">
        <v>62</v>
      </c>
      <c r="M5880" s="6" t="s">
        <v>8757</v>
      </c>
      <c r="N5880" s="6"/>
      <c r="O5880" s="36" t="s">
        <v>7541</v>
      </c>
      <c r="P5880" s="36" t="s">
        <v>7542</v>
      </c>
      <c r="Q5880" s="38"/>
    </row>
    <row r="5881">
      <c r="A5881" s="6" t="s">
        <v>8757</v>
      </c>
      <c r="B5881" s="6" t="s">
        <v>8758</v>
      </c>
      <c r="C5881" s="6">
        <v>15.0</v>
      </c>
      <c r="D5881" s="9" t="str">
        <f t="shared" ref="D5881:D5882" si="1996">HYPERLINK("https://www.linkedin.com/ad-library/detail/1436007593","Open Ad")</f>
        <v>Open Ad</v>
      </c>
      <c r="E5881" s="6" t="s">
        <v>91</v>
      </c>
      <c r="F5881" s="6" t="s">
        <v>8022</v>
      </c>
      <c r="G5881" s="6" t="s">
        <v>8768</v>
      </c>
      <c r="H5881" s="6" t="s">
        <v>55</v>
      </c>
      <c r="I5881" s="6" t="s">
        <v>8760</v>
      </c>
      <c r="J5881" s="6" t="s">
        <v>91</v>
      </c>
      <c r="K5881" s="12" t="str">
        <f t="shared" ref="K5881:K5882" si="1997">HYPERLINK("https://media.licdn.com/dms/image/v2/D4D10AQFN-J9SCqa0kg/image-shrink_1280/B4DZbhb5i8HQAM-/0/1747538910054/free_audit_1bpng?e=2147483647&amp;v=beta&amp;t=4RJ5_lGa2mzhIciZXwhfKhP3iigxJYT-Boy2_47QqdA","View Creative")</f>
        <v>View Creative</v>
      </c>
      <c r="L5881" s="6" t="s">
        <v>62</v>
      </c>
      <c r="M5881" s="6" t="s">
        <v>8757</v>
      </c>
      <c r="N5881" s="6"/>
      <c r="O5881" s="36" t="s">
        <v>7541</v>
      </c>
      <c r="P5881" s="36" t="s">
        <v>7542</v>
      </c>
      <c r="Q5881" s="38"/>
    </row>
    <row r="5882">
      <c r="A5882" s="6" t="s">
        <v>8757</v>
      </c>
      <c r="B5882" s="6" t="s">
        <v>8758</v>
      </c>
      <c r="C5882" s="6">
        <v>16.0</v>
      </c>
      <c r="D5882" s="9" t="str">
        <f t="shared" si="1996"/>
        <v>Open Ad</v>
      </c>
      <c r="E5882" s="6" t="s">
        <v>91</v>
      </c>
      <c r="F5882" s="6" t="s">
        <v>8022</v>
      </c>
      <c r="G5882" s="6" t="s">
        <v>8768</v>
      </c>
      <c r="H5882" s="6" t="s">
        <v>55</v>
      </c>
      <c r="I5882" s="6" t="s">
        <v>8760</v>
      </c>
      <c r="J5882" s="6" t="s">
        <v>91</v>
      </c>
      <c r="K5882" s="12" t="str">
        <f t="shared" si="1997"/>
        <v>View Creative</v>
      </c>
      <c r="L5882" s="6" t="s">
        <v>62</v>
      </c>
      <c r="M5882" s="6" t="s">
        <v>8757</v>
      </c>
      <c r="N5882" s="6"/>
      <c r="O5882" s="36" t="s">
        <v>7541</v>
      </c>
      <c r="P5882" s="36" t="s">
        <v>7542</v>
      </c>
      <c r="Q5882" s="38"/>
    </row>
    <row r="5883">
      <c r="A5883" s="6" t="s">
        <v>8757</v>
      </c>
      <c r="B5883" s="6" t="s">
        <v>8758</v>
      </c>
      <c r="C5883" s="6">
        <v>17.0</v>
      </c>
      <c r="D5883" s="9" t="str">
        <f t="shared" ref="D5883:D5884" si="1998">HYPERLINK("https://www.linkedin.com/ad-library/detail/1436167913","Open Ad")</f>
        <v>Open Ad</v>
      </c>
      <c r="E5883" s="6" t="s">
        <v>91</v>
      </c>
      <c r="F5883" s="6" t="s">
        <v>8022</v>
      </c>
      <c r="G5883" s="6" t="s">
        <v>8767</v>
      </c>
      <c r="H5883" s="6" t="s">
        <v>55</v>
      </c>
      <c r="I5883" s="6" t="s">
        <v>8760</v>
      </c>
      <c r="J5883" s="6" t="s">
        <v>91</v>
      </c>
      <c r="K5883" s="12" t="str">
        <f t="shared" ref="K5883:K5884" si="1999">HYPERLINK("https://media.licdn.com/dms/image/v2/D4D10AQEh-XNYX7hm9Q/image-shrink_1280/B4DZvn8AopJsAc-/0/1769122827438/StateofAISearch2026png?e=2147483647&amp;v=beta&amp;t=Kvmib6awKkbx2D2NGleR3LdTlCTRspfjxM4PPwsQeOU","View Creative")</f>
        <v>View Creative</v>
      </c>
      <c r="L5883" s="6" t="s">
        <v>62</v>
      </c>
      <c r="M5883" s="6" t="s">
        <v>8757</v>
      </c>
      <c r="N5883" s="6"/>
      <c r="O5883" s="36" t="s">
        <v>7541</v>
      </c>
      <c r="P5883" s="36" t="s">
        <v>7542</v>
      </c>
      <c r="Q5883" s="38"/>
    </row>
    <row r="5884">
      <c r="A5884" s="6" t="s">
        <v>8757</v>
      </c>
      <c r="B5884" s="6" t="s">
        <v>8758</v>
      </c>
      <c r="C5884" s="6">
        <v>18.0</v>
      </c>
      <c r="D5884" s="9" t="str">
        <f t="shared" si="1998"/>
        <v>Open Ad</v>
      </c>
      <c r="E5884" s="6" t="s">
        <v>91</v>
      </c>
      <c r="F5884" s="6" t="s">
        <v>8022</v>
      </c>
      <c r="G5884" s="6" t="s">
        <v>8767</v>
      </c>
      <c r="H5884" s="6" t="s">
        <v>55</v>
      </c>
      <c r="I5884" s="6" t="s">
        <v>8760</v>
      </c>
      <c r="J5884" s="6" t="s">
        <v>91</v>
      </c>
      <c r="K5884" s="12" t="str">
        <f t="shared" si="1999"/>
        <v>View Creative</v>
      </c>
      <c r="L5884" s="6" t="s">
        <v>62</v>
      </c>
      <c r="M5884" s="6" t="s">
        <v>8757</v>
      </c>
      <c r="N5884" s="6"/>
      <c r="O5884" s="36" t="s">
        <v>7541</v>
      </c>
      <c r="P5884" s="36" t="s">
        <v>7542</v>
      </c>
      <c r="Q5884" s="38"/>
    </row>
    <row r="5885">
      <c r="A5885" s="6" t="s">
        <v>8757</v>
      </c>
      <c r="B5885" s="6" t="s">
        <v>8758</v>
      </c>
      <c r="C5885" s="6">
        <v>19.0</v>
      </c>
      <c r="D5885" s="9" t="str">
        <f t="shared" ref="D5885:D5886" si="2000">HYPERLINK("https://www.linkedin.com/ad-library/detail/1181087603","Open Ad")</f>
        <v>Open Ad</v>
      </c>
      <c r="E5885" s="6" t="s">
        <v>91</v>
      </c>
      <c r="F5885" s="6" t="s">
        <v>8022</v>
      </c>
      <c r="G5885" s="6" t="s">
        <v>8769</v>
      </c>
      <c r="H5885" s="6" t="s">
        <v>55</v>
      </c>
      <c r="I5885" s="6" t="s">
        <v>8760</v>
      </c>
      <c r="J5885" s="6" t="s">
        <v>91</v>
      </c>
      <c r="K5885" s="12" t="str">
        <f t="shared" ref="K5885:K5886" si="2001">HYPERLINK("https://media.licdn.com/dms/image/v2/D4D10AQF0PZr3z2PK9w/image_627_1200/B56Zrp74FjHIAY-/0/1764861379035?e=2147483647&amp;v=beta&amp;t=503SFCACzKu_xiM8Mi143gMxevCJJLUc74L05x0m5tk","View Creative")</f>
        <v>View Creative</v>
      </c>
      <c r="L5885" s="6" t="s">
        <v>62</v>
      </c>
      <c r="M5885" s="6" t="s">
        <v>8757</v>
      </c>
      <c r="N5885" s="6"/>
      <c r="O5885" s="36" t="s">
        <v>7541</v>
      </c>
      <c r="P5885" s="36" t="s">
        <v>7542</v>
      </c>
      <c r="Q5885" s="38"/>
    </row>
    <row r="5886">
      <c r="A5886" s="6" t="s">
        <v>8757</v>
      </c>
      <c r="B5886" s="6" t="s">
        <v>8758</v>
      </c>
      <c r="C5886" s="6">
        <v>20.0</v>
      </c>
      <c r="D5886" s="9" t="str">
        <f t="shared" si="2000"/>
        <v>Open Ad</v>
      </c>
      <c r="E5886" s="6" t="s">
        <v>91</v>
      </c>
      <c r="F5886" s="6" t="s">
        <v>8022</v>
      </c>
      <c r="G5886" s="6" t="s">
        <v>8769</v>
      </c>
      <c r="H5886" s="6" t="s">
        <v>55</v>
      </c>
      <c r="I5886" s="6" t="s">
        <v>8760</v>
      </c>
      <c r="J5886" s="6" t="s">
        <v>91</v>
      </c>
      <c r="K5886" s="12" t="str">
        <f t="shared" si="2001"/>
        <v>View Creative</v>
      </c>
      <c r="L5886" s="6" t="s">
        <v>62</v>
      </c>
      <c r="M5886" s="6" t="s">
        <v>8757</v>
      </c>
      <c r="N5886" s="6"/>
      <c r="O5886" s="36" t="s">
        <v>7541</v>
      </c>
      <c r="P5886" s="36" t="s">
        <v>7542</v>
      </c>
      <c r="Q5886" s="38"/>
    </row>
    <row r="5887">
      <c r="A5887" s="6" t="s">
        <v>8757</v>
      </c>
      <c r="B5887" s="6" t="s">
        <v>8758</v>
      </c>
      <c r="C5887" s="6">
        <v>21.0</v>
      </c>
      <c r="D5887" s="9" t="str">
        <f t="shared" ref="D5887:D5888" si="2002">HYPERLINK("https://www.linkedin.com/ad-library/detail/1101403573","Open Ad")</f>
        <v>Open Ad</v>
      </c>
      <c r="E5887" s="6" t="s">
        <v>91</v>
      </c>
      <c r="F5887" s="6" t="s">
        <v>8022</v>
      </c>
      <c r="G5887" s="6" t="s">
        <v>8770</v>
      </c>
      <c r="H5887" s="6" t="s">
        <v>55</v>
      </c>
      <c r="I5887" s="6" t="s">
        <v>8760</v>
      </c>
      <c r="J5887" s="6" t="s">
        <v>91</v>
      </c>
      <c r="K5887" s="12" t="str">
        <f t="shared" ref="K5887:K5888" si="2003">HYPERLINK("https://media.licdn.com/dms/image/v2/D4D22AQGWL7J9AuR4nA/feedshare-shrink_1280/B4DZpKqebaGwAs-/0/1762189242160?e=2147483647&amp;v=beta&amp;t=IHSx_oOYNkJG39sPO5CvBkeSGofOAF8WwuEqNJt_v_E","View Creative")</f>
        <v>View Creative</v>
      </c>
      <c r="L5887" s="6" t="s">
        <v>62</v>
      </c>
      <c r="M5887" s="6" t="s">
        <v>8757</v>
      </c>
      <c r="N5887" s="6"/>
      <c r="O5887" s="36" t="s">
        <v>7541</v>
      </c>
      <c r="P5887" s="36" t="s">
        <v>7542</v>
      </c>
      <c r="Q5887" s="38"/>
    </row>
    <row r="5888">
      <c r="A5888" s="6" t="s">
        <v>8757</v>
      </c>
      <c r="B5888" s="6" t="s">
        <v>8758</v>
      </c>
      <c r="C5888" s="6">
        <v>22.0</v>
      </c>
      <c r="D5888" s="9" t="str">
        <f t="shared" si="2002"/>
        <v>Open Ad</v>
      </c>
      <c r="E5888" s="6" t="s">
        <v>91</v>
      </c>
      <c r="F5888" s="6" t="s">
        <v>8022</v>
      </c>
      <c r="G5888" s="6" t="s">
        <v>8770</v>
      </c>
      <c r="H5888" s="6" t="s">
        <v>55</v>
      </c>
      <c r="I5888" s="6" t="s">
        <v>8760</v>
      </c>
      <c r="J5888" s="6" t="s">
        <v>91</v>
      </c>
      <c r="K5888" s="12" t="str">
        <f t="shared" si="2003"/>
        <v>View Creative</v>
      </c>
      <c r="L5888" s="6" t="s">
        <v>62</v>
      </c>
      <c r="M5888" s="6" t="s">
        <v>8757</v>
      </c>
      <c r="N5888" s="6"/>
      <c r="O5888" s="36" t="s">
        <v>7541</v>
      </c>
      <c r="P5888" s="36" t="s">
        <v>7542</v>
      </c>
      <c r="Q5888" s="38"/>
    </row>
    <row r="5889">
      <c r="A5889" s="6" t="s">
        <v>8757</v>
      </c>
      <c r="B5889" s="6" t="s">
        <v>8758</v>
      </c>
      <c r="C5889" s="6">
        <v>23.0</v>
      </c>
      <c r="D5889" s="9" t="str">
        <f t="shared" ref="D5889:D5890" si="2004">HYPERLINK("https://www.linkedin.com/ad-library/detail/1178145533","Open Ad")</f>
        <v>Open Ad</v>
      </c>
      <c r="E5889" s="6" t="s">
        <v>91</v>
      </c>
      <c r="F5889" s="6" t="s">
        <v>8022</v>
      </c>
      <c r="G5889" s="6" t="s">
        <v>8771</v>
      </c>
      <c r="H5889" s="6" t="s">
        <v>344</v>
      </c>
      <c r="I5889" s="6" t="s">
        <v>8760</v>
      </c>
      <c r="J5889" s="6" t="s">
        <v>91</v>
      </c>
      <c r="K5889" s="12" t="str">
        <f t="shared" ref="K5889:K5890" si="2005">HYPERLINK("https://media.licdn.com/dms/image/v2/D4E22AQGHa-YeKVpxgA/feedshare-shrink_1280/B4EZwVqmQ4GsAc-/0/1769890014778?e=2147483647&amp;v=beta&amp;t=hNE8PyA0wix2Cp8_UFIDq1mXBlVzKz7YnP8yQuj4da0","View Creative")</f>
        <v>View Creative</v>
      </c>
      <c r="L5889" s="6" t="s">
        <v>62</v>
      </c>
      <c r="M5889" s="6" t="s">
        <v>8757</v>
      </c>
      <c r="N5889" s="6"/>
      <c r="O5889" s="36" t="s">
        <v>7541</v>
      </c>
      <c r="P5889" s="36" t="s">
        <v>7542</v>
      </c>
      <c r="Q5889" s="38"/>
    </row>
    <row r="5890">
      <c r="A5890" s="6" t="s">
        <v>8757</v>
      </c>
      <c r="B5890" s="6" t="s">
        <v>8758</v>
      </c>
      <c r="C5890" s="6">
        <v>24.0</v>
      </c>
      <c r="D5890" s="9" t="str">
        <f t="shared" si="2004"/>
        <v>Open Ad</v>
      </c>
      <c r="E5890" s="6" t="s">
        <v>91</v>
      </c>
      <c r="F5890" s="6" t="s">
        <v>8022</v>
      </c>
      <c r="G5890" s="6" t="s">
        <v>8771</v>
      </c>
      <c r="H5890" s="6" t="s">
        <v>344</v>
      </c>
      <c r="I5890" s="6" t="s">
        <v>8760</v>
      </c>
      <c r="J5890" s="6" t="s">
        <v>91</v>
      </c>
      <c r="K5890" s="12" t="str">
        <f t="shared" si="2005"/>
        <v>View Creative</v>
      </c>
      <c r="L5890" s="6" t="s">
        <v>62</v>
      </c>
      <c r="M5890" s="6" t="s">
        <v>8757</v>
      </c>
      <c r="N5890" s="6"/>
      <c r="O5890" s="36" t="s">
        <v>7541</v>
      </c>
      <c r="P5890" s="36" t="s">
        <v>7542</v>
      </c>
      <c r="Q5890" s="38"/>
    </row>
    <row r="5891">
      <c r="A5891" s="6" t="s">
        <v>8757</v>
      </c>
      <c r="B5891" s="6" t="s">
        <v>8758</v>
      </c>
      <c r="C5891" s="6">
        <v>25.0</v>
      </c>
      <c r="D5891" s="9" t="str">
        <f t="shared" ref="D5891:D5892" si="2006">HYPERLINK("https://www.linkedin.com/ad-library/detail/1180718323","Open Ad")</f>
        <v>Open Ad</v>
      </c>
      <c r="E5891" s="6" t="s">
        <v>91</v>
      </c>
      <c r="F5891" s="6" t="s">
        <v>8022</v>
      </c>
      <c r="G5891" s="6" t="s">
        <v>8772</v>
      </c>
      <c r="H5891" s="6" t="s">
        <v>55</v>
      </c>
      <c r="I5891" s="6" t="s">
        <v>8760</v>
      </c>
      <c r="J5891" s="6" t="s">
        <v>91</v>
      </c>
      <c r="K5891" s="12" t="str">
        <f t="shared" ref="K5891:K5892" si="2007">HYPERLINK("https://media.licdn.com/dms/image/v2/D4D10AQHzxE8-Gu5Ngw/image-shrink_1280/B4DZyXXDlgKEAc-/0/1772065930183/Prompt-Universe-Finalpng?e=2147483647&amp;v=beta&amp;t=B9AjtF4KePbsFKCoKXzYd0X44WwtH0dviiiyZQuiXQ8","View Creative")</f>
        <v>View Creative</v>
      </c>
      <c r="L5891" s="6" t="s">
        <v>62</v>
      </c>
      <c r="M5891" s="6" t="s">
        <v>8757</v>
      </c>
      <c r="N5891" s="6"/>
      <c r="O5891" s="36" t="s">
        <v>7541</v>
      </c>
      <c r="P5891" s="36" t="s">
        <v>7542</v>
      </c>
      <c r="Q5891" s="38"/>
    </row>
    <row r="5892">
      <c r="A5892" s="6" t="s">
        <v>8757</v>
      </c>
      <c r="B5892" s="6" t="s">
        <v>8758</v>
      </c>
      <c r="C5892" s="6">
        <v>26.0</v>
      </c>
      <c r="D5892" s="9" t="str">
        <f t="shared" si="2006"/>
        <v>Open Ad</v>
      </c>
      <c r="E5892" s="6" t="s">
        <v>91</v>
      </c>
      <c r="F5892" s="6" t="s">
        <v>8022</v>
      </c>
      <c r="G5892" s="6" t="s">
        <v>8772</v>
      </c>
      <c r="H5892" s="6" t="s">
        <v>55</v>
      </c>
      <c r="I5892" s="6" t="s">
        <v>8760</v>
      </c>
      <c r="J5892" s="6" t="s">
        <v>91</v>
      </c>
      <c r="K5892" s="12" t="str">
        <f t="shared" si="2007"/>
        <v>View Creative</v>
      </c>
      <c r="L5892" s="6" t="s">
        <v>62</v>
      </c>
      <c r="M5892" s="6" t="s">
        <v>8757</v>
      </c>
      <c r="N5892" s="6"/>
      <c r="O5892" s="36" t="s">
        <v>7541</v>
      </c>
      <c r="P5892" s="36" t="s">
        <v>7542</v>
      </c>
      <c r="Q5892" s="38"/>
    </row>
    <row r="5893">
      <c r="A5893" s="6" t="s">
        <v>8757</v>
      </c>
      <c r="B5893" s="6" t="s">
        <v>8758</v>
      </c>
      <c r="C5893" s="6">
        <v>27.0</v>
      </c>
      <c r="D5893" s="9" t="str">
        <f t="shared" ref="D5893:D5894" si="2008">HYPERLINK("https://www.linkedin.com/ad-library/detail/1177740043","Open Ad")</f>
        <v>Open Ad</v>
      </c>
      <c r="E5893" s="6" t="s">
        <v>91</v>
      </c>
      <c r="F5893" s="6" t="s">
        <v>8022</v>
      </c>
      <c r="G5893" s="6" t="s">
        <v>8773</v>
      </c>
      <c r="H5893" s="6" t="s">
        <v>55</v>
      </c>
      <c r="I5893" s="6" t="s">
        <v>8760</v>
      </c>
      <c r="J5893" s="6" t="s">
        <v>91</v>
      </c>
      <c r="K5893" s="12" t="str">
        <f t="shared" ref="K5893:K5894" si="2009">HYPERLINK("https://media.licdn.com/dms/image/v2/D4D10AQEh-XNYX7hm9Q/image-shrink_1280/B4DZvn8AopJsAc-/0/1769122827438/StateofAISearch2026png?e=2147483647&amp;v=beta&amp;t=Kvmib6awKkbx2D2NGleR3LdTlCTRspfjxM4PPwsQeOU","View Creative")</f>
        <v>View Creative</v>
      </c>
      <c r="L5893" s="6" t="s">
        <v>62</v>
      </c>
      <c r="M5893" s="6" t="s">
        <v>8757</v>
      </c>
      <c r="N5893" s="6"/>
      <c r="O5893" s="36" t="s">
        <v>7541</v>
      </c>
      <c r="P5893" s="36" t="s">
        <v>7542</v>
      </c>
      <c r="Q5893" s="38"/>
    </row>
    <row r="5894">
      <c r="A5894" s="6" t="s">
        <v>8757</v>
      </c>
      <c r="B5894" s="6" t="s">
        <v>8758</v>
      </c>
      <c r="C5894" s="6">
        <v>28.0</v>
      </c>
      <c r="D5894" s="9" t="str">
        <f t="shared" si="2008"/>
        <v>Open Ad</v>
      </c>
      <c r="E5894" s="6" t="s">
        <v>91</v>
      </c>
      <c r="F5894" s="6" t="s">
        <v>8022</v>
      </c>
      <c r="G5894" s="6" t="s">
        <v>8773</v>
      </c>
      <c r="H5894" s="6" t="s">
        <v>55</v>
      </c>
      <c r="I5894" s="6" t="s">
        <v>8760</v>
      </c>
      <c r="J5894" s="6" t="s">
        <v>91</v>
      </c>
      <c r="K5894" s="12" t="str">
        <f t="shared" si="2009"/>
        <v>View Creative</v>
      </c>
      <c r="L5894" s="6" t="s">
        <v>62</v>
      </c>
      <c r="M5894" s="6" t="s">
        <v>8757</v>
      </c>
      <c r="N5894" s="6"/>
      <c r="O5894" s="36" t="s">
        <v>7541</v>
      </c>
      <c r="P5894" s="36" t="s">
        <v>7542</v>
      </c>
      <c r="Q5894" s="38"/>
    </row>
    <row r="5895">
      <c r="A5895" s="6" t="s">
        <v>8757</v>
      </c>
      <c r="B5895" s="6" t="s">
        <v>8758</v>
      </c>
      <c r="C5895" s="6">
        <v>29.0</v>
      </c>
      <c r="D5895" s="9" t="str">
        <f t="shared" ref="D5895:D5896" si="2010">HYPERLINK("https://www.linkedin.com/ad-library/detail/1180787983","Open Ad")</f>
        <v>Open Ad</v>
      </c>
      <c r="E5895" s="6" t="s">
        <v>91</v>
      </c>
      <c r="F5895" s="6" t="s">
        <v>8022</v>
      </c>
      <c r="G5895" s="6" t="s">
        <v>8774</v>
      </c>
      <c r="H5895" s="6" t="s">
        <v>55</v>
      </c>
      <c r="I5895" s="6" t="s">
        <v>8760</v>
      </c>
      <c r="J5895" s="6" t="s">
        <v>91</v>
      </c>
      <c r="K5895" s="12" t="str">
        <f t="shared" ref="K5895:K5896" si="2011">HYPERLINK("https://media.licdn.com/dms/image/v2/D4E10AQG9Pe0EzBN87g/image_627_1200/B56Zrp7fwCLMAY-/0/1764861279352?e=2147483647&amp;v=beta&amp;t=HwyFGFpkU9OGXnnHK9edS1hHQYggZ9QxhMOldyYzwSI","View Creative")</f>
        <v>View Creative</v>
      </c>
      <c r="L5895" s="6" t="s">
        <v>62</v>
      </c>
      <c r="M5895" s="6" t="s">
        <v>8757</v>
      </c>
      <c r="N5895" s="6"/>
      <c r="O5895" s="36" t="s">
        <v>7541</v>
      </c>
      <c r="P5895" s="36" t="s">
        <v>7542</v>
      </c>
      <c r="Q5895" s="38"/>
    </row>
    <row r="5896">
      <c r="A5896" s="6" t="s">
        <v>8757</v>
      </c>
      <c r="B5896" s="6" t="s">
        <v>8758</v>
      </c>
      <c r="C5896" s="6">
        <v>30.0</v>
      </c>
      <c r="D5896" s="9" t="str">
        <f t="shared" si="2010"/>
        <v>Open Ad</v>
      </c>
      <c r="E5896" s="6" t="s">
        <v>91</v>
      </c>
      <c r="F5896" s="6" t="s">
        <v>8022</v>
      </c>
      <c r="G5896" s="6" t="s">
        <v>8774</v>
      </c>
      <c r="H5896" s="6" t="s">
        <v>55</v>
      </c>
      <c r="I5896" s="6" t="s">
        <v>8760</v>
      </c>
      <c r="J5896" s="6" t="s">
        <v>91</v>
      </c>
      <c r="K5896" s="12" t="str">
        <f t="shared" si="2011"/>
        <v>View Creative</v>
      </c>
      <c r="L5896" s="6" t="s">
        <v>62</v>
      </c>
      <c r="M5896" s="6" t="s">
        <v>8757</v>
      </c>
      <c r="N5896" s="6"/>
      <c r="O5896" s="36" t="s">
        <v>7541</v>
      </c>
      <c r="P5896" s="36" t="s">
        <v>7542</v>
      </c>
      <c r="Q5896" s="38"/>
    </row>
    <row r="5897">
      <c r="A5897" s="6" t="s">
        <v>8757</v>
      </c>
      <c r="B5897" s="6" t="s">
        <v>8758</v>
      </c>
      <c r="C5897" s="6">
        <v>31.0</v>
      </c>
      <c r="D5897" s="9" t="str">
        <f t="shared" ref="D5897:D5898" si="2012">HYPERLINK("https://www.linkedin.com/ad-library/detail/1181087583","Open Ad")</f>
        <v>Open Ad</v>
      </c>
      <c r="E5897" s="6" t="s">
        <v>91</v>
      </c>
      <c r="F5897" s="6" t="s">
        <v>8022</v>
      </c>
      <c r="G5897" s="6" t="s">
        <v>8775</v>
      </c>
      <c r="H5897" s="6" t="s">
        <v>55</v>
      </c>
      <c r="I5897" s="6" t="s">
        <v>8760</v>
      </c>
      <c r="J5897" s="6" t="s">
        <v>91</v>
      </c>
      <c r="K5897" s="12" t="str">
        <f t="shared" ref="K5897:K5898" si="2013">HYPERLINK("https://media.licdn.com/dms/image/v2/D4D22AQFBmPZmS_oUlw/feedshare-shrink_1280/B4DZpa.E14GsAs-/0/1762462815781?e=2147483647&amp;v=beta&amp;t=GBUK-Y0pD5-AuUrnRN__Y1iw1N5bLKvB8tGHcEvoMWk","View Creative")</f>
        <v>View Creative</v>
      </c>
      <c r="L5897" s="6" t="s">
        <v>62</v>
      </c>
      <c r="M5897" s="6" t="s">
        <v>8757</v>
      </c>
      <c r="N5897" s="6"/>
      <c r="O5897" s="36" t="s">
        <v>7541</v>
      </c>
      <c r="P5897" s="36" t="s">
        <v>7542</v>
      </c>
      <c r="Q5897" s="38"/>
    </row>
    <row r="5898">
      <c r="A5898" s="6" t="s">
        <v>8757</v>
      </c>
      <c r="B5898" s="6" t="s">
        <v>8758</v>
      </c>
      <c r="C5898" s="6">
        <v>32.0</v>
      </c>
      <c r="D5898" s="9" t="str">
        <f t="shared" si="2012"/>
        <v>Open Ad</v>
      </c>
      <c r="E5898" s="6" t="s">
        <v>91</v>
      </c>
      <c r="F5898" s="6" t="s">
        <v>8022</v>
      </c>
      <c r="G5898" s="6" t="s">
        <v>8775</v>
      </c>
      <c r="H5898" s="6" t="s">
        <v>55</v>
      </c>
      <c r="I5898" s="6" t="s">
        <v>8760</v>
      </c>
      <c r="J5898" s="6" t="s">
        <v>91</v>
      </c>
      <c r="K5898" s="12" t="str">
        <f t="shared" si="2013"/>
        <v>View Creative</v>
      </c>
      <c r="L5898" s="6" t="s">
        <v>62</v>
      </c>
      <c r="M5898" s="6" t="s">
        <v>8757</v>
      </c>
      <c r="N5898" s="6"/>
      <c r="O5898" s="36" t="s">
        <v>7541</v>
      </c>
      <c r="P5898" s="36" t="s">
        <v>7542</v>
      </c>
      <c r="Q5898" s="38"/>
    </row>
    <row r="5899">
      <c r="A5899" s="6" t="s">
        <v>8757</v>
      </c>
      <c r="B5899" s="6" t="s">
        <v>8758</v>
      </c>
      <c r="C5899" s="6">
        <v>33.0</v>
      </c>
      <c r="D5899" s="9" t="str">
        <f t="shared" ref="D5899:D5900" si="2014">HYPERLINK("https://www.linkedin.com/ad-library/detail/1178039653","Open Ad")</f>
        <v>Open Ad</v>
      </c>
      <c r="E5899" s="6" t="s">
        <v>91</v>
      </c>
      <c r="F5899" s="6" t="s">
        <v>8022</v>
      </c>
      <c r="G5899" s="6" t="s">
        <v>8767</v>
      </c>
      <c r="H5899" s="6" t="s">
        <v>55</v>
      </c>
      <c r="I5899" s="6" t="s">
        <v>8760</v>
      </c>
      <c r="J5899" s="6" t="s">
        <v>91</v>
      </c>
      <c r="K5899" s="12" t="str">
        <f t="shared" ref="K5899:K5900" si="2015">HYPERLINK("https://media.licdn.com/dms/image/v2/D4D10AQEh-XNYX7hm9Q/image-shrink_1280/B4DZvn8AopJsAc-/0/1769122827438/StateofAISearch2026png?e=2147483647&amp;v=beta&amp;t=Kvmib6awKkbx2D2NGleR3LdTlCTRspfjxM4PPwsQeOU","View Creative")</f>
        <v>View Creative</v>
      </c>
      <c r="L5899" s="6" t="s">
        <v>62</v>
      </c>
      <c r="M5899" s="6" t="s">
        <v>8757</v>
      </c>
      <c r="N5899" s="6"/>
      <c r="O5899" s="36" t="s">
        <v>7541</v>
      </c>
      <c r="P5899" s="36" t="s">
        <v>7542</v>
      </c>
      <c r="Q5899" s="38"/>
    </row>
    <row r="5900">
      <c r="A5900" s="6" t="s">
        <v>8757</v>
      </c>
      <c r="B5900" s="6" t="s">
        <v>8758</v>
      </c>
      <c r="C5900" s="6">
        <v>34.0</v>
      </c>
      <c r="D5900" s="9" t="str">
        <f t="shared" si="2014"/>
        <v>Open Ad</v>
      </c>
      <c r="E5900" s="6" t="s">
        <v>91</v>
      </c>
      <c r="F5900" s="6" t="s">
        <v>8022</v>
      </c>
      <c r="G5900" s="6" t="s">
        <v>8767</v>
      </c>
      <c r="H5900" s="6" t="s">
        <v>55</v>
      </c>
      <c r="I5900" s="6" t="s">
        <v>8760</v>
      </c>
      <c r="J5900" s="6" t="s">
        <v>91</v>
      </c>
      <c r="K5900" s="12" t="str">
        <f t="shared" si="2015"/>
        <v>View Creative</v>
      </c>
      <c r="L5900" s="6" t="s">
        <v>62</v>
      </c>
      <c r="M5900" s="6" t="s">
        <v>8757</v>
      </c>
      <c r="N5900" s="6"/>
      <c r="O5900" s="36" t="s">
        <v>7541</v>
      </c>
      <c r="P5900" s="36" t="s">
        <v>7542</v>
      </c>
      <c r="Q5900" s="38"/>
    </row>
    <row r="5901">
      <c r="A5901" s="6" t="s">
        <v>8757</v>
      </c>
      <c r="B5901" s="6" t="s">
        <v>8758</v>
      </c>
      <c r="C5901" s="6">
        <v>35.0</v>
      </c>
      <c r="D5901" s="9" t="str">
        <f t="shared" ref="D5901:D5902" si="2016">HYPERLINK("https://www.linkedin.com/ad-library/detail/1192110933","Open Ad")</f>
        <v>Open Ad</v>
      </c>
      <c r="E5901" s="6" t="s">
        <v>91</v>
      </c>
      <c r="F5901" s="6" t="s">
        <v>8022</v>
      </c>
      <c r="G5901" s="6" t="s">
        <v>8776</v>
      </c>
      <c r="H5901" s="6" t="s">
        <v>55</v>
      </c>
      <c r="I5901" s="6" t="s">
        <v>8760</v>
      </c>
      <c r="J5901" s="6" t="s">
        <v>91</v>
      </c>
      <c r="K5901" s="12" t="str">
        <f t="shared" ref="K5901:K5902" si="2017">HYPERLINK("https://media.licdn.com/dms/image/v2/D4D10AQGA41If1Bc9wA/image-shrink_1280/B4DZzfWEjsG0Ac-/0/1773273631228/Rootly-Single-Image-Adspng?e=2147483647&amp;v=beta&amp;t=I4M8gjM2J3NueYrFFFsWNmpEXFIgxIvqHdddhwosaT4","View Creative")</f>
        <v>View Creative</v>
      </c>
      <c r="L5901" s="6" t="s">
        <v>62</v>
      </c>
      <c r="M5901" s="6" t="s">
        <v>8757</v>
      </c>
      <c r="N5901" s="6"/>
      <c r="O5901" s="36" t="s">
        <v>7541</v>
      </c>
      <c r="P5901" s="36" t="s">
        <v>7542</v>
      </c>
      <c r="Q5901" s="38"/>
    </row>
    <row r="5902">
      <c r="A5902" s="6" t="s">
        <v>8757</v>
      </c>
      <c r="B5902" s="6" t="s">
        <v>8758</v>
      </c>
      <c r="C5902" s="6">
        <v>36.0</v>
      </c>
      <c r="D5902" s="9" t="str">
        <f t="shared" si="2016"/>
        <v>Open Ad</v>
      </c>
      <c r="E5902" s="6" t="s">
        <v>91</v>
      </c>
      <c r="F5902" s="6" t="s">
        <v>8022</v>
      </c>
      <c r="G5902" s="6" t="s">
        <v>8776</v>
      </c>
      <c r="H5902" s="6" t="s">
        <v>55</v>
      </c>
      <c r="I5902" s="6" t="s">
        <v>8760</v>
      </c>
      <c r="J5902" s="6" t="s">
        <v>91</v>
      </c>
      <c r="K5902" s="12" t="str">
        <f t="shared" si="2017"/>
        <v>View Creative</v>
      </c>
      <c r="L5902" s="6" t="s">
        <v>62</v>
      </c>
      <c r="M5902" s="6" t="s">
        <v>8757</v>
      </c>
      <c r="N5902" s="6"/>
      <c r="O5902" s="36" t="s">
        <v>7541</v>
      </c>
      <c r="P5902" s="36" t="s">
        <v>7542</v>
      </c>
      <c r="Q5902" s="38"/>
    </row>
    <row r="5903">
      <c r="A5903" s="6" t="s">
        <v>8757</v>
      </c>
      <c r="B5903" s="6" t="s">
        <v>8758</v>
      </c>
      <c r="C5903" s="6">
        <v>37.0</v>
      </c>
      <c r="D5903" s="9" t="str">
        <f t="shared" ref="D5903:D5904" si="2018">HYPERLINK("https://www.linkedin.com/ad-library/detail/1181087593","Open Ad")</f>
        <v>Open Ad</v>
      </c>
      <c r="E5903" s="6" t="s">
        <v>91</v>
      </c>
      <c r="F5903" s="6" t="s">
        <v>8022</v>
      </c>
      <c r="G5903" s="6" t="s">
        <v>8770</v>
      </c>
      <c r="H5903" s="6" t="s">
        <v>55</v>
      </c>
      <c r="I5903" s="6" t="s">
        <v>8760</v>
      </c>
      <c r="J5903" s="6" t="s">
        <v>91</v>
      </c>
      <c r="K5903" s="12" t="str">
        <f t="shared" ref="K5903:K5904" si="2019">HYPERLINK("https://media.licdn.com/dms/image/v2/D4D22AQGWL7J9AuR4nA/feedshare-shrink_1280/B4DZpKqebaGwAs-/0/1762189242160?e=2147483647&amp;v=beta&amp;t=IHSx_oOYNkJG39sPO5CvBkeSGofOAF8WwuEqNJt_v_E","View Creative")</f>
        <v>View Creative</v>
      </c>
      <c r="L5903" s="6" t="s">
        <v>62</v>
      </c>
      <c r="M5903" s="6" t="s">
        <v>8757</v>
      </c>
      <c r="N5903" s="6"/>
      <c r="O5903" s="36" t="s">
        <v>7541</v>
      </c>
      <c r="P5903" s="36" t="s">
        <v>7542</v>
      </c>
      <c r="Q5903" s="38"/>
    </row>
    <row r="5904">
      <c r="A5904" s="6" t="s">
        <v>8757</v>
      </c>
      <c r="B5904" s="6" t="s">
        <v>8758</v>
      </c>
      <c r="C5904" s="6">
        <v>38.0</v>
      </c>
      <c r="D5904" s="9" t="str">
        <f t="shared" si="2018"/>
        <v>Open Ad</v>
      </c>
      <c r="E5904" s="6" t="s">
        <v>91</v>
      </c>
      <c r="F5904" s="6" t="s">
        <v>8022</v>
      </c>
      <c r="G5904" s="6" t="s">
        <v>8770</v>
      </c>
      <c r="H5904" s="6" t="s">
        <v>55</v>
      </c>
      <c r="I5904" s="6" t="s">
        <v>8760</v>
      </c>
      <c r="J5904" s="6" t="s">
        <v>91</v>
      </c>
      <c r="K5904" s="12" t="str">
        <f t="shared" si="2019"/>
        <v>View Creative</v>
      </c>
      <c r="L5904" s="6" t="s">
        <v>62</v>
      </c>
      <c r="M5904" s="6" t="s">
        <v>8757</v>
      </c>
      <c r="N5904" s="6"/>
      <c r="O5904" s="36" t="s">
        <v>7541</v>
      </c>
      <c r="P5904" s="36" t="s">
        <v>7542</v>
      </c>
      <c r="Q5904" s="38"/>
    </row>
    <row r="5905">
      <c r="A5905" s="6" t="s">
        <v>8757</v>
      </c>
      <c r="B5905" s="6" t="s">
        <v>8758</v>
      </c>
      <c r="C5905" s="6">
        <v>39.0</v>
      </c>
      <c r="D5905" s="9" t="str">
        <f t="shared" ref="D5905:D5906" si="2020">HYPERLINK("https://www.linkedin.com/ad-library/detail/1101003013","Open Ad")</f>
        <v>Open Ad</v>
      </c>
      <c r="E5905" s="6" t="s">
        <v>91</v>
      </c>
      <c r="F5905" s="6" t="s">
        <v>8022</v>
      </c>
      <c r="G5905" s="6" t="s">
        <v>8763</v>
      </c>
      <c r="H5905" s="6" t="s">
        <v>55</v>
      </c>
      <c r="I5905" s="6" t="s">
        <v>8760</v>
      </c>
      <c r="J5905" s="6" t="s">
        <v>91</v>
      </c>
      <c r="K5905" s="12" t="str">
        <f t="shared" ref="K5905:K5906" si="2021">HYPERLINK("https://media.licdn.com/dms/image/v2/D4D22AQEYhx5CgCHz9g/feedshare-shrink_1280/B4DZp5AtBnHsAs-/0/1762966819547?e=2147483647&amp;v=beta&amp;t=DSsjJWxRtKRXJsaC7UMbJSH8uzHHVV6d43prXmutqCc","View Creative")</f>
        <v>View Creative</v>
      </c>
      <c r="L5905" s="6" t="s">
        <v>62</v>
      </c>
      <c r="M5905" s="6" t="s">
        <v>8757</v>
      </c>
      <c r="N5905" s="6"/>
      <c r="O5905" s="36" t="s">
        <v>7541</v>
      </c>
      <c r="P5905" s="36" t="s">
        <v>7542</v>
      </c>
      <c r="Q5905" s="38"/>
    </row>
    <row r="5906">
      <c r="A5906" s="6" t="s">
        <v>8757</v>
      </c>
      <c r="B5906" s="6" t="s">
        <v>8758</v>
      </c>
      <c r="C5906" s="6">
        <v>40.0</v>
      </c>
      <c r="D5906" s="9" t="str">
        <f t="shared" si="2020"/>
        <v>Open Ad</v>
      </c>
      <c r="E5906" s="6" t="s">
        <v>91</v>
      </c>
      <c r="F5906" s="6" t="s">
        <v>8022</v>
      </c>
      <c r="G5906" s="6" t="s">
        <v>8763</v>
      </c>
      <c r="H5906" s="6" t="s">
        <v>55</v>
      </c>
      <c r="I5906" s="6" t="s">
        <v>8760</v>
      </c>
      <c r="J5906" s="6" t="s">
        <v>91</v>
      </c>
      <c r="K5906" s="12" t="str">
        <f t="shared" si="2021"/>
        <v>View Creative</v>
      </c>
      <c r="L5906" s="6" t="s">
        <v>62</v>
      </c>
      <c r="M5906" s="6" t="s">
        <v>8757</v>
      </c>
      <c r="N5906" s="6"/>
      <c r="O5906" s="36" t="s">
        <v>7541</v>
      </c>
      <c r="P5906" s="36" t="s">
        <v>7542</v>
      </c>
      <c r="Q5906" s="38"/>
    </row>
    <row r="5907">
      <c r="A5907" s="6" t="s">
        <v>8757</v>
      </c>
      <c r="B5907" s="6" t="s">
        <v>8758</v>
      </c>
      <c r="C5907" s="6">
        <v>41.0</v>
      </c>
      <c r="D5907" s="9" t="str">
        <f t="shared" ref="D5907:D5908" si="2022">HYPERLINK("https://www.linkedin.com/ad-library/detail/1182795103","Open Ad")</f>
        <v>Open Ad</v>
      </c>
      <c r="E5907" s="6" t="s">
        <v>91</v>
      </c>
      <c r="F5907" s="6" t="s">
        <v>8022</v>
      </c>
      <c r="G5907" s="6" t="s">
        <v>8772</v>
      </c>
      <c r="H5907" s="6" t="s">
        <v>55</v>
      </c>
      <c r="I5907" s="6" t="s">
        <v>8760</v>
      </c>
      <c r="J5907" s="6" t="s">
        <v>91</v>
      </c>
      <c r="K5907" s="12" t="str">
        <f t="shared" ref="K5907:K5908" si="2023">HYPERLINK("https://media.licdn.com/dms/image/v2/D4D10AQGuBlZPHLvRpw/image-shrink_1280/B4DZyf6YgSH4Ac-/0/1772209408503/Prompt-Universe-2png?e=2147483647&amp;v=beta&amp;t=MT-DeeFZtjiUHcRz7JtzapMRNkZstJutZlUTJR_Udmk","View Creative")</f>
        <v>View Creative</v>
      </c>
      <c r="L5907" s="6" t="s">
        <v>62</v>
      </c>
      <c r="M5907" s="6" t="s">
        <v>8757</v>
      </c>
      <c r="N5907" s="6"/>
      <c r="O5907" s="36" t="s">
        <v>7541</v>
      </c>
      <c r="P5907" s="36" t="s">
        <v>7542</v>
      </c>
      <c r="Q5907" s="38"/>
    </row>
    <row r="5908">
      <c r="A5908" s="6" t="s">
        <v>8757</v>
      </c>
      <c r="B5908" s="6" t="s">
        <v>8758</v>
      </c>
      <c r="C5908" s="6">
        <v>42.0</v>
      </c>
      <c r="D5908" s="9" t="str">
        <f t="shared" si="2022"/>
        <v>Open Ad</v>
      </c>
      <c r="E5908" s="6" t="s">
        <v>91</v>
      </c>
      <c r="F5908" s="6" t="s">
        <v>8022</v>
      </c>
      <c r="G5908" s="6" t="s">
        <v>8772</v>
      </c>
      <c r="H5908" s="6" t="s">
        <v>55</v>
      </c>
      <c r="I5908" s="6" t="s">
        <v>8760</v>
      </c>
      <c r="J5908" s="6" t="s">
        <v>91</v>
      </c>
      <c r="K5908" s="12" t="str">
        <f t="shared" si="2023"/>
        <v>View Creative</v>
      </c>
      <c r="L5908" s="6" t="s">
        <v>62</v>
      </c>
      <c r="M5908" s="6" t="s">
        <v>8757</v>
      </c>
      <c r="N5908" s="6"/>
      <c r="O5908" s="36" t="s">
        <v>7541</v>
      </c>
      <c r="P5908" s="36" t="s">
        <v>7542</v>
      </c>
      <c r="Q5908" s="38"/>
    </row>
    <row r="5909">
      <c r="A5909" s="6" t="s">
        <v>8757</v>
      </c>
      <c r="B5909" s="6" t="s">
        <v>8758</v>
      </c>
      <c r="C5909" s="6">
        <v>43.0</v>
      </c>
      <c r="D5909" s="9" t="str">
        <f t="shared" ref="D5909:D5910" si="2024">HYPERLINK("https://www.linkedin.com/ad-library/detail/1115416543","Open Ad")</f>
        <v>Open Ad</v>
      </c>
      <c r="E5909" s="6" t="s">
        <v>91</v>
      </c>
      <c r="F5909" s="6" t="s">
        <v>8022</v>
      </c>
      <c r="G5909" s="6" t="s">
        <v>8777</v>
      </c>
      <c r="H5909" s="6" t="s">
        <v>55</v>
      </c>
      <c r="I5909" s="6" t="s">
        <v>8760</v>
      </c>
      <c r="J5909" s="6" t="s">
        <v>91</v>
      </c>
      <c r="K5909" s="12" t="str">
        <f t="shared" ref="K5909:K5910" si="2025">HYPERLINK("https://media.licdn.com/dms/image/v2/D5622AQHA7IWwp6xvIQ/feedshare-image-high-res/B56ZvmVCU_GYAY-/0/1769095833398?e=2147483647&amp;v=beta&amp;t=IhPLkmZC8obHOgPn0DHvL9Rf6FSdQfLibyS6PqaBmps","View Creative")</f>
        <v>View Creative</v>
      </c>
      <c r="L5909" s="6" t="s">
        <v>62</v>
      </c>
      <c r="M5909" s="6" t="s">
        <v>8757</v>
      </c>
      <c r="N5909" s="6" t="s">
        <v>8778</v>
      </c>
      <c r="O5909" s="36" t="s">
        <v>7541</v>
      </c>
      <c r="P5909" s="36" t="s">
        <v>7542</v>
      </c>
      <c r="Q5909" s="38"/>
    </row>
    <row r="5910">
      <c r="A5910" s="6" t="s">
        <v>8757</v>
      </c>
      <c r="B5910" s="6" t="s">
        <v>8758</v>
      </c>
      <c r="C5910" s="6">
        <v>44.0</v>
      </c>
      <c r="D5910" s="9" t="str">
        <f t="shared" si="2024"/>
        <v>Open Ad</v>
      </c>
      <c r="E5910" s="6" t="s">
        <v>91</v>
      </c>
      <c r="F5910" s="6" t="s">
        <v>8022</v>
      </c>
      <c r="G5910" s="6" t="s">
        <v>8777</v>
      </c>
      <c r="H5910" s="6" t="s">
        <v>55</v>
      </c>
      <c r="I5910" s="6" t="s">
        <v>8760</v>
      </c>
      <c r="J5910" s="6" t="s">
        <v>91</v>
      </c>
      <c r="K5910" s="12" t="str">
        <f t="shared" si="2025"/>
        <v>View Creative</v>
      </c>
      <c r="L5910" s="6" t="s">
        <v>62</v>
      </c>
      <c r="M5910" s="6" t="s">
        <v>8757</v>
      </c>
      <c r="N5910" s="6" t="s">
        <v>8778</v>
      </c>
      <c r="O5910" s="36" t="s">
        <v>7541</v>
      </c>
      <c r="P5910" s="36" t="s">
        <v>7542</v>
      </c>
      <c r="Q5910" s="38"/>
    </row>
    <row r="5911">
      <c r="A5911" s="6" t="s">
        <v>8757</v>
      </c>
      <c r="B5911" s="6" t="s">
        <v>8758</v>
      </c>
      <c r="C5911" s="6">
        <v>45.0</v>
      </c>
      <c r="D5911" s="9" t="str">
        <f t="shared" ref="D5911:D5912" si="2026">HYPERLINK("https://www.linkedin.com/ad-library/detail/1177147683","Open Ad")</f>
        <v>Open Ad</v>
      </c>
      <c r="E5911" s="6" t="s">
        <v>91</v>
      </c>
      <c r="F5911" s="6" t="s">
        <v>8022</v>
      </c>
      <c r="G5911" s="6" t="s">
        <v>8773</v>
      </c>
      <c r="H5911" s="6" t="s">
        <v>55</v>
      </c>
      <c r="I5911" s="6" t="s">
        <v>8760</v>
      </c>
      <c r="J5911" s="6" t="s">
        <v>91</v>
      </c>
      <c r="K5911" s="12" t="str">
        <f t="shared" ref="K5911:K5912" si="2027">HYPERLINK("https://media.licdn.com/dms/image/v2/D4D10AQEh-XNYX7hm9Q/image-shrink_1280/B4DZvn8AopJsAc-/0/1769122827438/StateofAISearch2026png?e=2147483647&amp;v=beta&amp;t=Kvmib6awKkbx2D2NGleR3LdTlCTRspfjxM4PPwsQeOU","View Creative")</f>
        <v>View Creative</v>
      </c>
      <c r="L5911" s="6" t="s">
        <v>62</v>
      </c>
      <c r="M5911" s="6" t="s">
        <v>8757</v>
      </c>
      <c r="N5911" s="6"/>
      <c r="O5911" s="36" t="s">
        <v>7541</v>
      </c>
      <c r="P5911" s="36" t="s">
        <v>7542</v>
      </c>
      <c r="Q5911" s="38"/>
    </row>
    <row r="5912">
      <c r="A5912" s="6" t="s">
        <v>8757</v>
      </c>
      <c r="B5912" s="6" t="s">
        <v>8758</v>
      </c>
      <c r="C5912" s="6">
        <v>46.0</v>
      </c>
      <c r="D5912" s="9" t="str">
        <f t="shared" si="2026"/>
        <v>Open Ad</v>
      </c>
      <c r="E5912" s="6" t="s">
        <v>91</v>
      </c>
      <c r="F5912" s="6" t="s">
        <v>8022</v>
      </c>
      <c r="G5912" s="6" t="s">
        <v>8773</v>
      </c>
      <c r="H5912" s="6" t="s">
        <v>55</v>
      </c>
      <c r="I5912" s="6" t="s">
        <v>8760</v>
      </c>
      <c r="J5912" s="6" t="s">
        <v>91</v>
      </c>
      <c r="K5912" s="12" t="str">
        <f t="shared" si="2027"/>
        <v>View Creative</v>
      </c>
      <c r="L5912" s="6" t="s">
        <v>62</v>
      </c>
      <c r="M5912" s="6" t="s">
        <v>8757</v>
      </c>
      <c r="N5912" s="6"/>
      <c r="O5912" s="36" t="s">
        <v>7541</v>
      </c>
      <c r="P5912" s="36" t="s">
        <v>7542</v>
      </c>
      <c r="Q5912" s="38"/>
    </row>
    <row r="5913">
      <c r="A5913" s="6" t="s">
        <v>8757</v>
      </c>
      <c r="B5913" s="6" t="s">
        <v>8758</v>
      </c>
      <c r="C5913" s="6">
        <v>47.0</v>
      </c>
      <c r="D5913" s="9" t="str">
        <f t="shared" ref="D5913:D5914" si="2028">HYPERLINK("https://www.linkedin.com/ad-library/detail/1101302133","Open Ad")</f>
        <v>Open Ad</v>
      </c>
      <c r="E5913" s="6" t="s">
        <v>91</v>
      </c>
      <c r="F5913" s="6" t="s">
        <v>8022</v>
      </c>
      <c r="G5913" s="6" t="s">
        <v>8761</v>
      </c>
      <c r="H5913" s="6" t="s">
        <v>55</v>
      </c>
      <c r="I5913" s="6" t="s">
        <v>8760</v>
      </c>
      <c r="J5913" s="6" t="s">
        <v>91</v>
      </c>
      <c r="K5913" s="12" t="str">
        <f t="shared" ref="K5913:K5914" si="2029">HYPERLINK("https://media.licdn.com/dms/image/v2/D4D10AQEFvnGefch08w/image-shrink_1280/B4DZrfooTIGQAM-/0/1764688562729?e=2147483647&amp;v=beta&amp;t=1hOosj_KsZhjxFRh4NgIRSWInkTJgEQxymN0ixAPIXs","View Creative")</f>
        <v>View Creative</v>
      </c>
      <c r="L5913" s="6" t="s">
        <v>62</v>
      </c>
      <c r="M5913" s="6" t="s">
        <v>8757</v>
      </c>
      <c r="N5913" s="6"/>
      <c r="O5913" s="36" t="s">
        <v>7541</v>
      </c>
      <c r="P5913" s="36" t="s">
        <v>7542</v>
      </c>
      <c r="Q5913" s="38"/>
    </row>
    <row r="5914">
      <c r="A5914" s="6" t="s">
        <v>8757</v>
      </c>
      <c r="B5914" s="6" t="s">
        <v>8758</v>
      </c>
      <c r="C5914" s="6">
        <v>48.0</v>
      </c>
      <c r="D5914" s="9" t="str">
        <f t="shared" si="2028"/>
        <v>Open Ad</v>
      </c>
      <c r="E5914" s="6" t="s">
        <v>91</v>
      </c>
      <c r="F5914" s="6" t="s">
        <v>8022</v>
      </c>
      <c r="G5914" s="6" t="s">
        <v>8761</v>
      </c>
      <c r="H5914" s="6" t="s">
        <v>55</v>
      </c>
      <c r="I5914" s="6" t="s">
        <v>8760</v>
      </c>
      <c r="J5914" s="6" t="s">
        <v>91</v>
      </c>
      <c r="K5914" s="12" t="str">
        <f t="shared" si="2029"/>
        <v>View Creative</v>
      </c>
      <c r="L5914" s="6" t="s">
        <v>62</v>
      </c>
      <c r="M5914" s="6" t="s">
        <v>8757</v>
      </c>
      <c r="N5914" s="6"/>
      <c r="O5914" s="36" t="s">
        <v>7541</v>
      </c>
      <c r="P5914" s="36" t="s">
        <v>7542</v>
      </c>
      <c r="Q5914" s="38"/>
    </row>
    <row r="5915">
      <c r="A5915" s="6" t="s">
        <v>8757</v>
      </c>
      <c r="B5915" s="6" t="s">
        <v>8758</v>
      </c>
      <c r="C5915" s="6">
        <v>49.0</v>
      </c>
      <c r="D5915" s="9" t="str">
        <f t="shared" ref="D5915:D5916" si="2030">HYPERLINK("https://www.linkedin.com/ad-library/detail/1101802203","Open Ad")</f>
        <v>Open Ad</v>
      </c>
      <c r="E5915" s="6" t="s">
        <v>91</v>
      </c>
      <c r="F5915" s="6" t="s">
        <v>8022</v>
      </c>
      <c r="G5915" s="6" t="s">
        <v>8774</v>
      </c>
      <c r="H5915" s="6" t="s">
        <v>55</v>
      </c>
      <c r="I5915" s="6" t="s">
        <v>8760</v>
      </c>
      <c r="J5915" s="6" t="s">
        <v>91</v>
      </c>
      <c r="K5915" s="12" t="str">
        <f t="shared" ref="K5915:K5916" si="2031">HYPERLINK("https://media.licdn.com/dms/image/v2/D4E10AQG9Pe0EzBN87g/image_627_1200/B56Zrp7fwCLMAY-/0/1764861279352?e=2147483647&amp;v=beta&amp;t=HwyFGFpkU9OGXnnHK9edS1hHQYggZ9QxhMOldyYzwSI","View Creative")</f>
        <v>View Creative</v>
      </c>
      <c r="L5915" s="6" t="s">
        <v>62</v>
      </c>
      <c r="M5915" s="6" t="s">
        <v>8757</v>
      </c>
      <c r="N5915" s="6"/>
      <c r="O5915" s="36" t="s">
        <v>7541</v>
      </c>
      <c r="P5915" s="36" t="s">
        <v>7542</v>
      </c>
      <c r="Q5915" s="38"/>
    </row>
    <row r="5916">
      <c r="A5916" s="6" t="s">
        <v>8757</v>
      </c>
      <c r="B5916" s="6" t="s">
        <v>8758</v>
      </c>
      <c r="C5916" s="6">
        <v>50.0</v>
      </c>
      <c r="D5916" s="9" t="str">
        <f t="shared" si="2030"/>
        <v>Open Ad</v>
      </c>
      <c r="E5916" s="6" t="s">
        <v>91</v>
      </c>
      <c r="F5916" s="6" t="s">
        <v>8022</v>
      </c>
      <c r="G5916" s="6" t="s">
        <v>8774</v>
      </c>
      <c r="H5916" s="6" t="s">
        <v>55</v>
      </c>
      <c r="I5916" s="6" t="s">
        <v>8760</v>
      </c>
      <c r="J5916" s="6" t="s">
        <v>91</v>
      </c>
      <c r="K5916" s="12" t="str">
        <f t="shared" si="2031"/>
        <v>View Creative</v>
      </c>
      <c r="L5916" s="6" t="s">
        <v>62</v>
      </c>
      <c r="M5916" s="6" t="s">
        <v>8757</v>
      </c>
      <c r="N5916" s="6"/>
      <c r="O5916" s="36" t="s">
        <v>7541</v>
      </c>
      <c r="P5916" s="36" t="s">
        <v>7542</v>
      </c>
      <c r="Q5916" s="38"/>
    </row>
    <row r="5917">
      <c r="A5917" s="6" t="s">
        <v>8757</v>
      </c>
      <c r="B5917" s="6" t="s">
        <v>8758</v>
      </c>
      <c r="C5917" s="6">
        <v>51.0</v>
      </c>
      <c r="D5917" s="9" t="str">
        <f t="shared" ref="D5917:D5918" si="2032">HYPERLINK("https://www.linkedin.com/ad-library/detail/1101502673","Open Ad")</f>
        <v>Open Ad</v>
      </c>
      <c r="E5917" s="6" t="s">
        <v>91</v>
      </c>
      <c r="F5917" s="6" t="s">
        <v>8022</v>
      </c>
      <c r="G5917" s="6" t="s">
        <v>8779</v>
      </c>
      <c r="H5917" s="6" t="s">
        <v>55</v>
      </c>
      <c r="I5917" s="6" t="s">
        <v>8760</v>
      </c>
      <c r="J5917" s="6" t="s">
        <v>91</v>
      </c>
      <c r="K5917" s="12" t="str">
        <f t="shared" ref="K5917:K5918" si="2033">HYPERLINK("https://media.licdn.com/dms/image/v2/D4D22AQGjw75XWr_ZeQ/feedshare-shrink_1280/B4DZra26_7JcAw-/0/1764608422336?e=2147483647&amp;v=beta&amp;t=UdvYuib9z4kg21VtRtaQ9nbOE4xkQfPkNrHPzaiOyhs","View Creative")</f>
        <v>View Creative</v>
      </c>
      <c r="L5917" s="6" t="s">
        <v>62</v>
      </c>
      <c r="M5917" s="6" t="s">
        <v>8757</v>
      </c>
      <c r="N5917" s="6"/>
      <c r="O5917" s="36" t="s">
        <v>7541</v>
      </c>
      <c r="P5917" s="36" t="s">
        <v>7542</v>
      </c>
      <c r="Q5917" s="38"/>
    </row>
    <row r="5918">
      <c r="A5918" s="6" t="s">
        <v>8757</v>
      </c>
      <c r="B5918" s="6" t="s">
        <v>8758</v>
      </c>
      <c r="C5918" s="6">
        <v>52.0</v>
      </c>
      <c r="D5918" s="9" t="str">
        <f t="shared" si="2032"/>
        <v>Open Ad</v>
      </c>
      <c r="E5918" s="6" t="s">
        <v>91</v>
      </c>
      <c r="F5918" s="6" t="s">
        <v>8022</v>
      </c>
      <c r="G5918" s="6" t="s">
        <v>8779</v>
      </c>
      <c r="H5918" s="6" t="s">
        <v>55</v>
      </c>
      <c r="I5918" s="6" t="s">
        <v>8760</v>
      </c>
      <c r="J5918" s="6" t="s">
        <v>91</v>
      </c>
      <c r="K5918" s="12" t="str">
        <f t="shared" si="2033"/>
        <v>View Creative</v>
      </c>
      <c r="L5918" s="6" t="s">
        <v>62</v>
      </c>
      <c r="M5918" s="6" t="s">
        <v>8757</v>
      </c>
      <c r="N5918" s="6"/>
      <c r="O5918" s="36" t="s">
        <v>7541</v>
      </c>
      <c r="P5918" s="36" t="s">
        <v>7542</v>
      </c>
      <c r="Q5918" s="38"/>
    </row>
    <row r="5919">
      <c r="A5919" s="6" t="s">
        <v>8757</v>
      </c>
      <c r="B5919" s="6" t="s">
        <v>8758</v>
      </c>
      <c r="C5919" s="6">
        <v>53.0</v>
      </c>
      <c r="D5919" s="9" t="str">
        <f t="shared" ref="D5919:D5920" si="2034">HYPERLINK("https://www.linkedin.com/ad-library/detail/971842293","Open Ad")</f>
        <v>Open Ad</v>
      </c>
      <c r="E5919" s="6" t="s">
        <v>91</v>
      </c>
      <c r="F5919" s="6" t="s">
        <v>8022</v>
      </c>
      <c r="G5919" s="6" t="s">
        <v>8780</v>
      </c>
      <c r="H5919" s="6" t="s">
        <v>55</v>
      </c>
      <c r="I5919" s="6" t="s">
        <v>8760</v>
      </c>
      <c r="J5919" s="6" t="s">
        <v>91</v>
      </c>
      <c r="K5919" s="12" t="str">
        <f t="shared" ref="K5919:K5920" si="2035">HYPERLINK("https://media.licdn.com/dms/image/v2/D4D10AQEadrqCMhqldA/image-shrink_1280/B4DZpuVp3XGQAQ-/0/1762787762707?e=2147483647&amp;v=beta&amp;t=xj2zvQHvUOL8iffX_wDpliWcKXa7JiunSsK9shPfJ90","View Creative")</f>
        <v>View Creative</v>
      </c>
      <c r="L5919" s="6" t="s">
        <v>62</v>
      </c>
      <c r="M5919" s="6" t="s">
        <v>8757</v>
      </c>
      <c r="N5919" s="6"/>
      <c r="O5919" s="36" t="s">
        <v>7541</v>
      </c>
      <c r="P5919" s="36" t="s">
        <v>7542</v>
      </c>
      <c r="Q5919" s="38"/>
    </row>
    <row r="5920">
      <c r="A5920" s="6" t="s">
        <v>8757</v>
      </c>
      <c r="B5920" s="6" t="s">
        <v>8758</v>
      </c>
      <c r="C5920" s="6">
        <v>54.0</v>
      </c>
      <c r="D5920" s="9" t="str">
        <f t="shared" si="2034"/>
        <v>Open Ad</v>
      </c>
      <c r="E5920" s="6" t="s">
        <v>91</v>
      </c>
      <c r="F5920" s="6" t="s">
        <v>8022</v>
      </c>
      <c r="G5920" s="6" t="s">
        <v>8780</v>
      </c>
      <c r="H5920" s="6" t="s">
        <v>55</v>
      </c>
      <c r="I5920" s="6" t="s">
        <v>8760</v>
      </c>
      <c r="J5920" s="6" t="s">
        <v>91</v>
      </c>
      <c r="K5920" s="12" t="str">
        <f t="shared" si="2035"/>
        <v>View Creative</v>
      </c>
      <c r="L5920" s="6" t="s">
        <v>62</v>
      </c>
      <c r="M5920" s="6" t="s">
        <v>8757</v>
      </c>
      <c r="N5920" s="6"/>
      <c r="O5920" s="36" t="s">
        <v>7541</v>
      </c>
      <c r="P5920" s="36" t="s">
        <v>7542</v>
      </c>
      <c r="Q5920" s="38"/>
    </row>
    <row r="5921">
      <c r="A5921" s="6" t="s">
        <v>8757</v>
      </c>
      <c r="B5921" s="6" t="s">
        <v>8758</v>
      </c>
      <c r="C5921" s="6">
        <v>55.0</v>
      </c>
      <c r="D5921" s="9" t="str">
        <f t="shared" ref="D5921:D5922" si="2036">HYPERLINK("https://www.linkedin.com/ad-library/detail/971744073","Open Ad")</f>
        <v>Open Ad</v>
      </c>
      <c r="E5921" s="6" t="s">
        <v>91</v>
      </c>
      <c r="F5921" s="6" t="s">
        <v>8022</v>
      </c>
      <c r="G5921" s="6" t="s">
        <v>8775</v>
      </c>
      <c r="H5921" s="6" t="s">
        <v>55</v>
      </c>
      <c r="I5921" s="6" t="s">
        <v>8760</v>
      </c>
      <c r="J5921" s="6" t="s">
        <v>91</v>
      </c>
      <c r="K5921" s="12" t="str">
        <f t="shared" ref="K5921:K5922" si="2037">HYPERLINK("https://media.licdn.com/dms/image/v2/D4D22AQFBmPZmS_oUlw/feedshare-shrink_1280/B4DZpa.E14GsAs-/0/1762462815781?e=2147483647&amp;v=beta&amp;t=GBUK-Y0pD5-AuUrnRN__Y1iw1N5bLKvB8tGHcEvoMWk","View Creative")</f>
        <v>View Creative</v>
      </c>
      <c r="L5921" s="6" t="s">
        <v>62</v>
      </c>
      <c r="M5921" s="6" t="s">
        <v>8757</v>
      </c>
      <c r="N5921" s="6"/>
      <c r="O5921" s="36" t="s">
        <v>7541</v>
      </c>
      <c r="P5921" s="36" t="s">
        <v>7542</v>
      </c>
      <c r="Q5921" s="38"/>
    </row>
    <row r="5922">
      <c r="A5922" s="6" t="s">
        <v>8757</v>
      </c>
      <c r="B5922" s="6" t="s">
        <v>8758</v>
      </c>
      <c r="C5922" s="6">
        <v>56.0</v>
      </c>
      <c r="D5922" s="9" t="str">
        <f t="shared" si="2036"/>
        <v>Open Ad</v>
      </c>
      <c r="E5922" s="6" t="s">
        <v>91</v>
      </c>
      <c r="F5922" s="6" t="s">
        <v>8022</v>
      </c>
      <c r="G5922" s="6" t="s">
        <v>8775</v>
      </c>
      <c r="H5922" s="6" t="s">
        <v>55</v>
      </c>
      <c r="I5922" s="6" t="s">
        <v>8760</v>
      </c>
      <c r="J5922" s="6" t="s">
        <v>91</v>
      </c>
      <c r="K5922" s="12" t="str">
        <f t="shared" si="2037"/>
        <v>View Creative</v>
      </c>
      <c r="L5922" s="6" t="s">
        <v>62</v>
      </c>
      <c r="M5922" s="6" t="s">
        <v>8757</v>
      </c>
      <c r="N5922" s="6"/>
      <c r="O5922" s="36" t="s">
        <v>7541</v>
      </c>
      <c r="P5922" s="36" t="s">
        <v>7542</v>
      </c>
      <c r="Q5922" s="38"/>
    </row>
    <row r="5923">
      <c r="A5923" s="6" t="s">
        <v>8757</v>
      </c>
      <c r="B5923" s="6" t="s">
        <v>8758</v>
      </c>
      <c r="C5923" s="6">
        <v>57.0</v>
      </c>
      <c r="D5923" s="9" t="str">
        <f t="shared" ref="D5923:D5924" si="2038">HYPERLINK("https://www.linkedin.com/ad-library/detail/971792843","Open Ad")</f>
        <v>Open Ad</v>
      </c>
      <c r="E5923" s="6" t="s">
        <v>91</v>
      </c>
      <c r="F5923" s="6" t="s">
        <v>8022</v>
      </c>
      <c r="G5923" s="6" t="s">
        <v>8769</v>
      </c>
      <c r="H5923" s="6" t="s">
        <v>55</v>
      </c>
      <c r="I5923" s="6" t="s">
        <v>8760</v>
      </c>
      <c r="J5923" s="6" t="s">
        <v>91</v>
      </c>
      <c r="K5923" s="12" t="str">
        <f t="shared" ref="K5923:K5924" si="2039">HYPERLINK("https://media.licdn.com/dms/image/v2/D4D10AQF0PZr3z2PK9w/image_627_1200/B56Zrp74FjHIAY-/0/1764861379035?e=2147483647&amp;v=beta&amp;t=503SFCACzKu_xiM8Mi143gMxevCJJLUc74L05x0m5tk","View Creative")</f>
        <v>View Creative</v>
      </c>
      <c r="L5923" s="6" t="s">
        <v>62</v>
      </c>
      <c r="M5923" s="6" t="s">
        <v>8757</v>
      </c>
      <c r="N5923" s="6"/>
      <c r="O5923" s="36" t="s">
        <v>7541</v>
      </c>
      <c r="P5923" s="36" t="s">
        <v>7542</v>
      </c>
      <c r="Q5923" s="38"/>
    </row>
    <row r="5924">
      <c r="A5924" s="6" t="s">
        <v>8757</v>
      </c>
      <c r="B5924" s="6" t="s">
        <v>8758</v>
      </c>
      <c r="C5924" s="6">
        <v>58.0</v>
      </c>
      <c r="D5924" s="9" t="str">
        <f t="shared" si="2038"/>
        <v>Open Ad</v>
      </c>
      <c r="E5924" s="6" t="s">
        <v>91</v>
      </c>
      <c r="F5924" s="6" t="s">
        <v>8022</v>
      </c>
      <c r="G5924" s="6" t="s">
        <v>8769</v>
      </c>
      <c r="H5924" s="6" t="s">
        <v>55</v>
      </c>
      <c r="I5924" s="6" t="s">
        <v>8760</v>
      </c>
      <c r="J5924" s="6" t="s">
        <v>91</v>
      </c>
      <c r="K5924" s="12" t="str">
        <f t="shared" si="2039"/>
        <v>View Creative</v>
      </c>
      <c r="L5924" s="6" t="s">
        <v>62</v>
      </c>
      <c r="M5924" s="6" t="s">
        <v>8757</v>
      </c>
      <c r="N5924" s="6"/>
      <c r="O5924" s="36" t="s">
        <v>7541</v>
      </c>
      <c r="P5924" s="36" t="s">
        <v>7542</v>
      </c>
      <c r="Q5924" s="38"/>
    </row>
    <row r="5925">
      <c r="A5925" s="6" t="s">
        <v>8757</v>
      </c>
      <c r="B5925" s="6" t="s">
        <v>8758</v>
      </c>
      <c r="C5925" s="6">
        <v>59.0</v>
      </c>
      <c r="D5925" s="9" t="str">
        <f t="shared" ref="D5925:D5926" si="2040">HYPERLINK("https://www.linkedin.com/ad-library/detail/971862113","Open Ad")</f>
        <v>Open Ad</v>
      </c>
      <c r="E5925" s="6" t="s">
        <v>91</v>
      </c>
      <c r="F5925" s="6" t="s">
        <v>8022</v>
      </c>
      <c r="G5925" s="6" t="s">
        <v>8775</v>
      </c>
      <c r="H5925" s="6" t="s">
        <v>55</v>
      </c>
      <c r="I5925" s="6" t="s">
        <v>8760</v>
      </c>
      <c r="J5925" s="6" t="s">
        <v>91</v>
      </c>
      <c r="K5925" s="12" t="str">
        <f t="shared" ref="K5925:K5926" si="2041">HYPERLINK("https://media.licdn.com/dms/image/v2/D4D22AQFBmPZmS_oUlw/feedshare-shrink_1280/B4DZpa.E14GsAs-/0/1762462815781?e=2147483647&amp;v=beta&amp;t=GBUK-Y0pD5-AuUrnRN__Y1iw1N5bLKvB8tGHcEvoMWk","View Creative")</f>
        <v>View Creative</v>
      </c>
      <c r="L5925" s="6" t="s">
        <v>62</v>
      </c>
      <c r="M5925" s="6" t="s">
        <v>8757</v>
      </c>
      <c r="N5925" s="6"/>
      <c r="O5925" s="36" t="s">
        <v>7541</v>
      </c>
      <c r="P5925" s="36" t="s">
        <v>7542</v>
      </c>
      <c r="Q5925" s="38"/>
    </row>
    <row r="5926">
      <c r="A5926" s="6" t="s">
        <v>8757</v>
      </c>
      <c r="B5926" s="6" t="s">
        <v>8758</v>
      </c>
      <c r="C5926" s="6">
        <v>60.0</v>
      </c>
      <c r="D5926" s="9" t="str">
        <f t="shared" si="2040"/>
        <v>Open Ad</v>
      </c>
      <c r="E5926" s="6" t="s">
        <v>91</v>
      </c>
      <c r="F5926" s="6" t="s">
        <v>8022</v>
      </c>
      <c r="G5926" s="6" t="s">
        <v>8775</v>
      </c>
      <c r="H5926" s="6" t="s">
        <v>55</v>
      </c>
      <c r="I5926" s="6" t="s">
        <v>8760</v>
      </c>
      <c r="J5926" s="6" t="s">
        <v>91</v>
      </c>
      <c r="K5926" s="12" t="str">
        <f t="shared" si="2041"/>
        <v>View Creative</v>
      </c>
      <c r="L5926" s="6" t="s">
        <v>62</v>
      </c>
      <c r="M5926" s="6" t="s">
        <v>8757</v>
      </c>
      <c r="N5926" s="6"/>
      <c r="O5926" s="36" t="s">
        <v>7541</v>
      </c>
      <c r="P5926" s="36" t="s">
        <v>7542</v>
      </c>
      <c r="Q5926" s="38"/>
    </row>
    <row r="5927">
      <c r="A5927" s="6" t="s">
        <v>8757</v>
      </c>
      <c r="B5927" s="6" t="s">
        <v>8758</v>
      </c>
      <c r="C5927" s="6">
        <v>61.0</v>
      </c>
      <c r="D5927" s="9" t="str">
        <f t="shared" ref="D5927:D5928" si="2042">HYPERLINK("https://www.linkedin.com/ad-library/detail/971822373","Open Ad")</f>
        <v>Open Ad</v>
      </c>
      <c r="E5927" s="6" t="s">
        <v>91</v>
      </c>
      <c r="F5927" s="6" t="s">
        <v>8022</v>
      </c>
      <c r="G5927" s="6" t="s">
        <v>8763</v>
      </c>
      <c r="H5927" s="6" t="s">
        <v>55</v>
      </c>
      <c r="I5927" s="6" t="s">
        <v>8760</v>
      </c>
      <c r="J5927" s="6" t="s">
        <v>91</v>
      </c>
      <c r="K5927" s="12" t="str">
        <f t="shared" ref="K5927:K5928" si="2043">HYPERLINK("https://media.licdn.com/dms/image/v2/D4D22AQEYhx5CgCHz9g/feedshare-shrink_1280/B4DZp5AtBnHsAs-/0/1762966819547?e=2147483647&amp;v=beta&amp;t=DSsjJWxRtKRXJsaC7UMbJSH8uzHHVV6d43prXmutqCc","View Creative")</f>
        <v>View Creative</v>
      </c>
      <c r="L5927" s="6" t="s">
        <v>62</v>
      </c>
      <c r="M5927" s="6" t="s">
        <v>8757</v>
      </c>
      <c r="N5927" s="6"/>
      <c r="O5927" s="36" t="s">
        <v>7541</v>
      </c>
      <c r="P5927" s="36" t="s">
        <v>7542</v>
      </c>
      <c r="Q5927" s="38"/>
    </row>
    <row r="5928">
      <c r="A5928" s="6" t="s">
        <v>8757</v>
      </c>
      <c r="B5928" s="6" t="s">
        <v>8758</v>
      </c>
      <c r="C5928" s="6">
        <v>62.0</v>
      </c>
      <c r="D5928" s="9" t="str">
        <f t="shared" si="2042"/>
        <v>Open Ad</v>
      </c>
      <c r="E5928" s="6" t="s">
        <v>91</v>
      </c>
      <c r="F5928" s="6" t="s">
        <v>8022</v>
      </c>
      <c r="G5928" s="6" t="s">
        <v>8763</v>
      </c>
      <c r="H5928" s="6" t="s">
        <v>55</v>
      </c>
      <c r="I5928" s="6" t="s">
        <v>8760</v>
      </c>
      <c r="J5928" s="6" t="s">
        <v>91</v>
      </c>
      <c r="K5928" s="12" t="str">
        <f t="shared" si="2043"/>
        <v>View Creative</v>
      </c>
      <c r="L5928" s="6" t="s">
        <v>62</v>
      </c>
      <c r="M5928" s="6" t="s">
        <v>8757</v>
      </c>
      <c r="N5928" s="6"/>
      <c r="O5928" s="36" t="s">
        <v>7541</v>
      </c>
      <c r="P5928" s="36" t="s">
        <v>7542</v>
      </c>
      <c r="Q5928" s="38"/>
    </row>
    <row r="5929">
      <c r="A5929" s="6" t="s">
        <v>8757</v>
      </c>
      <c r="B5929" s="6" t="s">
        <v>8758</v>
      </c>
      <c r="C5929" s="6">
        <v>63.0</v>
      </c>
      <c r="D5929" s="9" t="str">
        <f t="shared" ref="D5929:D5930" si="2044">HYPERLINK("https://www.linkedin.com/ad-library/detail/971901833","Open Ad")</f>
        <v>Open Ad</v>
      </c>
      <c r="E5929" s="6" t="s">
        <v>91</v>
      </c>
      <c r="F5929" s="6" t="s">
        <v>8022</v>
      </c>
      <c r="G5929" s="6" t="s">
        <v>8774</v>
      </c>
      <c r="H5929" s="6" t="s">
        <v>55</v>
      </c>
      <c r="I5929" s="6" t="s">
        <v>8760</v>
      </c>
      <c r="J5929" s="6" t="s">
        <v>91</v>
      </c>
      <c r="K5929" s="12" t="str">
        <f t="shared" ref="K5929:K5930" si="2045">HYPERLINK("https://media.licdn.com/dms/image/v2/D4E10AQG9Pe0EzBN87g/image_627_1200/B56Zrp7fwCLMAY-/0/1764861279352?e=2147483647&amp;v=beta&amp;t=HwyFGFpkU9OGXnnHK9edS1hHQYggZ9QxhMOldyYzwSI","View Creative")</f>
        <v>View Creative</v>
      </c>
      <c r="L5929" s="6" t="s">
        <v>62</v>
      </c>
      <c r="M5929" s="6" t="s">
        <v>8757</v>
      </c>
      <c r="N5929" s="6"/>
      <c r="O5929" s="36" t="s">
        <v>7541</v>
      </c>
      <c r="P5929" s="36" t="s">
        <v>7542</v>
      </c>
      <c r="Q5929" s="38"/>
    </row>
    <row r="5930">
      <c r="A5930" s="6" t="s">
        <v>8757</v>
      </c>
      <c r="B5930" s="6" t="s">
        <v>8758</v>
      </c>
      <c r="C5930" s="6">
        <v>64.0</v>
      </c>
      <c r="D5930" s="9" t="str">
        <f t="shared" si="2044"/>
        <v>Open Ad</v>
      </c>
      <c r="E5930" s="6" t="s">
        <v>91</v>
      </c>
      <c r="F5930" s="6" t="s">
        <v>8022</v>
      </c>
      <c r="G5930" s="6" t="s">
        <v>8774</v>
      </c>
      <c r="H5930" s="6" t="s">
        <v>55</v>
      </c>
      <c r="I5930" s="6" t="s">
        <v>8760</v>
      </c>
      <c r="J5930" s="6" t="s">
        <v>91</v>
      </c>
      <c r="K5930" s="12" t="str">
        <f t="shared" si="2045"/>
        <v>View Creative</v>
      </c>
      <c r="L5930" s="6" t="s">
        <v>62</v>
      </c>
      <c r="M5930" s="6" t="s">
        <v>8757</v>
      </c>
      <c r="N5930" s="6"/>
      <c r="O5930" s="36" t="s">
        <v>7541</v>
      </c>
      <c r="P5930" s="36" t="s">
        <v>7542</v>
      </c>
      <c r="Q5930" s="38"/>
    </row>
    <row r="5931">
      <c r="A5931" s="6" t="s">
        <v>8757</v>
      </c>
      <c r="B5931" s="6" t="s">
        <v>8758</v>
      </c>
      <c r="C5931" s="6">
        <v>65.0</v>
      </c>
      <c r="D5931" s="9" t="str">
        <f t="shared" ref="D5931:D5932" si="2046">HYPERLINK("https://www.linkedin.com/ad-library/detail/971901803","Open Ad")</f>
        <v>Open Ad</v>
      </c>
      <c r="E5931" s="6" t="s">
        <v>91</v>
      </c>
      <c r="F5931" s="6" t="s">
        <v>8022</v>
      </c>
      <c r="G5931" s="6" t="s">
        <v>8763</v>
      </c>
      <c r="H5931" s="6" t="s">
        <v>55</v>
      </c>
      <c r="I5931" s="6" t="s">
        <v>8760</v>
      </c>
      <c r="J5931" s="6" t="s">
        <v>91</v>
      </c>
      <c r="K5931" s="12" t="str">
        <f t="shared" ref="K5931:K5932" si="2047">HYPERLINK("https://media.licdn.com/dms/image/v2/D4D22AQEYhx5CgCHz9g/feedshare-shrink_1280/B4DZp5AtBnHsAs-/0/1762966819547?e=2147483647&amp;v=beta&amp;t=DSsjJWxRtKRXJsaC7UMbJSH8uzHHVV6d43prXmutqCc","View Creative")</f>
        <v>View Creative</v>
      </c>
      <c r="L5931" s="6" t="s">
        <v>62</v>
      </c>
      <c r="M5931" s="6" t="s">
        <v>8757</v>
      </c>
      <c r="N5931" s="6"/>
      <c r="O5931" s="36" t="s">
        <v>7541</v>
      </c>
      <c r="P5931" s="36" t="s">
        <v>7542</v>
      </c>
      <c r="Q5931" s="38"/>
    </row>
    <row r="5932">
      <c r="A5932" s="6" t="s">
        <v>8757</v>
      </c>
      <c r="B5932" s="6" t="s">
        <v>8758</v>
      </c>
      <c r="C5932" s="6">
        <v>66.0</v>
      </c>
      <c r="D5932" s="9" t="str">
        <f t="shared" si="2046"/>
        <v>Open Ad</v>
      </c>
      <c r="E5932" s="6" t="s">
        <v>91</v>
      </c>
      <c r="F5932" s="6" t="s">
        <v>8022</v>
      </c>
      <c r="G5932" s="6" t="s">
        <v>8763</v>
      </c>
      <c r="H5932" s="6" t="s">
        <v>55</v>
      </c>
      <c r="I5932" s="6" t="s">
        <v>8760</v>
      </c>
      <c r="J5932" s="6" t="s">
        <v>91</v>
      </c>
      <c r="K5932" s="12" t="str">
        <f t="shared" si="2047"/>
        <v>View Creative</v>
      </c>
      <c r="L5932" s="6" t="s">
        <v>62</v>
      </c>
      <c r="M5932" s="6" t="s">
        <v>8757</v>
      </c>
      <c r="N5932" s="6"/>
      <c r="O5932" s="36" t="s">
        <v>7541</v>
      </c>
      <c r="P5932" s="36" t="s">
        <v>7542</v>
      </c>
      <c r="Q5932" s="38"/>
    </row>
    <row r="5933">
      <c r="A5933" s="6" t="s">
        <v>8757</v>
      </c>
      <c r="B5933" s="6" t="s">
        <v>8758</v>
      </c>
      <c r="C5933" s="6">
        <v>67.0</v>
      </c>
      <c r="D5933" s="9" t="str">
        <f t="shared" ref="D5933:D5934" si="2048">HYPERLINK("https://www.linkedin.com/ad-library/detail/971744023","Open Ad")</f>
        <v>Open Ad</v>
      </c>
      <c r="E5933" s="6" t="s">
        <v>91</v>
      </c>
      <c r="F5933" s="6" t="s">
        <v>8022</v>
      </c>
      <c r="G5933" s="6" t="s">
        <v>8774</v>
      </c>
      <c r="H5933" s="6" t="s">
        <v>55</v>
      </c>
      <c r="I5933" s="6" t="s">
        <v>8760</v>
      </c>
      <c r="J5933" s="6" t="s">
        <v>91</v>
      </c>
      <c r="K5933" s="12" t="str">
        <f t="shared" ref="K5933:K5934" si="2049">HYPERLINK("https://media.licdn.com/dms/image/v2/D4E10AQG9Pe0EzBN87g/image_627_1200/B56Zrp7fwCLMAY-/0/1764861279352?e=2147483647&amp;v=beta&amp;t=HwyFGFpkU9OGXnnHK9edS1hHQYggZ9QxhMOldyYzwSI","View Creative")</f>
        <v>View Creative</v>
      </c>
      <c r="L5933" s="6" t="s">
        <v>62</v>
      </c>
      <c r="M5933" s="6" t="s">
        <v>8757</v>
      </c>
      <c r="N5933" s="6"/>
      <c r="O5933" s="36" t="s">
        <v>7541</v>
      </c>
      <c r="P5933" s="36" t="s">
        <v>7542</v>
      </c>
      <c r="Q5933" s="38"/>
    </row>
    <row r="5934">
      <c r="A5934" s="6" t="s">
        <v>8757</v>
      </c>
      <c r="B5934" s="6" t="s">
        <v>8758</v>
      </c>
      <c r="C5934" s="6">
        <v>68.0</v>
      </c>
      <c r="D5934" s="9" t="str">
        <f t="shared" si="2048"/>
        <v>Open Ad</v>
      </c>
      <c r="E5934" s="6" t="s">
        <v>91</v>
      </c>
      <c r="F5934" s="6" t="s">
        <v>8022</v>
      </c>
      <c r="G5934" s="6" t="s">
        <v>8774</v>
      </c>
      <c r="H5934" s="6" t="s">
        <v>55</v>
      </c>
      <c r="I5934" s="6" t="s">
        <v>8760</v>
      </c>
      <c r="J5934" s="6" t="s">
        <v>91</v>
      </c>
      <c r="K5934" s="12" t="str">
        <f t="shared" si="2049"/>
        <v>View Creative</v>
      </c>
      <c r="L5934" s="6" t="s">
        <v>62</v>
      </c>
      <c r="M5934" s="6" t="s">
        <v>8757</v>
      </c>
      <c r="N5934" s="6"/>
      <c r="O5934" s="36" t="s">
        <v>7541</v>
      </c>
      <c r="P5934" s="36" t="s">
        <v>7542</v>
      </c>
      <c r="Q5934" s="38"/>
    </row>
    <row r="5935">
      <c r="A5935" s="6" t="s">
        <v>8757</v>
      </c>
      <c r="B5935" s="6" t="s">
        <v>8758</v>
      </c>
      <c r="C5935" s="6">
        <v>69.0</v>
      </c>
      <c r="D5935" s="9" t="str">
        <f t="shared" ref="D5935:D5936" si="2050">HYPERLINK("https://www.linkedin.com/ad-library/detail/1101403563","Open Ad")</f>
        <v>Open Ad</v>
      </c>
      <c r="E5935" s="6" t="s">
        <v>91</v>
      </c>
      <c r="F5935" s="6" t="s">
        <v>8022</v>
      </c>
      <c r="G5935" s="6" t="s">
        <v>8781</v>
      </c>
      <c r="H5935" s="6" t="s">
        <v>55</v>
      </c>
      <c r="I5935" s="6" t="s">
        <v>8760</v>
      </c>
      <c r="J5935" s="6" t="s">
        <v>91</v>
      </c>
      <c r="K5935" s="12" t="str">
        <f t="shared" ref="K5935:K5936" si="2051">HYPERLINK("https://media.licdn.com/dms/image/v2/D4D22AQFyAG-pJvkMAA/feedshare-shrink_800/B4DZntYVztKoAk-/0/1760624205905?e=2147483647&amp;v=beta&amp;t=mt1_0wkeMGAzk7rZ8-6m0cuDbfD9rUUI2mXOG3gtSxo","View Creative")</f>
        <v>View Creative</v>
      </c>
      <c r="L5935" s="6" t="s">
        <v>62</v>
      </c>
      <c r="M5935" s="6" t="s">
        <v>8757</v>
      </c>
      <c r="N5935" s="6"/>
      <c r="O5935" s="36" t="s">
        <v>7541</v>
      </c>
      <c r="P5935" s="36" t="s">
        <v>7542</v>
      </c>
      <c r="Q5935" s="38"/>
    </row>
    <row r="5936">
      <c r="A5936" s="6" t="s">
        <v>8757</v>
      </c>
      <c r="B5936" s="6" t="s">
        <v>8758</v>
      </c>
      <c r="C5936" s="6">
        <v>70.0</v>
      </c>
      <c r="D5936" s="9" t="str">
        <f t="shared" si="2050"/>
        <v>Open Ad</v>
      </c>
      <c r="E5936" s="6" t="s">
        <v>91</v>
      </c>
      <c r="F5936" s="6" t="s">
        <v>8022</v>
      </c>
      <c r="G5936" s="6" t="s">
        <v>8781</v>
      </c>
      <c r="H5936" s="6" t="s">
        <v>55</v>
      </c>
      <c r="I5936" s="6" t="s">
        <v>8760</v>
      </c>
      <c r="J5936" s="6" t="s">
        <v>91</v>
      </c>
      <c r="K5936" s="12" t="str">
        <f t="shared" si="2051"/>
        <v>View Creative</v>
      </c>
      <c r="L5936" s="6" t="s">
        <v>62</v>
      </c>
      <c r="M5936" s="6" t="s">
        <v>8757</v>
      </c>
      <c r="N5936" s="6"/>
      <c r="O5936" s="36" t="s">
        <v>7541</v>
      </c>
      <c r="P5936" s="36" t="s">
        <v>7542</v>
      </c>
      <c r="Q5936" s="38"/>
    </row>
    <row r="5937">
      <c r="A5937" s="6" t="s">
        <v>8757</v>
      </c>
      <c r="B5937" s="6" t="s">
        <v>8758</v>
      </c>
      <c r="C5937" s="6">
        <v>71.0</v>
      </c>
      <c r="D5937" s="9" t="str">
        <f t="shared" ref="D5937:D5938" si="2052">HYPERLINK("https://www.linkedin.com/ad-library/detail/1101602723","Open Ad")</f>
        <v>Open Ad</v>
      </c>
      <c r="E5937" s="6" t="s">
        <v>91</v>
      </c>
      <c r="F5937" s="6" t="s">
        <v>8022</v>
      </c>
      <c r="G5937" s="6" t="s">
        <v>8775</v>
      </c>
      <c r="H5937" s="6" t="s">
        <v>55</v>
      </c>
      <c r="I5937" s="6" t="s">
        <v>8760</v>
      </c>
      <c r="J5937" s="6" t="s">
        <v>91</v>
      </c>
      <c r="K5937" s="12" t="str">
        <f t="shared" ref="K5937:K5938" si="2053">HYPERLINK("https://media.licdn.com/dms/image/v2/D4D22AQFBmPZmS_oUlw/feedshare-shrink_1280/B4DZpa.E14GsAs-/0/1762462815781?e=2147483647&amp;v=beta&amp;t=GBUK-Y0pD5-AuUrnRN__Y1iw1N5bLKvB8tGHcEvoMWk","View Creative")</f>
        <v>View Creative</v>
      </c>
      <c r="L5937" s="6" t="s">
        <v>62</v>
      </c>
      <c r="M5937" s="6" t="s">
        <v>8757</v>
      </c>
      <c r="N5937" s="6"/>
      <c r="O5937" s="36" t="s">
        <v>7541</v>
      </c>
      <c r="P5937" s="36" t="s">
        <v>7542</v>
      </c>
      <c r="Q5937" s="38"/>
    </row>
    <row r="5938">
      <c r="A5938" s="6" t="s">
        <v>8757</v>
      </c>
      <c r="B5938" s="6" t="s">
        <v>8758</v>
      </c>
      <c r="C5938" s="6">
        <v>72.0</v>
      </c>
      <c r="D5938" s="9" t="str">
        <f t="shared" si="2052"/>
        <v>Open Ad</v>
      </c>
      <c r="E5938" s="6" t="s">
        <v>91</v>
      </c>
      <c r="F5938" s="6" t="s">
        <v>8022</v>
      </c>
      <c r="G5938" s="6" t="s">
        <v>8775</v>
      </c>
      <c r="H5938" s="6" t="s">
        <v>55</v>
      </c>
      <c r="I5938" s="6" t="s">
        <v>8760</v>
      </c>
      <c r="J5938" s="6" t="s">
        <v>91</v>
      </c>
      <c r="K5938" s="12" t="str">
        <f t="shared" si="2053"/>
        <v>View Creative</v>
      </c>
      <c r="L5938" s="6" t="s">
        <v>62</v>
      </c>
      <c r="M5938" s="6" t="s">
        <v>8757</v>
      </c>
      <c r="N5938" s="6"/>
      <c r="O5938" s="36" t="s">
        <v>7541</v>
      </c>
      <c r="P5938" s="36" t="s">
        <v>7542</v>
      </c>
      <c r="Q5938" s="38"/>
    </row>
    <row r="5939">
      <c r="A5939" s="6" t="s">
        <v>8757</v>
      </c>
      <c r="B5939" s="6" t="s">
        <v>8758</v>
      </c>
      <c r="C5939" s="6">
        <v>73.0</v>
      </c>
      <c r="D5939" s="9" t="str">
        <f t="shared" ref="D5939:D5940" si="2054">HYPERLINK("https://www.linkedin.com/ad-library/detail/971910493","Open Ad")</f>
        <v>Open Ad</v>
      </c>
      <c r="E5939" s="6" t="s">
        <v>91</v>
      </c>
      <c r="F5939" s="6" t="s">
        <v>8022</v>
      </c>
      <c r="G5939" s="6" t="s">
        <v>8781</v>
      </c>
      <c r="H5939" s="6" t="s">
        <v>55</v>
      </c>
      <c r="I5939" s="6" t="s">
        <v>8760</v>
      </c>
      <c r="J5939" s="6" t="s">
        <v>91</v>
      </c>
      <c r="K5939" s="12" t="str">
        <f t="shared" ref="K5939:K5940" si="2055">HYPERLINK("https://media.licdn.com/dms/image/v2/D4D22AQFyAG-pJvkMAA/feedshare-shrink_800/B4DZntYVztKoAk-/0/1760624205905?e=2147483647&amp;v=beta&amp;t=mt1_0wkeMGAzk7rZ8-6m0cuDbfD9rUUI2mXOG3gtSxo","View Creative")</f>
        <v>View Creative</v>
      </c>
      <c r="L5939" s="6" t="s">
        <v>62</v>
      </c>
      <c r="M5939" s="6" t="s">
        <v>8757</v>
      </c>
      <c r="N5939" s="6"/>
      <c r="O5939" s="36" t="s">
        <v>7541</v>
      </c>
      <c r="P5939" s="36" t="s">
        <v>7542</v>
      </c>
      <c r="Q5939" s="38"/>
    </row>
    <row r="5940">
      <c r="A5940" s="6" t="s">
        <v>8757</v>
      </c>
      <c r="B5940" s="6" t="s">
        <v>8758</v>
      </c>
      <c r="C5940" s="6">
        <v>74.0</v>
      </c>
      <c r="D5940" s="9" t="str">
        <f t="shared" si="2054"/>
        <v>Open Ad</v>
      </c>
      <c r="E5940" s="6" t="s">
        <v>91</v>
      </c>
      <c r="F5940" s="6" t="s">
        <v>8022</v>
      </c>
      <c r="G5940" s="6" t="s">
        <v>8781</v>
      </c>
      <c r="H5940" s="6" t="s">
        <v>55</v>
      </c>
      <c r="I5940" s="6" t="s">
        <v>8760</v>
      </c>
      <c r="J5940" s="6" t="s">
        <v>91</v>
      </c>
      <c r="K5940" s="12" t="str">
        <f t="shared" si="2055"/>
        <v>View Creative</v>
      </c>
      <c r="L5940" s="6" t="s">
        <v>62</v>
      </c>
      <c r="M5940" s="6" t="s">
        <v>8757</v>
      </c>
      <c r="N5940" s="6"/>
      <c r="O5940" s="36" t="s">
        <v>7541</v>
      </c>
      <c r="P5940" s="36" t="s">
        <v>7542</v>
      </c>
      <c r="Q5940" s="38"/>
    </row>
    <row r="5941">
      <c r="A5941" s="6" t="s">
        <v>8757</v>
      </c>
      <c r="B5941" s="6" t="s">
        <v>8758</v>
      </c>
      <c r="C5941" s="6">
        <v>75.0</v>
      </c>
      <c r="D5941" s="9" t="str">
        <f t="shared" ref="D5941:D5942" si="2056">HYPERLINK("https://www.linkedin.com/ad-library/detail/1099902723","Open Ad")</f>
        <v>Open Ad</v>
      </c>
      <c r="E5941" s="6" t="s">
        <v>91</v>
      </c>
      <c r="F5941" s="6" t="s">
        <v>8022</v>
      </c>
      <c r="G5941" s="6" t="s">
        <v>8780</v>
      </c>
      <c r="H5941" s="6" t="s">
        <v>55</v>
      </c>
      <c r="I5941" s="6" t="s">
        <v>8760</v>
      </c>
      <c r="J5941" s="6" t="s">
        <v>91</v>
      </c>
      <c r="K5941" s="12" t="str">
        <f t="shared" ref="K5941:K5942" si="2057">HYPERLINK("https://media.licdn.com/dms/image/v2/D4D10AQEadrqCMhqldA/image-shrink_1280/B4DZpuVp3XGQAQ-/0/1762787762707?e=2147483647&amp;v=beta&amp;t=xj2zvQHvUOL8iffX_wDpliWcKXa7JiunSsK9shPfJ90","View Creative")</f>
        <v>View Creative</v>
      </c>
      <c r="L5941" s="6" t="s">
        <v>62</v>
      </c>
      <c r="M5941" s="6" t="s">
        <v>8757</v>
      </c>
      <c r="N5941" s="6"/>
      <c r="O5941" s="36" t="s">
        <v>7541</v>
      </c>
      <c r="P5941" s="36" t="s">
        <v>7542</v>
      </c>
      <c r="Q5941" s="38"/>
    </row>
    <row r="5942">
      <c r="A5942" s="6" t="s">
        <v>8757</v>
      </c>
      <c r="B5942" s="6" t="s">
        <v>8758</v>
      </c>
      <c r="C5942" s="6">
        <v>76.0</v>
      </c>
      <c r="D5942" s="9" t="str">
        <f t="shared" si="2056"/>
        <v>Open Ad</v>
      </c>
      <c r="E5942" s="6" t="s">
        <v>91</v>
      </c>
      <c r="F5942" s="6" t="s">
        <v>8022</v>
      </c>
      <c r="G5942" s="6" t="s">
        <v>8780</v>
      </c>
      <c r="H5942" s="6" t="s">
        <v>55</v>
      </c>
      <c r="I5942" s="6" t="s">
        <v>8760</v>
      </c>
      <c r="J5942" s="6" t="s">
        <v>91</v>
      </c>
      <c r="K5942" s="12" t="str">
        <f t="shared" si="2057"/>
        <v>View Creative</v>
      </c>
      <c r="L5942" s="6" t="s">
        <v>62</v>
      </c>
      <c r="M5942" s="6" t="s">
        <v>8757</v>
      </c>
      <c r="N5942" s="6"/>
      <c r="O5942" s="36" t="s">
        <v>7541</v>
      </c>
      <c r="P5942" s="36" t="s">
        <v>7542</v>
      </c>
      <c r="Q5942" s="38"/>
    </row>
    <row r="5943">
      <c r="A5943" s="6" t="s">
        <v>8757</v>
      </c>
      <c r="B5943" s="6" t="s">
        <v>8758</v>
      </c>
      <c r="C5943" s="6">
        <v>77.0</v>
      </c>
      <c r="D5943" s="9" t="str">
        <f t="shared" ref="D5943:D5944" si="2058">HYPERLINK("https://www.linkedin.com/ad-library/detail/1101403553","Open Ad")</f>
        <v>Open Ad</v>
      </c>
      <c r="E5943" s="6" t="s">
        <v>91</v>
      </c>
      <c r="F5943" s="6" t="s">
        <v>8022</v>
      </c>
      <c r="G5943" s="6" t="s">
        <v>8782</v>
      </c>
      <c r="H5943" s="6" t="s">
        <v>55</v>
      </c>
      <c r="I5943" s="6" t="s">
        <v>8760</v>
      </c>
      <c r="J5943" s="6" t="s">
        <v>91</v>
      </c>
      <c r="K5943" s="12" t="str">
        <f t="shared" ref="K5943:K5944" si="2059">HYPERLINK("https://media.licdn.com/dms/image/sync/v2/D4D27AQG93uHYtOxmMg/articleshare-proxy-image-offsite-ads_627_1200/B56Zrp7hwULAAA-/0/1775923348505?e=2147483647&amp;v=beta&amp;t=CkB0cCKpKWEVdxFMvJEnrX8diokdbREAIywcGSOloac","View Creative")</f>
        <v>View Creative</v>
      </c>
      <c r="L5943" s="6" t="s">
        <v>62</v>
      </c>
      <c r="M5943" s="6" t="s">
        <v>8757</v>
      </c>
      <c r="N5943" s="6"/>
      <c r="O5943" s="36" t="s">
        <v>7541</v>
      </c>
      <c r="P5943" s="36" t="s">
        <v>7542</v>
      </c>
      <c r="Q5943" s="38"/>
    </row>
    <row r="5944">
      <c r="A5944" s="6" t="s">
        <v>8757</v>
      </c>
      <c r="B5944" s="6" t="s">
        <v>8758</v>
      </c>
      <c r="C5944" s="6">
        <v>78.0</v>
      </c>
      <c r="D5944" s="9" t="str">
        <f t="shared" si="2058"/>
        <v>Open Ad</v>
      </c>
      <c r="E5944" s="6" t="s">
        <v>91</v>
      </c>
      <c r="F5944" s="6" t="s">
        <v>8022</v>
      </c>
      <c r="G5944" s="6" t="s">
        <v>8782</v>
      </c>
      <c r="H5944" s="6" t="s">
        <v>55</v>
      </c>
      <c r="I5944" s="6" t="s">
        <v>8760</v>
      </c>
      <c r="J5944" s="6" t="s">
        <v>91</v>
      </c>
      <c r="K5944" s="12" t="str">
        <f t="shared" si="2059"/>
        <v>View Creative</v>
      </c>
      <c r="L5944" s="6" t="s">
        <v>62</v>
      </c>
      <c r="M5944" s="6" t="s">
        <v>8757</v>
      </c>
      <c r="N5944" s="6"/>
      <c r="O5944" s="36" t="s">
        <v>7541</v>
      </c>
      <c r="P5944" s="36" t="s">
        <v>7542</v>
      </c>
      <c r="Q5944" s="38"/>
    </row>
    <row r="5945">
      <c r="A5945" s="6" t="s">
        <v>8757</v>
      </c>
      <c r="B5945" s="6" t="s">
        <v>8758</v>
      </c>
      <c r="C5945" s="6">
        <v>79.0</v>
      </c>
      <c r="D5945" s="9" t="str">
        <f t="shared" ref="D5945:D5946" si="2060">HYPERLINK("https://www.linkedin.com/ad-library/detail/971763273","Open Ad")</f>
        <v>Open Ad</v>
      </c>
      <c r="E5945" s="6" t="s">
        <v>91</v>
      </c>
      <c r="F5945" s="6" t="s">
        <v>8022</v>
      </c>
      <c r="G5945" s="6" t="s">
        <v>8770</v>
      </c>
      <c r="H5945" s="6" t="s">
        <v>55</v>
      </c>
      <c r="I5945" s="6" t="s">
        <v>8760</v>
      </c>
      <c r="J5945" s="6" t="s">
        <v>91</v>
      </c>
      <c r="K5945" s="12" t="str">
        <f t="shared" ref="K5945:K5946" si="2061">HYPERLINK("https://media.licdn.com/dms/image/v2/D4D22AQGWL7J9AuR4nA/feedshare-shrink_1280/B4DZpKqebaGwAs-/0/1762189242160?e=2147483647&amp;v=beta&amp;t=IHSx_oOYNkJG39sPO5CvBkeSGofOAF8WwuEqNJt_v_E","View Creative")</f>
        <v>View Creative</v>
      </c>
      <c r="L5945" s="6" t="s">
        <v>62</v>
      </c>
      <c r="M5945" s="6" t="s">
        <v>8757</v>
      </c>
      <c r="N5945" s="6"/>
      <c r="O5945" s="36" t="s">
        <v>7541</v>
      </c>
      <c r="P5945" s="36" t="s">
        <v>7542</v>
      </c>
      <c r="Q5945" s="38"/>
    </row>
    <row r="5946">
      <c r="A5946" s="6" t="s">
        <v>8757</v>
      </c>
      <c r="B5946" s="6" t="s">
        <v>8758</v>
      </c>
      <c r="C5946" s="6">
        <v>80.0</v>
      </c>
      <c r="D5946" s="9" t="str">
        <f t="shared" si="2060"/>
        <v>Open Ad</v>
      </c>
      <c r="E5946" s="6" t="s">
        <v>91</v>
      </c>
      <c r="F5946" s="6" t="s">
        <v>8022</v>
      </c>
      <c r="G5946" s="6" t="s">
        <v>8770</v>
      </c>
      <c r="H5946" s="6" t="s">
        <v>55</v>
      </c>
      <c r="I5946" s="6" t="s">
        <v>8760</v>
      </c>
      <c r="J5946" s="6" t="s">
        <v>91</v>
      </c>
      <c r="K5946" s="12" t="str">
        <f t="shared" si="2061"/>
        <v>View Creative</v>
      </c>
      <c r="L5946" s="6" t="s">
        <v>62</v>
      </c>
      <c r="M5946" s="6" t="s">
        <v>8757</v>
      </c>
      <c r="N5946" s="6"/>
      <c r="O5946" s="36" t="s">
        <v>7541</v>
      </c>
      <c r="P5946" s="36" t="s">
        <v>7542</v>
      </c>
      <c r="Q5946" s="38"/>
    </row>
    <row r="5947">
      <c r="A5947" s="6" t="s">
        <v>8757</v>
      </c>
      <c r="B5947" s="6" t="s">
        <v>8758</v>
      </c>
      <c r="C5947" s="6">
        <v>81.0</v>
      </c>
      <c r="D5947" s="9" t="str">
        <f t="shared" ref="D5947:D5948" si="2062">HYPERLINK("https://www.linkedin.com/ad-library/detail/971744033","Open Ad")</f>
        <v>Open Ad</v>
      </c>
      <c r="E5947" s="6" t="s">
        <v>91</v>
      </c>
      <c r="F5947" s="6" t="s">
        <v>8022</v>
      </c>
      <c r="G5947" s="6" t="s">
        <v>8782</v>
      </c>
      <c r="H5947" s="6" t="s">
        <v>55</v>
      </c>
      <c r="I5947" s="6" t="s">
        <v>8760</v>
      </c>
      <c r="J5947" s="6" t="s">
        <v>91</v>
      </c>
      <c r="K5947" s="12" t="str">
        <f t="shared" ref="K5947:K5948" si="2063">HYPERLINK("https://media.licdn.com/dms/image/sync/v2/D4D27AQG93uHYtOxmMg/articleshare-proxy-image-offsite-ads_627_1200/B56Zrp7hwULAAA-/0/1775923348505?e=2147483647&amp;v=beta&amp;t=CkB0cCKpKWEVdxFMvJEnrX8diokdbREAIywcGSOloac","View Creative")</f>
        <v>View Creative</v>
      </c>
      <c r="L5947" s="6" t="s">
        <v>62</v>
      </c>
      <c r="M5947" s="6" t="s">
        <v>8757</v>
      </c>
      <c r="N5947" s="6"/>
      <c r="O5947" s="36" t="s">
        <v>7541</v>
      </c>
      <c r="P5947" s="36" t="s">
        <v>7542</v>
      </c>
      <c r="Q5947" s="38"/>
    </row>
    <row r="5948">
      <c r="A5948" s="6" t="s">
        <v>8757</v>
      </c>
      <c r="B5948" s="6" t="s">
        <v>8758</v>
      </c>
      <c r="C5948" s="6">
        <v>82.0</v>
      </c>
      <c r="D5948" s="9" t="str">
        <f t="shared" si="2062"/>
        <v>Open Ad</v>
      </c>
      <c r="E5948" s="6" t="s">
        <v>91</v>
      </c>
      <c r="F5948" s="6" t="s">
        <v>8022</v>
      </c>
      <c r="G5948" s="6" t="s">
        <v>8782</v>
      </c>
      <c r="H5948" s="6" t="s">
        <v>55</v>
      </c>
      <c r="I5948" s="6" t="s">
        <v>8760</v>
      </c>
      <c r="J5948" s="6" t="s">
        <v>91</v>
      </c>
      <c r="K5948" s="12" t="str">
        <f t="shared" si="2063"/>
        <v>View Creative</v>
      </c>
      <c r="L5948" s="6" t="s">
        <v>62</v>
      </c>
      <c r="M5948" s="6" t="s">
        <v>8757</v>
      </c>
      <c r="N5948" s="6"/>
      <c r="O5948" s="36" t="s">
        <v>7541</v>
      </c>
      <c r="P5948" s="36" t="s">
        <v>7542</v>
      </c>
      <c r="Q5948" s="38"/>
    </row>
    <row r="5949">
      <c r="A5949" s="6" t="s">
        <v>8757</v>
      </c>
      <c r="B5949" s="6" t="s">
        <v>8758</v>
      </c>
      <c r="C5949" s="6">
        <v>83.0</v>
      </c>
      <c r="D5949" s="9" t="str">
        <f t="shared" ref="D5949:D5950" si="2064">HYPERLINK("https://www.linkedin.com/ad-library/detail/1100002183","Open Ad")</f>
        <v>Open Ad</v>
      </c>
      <c r="E5949" s="6" t="s">
        <v>91</v>
      </c>
      <c r="F5949" s="6" t="s">
        <v>8022</v>
      </c>
      <c r="G5949" s="6" t="s">
        <v>8769</v>
      </c>
      <c r="H5949" s="6" t="s">
        <v>55</v>
      </c>
      <c r="I5949" s="6" t="s">
        <v>8760</v>
      </c>
      <c r="J5949" s="6" t="s">
        <v>91</v>
      </c>
      <c r="K5949" s="12" t="str">
        <f t="shared" ref="K5949:K5950" si="2065">HYPERLINK("https://media.licdn.com/dms/image/v2/D4D10AQF0PZr3z2PK9w/image_627_1200/B56Zrp74FjHIAY-/0/1764861379035?e=2147483647&amp;v=beta&amp;t=503SFCACzKu_xiM8Mi143gMxevCJJLUc74L05x0m5tk","View Creative")</f>
        <v>View Creative</v>
      </c>
      <c r="L5949" s="6" t="s">
        <v>62</v>
      </c>
      <c r="M5949" s="6" t="s">
        <v>8757</v>
      </c>
      <c r="N5949" s="6"/>
      <c r="O5949" s="36" t="s">
        <v>7541</v>
      </c>
      <c r="P5949" s="36" t="s">
        <v>7542</v>
      </c>
      <c r="Q5949" s="38"/>
    </row>
    <row r="5950">
      <c r="A5950" s="6" t="s">
        <v>8757</v>
      </c>
      <c r="B5950" s="6" t="s">
        <v>8758</v>
      </c>
      <c r="C5950" s="6">
        <v>84.0</v>
      </c>
      <c r="D5950" s="9" t="str">
        <f t="shared" si="2064"/>
        <v>Open Ad</v>
      </c>
      <c r="E5950" s="6" t="s">
        <v>91</v>
      </c>
      <c r="F5950" s="6" t="s">
        <v>8022</v>
      </c>
      <c r="G5950" s="6" t="s">
        <v>8769</v>
      </c>
      <c r="H5950" s="6" t="s">
        <v>55</v>
      </c>
      <c r="I5950" s="6" t="s">
        <v>8760</v>
      </c>
      <c r="J5950" s="6" t="s">
        <v>91</v>
      </c>
      <c r="K5950" s="12" t="str">
        <f t="shared" si="2065"/>
        <v>View Creative</v>
      </c>
      <c r="L5950" s="6" t="s">
        <v>62</v>
      </c>
      <c r="M5950" s="6" t="s">
        <v>8757</v>
      </c>
      <c r="N5950" s="6"/>
      <c r="O5950" s="36" t="s">
        <v>7541</v>
      </c>
      <c r="P5950" s="36" t="s">
        <v>7542</v>
      </c>
      <c r="Q5950" s="38"/>
    </row>
    <row r="5951">
      <c r="A5951" s="6" t="s">
        <v>8757</v>
      </c>
      <c r="B5951" s="6" t="s">
        <v>8758</v>
      </c>
      <c r="C5951" s="6">
        <v>85.0</v>
      </c>
      <c r="D5951" s="9" t="str">
        <f t="shared" ref="D5951:D5952" si="2066">HYPERLINK("https://www.linkedin.com/ad-library/detail/971832373","Open Ad")</f>
        <v>Open Ad</v>
      </c>
      <c r="E5951" s="6" t="s">
        <v>91</v>
      </c>
      <c r="F5951" s="6" t="s">
        <v>8022</v>
      </c>
      <c r="G5951" s="6" t="s">
        <v>8764</v>
      </c>
      <c r="H5951" s="6" t="s">
        <v>8765</v>
      </c>
      <c r="I5951" s="6" t="s">
        <v>8760</v>
      </c>
      <c r="J5951" s="6" t="s">
        <v>91</v>
      </c>
      <c r="K5951" s="12" t="str">
        <f t="shared" ref="K5951:K5952" si="2067">HYPERLINK("https://media.licdn.com/dms/image/v2/D4D10AQGZ4cGTPffM7w/image-shrink_1280/B4DZpUltL2JcAM-/0/1762355763388?e=2147483647&amp;v=beta&amp;t=BznkIVQ6UPmU66PhUceWRHXv8QiVHG6QojyARL8R7JE","View Creative")</f>
        <v>View Creative</v>
      </c>
      <c r="L5951" s="6" t="s">
        <v>62</v>
      </c>
      <c r="M5951" s="6" t="s">
        <v>8757</v>
      </c>
      <c r="N5951" s="6"/>
      <c r="O5951" s="36" t="s">
        <v>7541</v>
      </c>
      <c r="P5951" s="36" t="s">
        <v>7542</v>
      </c>
      <c r="Q5951" s="38"/>
    </row>
    <row r="5952">
      <c r="A5952" s="6" t="s">
        <v>8757</v>
      </c>
      <c r="B5952" s="6" t="s">
        <v>8758</v>
      </c>
      <c r="C5952" s="6">
        <v>86.0</v>
      </c>
      <c r="D5952" s="9" t="str">
        <f t="shared" si="2066"/>
        <v>Open Ad</v>
      </c>
      <c r="E5952" s="6" t="s">
        <v>91</v>
      </c>
      <c r="F5952" s="6" t="s">
        <v>8022</v>
      </c>
      <c r="G5952" s="6" t="s">
        <v>8764</v>
      </c>
      <c r="H5952" s="6" t="s">
        <v>8765</v>
      </c>
      <c r="I5952" s="6" t="s">
        <v>8760</v>
      </c>
      <c r="J5952" s="6" t="s">
        <v>91</v>
      </c>
      <c r="K5952" s="12" t="str">
        <f t="shared" si="2067"/>
        <v>View Creative</v>
      </c>
      <c r="L5952" s="6" t="s">
        <v>62</v>
      </c>
      <c r="M5952" s="6" t="s">
        <v>8757</v>
      </c>
      <c r="N5952" s="6"/>
      <c r="O5952" s="36" t="s">
        <v>7541</v>
      </c>
      <c r="P5952" s="36" t="s">
        <v>7542</v>
      </c>
      <c r="Q5952" s="38"/>
    </row>
    <row r="5953">
      <c r="A5953" s="6" t="s">
        <v>8757</v>
      </c>
      <c r="B5953" s="6" t="s">
        <v>8758</v>
      </c>
      <c r="C5953" s="6">
        <v>87.0</v>
      </c>
      <c r="D5953" s="9" t="str">
        <f t="shared" ref="D5953:D5954" si="2068">HYPERLINK("https://www.linkedin.com/ad-library/detail/971910513","Open Ad")</f>
        <v>Open Ad</v>
      </c>
      <c r="E5953" s="6" t="s">
        <v>91</v>
      </c>
      <c r="F5953" s="6" t="s">
        <v>8022</v>
      </c>
      <c r="G5953" s="6" t="s">
        <v>8761</v>
      </c>
      <c r="H5953" s="6" t="s">
        <v>55</v>
      </c>
      <c r="I5953" s="6" t="s">
        <v>8760</v>
      </c>
      <c r="J5953" s="6" t="s">
        <v>91</v>
      </c>
      <c r="K5953" s="12" t="str">
        <f t="shared" ref="K5953:K5956" si="2069">HYPERLINK("https://media.licdn.com/dms/image/v2/D4D10AQEFvnGefch08w/image-shrink_1280/B4DZrfooTIGQAM-/0/1764688562729?e=2147483647&amp;v=beta&amp;t=1hOosj_KsZhjxFRh4NgIRSWInkTJgEQxymN0ixAPIXs","View Creative")</f>
        <v>View Creative</v>
      </c>
      <c r="L5953" s="6" t="s">
        <v>62</v>
      </c>
      <c r="M5953" s="6" t="s">
        <v>8757</v>
      </c>
      <c r="N5953" s="6"/>
      <c r="O5953" s="36" t="s">
        <v>7541</v>
      </c>
      <c r="P5953" s="36" t="s">
        <v>7542</v>
      </c>
      <c r="Q5953" s="38"/>
    </row>
    <row r="5954">
      <c r="A5954" s="6" t="s">
        <v>8757</v>
      </c>
      <c r="B5954" s="6" t="s">
        <v>8758</v>
      </c>
      <c r="C5954" s="6">
        <v>88.0</v>
      </c>
      <c r="D5954" s="9" t="str">
        <f t="shared" si="2068"/>
        <v>Open Ad</v>
      </c>
      <c r="E5954" s="6" t="s">
        <v>91</v>
      </c>
      <c r="F5954" s="6" t="s">
        <v>8022</v>
      </c>
      <c r="G5954" s="6" t="s">
        <v>8761</v>
      </c>
      <c r="H5954" s="6" t="s">
        <v>55</v>
      </c>
      <c r="I5954" s="6" t="s">
        <v>8760</v>
      </c>
      <c r="J5954" s="6" t="s">
        <v>91</v>
      </c>
      <c r="K5954" s="12" t="str">
        <f t="shared" si="2069"/>
        <v>View Creative</v>
      </c>
      <c r="L5954" s="6" t="s">
        <v>62</v>
      </c>
      <c r="M5954" s="6" t="s">
        <v>8757</v>
      </c>
      <c r="N5954" s="6"/>
      <c r="O5954" s="36" t="s">
        <v>7541</v>
      </c>
      <c r="P5954" s="36" t="s">
        <v>7542</v>
      </c>
      <c r="Q5954" s="38"/>
    </row>
    <row r="5955">
      <c r="A5955" s="6" t="s">
        <v>8757</v>
      </c>
      <c r="B5955" s="6" t="s">
        <v>8758</v>
      </c>
      <c r="C5955" s="6">
        <v>89.0</v>
      </c>
      <c r="D5955" s="9" t="str">
        <f t="shared" ref="D5955:D5956" si="2070">HYPERLINK("https://www.linkedin.com/ad-library/detail/971705613","Open Ad")</f>
        <v>Open Ad</v>
      </c>
      <c r="E5955" s="6" t="s">
        <v>91</v>
      </c>
      <c r="F5955" s="6" t="s">
        <v>8022</v>
      </c>
      <c r="G5955" s="6" t="s">
        <v>8761</v>
      </c>
      <c r="H5955" s="6" t="s">
        <v>55</v>
      </c>
      <c r="I5955" s="6" t="s">
        <v>8760</v>
      </c>
      <c r="J5955" s="6" t="s">
        <v>91</v>
      </c>
      <c r="K5955" s="12" t="str">
        <f t="shared" si="2069"/>
        <v>View Creative</v>
      </c>
      <c r="L5955" s="6" t="s">
        <v>62</v>
      </c>
      <c r="M5955" s="6" t="s">
        <v>8757</v>
      </c>
      <c r="N5955" s="6"/>
      <c r="O5955" s="36" t="s">
        <v>7541</v>
      </c>
      <c r="P5955" s="36" t="s">
        <v>7542</v>
      </c>
      <c r="Q5955" s="38"/>
    </row>
    <row r="5956">
      <c r="A5956" s="6" t="s">
        <v>8757</v>
      </c>
      <c r="B5956" s="6" t="s">
        <v>8758</v>
      </c>
      <c r="C5956" s="6">
        <v>90.0</v>
      </c>
      <c r="D5956" s="9" t="str">
        <f t="shared" si="2070"/>
        <v>Open Ad</v>
      </c>
      <c r="E5956" s="6" t="s">
        <v>91</v>
      </c>
      <c r="F5956" s="6" t="s">
        <v>8022</v>
      </c>
      <c r="G5956" s="6" t="s">
        <v>8761</v>
      </c>
      <c r="H5956" s="6" t="s">
        <v>55</v>
      </c>
      <c r="I5956" s="6" t="s">
        <v>8760</v>
      </c>
      <c r="J5956" s="6" t="s">
        <v>91</v>
      </c>
      <c r="K5956" s="12" t="str">
        <f t="shared" si="2069"/>
        <v>View Creative</v>
      </c>
      <c r="L5956" s="6" t="s">
        <v>62</v>
      </c>
      <c r="M5956" s="6" t="s">
        <v>8757</v>
      </c>
      <c r="N5956" s="6"/>
      <c r="O5956" s="36" t="s">
        <v>7541</v>
      </c>
      <c r="P5956" s="36" t="s">
        <v>7542</v>
      </c>
      <c r="Q5956" s="38"/>
    </row>
    <row r="5957">
      <c r="A5957" s="6" t="s">
        <v>8757</v>
      </c>
      <c r="B5957" s="6" t="s">
        <v>8758</v>
      </c>
      <c r="C5957" s="6">
        <v>91.0</v>
      </c>
      <c r="D5957" s="9" t="str">
        <f t="shared" ref="D5957:D5958" si="2071">HYPERLINK("https://www.linkedin.com/ad-library/detail/970943123","Open Ad")</f>
        <v>Open Ad</v>
      </c>
      <c r="E5957" s="6" t="s">
        <v>91</v>
      </c>
      <c r="F5957" s="6" t="s">
        <v>8022</v>
      </c>
      <c r="G5957" s="6" t="s">
        <v>8770</v>
      </c>
      <c r="H5957" s="6" t="s">
        <v>55</v>
      </c>
      <c r="I5957" s="6" t="s">
        <v>8760</v>
      </c>
      <c r="J5957" s="6" t="s">
        <v>91</v>
      </c>
      <c r="K5957" s="12" t="str">
        <f t="shared" ref="K5957:K5958" si="2072">HYPERLINK("https://media.licdn.com/dms/image/v2/D4D22AQGWL7J9AuR4nA/feedshare-shrink_1280/B4DZpKqebaGwAs-/0/1762189242160?e=2147483647&amp;v=beta&amp;t=IHSx_oOYNkJG39sPO5CvBkeSGofOAF8WwuEqNJt_v_E","View Creative")</f>
        <v>View Creative</v>
      </c>
      <c r="L5957" s="6" t="s">
        <v>62</v>
      </c>
      <c r="M5957" s="6" t="s">
        <v>8757</v>
      </c>
      <c r="N5957" s="6"/>
      <c r="O5957" s="36" t="s">
        <v>7541</v>
      </c>
      <c r="P5957" s="36" t="s">
        <v>7542</v>
      </c>
      <c r="Q5957" s="38"/>
    </row>
    <row r="5958">
      <c r="A5958" s="6" t="s">
        <v>8757</v>
      </c>
      <c r="B5958" s="6" t="s">
        <v>8758</v>
      </c>
      <c r="C5958" s="6">
        <v>92.0</v>
      </c>
      <c r="D5958" s="9" t="str">
        <f t="shared" si="2071"/>
        <v>Open Ad</v>
      </c>
      <c r="E5958" s="6" t="s">
        <v>91</v>
      </c>
      <c r="F5958" s="6" t="s">
        <v>8022</v>
      </c>
      <c r="G5958" s="6" t="s">
        <v>8770</v>
      </c>
      <c r="H5958" s="6" t="s">
        <v>55</v>
      </c>
      <c r="I5958" s="6" t="s">
        <v>8760</v>
      </c>
      <c r="J5958" s="6" t="s">
        <v>91</v>
      </c>
      <c r="K5958" s="12" t="str">
        <f t="shared" si="2072"/>
        <v>View Creative</v>
      </c>
      <c r="L5958" s="6" t="s">
        <v>62</v>
      </c>
      <c r="M5958" s="6" t="s">
        <v>8757</v>
      </c>
      <c r="N5958" s="6"/>
      <c r="O5958" s="36" t="s">
        <v>7541</v>
      </c>
      <c r="P5958" s="36" t="s">
        <v>7542</v>
      </c>
      <c r="Q5958" s="38"/>
    </row>
    <row r="5959">
      <c r="A5959" s="6" t="s">
        <v>8757</v>
      </c>
      <c r="B5959" s="6" t="s">
        <v>8758</v>
      </c>
      <c r="C5959" s="6">
        <v>93.0</v>
      </c>
      <c r="D5959" s="9" t="str">
        <f t="shared" ref="D5959:D5960" si="2073">HYPERLINK("https://www.linkedin.com/ad-library/detail/1101102513","Open Ad")</f>
        <v>Open Ad</v>
      </c>
      <c r="E5959" s="6" t="s">
        <v>91</v>
      </c>
      <c r="F5959" s="6" t="s">
        <v>8022</v>
      </c>
      <c r="G5959" s="6" t="s">
        <v>8764</v>
      </c>
      <c r="H5959" s="6" t="s">
        <v>8765</v>
      </c>
      <c r="I5959" s="6" t="s">
        <v>8760</v>
      </c>
      <c r="J5959" s="6" t="s">
        <v>91</v>
      </c>
      <c r="K5959" s="12" t="str">
        <f t="shared" ref="K5959:K5960" si="2074">HYPERLINK("https://media.licdn.com/dms/image/v2/D4D10AQGZ4cGTPffM7w/image-shrink_1280/B4DZpUltL2JcAM-/0/1762355763388?e=2147483647&amp;v=beta&amp;t=BznkIVQ6UPmU66PhUceWRHXv8QiVHG6QojyARL8R7JE","View Creative")</f>
        <v>View Creative</v>
      </c>
      <c r="L5959" s="6" t="s">
        <v>62</v>
      </c>
      <c r="M5959" s="6" t="s">
        <v>8757</v>
      </c>
      <c r="N5959" s="6"/>
      <c r="O5959" s="36" t="s">
        <v>7541</v>
      </c>
      <c r="P5959" s="36" t="s">
        <v>7542</v>
      </c>
      <c r="Q5959" s="38"/>
    </row>
    <row r="5960">
      <c r="A5960" s="6" t="s">
        <v>8757</v>
      </c>
      <c r="B5960" s="6" t="s">
        <v>8758</v>
      </c>
      <c r="C5960" s="6">
        <v>94.0</v>
      </c>
      <c r="D5960" s="9" t="str">
        <f t="shared" si="2073"/>
        <v>Open Ad</v>
      </c>
      <c r="E5960" s="6" t="s">
        <v>91</v>
      </c>
      <c r="F5960" s="6" t="s">
        <v>8022</v>
      </c>
      <c r="G5960" s="6" t="s">
        <v>8764</v>
      </c>
      <c r="H5960" s="6" t="s">
        <v>8765</v>
      </c>
      <c r="I5960" s="6" t="s">
        <v>8760</v>
      </c>
      <c r="J5960" s="6" t="s">
        <v>91</v>
      </c>
      <c r="K5960" s="12" t="str">
        <f t="shared" si="2074"/>
        <v>View Creative</v>
      </c>
      <c r="L5960" s="6" t="s">
        <v>62</v>
      </c>
      <c r="M5960" s="6" t="s">
        <v>8757</v>
      </c>
      <c r="N5960" s="6"/>
      <c r="O5960" s="36" t="s">
        <v>7541</v>
      </c>
      <c r="P5960" s="36" t="s">
        <v>7542</v>
      </c>
      <c r="Q5960" s="38"/>
    </row>
    <row r="5961">
      <c r="A5961" s="6" t="s">
        <v>8757</v>
      </c>
      <c r="B5961" s="6" t="s">
        <v>8758</v>
      </c>
      <c r="C5961" s="6">
        <v>95.0</v>
      </c>
      <c r="D5961" s="9" t="str">
        <f t="shared" ref="D5961:D5962" si="2075">HYPERLINK("https://www.linkedin.com/ad-library/detail/971832343","Open Ad")</f>
        <v>Open Ad</v>
      </c>
      <c r="E5961" s="6" t="s">
        <v>91</v>
      </c>
      <c r="F5961" s="6" t="s">
        <v>8022</v>
      </c>
      <c r="G5961" s="6" t="s">
        <v>8779</v>
      </c>
      <c r="H5961" s="6" t="s">
        <v>55</v>
      </c>
      <c r="I5961" s="6" t="s">
        <v>8760</v>
      </c>
      <c r="J5961" s="6" t="s">
        <v>91</v>
      </c>
      <c r="K5961" s="12" t="str">
        <f t="shared" ref="K5961:K5962" si="2076">HYPERLINK("https://media.licdn.com/dms/image/v2/D4D22AQGjw75XWr_ZeQ/feedshare-shrink_1280/B4DZra26_7JcAw-/0/1764608422336?e=2147483647&amp;v=beta&amp;t=UdvYuib9z4kg21VtRtaQ9nbOE4xkQfPkNrHPzaiOyhs","View Creative")</f>
        <v>View Creative</v>
      </c>
      <c r="L5961" s="6" t="s">
        <v>62</v>
      </c>
      <c r="M5961" s="6" t="s">
        <v>8757</v>
      </c>
      <c r="N5961" s="6"/>
      <c r="O5961" s="36" t="s">
        <v>7541</v>
      </c>
      <c r="P5961" s="36" t="s">
        <v>7542</v>
      </c>
      <c r="Q5961" s="38"/>
    </row>
    <row r="5962">
      <c r="A5962" s="6" t="s">
        <v>8757</v>
      </c>
      <c r="B5962" s="6" t="s">
        <v>8758</v>
      </c>
      <c r="C5962" s="6">
        <v>96.0</v>
      </c>
      <c r="D5962" s="9" t="str">
        <f t="shared" si="2075"/>
        <v>Open Ad</v>
      </c>
      <c r="E5962" s="6" t="s">
        <v>91</v>
      </c>
      <c r="F5962" s="6" t="s">
        <v>8022</v>
      </c>
      <c r="G5962" s="6" t="s">
        <v>8779</v>
      </c>
      <c r="H5962" s="6" t="s">
        <v>55</v>
      </c>
      <c r="I5962" s="6" t="s">
        <v>8760</v>
      </c>
      <c r="J5962" s="6" t="s">
        <v>91</v>
      </c>
      <c r="K5962" s="12" t="str">
        <f t="shared" si="2076"/>
        <v>View Creative</v>
      </c>
      <c r="L5962" s="6" t="s">
        <v>62</v>
      </c>
      <c r="M5962" s="6" t="s">
        <v>8757</v>
      </c>
      <c r="N5962" s="6"/>
      <c r="O5962" s="36" t="s">
        <v>7541</v>
      </c>
      <c r="P5962" s="36" t="s">
        <v>7542</v>
      </c>
      <c r="Q5962" s="38"/>
    </row>
    <row r="5963">
      <c r="A5963" s="6" t="s">
        <v>8757</v>
      </c>
      <c r="B5963" s="6" t="s">
        <v>8758</v>
      </c>
      <c r="C5963" s="6">
        <v>97.0</v>
      </c>
      <c r="D5963" s="9" t="str">
        <f t="shared" ref="D5963:D5964" si="2077">HYPERLINK("https://www.linkedin.com/ad-library/detail/971051233","Open Ad")</f>
        <v>Open Ad</v>
      </c>
      <c r="E5963" s="6" t="s">
        <v>91</v>
      </c>
      <c r="F5963" s="6" t="s">
        <v>8022</v>
      </c>
      <c r="G5963" s="6" t="s">
        <v>8768</v>
      </c>
      <c r="H5963" s="6" t="s">
        <v>55</v>
      </c>
      <c r="I5963" s="6" t="s">
        <v>8760</v>
      </c>
      <c r="J5963" s="6" t="s">
        <v>91</v>
      </c>
      <c r="K5963" s="12" t="str">
        <f t="shared" ref="K5963:K5966" si="2078">HYPERLINK("https://media.licdn.com/dms/image/v2/D4D10AQGj9lkQHr_AuQ/image-shrink_1280/B4DZbhb0P_HEAM-/0/1747538888502/free_audit_1apng?e=2147483647&amp;v=beta&amp;t=L2QKK2ykt05Lx3KsQWBlF4SDz_teitGPAUTVshAA4H8","View Creative")</f>
        <v>View Creative</v>
      </c>
      <c r="L5963" s="6" t="s">
        <v>62</v>
      </c>
      <c r="M5963" s="6" t="s">
        <v>8757</v>
      </c>
      <c r="N5963" s="6"/>
      <c r="O5963" s="36" t="s">
        <v>7541</v>
      </c>
      <c r="P5963" s="36" t="s">
        <v>7542</v>
      </c>
      <c r="Q5963" s="38"/>
    </row>
    <row r="5964">
      <c r="A5964" s="6" t="s">
        <v>8757</v>
      </c>
      <c r="B5964" s="6" t="s">
        <v>8758</v>
      </c>
      <c r="C5964" s="6">
        <v>98.0</v>
      </c>
      <c r="D5964" s="9" t="str">
        <f t="shared" si="2077"/>
        <v>Open Ad</v>
      </c>
      <c r="E5964" s="6" t="s">
        <v>91</v>
      </c>
      <c r="F5964" s="6" t="s">
        <v>8022</v>
      </c>
      <c r="G5964" s="6" t="s">
        <v>8768</v>
      </c>
      <c r="H5964" s="6" t="s">
        <v>55</v>
      </c>
      <c r="I5964" s="6" t="s">
        <v>8760</v>
      </c>
      <c r="J5964" s="6" t="s">
        <v>91</v>
      </c>
      <c r="K5964" s="12" t="str">
        <f t="shared" si="2078"/>
        <v>View Creative</v>
      </c>
      <c r="L5964" s="6" t="s">
        <v>62</v>
      </c>
      <c r="M5964" s="6" t="s">
        <v>8757</v>
      </c>
      <c r="N5964" s="6"/>
      <c r="O5964" s="36" t="s">
        <v>7541</v>
      </c>
      <c r="P5964" s="36" t="s">
        <v>7542</v>
      </c>
      <c r="Q5964" s="38"/>
    </row>
    <row r="5965">
      <c r="A5965" s="6" t="s">
        <v>8757</v>
      </c>
      <c r="B5965" s="6" t="s">
        <v>8758</v>
      </c>
      <c r="C5965" s="6">
        <v>99.0</v>
      </c>
      <c r="D5965" s="9" t="str">
        <f t="shared" ref="D5965:D5966" si="2079">HYPERLINK("https://www.linkedin.com/ad-library/detail/971001673","Open Ad")</f>
        <v>Open Ad</v>
      </c>
      <c r="E5965" s="6" t="s">
        <v>91</v>
      </c>
      <c r="F5965" s="6" t="s">
        <v>8022</v>
      </c>
      <c r="G5965" s="6" t="s">
        <v>8768</v>
      </c>
      <c r="H5965" s="6" t="s">
        <v>55</v>
      </c>
      <c r="I5965" s="6" t="s">
        <v>8760</v>
      </c>
      <c r="J5965" s="6" t="s">
        <v>91</v>
      </c>
      <c r="K5965" s="12" t="str">
        <f t="shared" si="2078"/>
        <v>View Creative</v>
      </c>
      <c r="L5965" s="6" t="s">
        <v>62</v>
      </c>
      <c r="M5965" s="6" t="s">
        <v>8757</v>
      </c>
      <c r="N5965" s="6"/>
      <c r="O5965" s="36" t="s">
        <v>7541</v>
      </c>
      <c r="P5965" s="36" t="s">
        <v>7542</v>
      </c>
      <c r="Q5965" s="38"/>
    </row>
    <row r="5966">
      <c r="A5966" s="6" t="s">
        <v>8757</v>
      </c>
      <c r="B5966" s="6" t="s">
        <v>8758</v>
      </c>
      <c r="C5966" s="6">
        <v>100.0</v>
      </c>
      <c r="D5966" s="9" t="str">
        <f t="shared" si="2079"/>
        <v>Open Ad</v>
      </c>
      <c r="E5966" s="6" t="s">
        <v>91</v>
      </c>
      <c r="F5966" s="6" t="s">
        <v>8022</v>
      </c>
      <c r="G5966" s="6" t="s">
        <v>8768</v>
      </c>
      <c r="H5966" s="6" t="s">
        <v>55</v>
      </c>
      <c r="I5966" s="6" t="s">
        <v>8760</v>
      </c>
      <c r="J5966" s="6" t="s">
        <v>91</v>
      </c>
      <c r="K5966" s="12" t="str">
        <f t="shared" si="2078"/>
        <v>View Creative</v>
      </c>
      <c r="L5966" s="6" t="s">
        <v>62</v>
      </c>
      <c r="M5966" s="6" t="s">
        <v>8757</v>
      </c>
      <c r="N5966" s="6"/>
      <c r="O5966" s="36" t="s">
        <v>7541</v>
      </c>
      <c r="P5966" s="36" t="s">
        <v>7542</v>
      </c>
      <c r="Q5966" s="38"/>
    </row>
    <row r="5967">
      <c r="A5967" s="6" t="s">
        <v>8757</v>
      </c>
      <c r="B5967" s="6" t="s">
        <v>8758</v>
      </c>
      <c r="C5967" s="6">
        <v>101.0</v>
      </c>
      <c r="D5967" s="9" t="str">
        <f t="shared" ref="D5967:D5968" si="2080">HYPERLINK("https://www.linkedin.com/ad-library/detail/971110313","Open Ad")</f>
        <v>Open Ad</v>
      </c>
      <c r="E5967" s="6" t="s">
        <v>91</v>
      </c>
      <c r="F5967" s="6" t="s">
        <v>8022</v>
      </c>
      <c r="G5967" s="6" t="s">
        <v>8768</v>
      </c>
      <c r="H5967" s="6" t="s">
        <v>55</v>
      </c>
      <c r="I5967" s="6" t="s">
        <v>8760</v>
      </c>
      <c r="J5967" s="6" t="s">
        <v>91</v>
      </c>
      <c r="K5967" s="12" t="str">
        <f t="shared" ref="K5967:K5970" si="2081">HYPERLINK("https://media.licdn.com/dms/image/v2/D4D10AQFN-J9SCqa0kg/image-shrink_1280/B4DZbhb5i8HQAM-/0/1747538910054/free_audit_1bpng?e=2147483647&amp;v=beta&amp;t=4RJ5_lGa2mzhIciZXwhfKhP3iigxJYT-Boy2_47QqdA","View Creative")</f>
        <v>View Creative</v>
      </c>
      <c r="L5967" s="6" t="s">
        <v>62</v>
      </c>
      <c r="M5967" s="6" t="s">
        <v>8757</v>
      </c>
      <c r="N5967" s="6"/>
      <c r="O5967" s="36" t="s">
        <v>7541</v>
      </c>
      <c r="P5967" s="36" t="s">
        <v>7542</v>
      </c>
      <c r="Q5967" s="38"/>
    </row>
    <row r="5968">
      <c r="A5968" s="6" t="s">
        <v>8757</v>
      </c>
      <c r="B5968" s="6" t="s">
        <v>8758</v>
      </c>
      <c r="C5968" s="6">
        <v>102.0</v>
      </c>
      <c r="D5968" s="9" t="str">
        <f t="shared" si="2080"/>
        <v>Open Ad</v>
      </c>
      <c r="E5968" s="6" t="s">
        <v>91</v>
      </c>
      <c r="F5968" s="6" t="s">
        <v>8022</v>
      </c>
      <c r="G5968" s="6" t="s">
        <v>8768</v>
      </c>
      <c r="H5968" s="6" t="s">
        <v>55</v>
      </c>
      <c r="I5968" s="6" t="s">
        <v>8760</v>
      </c>
      <c r="J5968" s="6" t="s">
        <v>91</v>
      </c>
      <c r="K5968" s="12" t="str">
        <f t="shared" si="2081"/>
        <v>View Creative</v>
      </c>
      <c r="L5968" s="6" t="s">
        <v>62</v>
      </c>
      <c r="M5968" s="6" t="s">
        <v>8757</v>
      </c>
      <c r="N5968" s="6"/>
      <c r="O5968" s="36" t="s">
        <v>7541</v>
      </c>
      <c r="P5968" s="36" t="s">
        <v>7542</v>
      </c>
      <c r="Q5968" s="38"/>
    </row>
    <row r="5969">
      <c r="A5969" s="6" t="s">
        <v>8757</v>
      </c>
      <c r="B5969" s="6" t="s">
        <v>8758</v>
      </c>
      <c r="C5969" s="6">
        <v>103.0</v>
      </c>
      <c r="D5969" s="9" t="str">
        <f t="shared" ref="D5969:D5970" si="2082">HYPERLINK("https://www.linkedin.com/ad-library/detail/970972133","Open Ad")</f>
        <v>Open Ad</v>
      </c>
      <c r="E5969" s="6" t="s">
        <v>91</v>
      </c>
      <c r="F5969" s="6" t="s">
        <v>8022</v>
      </c>
      <c r="G5969" s="6" t="s">
        <v>8768</v>
      </c>
      <c r="H5969" s="6" t="s">
        <v>55</v>
      </c>
      <c r="I5969" s="6" t="s">
        <v>8760</v>
      </c>
      <c r="J5969" s="6" t="s">
        <v>91</v>
      </c>
      <c r="K5969" s="12" t="str">
        <f t="shared" si="2081"/>
        <v>View Creative</v>
      </c>
      <c r="L5969" s="6" t="s">
        <v>62</v>
      </c>
      <c r="M5969" s="6" t="s">
        <v>8757</v>
      </c>
      <c r="N5969" s="6"/>
      <c r="O5969" s="36" t="s">
        <v>7541</v>
      </c>
      <c r="P5969" s="36" t="s">
        <v>7542</v>
      </c>
      <c r="Q5969" s="38"/>
    </row>
    <row r="5970">
      <c r="A5970" s="6" t="s">
        <v>8757</v>
      </c>
      <c r="B5970" s="6" t="s">
        <v>8758</v>
      </c>
      <c r="C5970" s="6">
        <v>104.0</v>
      </c>
      <c r="D5970" s="9" t="str">
        <f t="shared" si="2082"/>
        <v>Open Ad</v>
      </c>
      <c r="E5970" s="6" t="s">
        <v>91</v>
      </c>
      <c r="F5970" s="6" t="s">
        <v>8022</v>
      </c>
      <c r="G5970" s="6" t="s">
        <v>8768</v>
      </c>
      <c r="H5970" s="6" t="s">
        <v>55</v>
      </c>
      <c r="I5970" s="6" t="s">
        <v>8760</v>
      </c>
      <c r="J5970" s="6" t="s">
        <v>91</v>
      </c>
      <c r="K5970" s="12" t="str">
        <f t="shared" si="2081"/>
        <v>View Creative</v>
      </c>
      <c r="L5970" s="6" t="s">
        <v>62</v>
      </c>
      <c r="M5970" s="6" t="s">
        <v>8757</v>
      </c>
      <c r="N5970" s="6"/>
      <c r="O5970" s="36" t="s">
        <v>7541</v>
      </c>
      <c r="P5970" s="36" t="s">
        <v>7542</v>
      </c>
      <c r="Q5970" s="38"/>
    </row>
    <row r="5971">
      <c r="A5971" s="6" t="s">
        <v>8757</v>
      </c>
      <c r="B5971" s="6" t="s">
        <v>8758</v>
      </c>
      <c r="C5971" s="6">
        <v>105.0</v>
      </c>
      <c r="D5971" s="9" t="str">
        <f t="shared" ref="D5971:D5972" si="2083">HYPERLINK("https://www.linkedin.com/ad-library/detail/971140213","Open Ad")</f>
        <v>Open Ad</v>
      </c>
      <c r="E5971" s="6" t="s">
        <v>91</v>
      </c>
      <c r="F5971" s="6" t="s">
        <v>8022</v>
      </c>
      <c r="G5971" s="6" t="s">
        <v>8768</v>
      </c>
      <c r="H5971" s="6" t="s">
        <v>55</v>
      </c>
      <c r="I5971" s="6" t="s">
        <v>8760</v>
      </c>
      <c r="J5971" s="6" t="s">
        <v>91</v>
      </c>
      <c r="K5971" s="12" t="str">
        <f t="shared" ref="K5971:K5972" si="2084">HYPERLINK("https://media.licdn.com/dms/image/v2/D4D10AQE4qB6SLCf5qg/image-shrink_1280/B4DZbhcAxTH8AM-/0/1747538939667/free_audit_2apng?e=2147483647&amp;v=beta&amp;t=CTLsSK1l0hBkjeHfT9xHoRra2pV4PaoSXeUTrmBsHzI","View Creative")</f>
        <v>View Creative</v>
      </c>
      <c r="L5971" s="6" t="s">
        <v>62</v>
      </c>
      <c r="M5971" s="6" t="s">
        <v>8757</v>
      </c>
      <c r="N5971" s="6"/>
      <c r="O5971" s="36" t="s">
        <v>7541</v>
      </c>
      <c r="P5971" s="36" t="s">
        <v>7542</v>
      </c>
      <c r="Q5971" s="38"/>
    </row>
    <row r="5972">
      <c r="A5972" s="6" t="s">
        <v>8757</v>
      </c>
      <c r="B5972" s="6" t="s">
        <v>8758</v>
      </c>
      <c r="C5972" s="6">
        <v>106.0</v>
      </c>
      <c r="D5972" s="9" t="str">
        <f t="shared" si="2083"/>
        <v>Open Ad</v>
      </c>
      <c r="E5972" s="6" t="s">
        <v>91</v>
      </c>
      <c r="F5972" s="6" t="s">
        <v>8022</v>
      </c>
      <c r="G5972" s="6" t="s">
        <v>8768</v>
      </c>
      <c r="H5972" s="6" t="s">
        <v>55</v>
      </c>
      <c r="I5972" s="6" t="s">
        <v>8760</v>
      </c>
      <c r="J5972" s="6" t="s">
        <v>91</v>
      </c>
      <c r="K5972" s="12" t="str">
        <f t="shared" si="2084"/>
        <v>View Creative</v>
      </c>
      <c r="L5972" s="6" t="s">
        <v>62</v>
      </c>
      <c r="M5972" s="6" t="s">
        <v>8757</v>
      </c>
      <c r="N5972" s="6"/>
      <c r="O5972" s="36" t="s">
        <v>7541</v>
      </c>
      <c r="P5972" s="36" t="s">
        <v>7542</v>
      </c>
      <c r="Q5972" s="38"/>
    </row>
    <row r="5973">
      <c r="A5973" s="6" t="s">
        <v>8757</v>
      </c>
      <c r="B5973" s="6" t="s">
        <v>8758</v>
      </c>
      <c r="C5973" s="6">
        <v>107.0</v>
      </c>
      <c r="D5973" s="9" t="str">
        <f t="shared" ref="D5973:D5974" si="2085">HYPERLINK("https://www.linkedin.com/ad-library/detail/971021463","Open Ad")</f>
        <v>Open Ad</v>
      </c>
      <c r="E5973" s="6" t="s">
        <v>91</v>
      </c>
      <c r="F5973" s="6" t="s">
        <v>8022</v>
      </c>
      <c r="G5973" s="6" t="s">
        <v>8768</v>
      </c>
      <c r="H5973" s="6" t="s">
        <v>55</v>
      </c>
      <c r="I5973" s="6" t="s">
        <v>8760</v>
      </c>
      <c r="J5973" s="6" t="s">
        <v>91</v>
      </c>
      <c r="K5973" s="12" t="str">
        <f t="shared" ref="K5973:K5974" si="2086">HYPERLINK("https://media.licdn.com/dms/image/v2/D4D10AQGzsH1_-5nYqw/image-shrink_1280/B4DZbhbfwgHsAQ-/0/1747538804241/testimonial_1bpng?e=2147483647&amp;v=beta&amp;t=VZEMKc7aCFhRj0dOdZWxCDo_hDaQ9M08tNn42UFoeuw","View Creative")</f>
        <v>View Creative</v>
      </c>
      <c r="L5973" s="6" t="s">
        <v>62</v>
      </c>
      <c r="M5973" s="6" t="s">
        <v>8757</v>
      </c>
      <c r="N5973" s="6"/>
      <c r="O5973" s="36" t="s">
        <v>7541</v>
      </c>
      <c r="P5973" s="36" t="s">
        <v>7542</v>
      </c>
      <c r="Q5973" s="38"/>
    </row>
    <row r="5974">
      <c r="A5974" s="6" t="s">
        <v>8757</v>
      </c>
      <c r="B5974" s="6" t="s">
        <v>8758</v>
      </c>
      <c r="C5974" s="6">
        <v>108.0</v>
      </c>
      <c r="D5974" s="9" t="str">
        <f t="shared" si="2085"/>
        <v>Open Ad</v>
      </c>
      <c r="E5974" s="6" t="s">
        <v>91</v>
      </c>
      <c r="F5974" s="6" t="s">
        <v>8022</v>
      </c>
      <c r="G5974" s="6" t="s">
        <v>8768</v>
      </c>
      <c r="H5974" s="6" t="s">
        <v>55</v>
      </c>
      <c r="I5974" s="6" t="s">
        <v>8760</v>
      </c>
      <c r="J5974" s="6" t="s">
        <v>91</v>
      </c>
      <c r="K5974" s="12" t="str">
        <f t="shared" si="2086"/>
        <v>View Creative</v>
      </c>
      <c r="L5974" s="6" t="s">
        <v>62</v>
      </c>
      <c r="M5974" s="6" t="s">
        <v>8757</v>
      </c>
      <c r="N5974" s="6"/>
      <c r="O5974" s="36" t="s">
        <v>7541</v>
      </c>
      <c r="P5974" s="36" t="s">
        <v>7542</v>
      </c>
      <c r="Q5974" s="38"/>
    </row>
    <row r="5975">
      <c r="A5975" s="6" t="s">
        <v>8757</v>
      </c>
      <c r="B5975" s="6" t="s">
        <v>8758</v>
      </c>
      <c r="C5975" s="6">
        <v>109.0</v>
      </c>
      <c r="D5975" s="9" t="str">
        <f t="shared" ref="D5975:D5976" si="2087">HYPERLINK("https://www.linkedin.com/ad-library/detail/878628003","Open Ad")</f>
        <v>Open Ad</v>
      </c>
      <c r="E5975" s="6" t="s">
        <v>91</v>
      </c>
      <c r="F5975" s="6" t="s">
        <v>8022</v>
      </c>
      <c r="G5975" s="6" t="s">
        <v>8783</v>
      </c>
      <c r="H5975" s="6" t="s">
        <v>55</v>
      </c>
      <c r="I5975" s="6" t="s">
        <v>8760</v>
      </c>
      <c r="J5975" s="6" t="s">
        <v>91</v>
      </c>
      <c r="K5975" s="12" t="str">
        <f t="shared" ref="K5975:K5978" si="2088">HYPERLINK("https://media.licdn.com/dms/image/v2/D4D10AQHFQ3HK1TSE0A/image-shrink_1280/B4DZnfXORMIcAM-/0/1760389032850/2png?e=2147483647&amp;v=beta&amp;t=cRXhaT9Pg-DYKK8k2XZ1u28JGI5n7Qj970xjbHc1Ykg","View Creative")</f>
        <v>View Creative</v>
      </c>
      <c r="L5975" s="6" t="s">
        <v>62</v>
      </c>
      <c r="M5975" s="6" t="s">
        <v>8757</v>
      </c>
      <c r="N5975" s="6"/>
      <c r="O5975" s="36" t="s">
        <v>7541</v>
      </c>
      <c r="P5975" s="36" t="s">
        <v>7542</v>
      </c>
      <c r="Q5975" s="38"/>
    </row>
    <row r="5976">
      <c r="A5976" s="6" t="s">
        <v>8757</v>
      </c>
      <c r="B5976" s="6" t="s">
        <v>8758</v>
      </c>
      <c r="C5976" s="6">
        <v>110.0</v>
      </c>
      <c r="D5976" s="9" t="str">
        <f t="shared" si="2087"/>
        <v>Open Ad</v>
      </c>
      <c r="E5976" s="6" t="s">
        <v>91</v>
      </c>
      <c r="F5976" s="6" t="s">
        <v>8022</v>
      </c>
      <c r="G5976" s="6" t="s">
        <v>8783</v>
      </c>
      <c r="H5976" s="6" t="s">
        <v>55</v>
      </c>
      <c r="I5976" s="6" t="s">
        <v>8760</v>
      </c>
      <c r="J5976" s="6" t="s">
        <v>91</v>
      </c>
      <c r="K5976" s="12" t="str">
        <f t="shared" si="2088"/>
        <v>View Creative</v>
      </c>
      <c r="L5976" s="6" t="s">
        <v>62</v>
      </c>
      <c r="M5976" s="6" t="s">
        <v>8757</v>
      </c>
      <c r="N5976" s="6"/>
      <c r="O5976" s="36" t="s">
        <v>7541</v>
      </c>
      <c r="P5976" s="36" t="s">
        <v>7542</v>
      </c>
      <c r="Q5976" s="38"/>
    </row>
    <row r="5977">
      <c r="A5977" s="6" t="s">
        <v>8757</v>
      </c>
      <c r="B5977" s="6" t="s">
        <v>8758</v>
      </c>
      <c r="C5977" s="6">
        <v>111.0</v>
      </c>
      <c r="D5977" s="9" t="str">
        <f t="shared" ref="D5977:D5978" si="2089">HYPERLINK("https://www.linkedin.com/ad-library/detail/970952403","Open Ad")</f>
        <v>Open Ad</v>
      </c>
      <c r="E5977" s="6" t="s">
        <v>91</v>
      </c>
      <c r="F5977" s="6" t="s">
        <v>8022</v>
      </c>
      <c r="G5977" s="6" t="s">
        <v>8783</v>
      </c>
      <c r="H5977" s="6" t="s">
        <v>55</v>
      </c>
      <c r="I5977" s="6" t="s">
        <v>8760</v>
      </c>
      <c r="J5977" s="6" t="s">
        <v>91</v>
      </c>
      <c r="K5977" s="12" t="str">
        <f t="shared" si="2088"/>
        <v>View Creative</v>
      </c>
      <c r="L5977" s="6" t="s">
        <v>62</v>
      </c>
      <c r="M5977" s="6" t="s">
        <v>8757</v>
      </c>
      <c r="N5977" s="6"/>
      <c r="O5977" s="36" t="s">
        <v>7541</v>
      </c>
      <c r="P5977" s="36" t="s">
        <v>7542</v>
      </c>
      <c r="Q5977" s="38"/>
    </row>
    <row r="5978">
      <c r="A5978" s="6" t="s">
        <v>8757</v>
      </c>
      <c r="B5978" s="6" t="s">
        <v>8758</v>
      </c>
      <c r="C5978" s="6">
        <v>112.0</v>
      </c>
      <c r="D5978" s="9" t="str">
        <f t="shared" si="2089"/>
        <v>Open Ad</v>
      </c>
      <c r="E5978" s="6" t="s">
        <v>91</v>
      </c>
      <c r="F5978" s="6" t="s">
        <v>8022</v>
      </c>
      <c r="G5978" s="6" t="s">
        <v>8783</v>
      </c>
      <c r="H5978" s="6" t="s">
        <v>55</v>
      </c>
      <c r="I5978" s="6" t="s">
        <v>8760</v>
      </c>
      <c r="J5978" s="6" t="s">
        <v>91</v>
      </c>
      <c r="K5978" s="12" t="str">
        <f t="shared" si="2088"/>
        <v>View Creative</v>
      </c>
      <c r="L5978" s="6" t="s">
        <v>62</v>
      </c>
      <c r="M5978" s="6" t="s">
        <v>8757</v>
      </c>
      <c r="N5978" s="6"/>
      <c r="O5978" s="36" t="s">
        <v>7541</v>
      </c>
      <c r="P5978" s="36" t="s">
        <v>7542</v>
      </c>
      <c r="Q5978" s="38"/>
    </row>
    <row r="5979">
      <c r="A5979" s="6" t="s">
        <v>8757</v>
      </c>
      <c r="B5979" s="6" t="s">
        <v>8758</v>
      </c>
      <c r="C5979" s="6">
        <v>113.0</v>
      </c>
      <c r="D5979" s="9" t="str">
        <f t="shared" ref="D5979:D5980" si="2090">HYPERLINK("https://www.linkedin.com/ad-library/detail/970991713","Open Ad")</f>
        <v>Open Ad</v>
      </c>
      <c r="E5979" s="6" t="s">
        <v>91</v>
      </c>
      <c r="F5979" s="6" t="s">
        <v>8022</v>
      </c>
      <c r="G5979" s="6" t="s">
        <v>8768</v>
      </c>
      <c r="H5979" s="6" t="s">
        <v>55</v>
      </c>
      <c r="I5979" s="6" t="s">
        <v>8760</v>
      </c>
      <c r="J5979" s="6" t="s">
        <v>91</v>
      </c>
      <c r="K5979" s="12" t="str">
        <f t="shared" ref="K5979:K5980" si="2091">HYPERLINK("https://media.licdn.com/dms/image/v2/D4D10AQGzsH1_-5nYqw/image-shrink_1280/B4DZbhbfwgHsAQ-/0/1747538804241/testimonial_1bpng?e=2147483647&amp;v=beta&amp;t=VZEMKc7aCFhRj0dOdZWxCDo_hDaQ9M08tNn42UFoeuw","View Creative")</f>
        <v>View Creative</v>
      </c>
      <c r="L5979" s="6" t="s">
        <v>62</v>
      </c>
      <c r="M5979" s="6" t="s">
        <v>8757</v>
      </c>
      <c r="N5979" s="6"/>
      <c r="O5979" s="36" t="s">
        <v>7541</v>
      </c>
      <c r="P5979" s="36" t="s">
        <v>7542</v>
      </c>
      <c r="Q5979" s="38"/>
    </row>
    <row r="5980">
      <c r="A5980" s="6" t="s">
        <v>8757</v>
      </c>
      <c r="B5980" s="6" t="s">
        <v>8758</v>
      </c>
      <c r="C5980" s="6">
        <v>114.0</v>
      </c>
      <c r="D5980" s="9" t="str">
        <f t="shared" si="2090"/>
        <v>Open Ad</v>
      </c>
      <c r="E5980" s="6" t="s">
        <v>91</v>
      </c>
      <c r="F5980" s="6" t="s">
        <v>8022</v>
      </c>
      <c r="G5980" s="6" t="s">
        <v>8768</v>
      </c>
      <c r="H5980" s="6" t="s">
        <v>55</v>
      </c>
      <c r="I5980" s="6" t="s">
        <v>8760</v>
      </c>
      <c r="J5980" s="6" t="s">
        <v>91</v>
      </c>
      <c r="K5980" s="12" t="str">
        <f t="shared" si="2091"/>
        <v>View Creative</v>
      </c>
      <c r="L5980" s="6" t="s">
        <v>62</v>
      </c>
      <c r="M5980" s="6" t="s">
        <v>8757</v>
      </c>
      <c r="N5980" s="6"/>
      <c r="O5980" s="36" t="s">
        <v>7541</v>
      </c>
      <c r="P5980" s="36" t="s">
        <v>7542</v>
      </c>
      <c r="Q5980" s="38"/>
    </row>
    <row r="5981">
      <c r="A5981" s="6" t="s">
        <v>8757</v>
      </c>
      <c r="B5981" s="6" t="s">
        <v>8758</v>
      </c>
      <c r="C5981" s="6">
        <v>115.0</v>
      </c>
      <c r="D5981" s="9" t="str">
        <f t="shared" ref="D5981:D5982" si="2092">HYPERLINK("https://www.linkedin.com/ad-library/detail/971061113","Open Ad")</f>
        <v>Open Ad</v>
      </c>
      <c r="E5981" s="6" t="s">
        <v>91</v>
      </c>
      <c r="F5981" s="6" t="s">
        <v>8022</v>
      </c>
      <c r="G5981" s="6" t="s">
        <v>8768</v>
      </c>
      <c r="H5981" s="6" t="s">
        <v>55</v>
      </c>
      <c r="I5981" s="6" t="s">
        <v>8760</v>
      </c>
      <c r="J5981" s="6" t="s">
        <v>91</v>
      </c>
      <c r="K5981" s="12" t="str">
        <f t="shared" ref="K5981:K5982" si="2093">HYPERLINK("https://media.licdn.com/dms/image/v2/D4D10AQFluvEyyy-JOA/image-shrink_1280/B4DZbhbbj2HEAM-/0/1747538787039/testimonialpng?e=2147483647&amp;v=beta&amp;t=VJWRIUnC3aqtI_-unph4BLl7QgcKU-XRN4SYJhM0uO0","View Creative")</f>
        <v>View Creative</v>
      </c>
      <c r="L5981" s="6" t="s">
        <v>62</v>
      </c>
      <c r="M5981" s="6" t="s">
        <v>8757</v>
      </c>
      <c r="N5981" s="6"/>
      <c r="O5981" s="36" t="s">
        <v>7541</v>
      </c>
      <c r="P5981" s="36" t="s">
        <v>7542</v>
      </c>
      <c r="Q5981" s="38"/>
    </row>
    <row r="5982">
      <c r="A5982" s="6" t="s">
        <v>8757</v>
      </c>
      <c r="B5982" s="6" t="s">
        <v>8758</v>
      </c>
      <c r="C5982" s="6">
        <v>116.0</v>
      </c>
      <c r="D5982" s="9" t="str">
        <f t="shared" si="2092"/>
        <v>Open Ad</v>
      </c>
      <c r="E5982" s="6" t="s">
        <v>91</v>
      </c>
      <c r="F5982" s="6" t="s">
        <v>8022</v>
      </c>
      <c r="G5982" s="6" t="s">
        <v>8768</v>
      </c>
      <c r="H5982" s="6" t="s">
        <v>55</v>
      </c>
      <c r="I5982" s="6" t="s">
        <v>8760</v>
      </c>
      <c r="J5982" s="6" t="s">
        <v>91</v>
      </c>
      <c r="K5982" s="12" t="str">
        <f t="shared" si="2093"/>
        <v>View Creative</v>
      </c>
      <c r="L5982" s="6" t="s">
        <v>62</v>
      </c>
      <c r="M5982" s="6" t="s">
        <v>8757</v>
      </c>
      <c r="N5982" s="6"/>
      <c r="O5982" s="36" t="s">
        <v>7541</v>
      </c>
      <c r="P5982" s="36" t="s">
        <v>7542</v>
      </c>
      <c r="Q5982" s="38"/>
    </row>
    <row r="5983">
      <c r="A5983" s="6" t="s">
        <v>8757</v>
      </c>
      <c r="B5983" s="6" t="s">
        <v>8758</v>
      </c>
      <c r="C5983" s="6">
        <v>117.0</v>
      </c>
      <c r="D5983" s="9" t="str">
        <f>HYPERLINK("https://www.linkedin.com/ad-library/detail/971021473","Open Ad")</f>
        <v>Open Ad</v>
      </c>
      <c r="E5983" s="6" t="s">
        <v>52</v>
      </c>
      <c r="F5983" s="6" t="s">
        <v>8022</v>
      </c>
      <c r="G5983" s="6" t="s">
        <v>8784</v>
      </c>
      <c r="H5983" s="6" t="s">
        <v>55</v>
      </c>
      <c r="I5983" s="6" t="s">
        <v>8760</v>
      </c>
      <c r="J5983" s="6" t="s">
        <v>52</v>
      </c>
      <c r="K5983" s="6" t="s">
        <v>60</v>
      </c>
      <c r="L5983" s="6" t="s">
        <v>62</v>
      </c>
      <c r="M5983" s="6" t="s">
        <v>8757</v>
      </c>
      <c r="N5983" s="6"/>
      <c r="O5983" s="36" t="s">
        <v>7541</v>
      </c>
      <c r="P5983" s="36" t="s">
        <v>7542</v>
      </c>
      <c r="Q5983" s="38"/>
    </row>
    <row r="5984">
      <c r="A5984" s="6" t="s">
        <v>8757</v>
      </c>
      <c r="B5984" s="6" t="s">
        <v>8758</v>
      </c>
      <c r="C5984" s="6">
        <v>118.0</v>
      </c>
      <c r="D5984" s="9" t="str">
        <f t="shared" ref="D5984:D5985" si="2094">HYPERLINK("https://www.linkedin.com/ad-library/detail/971041593","Open Ad")</f>
        <v>Open Ad</v>
      </c>
      <c r="E5984" s="6" t="s">
        <v>91</v>
      </c>
      <c r="F5984" s="6" t="s">
        <v>8022</v>
      </c>
      <c r="G5984" s="6" t="s">
        <v>8783</v>
      </c>
      <c r="H5984" s="6" t="s">
        <v>55</v>
      </c>
      <c r="I5984" s="6" t="s">
        <v>8760</v>
      </c>
      <c r="J5984" s="6" t="s">
        <v>91</v>
      </c>
      <c r="K5984" s="12" t="str">
        <f t="shared" ref="K5984:K5985" si="2095">HYPERLINK("https://media.licdn.com/dms/image/v2/D4D10AQHFQ3HK1TSE0A/image-shrink_1280/B4DZnfXORMIcAM-/0/1760389032850/2png?e=2147483647&amp;v=beta&amp;t=cRXhaT9Pg-DYKK8k2XZ1u28JGI5n7Qj970xjbHc1Ykg","View Creative")</f>
        <v>View Creative</v>
      </c>
      <c r="L5984" s="6" t="s">
        <v>62</v>
      </c>
      <c r="M5984" s="6" t="s">
        <v>8757</v>
      </c>
      <c r="N5984" s="6"/>
      <c r="O5984" s="36" t="s">
        <v>7541</v>
      </c>
      <c r="P5984" s="36" t="s">
        <v>7542</v>
      </c>
      <c r="Q5984" s="38"/>
    </row>
    <row r="5985">
      <c r="A5985" s="6" t="s">
        <v>8757</v>
      </c>
      <c r="B5985" s="6" t="s">
        <v>8758</v>
      </c>
      <c r="C5985" s="6">
        <v>119.0</v>
      </c>
      <c r="D5985" s="9" t="str">
        <f t="shared" si="2094"/>
        <v>Open Ad</v>
      </c>
      <c r="E5985" s="6" t="s">
        <v>91</v>
      </c>
      <c r="F5985" s="6" t="s">
        <v>8022</v>
      </c>
      <c r="G5985" s="6" t="s">
        <v>8783</v>
      </c>
      <c r="H5985" s="6" t="s">
        <v>55</v>
      </c>
      <c r="I5985" s="6" t="s">
        <v>8760</v>
      </c>
      <c r="J5985" s="6" t="s">
        <v>91</v>
      </c>
      <c r="K5985" s="12" t="str">
        <f t="shared" si="2095"/>
        <v>View Creative</v>
      </c>
      <c r="L5985" s="6" t="s">
        <v>62</v>
      </c>
      <c r="M5985" s="6" t="s">
        <v>8757</v>
      </c>
      <c r="N5985" s="6"/>
      <c r="O5985" s="36" t="s">
        <v>7541</v>
      </c>
      <c r="P5985" s="36" t="s">
        <v>7542</v>
      </c>
      <c r="Q5985" s="38"/>
    </row>
    <row r="5986">
      <c r="A5986" s="6" t="s">
        <v>8757</v>
      </c>
      <c r="B5986" s="6" t="s">
        <v>8758</v>
      </c>
      <c r="C5986" s="6">
        <v>120.0</v>
      </c>
      <c r="D5986" s="9" t="str">
        <f>HYPERLINK("https://www.linkedin.com/ad-library/detail/971021483","Open Ad")</f>
        <v>Open Ad</v>
      </c>
      <c r="E5986" s="6" t="s">
        <v>52</v>
      </c>
      <c r="F5986" s="6" t="s">
        <v>8022</v>
      </c>
      <c r="G5986" s="6" t="s">
        <v>8785</v>
      </c>
      <c r="H5986" s="6" t="s">
        <v>55</v>
      </c>
      <c r="I5986" s="6" t="s">
        <v>8760</v>
      </c>
      <c r="J5986" s="6" t="s">
        <v>52</v>
      </c>
      <c r="K5986" s="6" t="s">
        <v>60</v>
      </c>
      <c r="L5986" s="6" t="s">
        <v>62</v>
      </c>
      <c r="M5986" s="6" t="s">
        <v>8757</v>
      </c>
      <c r="N5986" s="6"/>
      <c r="O5986" s="36" t="s">
        <v>7541</v>
      </c>
      <c r="P5986" s="36" t="s">
        <v>7542</v>
      </c>
      <c r="Q5986" s="38"/>
    </row>
    <row r="5987">
      <c r="A5987" s="6" t="s">
        <v>8757</v>
      </c>
      <c r="B5987" s="6" t="s">
        <v>8758</v>
      </c>
      <c r="C5987" s="6">
        <v>121.0</v>
      </c>
      <c r="D5987" s="9" t="str">
        <f t="shared" ref="D5987:D5988" si="2096">HYPERLINK("https://www.linkedin.com/ad-library/detail/971041583","Open Ad")</f>
        <v>Open Ad</v>
      </c>
      <c r="E5987" s="6" t="s">
        <v>91</v>
      </c>
      <c r="F5987" s="6" t="s">
        <v>8022</v>
      </c>
      <c r="G5987" s="6" t="s">
        <v>8768</v>
      </c>
      <c r="H5987" s="6" t="s">
        <v>55</v>
      </c>
      <c r="I5987" s="6" t="s">
        <v>8760</v>
      </c>
      <c r="J5987" s="6" t="s">
        <v>91</v>
      </c>
      <c r="K5987" s="12" t="str">
        <f t="shared" ref="K5987:K5988" si="2097">HYPERLINK("https://media.licdn.com/dms/image/v2/D4D10AQE4qB6SLCf5qg/image-shrink_1280/B4DZbhcAxTH8AM-/0/1747538939667/free_audit_2apng?e=2147483647&amp;v=beta&amp;t=CTLsSK1l0hBkjeHfT9xHoRra2pV4PaoSXeUTrmBsHzI","View Creative")</f>
        <v>View Creative</v>
      </c>
      <c r="L5987" s="6" t="s">
        <v>62</v>
      </c>
      <c r="M5987" s="6" t="s">
        <v>8757</v>
      </c>
      <c r="N5987" s="6"/>
      <c r="O5987" s="36" t="s">
        <v>7541</v>
      </c>
      <c r="P5987" s="36" t="s">
        <v>7542</v>
      </c>
      <c r="Q5987" s="38"/>
    </row>
    <row r="5988">
      <c r="A5988" s="6" t="s">
        <v>8757</v>
      </c>
      <c r="B5988" s="6" t="s">
        <v>8758</v>
      </c>
      <c r="C5988" s="6">
        <v>122.0</v>
      </c>
      <c r="D5988" s="9" t="str">
        <f t="shared" si="2096"/>
        <v>Open Ad</v>
      </c>
      <c r="E5988" s="6" t="s">
        <v>91</v>
      </c>
      <c r="F5988" s="6" t="s">
        <v>8022</v>
      </c>
      <c r="G5988" s="6" t="s">
        <v>8768</v>
      </c>
      <c r="H5988" s="6" t="s">
        <v>55</v>
      </c>
      <c r="I5988" s="6" t="s">
        <v>8760</v>
      </c>
      <c r="J5988" s="6" t="s">
        <v>91</v>
      </c>
      <c r="K5988" s="12" t="str">
        <f t="shared" si="2097"/>
        <v>View Creative</v>
      </c>
      <c r="L5988" s="6" t="s">
        <v>62</v>
      </c>
      <c r="M5988" s="6" t="s">
        <v>8757</v>
      </c>
      <c r="N5988" s="6"/>
      <c r="O5988" s="36" t="s">
        <v>7541</v>
      </c>
      <c r="P5988" s="36" t="s">
        <v>7542</v>
      </c>
      <c r="Q5988" s="38"/>
    </row>
    <row r="5989">
      <c r="A5989" s="6" t="s">
        <v>8757</v>
      </c>
      <c r="B5989" s="6" t="s">
        <v>8758</v>
      </c>
      <c r="C5989" s="6">
        <v>123.0</v>
      </c>
      <c r="D5989" s="9" t="str">
        <f t="shared" ref="D5989:D5990" si="2098">HYPERLINK("https://www.linkedin.com/ad-library/detail/878598223","Open Ad")</f>
        <v>Open Ad</v>
      </c>
      <c r="E5989" s="6" t="s">
        <v>91</v>
      </c>
      <c r="F5989" s="6" t="s">
        <v>8022</v>
      </c>
      <c r="G5989" s="6" t="s">
        <v>8786</v>
      </c>
      <c r="H5989" s="6" t="s">
        <v>55</v>
      </c>
      <c r="I5989" s="6" t="s">
        <v>8760</v>
      </c>
      <c r="J5989" s="6" t="s">
        <v>91</v>
      </c>
      <c r="K5989" s="12" t="str">
        <f t="shared" ref="K5989:K5990" si="2099">HYPERLINK("https://media.licdn.com/dms/image/v2/D4D10AQED9UTug38qEg/image-shrink_1280/B4DZnfbL6oIEAM-/0/1760390070853/Untitleddesign24png?e=2147483647&amp;v=beta&amp;t=aCk2i6nr6hLwnPzB_uu1WYYEFB9YxcGRzHsiJR4OAKs","View Creative")</f>
        <v>View Creative</v>
      </c>
      <c r="L5989" s="6" t="s">
        <v>62</v>
      </c>
      <c r="M5989" s="6" t="s">
        <v>8757</v>
      </c>
      <c r="N5989" s="6"/>
      <c r="O5989" s="36" t="s">
        <v>7541</v>
      </c>
      <c r="P5989" s="36" t="s">
        <v>7542</v>
      </c>
      <c r="Q5989" s="38"/>
    </row>
    <row r="5990">
      <c r="A5990" s="6" t="s">
        <v>8757</v>
      </c>
      <c r="B5990" s="6" t="s">
        <v>8758</v>
      </c>
      <c r="C5990" s="6">
        <v>124.0</v>
      </c>
      <c r="D5990" s="9" t="str">
        <f t="shared" si="2098"/>
        <v>Open Ad</v>
      </c>
      <c r="E5990" s="6" t="s">
        <v>91</v>
      </c>
      <c r="F5990" s="6" t="s">
        <v>8022</v>
      </c>
      <c r="G5990" s="6" t="s">
        <v>8786</v>
      </c>
      <c r="H5990" s="6" t="s">
        <v>55</v>
      </c>
      <c r="I5990" s="6" t="s">
        <v>8760</v>
      </c>
      <c r="J5990" s="6" t="s">
        <v>91</v>
      </c>
      <c r="K5990" s="12" t="str">
        <f t="shared" si="2099"/>
        <v>View Creative</v>
      </c>
      <c r="L5990" s="6" t="s">
        <v>62</v>
      </c>
      <c r="M5990" s="6" t="s">
        <v>8757</v>
      </c>
      <c r="N5990" s="6"/>
      <c r="O5990" s="36" t="s">
        <v>7541</v>
      </c>
      <c r="P5990" s="36" t="s">
        <v>7542</v>
      </c>
      <c r="Q5990" s="38"/>
    </row>
    <row r="5991">
      <c r="A5991" s="6" t="s">
        <v>8757</v>
      </c>
      <c r="B5991" s="6" t="s">
        <v>8758</v>
      </c>
      <c r="C5991" s="6">
        <v>125.0</v>
      </c>
      <c r="D5991" s="9" t="str">
        <f t="shared" ref="D5991:D5992" si="2100">HYPERLINK("https://www.linkedin.com/ad-library/detail/971150223","Open Ad")</f>
        <v>Open Ad</v>
      </c>
      <c r="E5991" s="6" t="s">
        <v>91</v>
      </c>
      <c r="F5991" s="6" t="s">
        <v>8022</v>
      </c>
      <c r="G5991" s="6" t="s">
        <v>8759</v>
      </c>
      <c r="H5991" s="6" t="s">
        <v>55</v>
      </c>
      <c r="I5991" s="6" t="s">
        <v>8760</v>
      </c>
      <c r="J5991" s="6" t="s">
        <v>91</v>
      </c>
      <c r="K5991" s="12" t="str">
        <f t="shared" ref="K5991:K5992" si="2101">HYPERLINK("https://media.licdn.com/dms/image/v2/D4D10AQFluvEyyy-JOA/image-shrink_1280/B4DZbhbbj2HEAM-/0/1747538787039/testimonialpng?e=2147483647&amp;v=beta&amp;t=VJWRIUnC3aqtI_-unph4BLl7QgcKU-XRN4SYJhM0uO0","View Creative")</f>
        <v>View Creative</v>
      </c>
      <c r="L5991" s="6" t="s">
        <v>62</v>
      </c>
      <c r="M5991" s="6" t="s">
        <v>8757</v>
      </c>
      <c r="N5991" s="6"/>
      <c r="O5991" s="36" t="s">
        <v>7541</v>
      </c>
      <c r="P5991" s="36" t="s">
        <v>7542</v>
      </c>
      <c r="Q5991" s="38"/>
    </row>
    <row r="5992">
      <c r="A5992" s="6" t="s">
        <v>8757</v>
      </c>
      <c r="B5992" s="6" t="s">
        <v>8758</v>
      </c>
      <c r="C5992" s="6">
        <v>126.0</v>
      </c>
      <c r="D5992" s="9" t="str">
        <f t="shared" si="2100"/>
        <v>Open Ad</v>
      </c>
      <c r="E5992" s="6" t="s">
        <v>91</v>
      </c>
      <c r="F5992" s="6" t="s">
        <v>8022</v>
      </c>
      <c r="G5992" s="6" t="s">
        <v>8759</v>
      </c>
      <c r="H5992" s="6" t="s">
        <v>55</v>
      </c>
      <c r="I5992" s="6" t="s">
        <v>8760</v>
      </c>
      <c r="J5992" s="6" t="s">
        <v>91</v>
      </c>
      <c r="K5992" s="12" t="str">
        <f t="shared" si="2101"/>
        <v>View Creative</v>
      </c>
      <c r="L5992" s="6" t="s">
        <v>62</v>
      </c>
      <c r="M5992" s="6" t="s">
        <v>8757</v>
      </c>
      <c r="N5992" s="6"/>
      <c r="O5992" s="36" t="s">
        <v>7541</v>
      </c>
      <c r="P5992" s="36" t="s">
        <v>7542</v>
      </c>
      <c r="Q5992" s="38"/>
    </row>
    <row r="5993">
      <c r="A5993" s="6" t="s">
        <v>8757</v>
      </c>
      <c r="B5993" s="6" t="s">
        <v>8758</v>
      </c>
      <c r="C5993" s="6">
        <v>127.0</v>
      </c>
      <c r="D5993" s="9" t="str">
        <f t="shared" ref="D5993:D5998" si="2102">HYPERLINK("https://www.linkedin.com/ad-library/detail/719736953","Open Ad")</f>
        <v>Open Ad</v>
      </c>
      <c r="E5993" s="6" t="s">
        <v>91</v>
      </c>
      <c r="F5993" s="6" t="s">
        <v>8022</v>
      </c>
      <c r="G5993" s="6" t="s">
        <v>8787</v>
      </c>
      <c r="H5993" s="6" t="s">
        <v>55</v>
      </c>
      <c r="I5993" s="6" t="s">
        <v>8760</v>
      </c>
      <c r="J5993" s="6" t="s">
        <v>91</v>
      </c>
      <c r="K5993" s="12" t="str">
        <f t="shared" ref="K5993:K5998" si="2103">HYPERLINK("https://media.licdn.com/dms/image/v2/D4D10AQHpdBl-JyeevA/image-shrink_627_1200/B4DZe.OLYyGkAY-/0/1751243078197?e=1789538400&amp;v=beta&amp;t=FdQj-iMeiM8cLqdIyUfClTbbLBZARKlAOy8YYJ-SoW4","View Creative")</f>
        <v>View Creative</v>
      </c>
      <c r="L5993" s="6" t="s">
        <v>62</v>
      </c>
      <c r="M5993" s="6" t="s">
        <v>8757</v>
      </c>
      <c r="N5993" s="6"/>
      <c r="O5993" s="36" t="s">
        <v>7541</v>
      </c>
      <c r="P5993" s="36" t="s">
        <v>7542</v>
      </c>
      <c r="Q5993" s="38"/>
    </row>
    <row r="5994">
      <c r="A5994" s="6" t="s">
        <v>8757</v>
      </c>
      <c r="B5994" s="6" t="s">
        <v>8758</v>
      </c>
      <c r="C5994" s="6">
        <v>128.0</v>
      </c>
      <c r="D5994" s="9" t="str">
        <f t="shared" si="2102"/>
        <v>Open Ad</v>
      </c>
      <c r="E5994" s="6" t="s">
        <v>91</v>
      </c>
      <c r="F5994" s="6" t="s">
        <v>8022</v>
      </c>
      <c r="G5994" s="6" t="s">
        <v>8787</v>
      </c>
      <c r="H5994" s="6" t="s">
        <v>55</v>
      </c>
      <c r="I5994" s="6" t="s">
        <v>8760</v>
      </c>
      <c r="J5994" s="6" t="s">
        <v>91</v>
      </c>
      <c r="K5994" s="12" t="str">
        <f t="shared" si="2103"/>
        <v>View Creative</v>
      </c>
      <c r="L5994" s="6" t="s">
        <v>62</v>
      </c>
      <c r="M5994" s="6" t="s">
        <v>8757</v>
      </c>
      <c r="N5994" s="6"/>
      <c r="O5994" s="36" t="s">
        <v>7541</v>
      </c>
      <c r="P5994" s="36" t="s">
        <v>7542</v>
      </c>
      <c r="Q5994" s="38"/>
    </row>
    <row r="5995">
      <c r="A5995" s="6" t="s">
        <v>8757</v>
      </c>
      <c r="B5995" s="6" t="s">
        <v>8758</v>
      </c>
      <c r="C5995" s="6">
        <v>129.0</v>
      </c>
      <c r="D5995" s="9" t="str">
        <f t="shared" si="2102"/>
        <v>Open Ad</v>
      </c>
      <c r="E5995" s="6" t="s">
        <v>91</v>
      </c>
      <c r="F5995" s="6" t="s">
        <v>8022</v>
      </c>
      <c r="G5995" s="6" t="s">
        <v>8787</v>
      </c>
      <c r="H5995" s="6" t="s">
        <v>55</v>
      </c>
      <c r="I5995" s="6" t="s">
        <v>8760</v>
      </c>
      <c r="J5995" s="6" t="s">
        <v>91</v>
      </c>
      <c r="K5995" s="12" t="str">
        <f t="shared" si="2103"/>
        <v>View Creative</v>
      </c>
      <c r="L5995" s="6" t="s">
        <v>62</v>
      </c>
      <c r="M5995" s="6" t="s">
        <v>8757</v>
      </c>
      <c r="N5995" s="6"/>
      <c r="O5995" s="36" t="s">
        <v>7541</v>
      </c>
      <c r="P5995" s="36" t="s">
        <v>7542</v>
      </c>
      <c r="Q5995" s="38"/>
    </row>
    <row r="5996">
      <c r="A5996" s="6" t="s">
        <v>8757</v>
      </c>
      <c r="B5996" s="6" t="s">
        <v>8758</v>
      </c>
      <c r="C5996" s="6">
        <v>130.0</v>
      </c>
      <c r="D5996" s="9" t="str">
        <f t="shared" si="2102"/>
        <v>Open Ad</v>
      </c>
      <c r="E5996" s="6" t="s">
        <v>91</v>
      </c>
      <c r="F5996" s="6" t="s">
        <v>8022</v>
      </c>
      <c r="G5996" s="6" t="s">
        <v>8787</v>
      </c>
      <c r="H5996" s="6" t="s">
        <v>55</v>
      </c>
      <c r="I5996" s="6" t="s">
        <v>8760</v>
      </c>
      <c r="J5996" s="6" t="s">
        <v>91</v>
      </c>
      <c r="K5996" s="12" t="str">
        <f t="shared" si="2103"/>
        <v>View Creative</v>
      </c>
      <c r="L5996" s="6" t="s">
        <v>62</v>
      </c>
      <c r="M5996" s="6" t="s">
        <v>8757</v>
      </c>
      <c r="N5996" s="6"/>
      <c r="O5996" s="36" t="s">
        <v>7541</v>
      </c>
      <c r="P5996" s="36" t="s">
        <v>7542</v>
      </c>
      <c r="Q5996" s="38"/>
    </row>
    <row r="5997">
      <c r="A5997" s="6" t="s">
        <v>8757</v>
      </c>
      <c r="B5997" s="6" t="s">
        <v>8758</v>
      </c>
      <c r="C5997" s="6">
        <v>131.0</v>
      </c>
      <c r="D5997" s="9" t="str">
        <f t="shared" si="2102"/>
        <v>Open Ad</v>
      </c>
      <c r="E5997" s="6" t="s">
        <v>91</v>
      </c>
      <c r="F5997" s="6" t="s">
        <v>8022</v>
      </c>
      <c r="G5997" s="6" t="s">
        <v>8787</v>
      </c>
      <c r="H5997" s="6" t="s">
        <v>55</v>
      </c>
      <c r="I5997" s="6" t="s">
        <v>8760</v>
      </c>
      <c r="J5997" s="6" t="s">
        <v>91</v>
      </c>
      <c r="K5997" s="12" t="str">
        <f t="shared" si="2103"/>
        <v>View Creative</v>
      </c>
      <c r="L5997" s="6" t="s">
        <v>62</v>
      </c>
      <c r="M5997" s="6" t="s">
        <v>8757</v>
      </c>
      <c r="N5997" s="6"/>
      <c r="O5997" s="36" t="s">
        <v>7541</v>
      </c>
      <c r="P5997" s="36" t="s">
        <v>7542</v>
      </c>
      <c r="Q5997" s="38"/>
    </row>
    <row r="5998">
      <c r="A5998" s="6" t="s">
        <v>8757</v>
      </c>
      <c r="B5998" s="6" t="s">
        <v>8758</v>
      </c>
      <c r="C5998" s="6">
        <v>132.0</v>
      </c>
      <c r="D5998" s="9" t="str">
        <f t="shared" si="2102"/>
        <v>Open Ad</v>
      </c>
      <c r="E5998" s="6" t="s">
        <v>91</v>
      </c>
      <c r="F5998" s="6" t="s">
        <v>8022</v>
      </c>
      <c r="G5998" s="6" t="s">
        <v>8787</v>
      </c>
      <c r="H5998" s="6" t="s">
        <v>55</v>
      </c>
      <c r="I5998" s="6" t="s">
        <v>8760</v>
      </c>
      <c r="J5998" s="6" t="s">
        <v>91</v>
      </c>
      <c r="K5998" s="12" t="str">
        <f t="shared" si="2103"/>
        <v>View Creative</v>
      </c>
      <c r="L5998" s="6" t="s">
        <v>62</v>
      </c>
      <c r="M5998" s="6" t="s">
        <v>8757</v>
      </c>
      <c r="N5998" s="6"/>
      <c r="O5998" s="36" t="s">
        <v>7541</v>
      </c>
      <c r="P5998" s="36" t="s">
        <v>7542</v>
      </c>
      <c r="Q5998" s="38"/>
    </row>
    <row r="5999">
      <c r="A5999" s="6" t="s">
        <v>8757</v>
      </c>
      <c r="B5999" s="6" t="s">
        <v>8758</v>
      </c>
      <c r="C5999" s="6">
        <v>133.0</v>
      </c>
      <c r="D5999" s="9" t="str">
        <f t="shared" ref="D5999:D6000" si="2104">HYPERLINK("https://www.linkedin.com/ad-library/detail/971011553","Open Ad")</f>
        <v>Open Ad</v>
      </c>
      <c r="E5999" s="6" t="s">
        <v>91</v>
      </c>
      <c r="F5999" s="6" t="s">
        <v>8022</v>
      </c>
      <c r="G5999" s="6" t="s">
        <v>8786</v>
      </c>
      <c r="H5999" s="6" t="s">
        <v>55</v>
      </c>
      <c r="I5999" s="6" t="s">
        <v>8760</v>
      </c>
      <c r="J5999" s="6" t="s">
        <v>91</v>
      </c>
      <c r="K5999" s="12" t="str">
        <f t="shared" ref="K5999:K6000" si="2105">HYPERLINK("https://media.licdn.com/dms/image/v2/D4D10AQED9UTug38qEg/image-shrink_1280/B4DZnfbL6oIEAM-/0/1760390070853/Untitleddesign24png?e=2147483647&amp;v=beta&amp;t=aCk2i6nr6hLwnPzB_uu1WYYEFB9YxcGRzHsiJR4OAKs","View Creative")</f>
        <v>View Creative</v>
      </c>
      <c r="L5999" s="6" t="s">
        <v>62</v>
      </c>
      <c r="M5999" s="6" t="s">
        <v>8757</v>
      </c>
      <c r="N5999" s="6"/>
      <c r="O5999" s="36" t="s">
        <v>7541</v>
      </c>
      <c r="P5999" s="36" t="s">
        <v>7542</v>
      </c>
      <c r="Q5999" s="38"/>
    </row>
    <row r="6000">
      <c r="A6000" s="6" t="s">
        <v>8757</v>
      </c>
      <c r="B6000" s="6" t="s">
        <v>8758</v>
      </c>
      <c r="C6000" s="6">
        <v>134.0</v>
      </c>
      <c r="D6000" s="9" t="str">
        <f t="shared" si="2104"/>
        <v>Open Ad</v>
      </c>
      <c r="E6000" s="6" t="s">
        <v>91</v>
      </c>
      <c r="F6000" s="6" t="s">
        <v>8022</v>
      </c>
      <c r="G6000" s="6" t="s">
        <v>8786</v>
      </c>
      <c r="H6000" s="6" t="s">
        <v>55</v>
      </c>
      <c r="I6000" s="6" t="s">
        <v>8760</v>
      </c>
      <c r="J6000" s="6" t="s">
        <v>91</v>
      </c>
      <c r="K6000" s="12" t="str">
        <f t="shared" si="2105"/>
        <v>View Creative</v>
      </c>
      <c r="L6000" s="6" t="s">
        <v>62</v>
      </c>
      <c r="M6000" s="6" t="s">
        <v>8757</v>
      </c>
      <c r="N6000" s="6"/>
      <c r="O6000" s="36" t="s">
        <v>7541</v>
      </c>
      <c r="P6000" s="36" t="s">
        <v>7542</v>
      </c>
      <c r="Q6000" s="38"/>
    </row>
    <row r="6001">
      <c r="A6001" s="6" t="s">
        <v>8757</v>
      </c>
      <c r="B6001" s="6" t="s">
        <v>8758</v>
      </c>
      <c r="C6001" s="6">
        <v>135.0</v>
      </c>
      <c r="D6001" s="9" t="str">
        <f t="shared" ref="D6001:D6002" si="2106">HYPERLINK("https://www.linkedin.com/ad-library/detail/971110303","Open Ad")</f>
        <v>Open Ad</v>
      </c>
      <c r="E6001" s="6" t="s">
        <v>91</v>
      </c>
      <c r="F6001" s="6" t="s">
        <v>8022</v>
      </c>
      <c r="G6001" s="6" t="s">
        <v>8768</v>
      </c>
      <c r="H6001" s="6" t="s">
        <v>55</v>
      </c>
      <c r="I6001" s="6" t="s">
        <v>8760</v>
      </c>
      <c r="J6001" s="6" t="s">
        <v>91</v>
      </c>
      <c r="K6001" s="12" t="str">
        <f t="shared" ref="K6001:K6002" si="2107">HYPERLINK("https://media.licdn.com/dms/image/v2/D4D10AQFluvEyyy-JOA/image-shrink_1280/B4DZbhbbj2HEAM-/0/1747538787039/testimonialpng?e=2147483647&amp;v=beta&amp;t=VJWRIUnC3aqtI_-unph4BLl7QgcKU-XRN4SYJhM0uO0","View Creative")</f>
        <v>View Creative</v>
      </c>
      <c r="L6001" s="6" t="s">
        <v>62</v>
      </c>
      <c r="M6001" s="6" t="s">
        <v>8757</v>
      </c>
      <c r="N6001" s="6"/>
      <c r="O6001" s="36" t="s">
        <v>7541</v>
      </c>
      <c r="P6001" s="36" t="s">
        <v>7542</v>
      </c>
      <c r="Q6001" s="38"/>
    </row>
    <row r="6002">
      <c r="A6002" s="6" t="s">
        <v>8757</v>
      </c>
      <c r="B6002" s="6" t="s">
        <v>8758</v>
      </c>
      <c r="C6002" s="6">
        <v>136.0</v>
      </c>
      <c r="D6002" s="9" t="str">
        <f t="shared" si="2106"/>
        <v>Open Ad</v>
      </c>
      <c r="E6002" s="6" t="s">
        <v>91</v>
      </c>
      <c r="F6002" s="6" t="s">
        <v>8022</v>
      </c>
      <c r="G6002" s="6" t="s">
        <v>8768</v>
      </c>
      <c r="H6002" s="6" t="s">
        <v>55</v>
      </c>
      <c r="I6002" s="6" t="s">
        <v>8760</v>
      </c>
      <c r="J6002" s="6" t="s">
        <v>91</v>
      </c>
      <c r="K6002" s="12" t="str">
        <f t="shared" si="2107"/>
        <v>View Creative</v>
      </c>
      <c r="L6002" s="6" t="s">
        <v>62</v>
      </c>
      <c r="M6002" s="6" t="s">
        <v>8757</v>
      </c>
      <c r="N6002" s="6"/>
      <c r="O6002" s="36" t="s">
        <v>7541</v>
      </c>
      <c r="P6002" s="36" t="s">
        <v>7542</v>
      </c>
      <c r="Q6002" s="38"/>
    </row>
    <row r="6003">
      <c r="A6003" s="6" t="s">
        <v>8757</v>
      </c>
      <c r="B6003" s="6" t="s">
        <v>8758</v>
      </c>
      <c r="C6003" s="6">
        <v>137.0</v>
      </c>
      <c r="D6003" s="9" t="str">
        <f>HYPERLINK("https://www.linkedin.com/ad-library/detail/971169863","Open Ad")</f>
        <v>Open Ad</v>
      </c>
      <c r="E6003" s="6" t="s">
        <v>52</v>
      </c>
      <c r="F6003" s="6" t="s">
        <v>8022</v>
      </c>
      <c r="G6003" s="6" t="s">
        <v>8788</v>
      </c>
      <c r="H6003" s="6" t="s">
        <v>55</v>
      </c>
      <c r="I6003" s="6" t="s">
        <v>8760</v>
      </c>
      <c r="J6003" s="6" t="s">
        <v>52</v>
      </c>
      <c r="K6003" s="6" t="s">
        <v>60</v>
      </c>
      <c r="L6003" s="6" t="s">
        <v>62</v>
      </c>
      <c r="M6003" s="6" t="s">
        <v>8757</v>
      </c>
      <c r="N6003" s="6"/>
      <c r="O6003" s="36" t="s">
        <v>7541</v>
      </c>
      <c r="P6003" s="36" t="s">
        <v>7542</v>
      </c>
      <c r="Q6003" s="38"/>
    </row>
    <row r="6004">
      <c r="A6004" s="6" t="s">
        <v>8757</v>
      </c>
      <c r="B6004" s="6" t="s">
        <v>8758</v>
      </c>
      <c r="C6004" s="6">
        <v>138.0</v>
      </c>
      <c r="D6004" s="9" t="str">
        <f t="shared" ref="D6004:D6005" si="2108">HYPERLINK("https://www.linkedin.com/ad-library/detail/971169893","Open Ad")</f>
        <v>Open Ad</v>
      </c>
      <c r="E6004" s="6" t="s">
        <v>91</v>
      </c>
      <c r="F6004" s="6" t="s">
        <v>8022</v>
      </c>
      <c r="G6004" s="6" t="s">
        <v>8786</v>
      </c>
      <c r="H6004" s="6" t="s">
        <v>55</v>
      </c>
      <c r="I6004" s="6" t="s">
        <v>8760</v>
      </c>
      <c r="J6004" s="6" t="s">
        <v>91</v>
      </c>
      <c r="K6004" s="12" t="str">
        <f t="shared" ref="K6004:K6005" si="2109">HYPERLINK("https://media.licdn.com/dms/image/v2/D4D10AQED9UTug38qEg/image-shrink_1280/B4DZnfbL6oIEAM-/0/1760390070853/Untitleddesign24png?e=2147483647&amp;v=beta&amp;t=aCk2i6nr6hLwnPzB_uu1WYYEFB9YxcGRzHsiJR4OAKs","View Creative")</f>
        <v>View Creative</v>
      </c>
      <c r="L6004" s="6" t="s">
        <v>62</v>
      </c>
      <c r="M6004" s="6" t="s">
        <v>8757</v>
      </c>
      <c r="N6004" s="6"/>
      <c r="O6004" s="36" t="s">
        <v>7541</v>
      </c>
      <c r="P6004" s="36" t="s">
        <v>7542</v>
      </c>
      <c r="Q6004" s="38"/>
    </row>
    <row r="6005">
      <c r="A6005" s="6" t="s">
        <v>8757</v>
      </c>
      <c r="B6005" s="6" t="s">
        <v>8758</v>
      </c>
      <c r="C6005" s="6">
        <v>139.0</v>
      </c>
      <c r="D6005" s="9" t="str">
        <f t="shared" si="2108"/>
        <v>Open Ad</v>
      </c>
      <c r="E6005" s="6" t="s">
        <v>91</v>
      </c>
      <c r="F6005" s="6" t="s">
        <v>8022</v>
      </c>
      <c r="G6005" s="6" t="s">
        <v>8786</v>
      </c>
      <c r="H6005" s="6" t="s">
        <v>55</v>
      </c>
      <c r="I6005" s="6" t="s">
        <v>8760</v>
      </c>
      <c r="J6005" s="6" t="s">
        <v>91</v>
      </c>
      <c r="K6005" s="12" t="str">
        <f t="shared" si="2109"/>
        <v>View Creative</v>
      </c>
      <c r="L6005" s="6" t="s">
        <v>62</v>
      </c>
      <c r="M6005" s="6" t="s">
        <v>8757</v>
      </c>
      <c r="N6005" s="6"/>
      <c r="O6005" s="36" t="s">
        <v>7541</v>
      </c>
      <c r="P6005" s="36" t="s">
        <v>7542</v>
      </c>
      <c r="Q6005" s="38"/>
    </row>
    <row r="6006">
      <c r="A6006" s="6" t="s">
        <v>8757</v>
      </c>
      <c r="B6006" s="6" t="s">
        <v>8758</v>
      </c>
      <c r="C6006" s="6">
        <v>140.0</v>
      </c>
      <c r="D6006" s="9" t="str">
        <f>HYPERLINK("https://www.linkedin.com/ad-library/detail/971140193","Open Ad")</f>
        <v>Open Ad</v>
      </c>
      <c r="E6006" s="6" t="s">
        <v>52</v>
      </c>
      <c r="F6006" s="6" t="s">
        <v>8022</v>
      </c>
      <c r="G6006" s="6" t="s">
        <v>8784</v>
      </c>
      <c r="H6006" s="6" t="s">
        <v>55</v>
      </c>
      <c r="I6006" s="6" t="s">
        <v>8760</v>
      </c>
      <c r="J6006" s="6" t="s">
        <v>52</v>
      </c>
      <c r="K6006" s="6" t="s">
        <v>60</v>
      </c>
      <c r="L6006" s="6" t="s">
        <v>62</v>
      </c>
      <c r="M6006" s="6" t="s">
        <v>8757</v>
      </c>
      <c r="N6006" s="6"/>
      <c r="O6006" s="36" t="s">
        <v>7541</v>
      </c>
      <c r="P6006" s="36" t="s">
        <v>7542</v>
      </c>
      <c r="Q6006" s="38"/>
    </row>
    <row r="6007">
      <c r="A6007" s="6" t="s">
        <v>8757</v>
      </c>
      <c r="B6007" s="6" t="s">
        <v>8758</v>
      </c>
      <c r="C6007" s="6">
        <v>141.0</v>
      </c>
      <c r="D6007" s="9" t="str">
        <f>HYPERLINK("https://www.linkedin.com/ad-library/detail/970981923","Open Ad")</f>
        <v>Open Ad</v>
      </c>
      <c r="E6007" s="6" t="s">
        <v>52</v>
      </c>
      <c r="F6007" s="6" t="s">
        <v>8022</v>
      </c>
      <c r="G6007" s="6" t="s">
        <v>8785</v>
      </c>
      <c r="H6007" s="6" t="s">
        <v>55</v>
      </c>
      <c r="I6007" s="6" t="s">
        <v>8760</v>
      </c>
      <c r="J6007" s="6" t="s">
        <v>52</v>
      </c>
      <c r="K6007" s="6" t="s">
        <v>60</v>
      </c>
      <c r="L6007" s="6" t="s">
        <v>62</v>
      </c>
      <c r="M6007" s="6" t="s">
        <v>8757</v>
      </c>
      <c r="N6007" s="6"/>
      <c r="O6007" s="36" t="s">
        <v>7541</v>
      </c>
      <c r="P6007" s="36" t="s">
        <v>7542</v>
      </c>
      <c r="Q6007" s="38"/>
    </row>
    <row r="6008">
      <c r="A6008" s="6" t="s">
        <v>8757</v>
      </c>
      <c r="B6008" s="6" t="s">
        <v>8758</v>
      </c>
      <c r="C6008" s="6">
        <v>142.0</v>
      </c>
      <c r="D6008" s="9" t="str">
        <f t="shared" ref="D6008:D6009" si="2110">HYPERLINK("https://www.linkedin.com/ad-library/detail/970981933","Open Ad")</f>
        <v>Open Ad</v>
      </c>
      <c r="E6008" s="6" t="s">
        <v>91</v>
      </c>
      <c r="F6008" s="6" t="s">
        <v>8022</v>
      </c>
      <c r="G6008" s="6" t="s">
        <v>8759</v>
      </c>
      <c r="H6008" s="6" t="s">
        <v>55</v>
      </c>
      <c r="I6008" s="6" t="s">
        <v>8760</v>
      </c>
      <c r="J6008" s="6" t="s">
        <v>91</v>
      </c>
      <c r="K6008" s="12" t="str">
        <f t="shared" ref="K6008:K6011" si="2111">HYPERLINK("https://media.licdn.com/dms/image/v2/D4D10AQFluvEyyy-JOA/image-shrink_1280/B4DZbhbbj2HEAM-/0/1747538787039/testimonialpng?e=2147483647&amp;v=beta&amp;t=VJWRIUnC3aqtI_-unph4BLl7QgcKU-XRN4SYJhM0uO0","View Creative")</f>
        <v>View Creative</v>
      </c>
      <c r="L6008" s="6" t="s">
        <v>62</v>
      </c>
      <c r="M6008" s="6" t="s">
        <v>8757</v>
      </c>
      <c r="N6008" s="6"/>
      <c r="O6008" s="36" t="s">
        <v>7541</v>
      </c>
      <c r="P6008" s="36" t="s">
        <v>7542</v>
      </c>
      <c r="Q6008" s="38"/>
    </row>
    <row r="6009">
      <c r="A6009" s="6" t="s">
        <v>8757</v>
      </c>
      <c r="B6009" s="6" t="s">
        <v>8758</v>
      </c>
      <c r="C6009" s="6">
        <v>143.0</v>
      </c>
      <c r="D6009" s="9" t="str">
        <f t="shared" si="2110"/>
        <v>Open Ad</v>
      </c>
      <c r="E6009" s="6" t="s">
        <v>91</v>
      </c>
      <c r="F6009" s="6" t="s">
        <v>8022</v>
      </c>
      <c r="G6009" s="6" t="s">
        <v>8759</v>
      </c>
      <c r="H6009" s="6" t="s">
        <v>55</v>
      </c>
      <c r="I6009" s="6" t="s">
        <v>8760</v>
      </c>
      <c r="J6009" s="6" t="s">
        <v>91</v>
      </c>
      <c r="K6009" s="12" t="str">
        <f t="shared" si="2111"/>
        <v>View Creative</v>
      </c>
      <c r="L6009" s="6" t="s">
        <v>62</v>
      </c>
      <c r="M6009" s="6" t="s">
        <v>8757</v>
      </c>
      <c r="N6009" s="6"/>
      <c r="O6009" s="36" t="s">
        <v>7541</v>
      </c>
      <c r="P6009" s="36" t="s">
        <v>7542</v>
      </c>
      <c r="Q6009" s="38"/>
    </row>
    <row r="6010">
      <c r="A6010" s="6" t="s">
        <v>8757</v>
      </c>
      <c r="B6010" s="6" t="s">
        <v>8758</v>
      </c>
      <c r="C6010" s="6">
        <v>144.0</v>
      </c>
      <c r="D6010" s="9" t="str">
        <f t="shared" ref="D6010:D6011" si="2112">HYPERLINK("https://www.linkedin.com/ad-library/detail/688506793","Open Ad")</f>
        <v>Open Ad</v>
      </c>
      <c r="E6010" s="6" t="s">
        <v>91</v>
      </c>
      <c r="F6010" s="6" t="s">
        <v>8022</v>
      </c>
      <c r="G6010" s="6" t="s">
        <v>8768</v>
      </c>
      <c r="H6010" s="6" t="s">
        <v>55</v>
      </c>
      <c r="I6010" s="6" t="s">
        <v>8760</v>
      </c>
      <c r="J6010" s="6" t="s">
        <v>91</v>
      </c>
      <c r="K6010" s="12" t="str">
        <f t="shared" si="2111"/>
        <v>View Creative</v>
      </c>
      <c r="L6010" s="6" t="s">
        <v>62</v>
      </c>
      <c r="M6010" s="6" t="s">
        <v>8757</v>
      </c>
      <c r="N6010" s="6"/>
      <c r="O6010" s="36" t="s">
        <v>7541</v>
      </c>
      <c r="P6010" s="36" t="s">
        <v>7542</v>
      </c>
      <c r="Q6010" s="38"/>
    </row>
    <row r="6011">
      <c r="A6011" s="6" t="s">
        <v>8757</v>
      </c>
      <c r="B6011" s="6" t="s">
        <v>8758</v>
      </c>
      <c r="C6011" s="6">
        <v>145.0</v>
      </c>
      <c r="D6011" s="9" t="str">
        <f t="shared" si="2112"/>
        <v>Open Ad</v>
      </c>
      <c r="E6011" s="6" t="s">
        <v>91</v>
      </c>
      <c r="F6011" s="6" t="s">
        <v>8022</v>
      </c>
      <c r="G6011" s="6" t="s">
        <v>8768</v>
      </c>
      <c r="H6011" s="6" t="s">
        <v>55</v>
      </c>
      <c r="I6011" s="6" t="s">
        <v>8760</v>
      </c>
      <c r="J6011" s="6" t="s">
        <v>91</v>
      </c>
      <c r="K6011" s="12" t="str">
        <f t="shared" si="2111"/>
        <v>View Creative</v>
      </c>
      <c r="L6011" s="6" t="s">
        <v>62</v>
      </c>
      <c r="M6011" s="6" t="s">
        <v>8757</v>
      </c>
      <c r="N6011" s="6"/>
      <c r="O6011" s="36" t="s">
        <v>7541</v>
      </c>
      <c r="P6011" s="36" t="s">
        <v>7542</v>
      </c>
      <c r="Q6011" s="38"/>
    </row>
    <row r="6012">
      <c r="A6012" s="6" t="s">
        <v>8757</v>
      </c>
      <c r="B6012" s="6" t="s">
        <v>8758</v>
      </c>
      <c r="C6012" s="6">
        <v>146.0</v>
      </c>
      <c r="D6012" s="9" t="str">
        <f t="shared" ref="D6012:D6013" si="2113">HYPERLINK("https://www.linkedin.com/ad-library/detail/688515393","Open Ad")</f>
        <v>Open Ad</v>
      </c>
      <c r="E6012" s="6" t="s">
        <v>91</v>
      </c>
      <c r="F6012" s="6" t="s">
        <v>8022</v>
      </c>
      <c r="G6012" s="6" t="s">
        <v>8768</v>
      </c>
      <c r="H6012" s="6" t="s">
        <v>55</v>
      </c>
      <c r="I6012" s="6" t="s">
        <v>8760</v>
      </c>
      <c r="J6012" s="6" t="s">
        <v>91</v>
      </c>
      <c r="K6012" s="12" t="str">
        <f t="shared" ref="K6012:K6013" si="2114">HYPERLINK("https://media.licdn.com/dms/image/v2/D4D10AQFN-J9SCqa0kg/image-shrink_1280/B4DZbhb5i8HQAM-/0/1747538910054/free_audit_1bpng?e=2147483647&amp;v=beta&amp;t=4RJ5_lGa2mzhIciZXwhfKhP3iigxJYT-Boy2_47QqdA","View Creative")</f>
        <v>View Creative</v>
      </c>
      <c r="L6012" s="6" t="s">
        <v>62</v>
      </c>
      <c r="M6012" s="6" t="s">
        <v>8757</v>
      </c>
      <c r="N6012" s="6"/>
      <c r="O6012" s="36" t="s">
        <v>7541</v>
      </c>
      <c r="P6012" s="36" t="s">
        <v>7542</v>
      </c>
      <c r="Q6012" s="38"/>
    </row>
    <row r="6013">
      <c r="A6013" s="6" t="s">
        <v>8757</v>
      </c>
      <c r="B6013" s="6" t="s">
        <v>8758</v>
      </c>
      <c r="C6013" s="6">
        <v>147.0</v>
      </c>
      <c r="D6013" s="9" t="str">
        <f t="shared" si="2113"/>
        <v>Open Ad</v>
      </c>
      <c r="E6013" s="6" t="s">
        <v>91</v>
      </c>
      <c r="F6013" s="6" t="s">
        <v>8022</v>
      </c>
      <c r="G6013" s="6" t="s">
        <v>8768</v>
      </c>
      <c r="H6013" s="6" t="s">
        <v>55</v>
      </c>
      <c r="I6013" s="6" t="s">
        <v>8760</v>
      </c>
      <c r="J6013" s="6" t="s">
        <v>91</v>
      </c>
      <c r="K6013" s="12" t="str">
        <f t="shared" si="2114"/>
        <v>View Creative</v>
      </c>
      <c r="L6013" s="6" t="s">
        <v>62</v>
      </c>
      <c r="M6013" s="6" t="s">
        <v>8757</v>
      </c>
      <c r="N6013" s="6"/>
      <c r="O6013" s="36" t="s">
        <v>7541</v>
      </c>
      <c r="P6013" s="36" t="s">
        <v>7542</v>
      </c>
      <c r="Q6013" s="38"/>
    </row>
    <row r="6014">
      <c r="A6014" s="6" t="s">
        <v>8757</v>
      </c>
      <c r="B6014" s="6" t="s">
        <v>8758</v>
      </c>
      <c r="C6014" s="6">
        <v>148.0</v>
      </c>
      <c r="D6014" s="9" t="str">
        <f t="shared" ref="D6014:D6015" si="2115">HYPERLINK("https://www.linkedin.com/ad-library/detail/683788093","Open Ad")</f>
        <v>Open Ad</v>
      </c>
      <c r="E6014" s="6" t="s">
        <v>91</v>
      </c>
      <c r="F6014" s="6" t="s">
        <v>8022</v>
      </c>
      <c r="G6014" s="6" t="s">
        <v>8759</v>
      </c>
      <c r="H6014" s="6" t="s">
        <v>55</v>
      </c>
      <c r="I6014" s="6" t="s">
        <v>8760</v>
      </c>
      <c r="J6014" s="6" t="s">
        <v>91</v>
      </c>
      <c r="K6014" s="12" t="str">
        <f t="shared" ref="K6014:K6015" si="2116">HYPERLINK("https://media.licdn.com/dms/image/v2/D4D10AQFluvEyyy-JOA/image-shrink_1280/B4DZbhbbj2HEAM-/0/1747538787039/testimonialpng?e=2147483647&amp;v=beta&amp;t=VJWRIUnC3aqtI_-unph4BLl7QgcKU-XRN4SYJhM0uO0","View Creative")</f>
        <v>View Creative</v>
      </c>
      <c r="L6014" s="6" t="s">
        <v>62</v>
      </c>
      <c r="M6014" s="6" t="s">
        <v>8757</v>
      </c>
      <c r="N6014" s="6"/>
      <c r="O6014" s="36" t="s">
        <v>7541</v>
      </c>
      <c r="P6014" s="36" t="s">
        <v>7542</v>
      </c>
      <c r="Q6014" s="38"/>
    </row>
    <row r="6015">
      <c r="A6015" s="6" t="s">
        <v>8757</v>
      </c>
      <c r="B6015" s="6" t="s">
        <v>8758</v>
      </c>
      <c r="C6015" s="6">
        <v>149.0</v>
      </c>
      <c r="D6015" s="9" t="str">
        <f t="shared" si="2115"/>
        <v>Open Ad</v>
      </c>
      <c r="E6015" s="6" t="s">
        <v>91</v>
      </c>
      <c r="F6015" s="6" t="s">
        <v>8022</v>
      </c>
      <c r="G6015" s="6" t="s">
        <v>8759</v>
      </c>
      <c r="H6015" s="6" t="s">
        <v>55</v>
      </c>
      <c r="I6015" s="6" t="s">
        <v>8760</v>
      </c>
      <c r="J6015" s="6" t="s">
        <v>91</v>
      </c>
      <c r="K6015" s="12" t="str">
        <f t="shared" si="2116"/>
        <v>View Creative</v>
      </c>
      <c r="L6015" s="6" t="s">
        <v>62</v>
      </c>
      <c r="M6015" s="6" t="s">
        <v>8757</v>
      </c>
      <c r="N6015" s="6"/>
      <c r="O6015" s="36" t="s">
        <v>7541</v>
      </c>
      <c r="P6015" s="36" t="s">
        <v>7542</v>
      </c>
      <c r="Q6015" s="38"/>
    </row>
    <row r="6016">
      <c r="A6016" s="6" t="s">
        <v>8757</v>
      </c>
      <c r="B6016" s="6" t="s">
        <v>8758</v>
      </c>
      <c r="C6016" s="6">
        <v>150.0</v>
      </c>
      <c r="D6016" s="9" t="str">
        <f t="shared" ref="D6016:D6017" si="2117">HYPERLINK("https://www.linkedin.com/ad-library/detail/688506783","Open Ad")</f>
        <v>Open Ad</v>
      </c>
      <c r="E6016" s="6" t="s">
        <v>91</v>
      </c>
      <c r="F6016" s="6" t="s">
        <v>8022</v>
      </c>
      <c r="G6016" s="6" t="s">
        <v>8768</v>
      </c>
      <c r="H6016" s="6" t="s">
        <v>55</v>
      </c>
      <c r="I6016" s="6" t="s">
        <v>8760</v>
      </c>
      <c r="J6016" s="6" t="s">
        <v>91</v>
      </c>
      <c r="K6016" s="12" t="str">
        <f t="shared" ref="K6016:K6017" si="2118">HYPERLINK("https://media.licdn.com/dms/image/v2/D4D10AQGj9lkQHr_AuQ/image-shrink_1280/B4DZbhb0P_HEAM-/0/1747538888502/free_audit_1apng?e=2147483647&amp;v=beta&amp;t=L2QKK2ykt05Lx3KsQWBlF4SDz_teitGPAUTVshAA4H8","View Creative")</f>
        <v>View Creative</v>
      </c>
      <c r="L6016" s="6" t="s">
        <v>62</v>
      </c>
      <c r="M6016" s="6" t="s">
        <v>8757</v>
      </c>
      <c r="N6016" s="6"/>
      <c r="O6016" s="36" t="s">
        <v>7541</v>
      </c>
      <c r="P6016" s="36" t="s">
        <v>7542</v>
      </c>
      <c r="Q6016" s="38"/>
    </row>
    <row r="6017">
      <c r="A6017" s="6" t="s">
        <v>8757</v>
      </c>
      <c r="B6017" s="6" t="s">
        <v>8758</v>
      </c>
      <c r="C6017" s="6">
        <v>151.0</v>
      </c>
      <c r="D6017" s="9" t="str">
        <f t="shared" si="2117"/>
        <v>Open Ad</v>
      </c>
      <c r="E6017" s="6" t="s">
        <v>91</v>
      </c>
      <c r="F6017" s="6" t="s">
        <v>8022</v>
      </c>
      <c r="G6017" s="6" t="s">
        <v>8768</v>
      </c>
      <c r="H6017" s="6" t="s">
        <v>55</v>
      </c>
      <c r="I6017" s="6" t="s">
        <v>8760</v>
      </c>
      <c r="J6017" s="6" t="s">
        <v>91</v>
      </c>
      <c r="K6017" s="12" t="str">
        <f t="shared" si="2118"/>
        <v>View Creative</v>
      </c>
      <c r="L6017" s="6" t="s">
        <v>62</v>
      </c>
      <c r="M6017" s="6" t="s">
        <v>8757</v>
      </c>
      <c r="N6017" s="6"/>
      <c r="O6017" s="36" t="s">
        <v>7541</v>
      </c>
      <c r="P6017" s="36" t="s">
        <v>7542</v>
      </c>
      <c r="Q6017" s="38"/>
    </row>
    <row r="6018">
      <c r="A6018" s="6" t="s">
        <v>8757</v>
      </c>
      <c r="B6018" s="6" t="s">
        <v>8758</v>
      </c>
      <c r="C6018" s="6">
        <v>152.0</v>
      </c>
      <c r="D6018" s="9" t="str">
        <f t="shared" ref="D6018:D6019" si="2119">HYPERLINK("https://www.linkedin.com/ad-library/detail/688515403","Open Ad")</f>
        <v>Open Ad</v>
      </c>
      <c r="E6018" s="6" t="s">
        <v>91</v>
      </c>
      <c r="F6018" s="6" t="s">
        <v>8022</v>
      </c>
      <c r="G6018" s="6" t="s">
        <v>8768</v>
      </c>
      <c r="H6018" s="6" t="s">
        <v>55</v>
      </c>
      <c r="I6018" s="6" t="s">
        <v>8760</v>
      </c>
      <c r="J6018" s="6" t="s">
        <v>91</v>
      </c>
      <c r="K6018" s="12" t="str">
        <f t="shared" ref="K6018:K6019" si="2120">HYPERLINK("https://media.licdn.com/dms/image/v2/D4D10AQE4qB6SLCf5qg/image-shrink_1280/B4DZbhcAxTH8AM-/0/1747538939667/free_audit_2apng?e=2147483647&amp;v=beta&amp;t=CTLsSK1l0hBkjeHfT9xHoRra2pV4PaoSXeUTrmBsHzI","View Creative")</f>
        <v>View Creative</v>
      </c>
      <c r="L6018" s="6" t="s">
        <v>62</v>
      </c>
      <c r="M6018" s="6" t="s">
        <v>8757</v>
      </c>
      <c r="N6018" s="6"/>
      <c r="O6018" s="36" t="s">
        <v>7541</v>
      </c>
      <c r="P6018" s="36" t="s">
        <v>7542</v>
      </c>
      <c r="Q6018" s="38"/>
    </row>
    <row r="6019">
      <c r="A6019" s="6" t="s">
        <v>8757</v>
      </c>
      <c r="B6019" s="6" t="s">
        <v>8758</v>
      </c>
      <c r="C6019" s="6">
        <v>153.0</v>
      </c>
      <c r="D6019" s="9" t="str">
        <f t="shared" si="2119"/>
        <v>Open Ad</v>
      </c>
      <c r="E6019" s="6" t="s">
        <v>91</v>
      </c>
      <c r="F6019" s="6" t="s">
        <v>8022</v>
      </c>
      <c r="G6019" s="6" t="s">
        <v>8768</v>
      </c>
      <c r="H6019" s="6" t="s">
        <v>55</v>
      </c>
      <c r="I6019" s="6" t="s">
        <v>8760</v>
      </c>
      <c r="J6019" s="6" t="s">
        <v>91</v>
      </c>
      <c r="K6019" s="12" t="str">
        <f t="shared" si="2120"/>
        <v>View Creative</v>
      </c>
      <c r="L6019" s="6" t="s">
        <v>62</v>
      </c>
      <c r="M6019" s="6" t="s">
        <v>8757</v>
      </c>
      <c r="N6019" s="6"/>
      <c r="O6019" s="36" t="s">
        <v>7541</v>
      </c>
      <c r="P6019" s="36" t="s">
        <v>7542</v>
      </c>
      <c r="Q6019" s="38"/>
    </row>
    <row r="6020">
      <c r="A6020" s="6" t="s">
        <v>8757</v>
      </c>
      <c r="B6020" s="6" t="s">
        <v>8758</v>
      </c>
      <c r="C6020" s="6">
        <v>154.0</v>
      </c>
      <c r="D6020" s="9" t="str">
        <f t="shared" ref="D6020:D6021" si="2121">HYPERLINK("https://www.linkedin.com/ad-library/detail/688506803","Open Ad")</f>
        <v>Open Ad</v>
      </c>
      <c r="E6020" s="6" t="s">
        <v>91</v>
      </c>
      <c r="F6020" s="6" t="s">
        <v>8022</v>
      </c>
      <c r="G6020" s="6" t="s">
        <v>8768</v>
      </c>
      <c r="H6020" s="6" t="s">
        <v>55</v>
      </c>
      <c r="I6020" s="6" t="s">
        <v>8760</v>
      </c>
      <c r="J6020" s="6" t="s">
        <v>91</v>
      </c>
      <c r="K6020" s="12" t="str">
        <f t="shared" ref="K6020:K6021" si="2122">HYPERLINK("https://media.licdn.com/dms/image/v2/D4D10AQGzsH1_-5nYqw/image-shrink_1280/B4DZbhbfwgHsAQ-/0/1747538804241/testimonial_1bpng?e=2147483647&amp;v=beta&amp;t=VZEMKc7aCFhRj0dOdZWxCDo_hDaQ9M08tNn42UFoeuw","View Creative")</f>
        <v>View Creative</v>
      </c>
      <c r="L6020" s="6" t="s">
        <v>62</v>
      </c>
      <c r="M6020" s="6" t="s">
        <v>8757</v>
      </c>
      <c r="N6020" s="6"/>
      <c r="O6020" s="36" t="s">
        <v>7541</v>
      </c>
      <c r="P6020" s="36" t="s">
        <v>7542</v>
      </c>
      <c r="Q6020" s="38"/>
    </row>
    <row r="6021">
      <c r="A6021" s="6" t="s">
        <v>8757</v>
      </c>
      <c r="B6021" s="6" t="s">
        <v>8758</v>
      </c>
      <c r="C6021" s="6">
        <v>155.0</v>
      </c>
      <c r="D6021" s="9" t="str">
        <f t="shared" si="2121"/>
        <v>Open Ad</v>
      </c>
      <c r="E6021" s="6" t="s">
        <v>91</v>
      </c>
      <c r="F6021" s="6" t="s">
        <v>8022</v>
      </c>
      <c r="G6021" s="6" t="s">
        <v>8768</v>
      </c>
      <c r="H6021" s="6" t="s">
        <v>55</v>
      </c>
      <c r="I6021" s="6" t="s">
        <v>8760</v>
      </c>
      <c r="J6021" s="6" t="s">
        <v>91</v>
      </c>
      <c r="K6021" s="12" t="str">
        <f t="shared" si="2122"/>
        <v>View Creative</v>
      </c>
      <c r="L6021" s="6" t="s">
        <v>62</v>
      </c>
      <c r="M6021" s="6" t="s">
        <v>8757</v>
      </c>
      <c r="N6021" s="6"/>
      <c r="O6021" s="36" t="s">
        <v>7541</v>
      </c>
      <c r="P6021" s="36" t="s">
        <v>7542</v>
      </c>
      <c r="Q6021" s="38"/>
    </row>
  </sheetData>
  <drawing r:id="rId1"/>
</worksheet>
</file>